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C:\Users\jgreati\Documents\"/>
    </mc:Choice>
  </mc:AlternateContent>
  <xr:revisionPtr revIDLastSave="0" documentId="8_{32979D50-2B75-4B6D-B352-C10D54089214}" xr6:coauthVersionLast="47" xr6:coauthVersionMax="47" xr10:uidLastSave="{00000000-0000-0000-0000-000000000000}"/>
  <bookViews>
    <workbookView xWindow="-120" yWindow="-120" windowWidth="20730" windowHeight="11160" xr2:uid="{2A36D65A-01CD-46DF-9C1A-303A7C75B025}"/>
  </bookViews>
  <sheets>
    <sheet name="Sheet1" sheetId="1" r:id="rId1"/>
  </sheets>
  <definedNames>
    <definedName name="_xlnm._FilterDatabase" localSheetId="0" hidden="1">Sheet1!$A$1:$AF$5999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2388" i="1" l="1"/>
  <c r="J1922" i="1" l="1"/>
  <c r="J4721" i="1"/>
  <c r="J51" i="1"/>
  <c r="J3608" i="1"/>
  <c r="J1561" i="1"/>
  <c r="J1177" i="1"/>
  <c r="J4660" i="1"/>
  <c r="J3970" i="1"/>
  <c r="J3000" i="1"/>
  <c r="J767" i="1"/>
  <c r="J458" i="1"/>
  <c r="J1432" i="1"/>
  <c r="J2206" i="1"/>
  <c r="J2817" i="1"/>
  <c r="J1597" i="1"/>
  <c r="J5237" i="1"/>
  <c r="J1433" i="1"/>
  <c r="J1612" i="1"/>
  <c r="J5782" i="1"/>
  <c r="J1945" i="1"/>
  <c r="J2837" i="1"/>
  <c r="J1275" i="1"/>
  <c r="J166" i="1"/>
  <c r="J4405" i="1"/>
  <c r="J4865" i="1"/>
  <c r="J103" i="1"/>
  <c r="J605" i="1"/>
  <c r="J3468" i="1"/>
  <c r="J4983" i="1"/>
  <c r="J2170" i="1"/>
  <c r="J4615" i="1"/>
  <c r="J4931" i="1"/>
  <c r="J5542" i="1"/>
  <c r="J4097" i="1"/>
  <c r="J904" i="1"/>
  <c r="J335" i="1"/>
  <c r="J2945" i="1"/>
  <c r="J5813" i="1"/>
  <c r="J2816" i="1"/>
  <c r="J5077" i="1"/>
  <c r="J4411" i="1"/>
  <c r="J3470" i="1"/>
  <c r="J4380" i="1"/>
  <c r="J4148" i="1"/>
  <c r="J3418" i="1"/>
  <c r="J4943" i="1"/>
  <c r="J1228" i="1"/>
  <c r="J3550" i="1"/>
  <c r="J2330" i="1"/>
  <c r="J4982" i="1"/>
  <c r="J5855" i="1"/>
  <c r="J5039" i="1"/>
  <c r="J4302" i="1"/>
  <c r="J2628" i="1"/>
  <c r="J3101" i="1"/>
  <c r="J2334" i="1"/>
  <c r="J4343" i="1"/>
  <c r="J4366" i="1"/>
  <c r="J2839" i="1"/>
  <c r="J2642" i="1"/>
  <c r="J2542" i="1"/>
  <c r="J2889" i="1"/>
  <c r="J3791" i="1"/>
  <c r="J527" i="1"/>
  <c r="J3147" i="1"/>
  <c r="J2938" i="1"/>
  <c r="J3140" i="1"/>
  <c r="J4188" i="1"/>
  <c r="J5382" i="1"/>
  <c r="J3843" i="1"/>
  <c r="J4592" i="1"/>
  <c r="J3967" i="1"/>
  <c r="J1578" i="1"/>
  <c r="J3385" i="1"/>
  <c r="J2746" i="1"/>
  <c r="J360" i="1"/>
  <c r="J1217" i="1"/>
  <c r="J708" i="1"/>
  <c r="J1589" i="1"/>
  <c r="J2937" i="1"/>
  <c r="J3559" i="1"/>
  <c r="J5688" i="1"/>
  <c r="J1088" i="1"/>
  <c r="J817" i="1"/>
  <c r="J2964" i="1"/>
  <c r="J1312" i="1"/>
  <c r="J667" i="1"/>
  <c r="J188" i="1"/>
  <c r="J5465" i="1"/>
  <c r="J2836" i="1"/>
  <c r="J2088" i="1"/>
  <c r="J4325" i="1"/>
  <c r="J2651" i="1"/>
  <c r="J726" i="1"/>
  <c r="J4428" i="1"/>
  <c r="J640" i="1"/>
  <c r="J5874" i="1"/>
  <c r="J5811" i="1"/>
  <c r="J5296" i="1"/>
  <c r="J1857" i="1"/>
  <c r="J3920" i="1"/>
  <c r="J1852" i="1"/>
  <c r="J3167" i="1"/>
  <c r="J3555" i="1"/>
  <c r="J5023" i="1"/>
  <c r="J3187" i="1"/>
  <c r="J2544" i="1"/>
  <c r="J1500" i="1"/>
  <c r="J230" i="1"/>
  <c r="J4722" i="1"/>
  <c r="J658" i="1"/>
  <c r="J209" i="1"/>
  <c r="J2543" i="1"/>
  <c r="J5837" i="1"/>
  <c r="J5566" i="1"/>
  <c r="J3862" i="1"/>
  <c r="J5064" i="1"/>
  <c r="J1135" i="1"/>
  <c r="J2670" i="1"/>
  <c r="J3346" i="1"/>
  <c r="J5482" i="1"/>
  <c r="J4996" i="1"/>
  <c r="J473" i="1"/>
  <c r="J2118" i="1"/>
  <c r="J5433" i="1"/>
  <c r="J4875" i="1"/>
  <c r="J1069" i="1"/>
  <c r="J3190" i="1"/>
  <c r="J1107" i="1"/>
  <c r="J557" i="1"/>
  <c r="J4621" i="1"/>
  <c r="J5658" i="1"/>
  <c r="J2563" i="1"/>
  <c r="J1574" i="1"/>
  <c r="J4279" i="1"/>
  <c r="J4993" i="1"/>
  <c r="J2829" i="1"/>
  <c r="J547" i="1"/>
  <c r="J5964" i="1"/>
  <c r="J1481" i="1"/>
  <c r="J3013" i="1"/>
  <c r="J2423" i="1"/>
  <c r="J139" i="1"/>
  <c r="J5500" i="1"/>
  <c r="J871" i="1"/>
  <c r="J167" i="1"/>
  <c r="J5987" i="1"/>
  <c r="J3571" i="1"/>
  <c r="J1946" i="1"/>
  <c r="J3309" i="1"/>
  <c r="J130" i="1"/>
  <c r="J232" i="1"/>
  <c r="J3356" i="1"/>
  <c r="J2960" i="1"/>
  <c r="J628" i="1"/>
  <c r="J5927" i="1"/>
  <c r="J2618" i="1"/>
  <c r="J2919" i="1"/>
  <c r="J574" i="1"/>
  <c r="J5774" i="1"/>
  <c r="J1240" i="1"/>
  <c r="J2182" i="1"/>
  <c r="J2412" i="1"/>
  <c r="J4102" i="1"/>
  <c r="J2806" i="1"/>
  <c r="J4040" i="1"/>
  <c r="J17" i="1"/>
  <c r="J5638" i="1"/>
  <c r="J246" i="1"/>
  <c r="J3882" i="1"/>
  <c r="J2324" i="1"/>
  <c r="J163" i="1"/>
  <c r="J2399" i="1"/>
  <c r="J5139" i="1"/>
  <c r="J1265" i="1"/>
  <c r="J4923" i="1"/>
  <c r="J1075" i="1"/>
  <c r="J3214" i="1"/>
  <c r="J5361" i="1"/>
  <c r="J3381" i="1"/>
  <c r="J2365" i="1"/>
  <c r="J712" i="1"/>
  <c r="J5289" i="1"/>
  <c r="J3188" i="1"/>
  <c r="J125" i="1"/>
  <c r="J2747" i="1"/>
  <c r="J265" i="1"/>
  <c r="J529" i="1"/>
  <c r="J1896" i="1"/>
  <c r="J5734" i="1"/>
  <c r="J4756" i="1"/>
  <c r="J5284" i="1"/>
  <c r="J2514" i="1"/>
  <c r="J5549" i="1"/>
  <c r="J2644" i="1"/>
  <c r="J4776" i="1"/>
  <c r="J5406" i="1"/>
  <c r="J25" i="1"/>
  <c r="J3398" i="1"/>
  <c r="J2328" i="1"/>
  <c r="J2187" i="1"/>
  <c r="J2499" i="1"/>
  <c r="J3296" i="1"/>
  <c r="J61" i="1"/>
  <c r="J1853" i="1"/>
  <c r="J1192" i="1"/>
  <c r="J5965" i="1"/>
  <c r="J1156" i="1"/>
  <c r="J3322" i="1"/>
  <c r="J5940" i="1"/>
  <c r="J5292" i="1"/>
  <c r="J1181" i="1"/>
  <c r="J854" i="1"/>
  <c r="J5560" i="1"/>
  <c r="J4921" i="1"/>
  <c r="J4530" i="1"/>
  <c r="J1250" i="1"/>
  <c r="J4189" i="1"/>
  <c r="J5395" i="1"/>
  <c r="J1232" i="1"/>
  <c r="J2006" i="1"/>
  <c r="J5286" i="1"/>
  <c r="J5032" i="1"/>
  <c r="J788" i="1"/>
  <c r="J2416" i="1"/>
  <c r="J5834" i="1"/>
  <c r="J2752" i="1"/>
  <c r="J1743" i="1"/>
  <c r="J2246" i="1"/>
  <c r="J3456" i="1"/>
  <c r="J4677" i="1"/>
  <c r="J663" i="1"/>
  <c r="J2914" i="1"/>
  <c r="J1543" i="1"/>
  <c r="J3301" i="1"/>
  <c r="J5941" i="1"/>
  <c r="J5765" i="1"/>
  <c r="J3997" i="1"/>
  <c r="J5555" i="1"/>
  <c r="J4464" i="1"/>
  <c r="J2045" i="1"/>
  <c r="J1716" i="1"/>
  <c r="J5086" i="1"/>
  <c r="J1094" i="1"/>
  <c r="J2141" i="1"/>
  <c r="J3610" i="1"/>
  <c r="J1163" i="1"/>
  <c r="J1155" i="1"/>
  <c r="J1229" i="1"/>
  <c r="J3979" i="1"/>
  <c r="J5308" i="1"/>
  <c r="J5667" i="1"/>
  <c r="J3807" i="1"/>
  <c r="J1350" i="1"/>
  <c r="J2250" i="1"/>
  <c r="J1215" i="1"/>
  <c r="J1248" i="1"/>
  <c r="J2278" i="1"/>
  <c r="J4508" i="1"/>
  <c r="J1084" i="1"/>
  <c r="J1251" i="1"/>
  <c r="J4088" i="1"/>
  <c r="J128" i="1"/>
  <c r="J4043" i="1"/>
  <c r="J3842" i="1"/>
  <c r="J1306" i="1"/>
  <c r="J3514" i="1"/>
  <c r="J5687" i="1"/>
  <c r="J4971" i="1"/>
  <c r="J2266" i="1"/>
  <c r="J2708" i="1"/>
  <c r="J798" i="1"/>
  <c r="J1188" i="1"/>
  <c r="J3902" i="1"/>
  <c r="J3853" i="1"/>
  <c r="J1714" i="1"/>
  <c r="J3344" i="1"/>
  <c r="J2073" i="1"/>
  <c r="J267" i="1"/>
  <c r="J1859" i="1"/>
  <c r="J3243" i="1"/>
  <c r="J3753" i="1"/>
  <c r="J1269" i="1"/>
  <c r="J5895" i="1"/>
  <c r="J3329" i="1"/>
  <c r="J4545" i="1"/>
  <c r="J4597" i="1"/>
  <c r="J1047" i="1"/>
  <c r="J1900" i="1"/>
  <c r="J2089" i="1"/>
  <c r="J2205" i="1"/>
  <c r="J1753" i="1"/>
  <c r="J511" i="1"/>
  <c r="J5474" i="1"/>
  <c r="J4565" i="1"/>
  <c r="J1164" i="1"/>
  <c r="J1195" i="1"/>
  <c r="J280" i="1"/>
  <c r="J1603" i="1"/>
  <c r="J1813" i="1"/>
  <c r="J945" i="1"/>
  <c r="J378" i="1"/>
  <c r="J1600" i="1"/>
  <c r="J1514" i="1"/>
  <c r="J1162" i="1"/>
  <c r="J4651" i="1"/>
  <c r="J2444" i="1"/>
  <c r="J3568" i="1"/>
  <c r="J2890" i="1"/>
  <c r="J3424" i="1"/>
  <c r="J1431" i="1"/>
  <c r="J5930" i="1"/>
  <c r="J5095" i="1"/>
  <c r="J1727" i="1"/>
  <c r="J101" i="1"/>
  <c r="J4081" i="1"/>
  <c r="J3782" i="1"/>
  <c r="J448" i="1"/>
  <c r="J2375" i="1"/>
  <c r="J5457" i="1"/>
  <c r="J1956" i="1"/>
  <c r="J1446" i="1"/>
  <c r="J3150" i="1"/>
  <c r="J5983" i="1"/>
  <c r="J1614" i="1"/>
  <c r="J3331" i="1"/>
  <c r="J1169" i="1"/>
  <c r="J1704" i="1"/>
  <c r="J2357" i="1"/>
  <c r="J4023" i="1"/>
  <c r="J3634" i="1"/>
  <c r="J585" i="1"/>
  <c r="J1975" i="1"/>
  <c r="J5014" i="1"/>
  <c r="J5125" i="1"/>
  <c r="J5168" i="1"/>
  <c r="J1043" i="1"/>
  <c r="J4264" i="1"/>
  <c r="J5590" i="1"/>
  <c r="J2074" i="1"/>
  <c r="J2636" i="1"/>
  <c r="J5388" i="1"/>
  <c r="J1194" i="1"/>
  <c r="J4028" i="1"/>
  <c r="J5848" i="1"/>
  <c r="J2812" i="1"/>
  <c r="J738" i="1"/>
  <c r="J3119" i="1"/>
  <c r="J3166" i="1"/>
  <c r="J3799" i="1"/>
  <c r="J41" i="1"/>
  <c r="J4315" i="1"/>
  <c r="J940" i="1"/>
  <c r="J2214" i="1"/>
  <c r="J3574" i="1"/>
  <c r="J1201" i="1"/>
  <c r="J3070" i="1"/>
  <c r="J705" i="1"/>
  <c r="J3590" i="1"/>
  <c r="J1161" i="1"/>
  <c r="J587" i="1"/>
  <c r="J2703" i="1"/>
  <c r="J3958" i="1"/>
  <c r="J3324" i="1"/>
  <c r="J2321" i="1"/>
  <c r="J4483" i="1"/>
  <c r="J5360" i="1"/>
  <c r="J5819" i="1"/>
  <c r="J2100" i="1"/>
  <c r="J4584" i="1"/>
  <c r="J5698" i="1"/>
  <c r="J5697" i="1"/>
  <c r="J1618" i="1"/>
  <c r="J5763" i="1"/>
  <c r="J456" i="1"/>
  <c r="J5076" i="1"/>
  <c r="J228" i="1"/>
  <c r="J5574" i="1"/>
  <c r="J5443" i="1"/>
  <c r="J1146" i="1"/>
  <c r="J2372" i="1"/>
  <c r="J3552" i="1"/>
  <c r="J3242" i="1"/>
  <c r="J5376" i="1"/>
  <c r="J2551" i="1"/>
  <c r="J2356" i="1"/>
  <c r="J4939" i="1"/>
  <c r="J5588" i="1"/>
  <c r="J5892" i="1"/>
  <c r="J2155" i="1"/>
  <c r="J234" i="1"/>
  <c r="J2769" i="1"/>
  <c r="J5398" i="1"/>
  <c r="J965" i="1"/>
  <c r="J444" i="1"/>
  <c r="J3014" i="1"/>
  <c r="J2263" i="1"/>
  <c r="J447" i="1"/>
  <c r="J1809" i="1"/>
  <c r="J5894" i="1"/>
  <c r="J5923" i="1"/>
  <c r="J1768" i="1"/>
  <c r="J284" i="1"/>
  <c r="J2835" i="1"/>
  <c r="J3936" i="1"/>
  <c r="J4618" i="1"/>
  <c r="J5201" i="1"/>
  <c r="J1246" i="1"/>
  <c r="J423" i="1"/>
  <c r="J472" i="1"/>
  <c r="J1550" i="1"/>
  <c r="J509" i="1"/>
  <c r="J2385" i="1"/>
  <c r="J2676" i="1"/>
  <c r="J4064" i="1"/>
  <c r="J4783" i="1"/>
  <c r="J980" i="1"/>
  <c r="J1245" i="1"/>
  <c r="J703" i="1"/>
  <c r="J4856" i="1"/>
  <c r="J2023" i="1"/>
  <c r="J2066" i="1"/>
  <c r="J1794" i="1"/>
  <c r="J4309" i="1"/>
  <c r="J2135" i="1"/>
  <c r="J593" i="1"/>
  <c r="J4968" i="1"/>
  <c r="J3067" i="1"/>
  <c r="J1912" i="1"/>
  <c r="J4241" i="1"/>
  <c r="J3892" i="1"/>
  <c r="J2545" i="1"/>
  <c r="J4567" i="1"/>
  <c r="J4877" i="1"/>
  <c r="J4339" i="1"/>
  <c r="J2099" i="1"/>
  <c r="J4726" i="1"/>
  <c r="J3563" i="1"/>
  <c r="J2775" i="1"/>
  <c r="J4139" i="1"/>
  <c r="J3684" i="1"/>
  <c r="J5548" i="1"/>
  <c r="J4966" i="1"/>
  <c r="J1191" i="1"/>
  <c r="J4988" i="1"/>
  <c r="J1571" i="1"/>
  <c r="J3754" i="1"/>
  <c r="J3089" i="1"/>
  <c r="J1932" i="1"/>
  <c r="J4495" i="1"/>
  <c r="J4523" i="1"/>
  <c r="J4382" i="1"/>
  <c r="J1193" i="1"/>
  <c r="J1771" i="1"/>
  <c r="J4580" i="1"/>
  <c r="J1475" i="1"/>
  <c r="J2451" i="1"/>
  <c r="J4485" i="1"/>
  <c r="J3099" i="1"/>
  <c r="J1683" i="1"/>
  <c r="J5648" i="1"/>
  <c r="J2253" i="1"/>
  <c r="J4017" i="1"/>
  <c r="J4255" i="1"/>
  <c r="J3832" i="1"/>
  <c r="J1720" i="1"/>
  <c r="J1910" i="1"/>
  <c r="J397" i="1"/>
  <c r="J1116" i="1"/>
  <c r="J818" i="1"/>
  <c r="J1570" i="1"/>
  <c r="J2346" i="1"/>
  <c r="J4878" i="1"/>
  <c r="J2390" i="1"/>
  <c r="J1787" i="1"/>
  <c r="J161" i="1"/>
  <c r="J2991" i="1"/>
  <c r="J4016" i="1"/>
  <c r="J554" i="1"/>
  <c r="J2689" i="1"/>
  <c r="J5333" i="1"/>
  <c r="J4047" i="1"/>
  <c r="J3593" i="1"/>
  <c r="J3876" i="1"/>
  <c r="J4885" i="1"/>
  <c r="J4263" i="1"/>
  <c r="J2704" i="1"/>
  <c r="J1153" i="1"/>
  <c r="J260" i="1"/>
  <c r="J2110" i="1"/>
  <c r="J1497" i="1"/>
  <c r="J5724" i="1"/>
  <c r="J2397" i="1"/>
  <c r="J3429" i="1"/>
  <c r="J739" i="1"/>
  <c r="J5996" i="1"/>
  <c r="J1741" i="1"/>
  <c r="J5541" i="1"/>
  <c r="J3241" i="1"/>
  <c r="J1113" i="1"/>
  <c r="J4184" i="1"/>
  <c r="J4873" i="1"/>
  <c r="J3588" i="1"/>
  <c r="J3199" i="1"/>
  <c r="J1204" i="1"/>
  <c r="J3877" i="1"/>
  <c r="J2044" i="1"/>
  <c r="J4427" i="1"/>
  <c r="J5114" i="1"/>
  <c r="J3981" i="1"/>
  <c r="J380" i="1"/>
  <c r="J1849" i="1"/>
  <c r="J5368" i="1"/>
  <c r="J1838" i="1"/>
  <c r="J2981" i="1"/>
  <c r="J1170" i="1"/>
  <c r="J5458" i="1"/>
  <c r="J3678" i="1"/>
  <c r="J5358" i="1"/>
  <c r="J422" i="1"/>
  <c r="J104" i="1"/>
  <c r="J5026" i="1"/>
  <c r="J2189" i="1"/>
  <c r="J5564" i="1"/>
  <c r="J5822" i="1"/>
  <c r="J4245" i="1"/>
  <c r="J3443" i="1"/>
  <c r="J5164" i="1"/>
  <c r="J3750" i="1"/>
  <c r="J2032" i="1"/>
  <c r="J3103" i="1"/>
  <c r="J5226" i="1"/>
  <c r="J3494" i="1"/>
  <c r="J437" i="1"/>
  <c r="J2457" i="1"/>
  <c r="J5431" i="1"/>
  <c r="J4256" i="1"/>
  <c r="J3053" i="1"/>
  <c r="J1467" i="1"/>
  <c r="J1196" i="1"/>
  <c r="J2522" i="1"/>
  <c r="J231" i="1"/>
  <c r="J5243" i="1"/>
  <c r="J5733" i="1"/>
  <c r="J5835" i="1"/>
  <c r="J2307" i="1"/>
  <c r="J2234" i="1"/>
  <c r="J2798" i="1"/>
  <c r="J2540" i="1"/>
  <c r="J5148" i="1"/>
  <c r="J5107" i="1"/>
  <c r="J5473" i="1"/>
  <c r="J2181" i="1"/>
  <c r="J1190" i="1"/>
  <c r="J898" i="1"/>
  <c r="J3011" i="1"/>
  <c r="J1468" i="1"/>
  <c r="J3901" i="1"/>
  <c r="J1594" i="1"/>
  <c r="J5336" i="1"/>
  <c r="J348" i="1"/>
  <c r="J2529" i="1"/>
  <c r="J4337" i="1"/>
  <c r="J5407" i="1"/>
  <c r="J68" i="1"/>
  <c r="J1316" i="1"/>
  <c r="J5225" i="1"/>
  <c r="J4788" i="1"/>
  <c r="J5483" i="1"/>
  <c r="J1770" i="1"/>
  <c r="J3155" i="1"/>
  <c r="J1242" i="1"/>
  <c r="J4422" i="1"/>
  <c r="J3759" i="1"/>
  <c r="J559" i="1"/>
  <c r="J3434" i="1"/>
  <c r="J5858" i="1"/>
  <c r="J5261" i="1"/>
  <c r="J1856" i="1"/>
  <c r="J1470" i="1"/>
  <c r="J982" i="1"/>
  <c r="J2957" i="1"/>
  <c r="J3412" i="1"/>
  <c r="J3156" i="1"/>
  <c r="J254" i="1"/>
  <c r="J3490" i="1"/>
  <c r="J5134" i="1"/>
  <c r="J3673" i="1"/>
  <c r="J220" i="1"/>
  <c r="J1485" i="1"/>
  <c r="J1005" i="1"/>
  <c r="J2452" i="1"/>
  <c r="J1847" i="1"/>
  <c r="J5780" i="1"/>
  <c r="J5572" i="1"/>
  <c r="J2248" i="1"/>
  <c r="J3917" i="1"/>
  <c r="J3098" i="1"/>
  <c r="J282" i="1"/>
  <c r="J3240" i="1"/>
  <c r="J1982" i="1"/>
  <c r="J613" i="1"/>
  <c r="J3369" i="1"/>
  <c r="J1355" i="1"/>
  <c r="J2511" i="1"/>
  <c r="J5027" i="1"/>
  <c r="J1352" i="1"/>
  <c r="J3633" i="1"/>
  <c r="J5890" i="1"/>
  <c r="J5726" i="1"/>
  <c r="J5586" i="1"/>
  <c r="J3741" i="1"/>
  <c r="J3012" i="1"/>
  <c r="J2702" i="1"/>
  <c r="J2495" i="1"/>
  <c r="J2196" i="1"/>
  <c r="J1800" i="1"/>
  <c r="J75" i="1"/>
  <c r="J819" i="1"/>
  <c r="J859" i="1"/>
  <c r="J4826" i="1"/>
  <c r="J2466" i="1"/>
  <c r="J5178" i="1"/>
  <c r="J1724" i="1"/>
  <c r="J117" i="1"/>
  <c r="J5062" i="1"/>
  <c r="J4116" i="1"/>
  <c r="J3387" i="1"/>
  <c r="J4289" i="1"/>
  <c r="J766" i="1"/>
  <c r="J4510" i="1"/>
  <c r="J5128" i="1"/>
  <c r="J389" i="1"/>
  <c r="J3454" i="1"/>
  <c r="J4606" i="1"/>
  <c r="J2579" i="1"/>
  <c r="J5173" i="1"/>
  <c r="J801" i="1"/>
  <c r="J696" i="1"/>
  <c r="J650" i="1"/>
  <c r="J1320" i="1"/>
  <c r="J3342" i="1"/>
  <c r="J3388" i="1"/>
  <c r="J5008" i="1"/>
  <c r="J2729" i="1"/>
  <c r="J3606" i="1"/>
  <c r="J4995" i="1"/>
  <c r="J4304" i="1"/>
  <c r="J3348" i="1"/>
  <c r="J4320" i="1"/>
  <c r="J564" i="1"/>
  <c r="J239" i="1"/>
  <c r="J4784" i="1"/>
  <c r="J941" i="1"/>
  <c r="J1534" i="1"/>
  <c r="J5215" i="1"/>
  <c r="J4449" i="1"/>
  <c r="J3829" i="1"/>
  <c r="J2469" i="1"/>
  <c r="J957" i="1"/>
  <c r="J3865" i="1"/>
  <c r="J684" i="1"/>
  <c r="J849" i="1"/>
  <c r="J5129" i="1"/>
  <c r="J2460" i="1"/>
  <c r="J1083" i="1"/>
  <c r="J3386" i="1"/>
  <c r="J4657" i="1"/>
  <c r="J549" i="1"/>
  <c r="J5035" i="1"/>
  <c r="J1328" i="1"/>
  <c r="J1861" i="1"/>
  <c r="J5281" i="1"/>
  <c r="J3801" i="1"/>
  <c r="J2956" i="1"/>
  <c r="J2827" i="1"/>
  <c r="J1997" i="1"/>
  <c r="J4015" i="1"/>
  <c r="J244" i="1"/>
  <c r="J1385" i="1"/>
  <c r="J2627" i="1"/>
  <c r="J4049" i="1"/>
  <c r="J215" i="1"/>
  <c r="J4568" i="1"/>
  <c r="J2766" i="1"/>
  <c r="J3442" i="1"/>
  <c r="J5538" i="1"/>
  <c r="J3266" i="1"/>
  <c r="J984" i="1"/>
  <c r="J860" i="1"/>
  <c r="J5800" i="1"/>
  <c r="J49" i="1"/>
  <c r="J57" i="1"/>
  <c r="J3748" i="1"/>
  <c r="J5604" i="1"/>
  <c r="J1906" i="1"/>
  <c r="J369" i="1"/>
  <c r="J2498" i="1"/>
  <c r="J2656" i="1"/>
  <c r="J199" i="1"/>
  <c r="J5959" i="1"/>
  <c r="J1744" i="1"/>
  <c r="J3834" i="1"/>
  <c r="J3790" i="1"/>
  <c r="J2570" i="1"/>
  <c r="J3078" i="1"/>
  <c r="J2562" i="1"/>
  <c r="J3503" i="1"/>
  <c r="J3766" i="1"/>
  <c r="J1835" i="1"/>
  <c r="J4093" i="1"/>
  <c r="J3706" i="1"/>
  <c r="J4944" i="1"/>
  <c r="J2496" i="1"/>
  <c r="J2274" i="1"/>
  <c r="J5496" i="1"/>
  <c r="J3455" i="1"/>
  <c r="J2975" i="1"/>
  <c r="J5939" i="1"/>
  <c r="J5327" i="1"/>
  <c r="J1282" i="1"/>
  <c r="J3557" i="1"/>
  <c r="J5950" i="1"/>
  <c r="J3279" i="1"/>
  <c r="J2490" i="1"/>
  <c r="J1315" i="1"/>
  <c r="J1326" i="1"/>
  <c r="J2108" i="1"/>
  <c r="J633" i="1"/>
  <c r="J1435" i="1"/>
  <c r="J3680" i="1"/>
  <c r="J1695" i="1"/>
  <c r="J1448" i="1"/>
  <c r="J3995" i="1"/>
  <c r="J4296" i="1"/>
  <c r="J3181" i="1"/>
  <c r="J3580" i="1"/>
  <c r="J2306" i="1"/>
  <c r="J4391" i="1"/>
  <c r="J2631" i="1"/>
  <c r="J1637" i="1"/>
  <c r="J5216" i="1"/>
  <c r="J5420" i="1"/>
  <c r="J3051" i="1"/>
  <c r="J1299" i="1"/>
  <c r="J5401" i="1"/>
  <c r="J3389" i="1"/>
  <c r="J4135" i="1"/>
  <c r="J433" i="1"/>
  <c r="J2984" i="1"/>
  <c r="J4693" i="1"/>
  <c r="J5183" i="1"/>
  <c r="J303" i="1"/>
  <c r="J1093" i="1"/>
  <c r="J329" i="1"/>
  <c r="J4101" i="1"/>
  <c r="J928" i="1"/>
  <c r="J1976" i="1"/>
  <c r="J3500" i="1"/>
  <c r="J2586" i="1"/>
  <c r="J2773" i="1"/>
  <c r="J5531" i="1"/>
  <c r="J5434" i="1"/>
  <c r="J1994" i="1"/>
  <c r="J4528" i="1"/>
  <c r="J3493" i="1"/>
  <c r="J3250" i="1"/>
  <c r="J2501" i="1"/>
  <c r="J436" i="1"/>
  <c r="J4242" i="1"/>
  <c r="J3077" i="1"/>
  <c r="J4938" i="1"/>
  <c r="J3528" i="1"/>
  <c r="J1848" i="1"/>
  <c r="J2533" i="1"/>
  <c r="J4656" i="1"/>
  <c r="J3631" i="1"/>
  <c r="J4704" i="1"/>
  <c r="J2928" i="1"/>
  <c r="J3881" i="1"/>
  <c r="J5736" i="1"/>
  <c r="J4658" i="1"/>
  <c r="J3436" i="1"/>
  <c r="J1434" i="1"/>
  <c r="J1966" i="1"/>
  <c r="J809" i="1"/>
  <c r="J4755" i="1"/>
  <c r="J634" i="1"/>
  <c r="J3893" i="1"/>
  <c r="J5476" i="1"/>
  <c r="J2664" i="1"/>
  <c r="J2992" i="1"/>
  <c r="J993" i="1"/>
  <c r="J443" i="1"/>
  <c r="J1147" i="1"/>
  <c r="J3854" i="1"/>
  <c r="J2982" i="1"/>
  <c r="J347" i="1"/>
  <c r="J1105" i="1"/>
  <c r="J2424" i="1"/>
  <c r="J660" i="1"/>
  <c r="J2589" i="1"/>
  <c r="J2815" i="1"/>
  <c r="J4554" i="1"/>
  <c r="J2841" i="1"/>
  <c r="J2668" i="1"/>
  <c r="J3151" i="1"/>
  <c r="J5177" i="1"/>
  <c r="J4847" i="1"/>
  <c r="J5469" i="1"/>
  <c r="J4055" i="1"/>
  <c r="J765" i="1"/>
  <c r="J3786" i="1"/>
  <c r="J3400" i="1"/>
  <c r="J4470" i="1"/>
  <c r="J5319" i="1"/>
  <c r="J4443" i="1"/>
  <c r="J4748" i="1"/>
  <c r="J2345" i="1"/>
  <c r="J5488" i="1"/>
  <c r="J1345" i="1"/>
  <c r="J972" i="1"/>
  <c r="J2259" i="1"/>
  <c r="J4739" i="1"/>
  <c r="J5689" i="1"/>
  <c r="J3912" i="1"/>
  <c r="J515" i="1"/>
  <c r="J3399" i="1"/>
  <c r="J2780" i="1"/>
  <c r="J229" i="1"/>
  <c r="J3884" i="1"/>
  <c r="J4385" i="1"/>
  <c r="J4802" i="1"/>
  <c r="J131" i="1"/>
  <c r="J258" i="1"/>
  <c r="J2470" i="1"/>
  <c r="J2142" i="1"/>
  <c r="J1554" i="1"/>
  <c r="J5240" i="1"/>
  <c r="J4350" i="1"/>
  <c r="J5728" i="1"/>
  <c r="J3008" i="1"/>
  <c r="J2261" i="1"/>
  <c r="J3996" i="1"/>
  <c r="J5354" i="1"/>
  <c r="J3052" i="1"/>
  <c r="J5605" i="1"/>
  <c r="J802" i="1"/>
  <c r="J3798" i="1"/>
  <c r="J5792" i="1"/>
  <c r="J3413" i="1"/>
  <c r="J293" i="1"/>
  <c r="J1725" i="1"/>
  <c r="J5191" i="1"/>
  <c r="J2319" i="1"/>
  <c r="J803" i="1"/>
  <c r="J1278" i="1"/>
  <c r="J3796" i="1"/>
  <c r="J5922" i="1"/>
  <c r="J530" i="1"/>
  <c r="J1628" i="1"/>
  <c r="J4777" i="1"/>
  <c r="J5657" i="1"/>
  <c r="J3459" i="1"/>
  <c r="J4266" i="1"/>
  <c r="J2389" i="1"/>
  <c r="J5579" i="1"/>
  <c r="J5370" i="1"/>
  <c r="J1731" i="1"/>
  <c r="J2402" i="1"/>
  <c r="J1913" i="1"/>
  <c r="J3558" i="1"/>
  <c r="J1810" i="1"/>
  <c r="J1553" i="1"/>
  <c r="J27" i="1"/>
  <c r="J127" i="1"/>
  <c r="J2288" i="1"/>
  <c r="J1632" i="1"/>
  <c r="J2698" i="1"/>
  <c r="J5879" i="1"/>
  <c r="J3116" i="1"/>
  <c r="J2963" i="1"/>
  <c r="J4265" i="1"/>
  <c r="J3501" i="1"/>
  <c r="J1579" i="1"/>
  <c r="J1663" i="1"/>
  <c r="J4122" i="1"/>
  <c r="J3758" i="1"/>
  <c r="J4596" i="1"/>
  <c r="J1530" i="1"/>
  <c r="J5570" i="1"/>
  <c r="J3527" i="1"/>
  <c r="J5623" i="1"/>
  <c r="J1122" i="1"/>
  <c r="J3408" i="1"/>
  <c r="J4583" i="1"/>
  <c r="J4035" i="1"/>
  <c r="J1426" i="1"/>
  <c r="J4743" i="1"/>
  <c r="J3720" i="1"/>
  <c r="J2260" i="1"/>
  <c r="J2312" i="1"/>
  <c r="J365" i="1"/>
  <c r="J929" i="1"/>
  <c r="J2946" i="1"/>
  <c r="J3553" i="1"/>
  <c r="J4136" i="1"/>
  <c r="J874" i="1"/>
  <c r="J2801" i="1"/>
  <c r="J2894" i="1"/>
  <c r="J411" i="1"/>
  <c r="J2445" i="1"/>
  <c r="J1696" i="1"/>
  <c r="J12" i="1"/>
  <c r="J885" i="1"/>
  <c r="J3938" i="1"/>
  <c r="J2632" i="1"/>
  <c r="J4155" i="1"/>
  <c r="J4810" i="1"/>
  <c r="J2377" i="1"/>
  <c r="J343" i="1"/>
  <c r="J1292" i="1"/>
  <c r="J4410" i="1"/>
  <c r="J5218" i="1"/>
  <c r="J5295" i="1"/>
  <c r="J1459" i="1"/>
  <c r="J2333" i="1"/>
  <c r="J5721" i="1"/>
  <c r="J4956" i="1"/>
  <c r="J794" i="1"/>
  <c r="J1942" i="1"/>
  <c r="J2022" i="1"/>
  <c r="J5241" i="1"/>
  <c r="J5499" i="1"/>
  <c r="J4197" i="1"/>
  <c r="J5978" i="1"/>
  <c r="J333" i="1"/>
  <c r="J4270" i="1"/>
  <c r="J4572" i="1"/>
  <c r="J356" i="1"/>
  <c r="J1395" i="1"/>
  <c r="J1398" i="1"/>
  <c r="J1428" i="1"/>
  <c r="J4812" i="1"/>
  <c r="J3656" i="1"/>
  <c r="J3589" i="1"/>
  <c r="J1531" i="1"/>
  <c r="J4686" i="1"/>
  <c r="J1986" i="1"/>
  <c r="J4711" i="1"/>
  <c r="J3020" i="1"/>
  <c r="J351" i="1"/>
  <c r="J5503" i="1"/>
  <c r="J4742" i="1"/>
  <c r="J3993" i="1"/>
  <c r="J85" i="1"/>
  <c r="J1837" i="1"/>
  <c r="J4121" i="1"/>
  <c r="J3414" i="1"/>
  <c r="J300" i="1"/>
  <c r="J2865" i="1"/>
  <c r="J5094" i="1"/>
  <c r="J5679" i="1"/>
  <c r="J4503" i="1"/>
  <c r="J2983" i="1"/>
  <c r="J3516" i="1"/>
  <c r="J3433" i="1"/>
  <c r="J5502" i="1"/>
  <c r="J3530" i="1"/>
  <c r="J3523" i="1"/>
  <c r="J1851" i="1"/>
  <c r="J3840" i="1"/>
  <c r="J4896" i="1"/>
  <c r="J4737" i="1"/>
  <c r="J99" i="1"/>
  <c r="J2556" i="1"/>
  <c r="J5329" i="1"/>
  <c r="J2531" i="1"/>
  <c r="J251" i="1"/>
  <c r="J1958" i="1"/>
  <c r="J4648" i="1"/>
  <c r="J268" i="1"/>
  <c r="J5350" i="1"/>
  <c r="J2368" i="1"/>
  <c r="J1776" i="1"/>
  <c r="J4824" i="1"/>
  <c r="J4913" i="1"/>
  <c r="J1381" i="1"/>
  <c r="J3987" i="1"/>
  <c r="J5842" i="1"/>
  <c r="J47" i="1"/>
  <c r="J4916" i="1"/>
  <c r="J2985" i="1"/>
  <c r="J3437" i="1"/>
  <c r="J3218" i="1"/>
  <c r="J4616" i="1"/>
  <c r="J522" i="1"/>
  <c r="J3064" i="1"/>
  <c r="J3061" i="1"/>
  <c r="J5136" i="1"/>
  <c r="J5630" i="1"/>
  <c r="J4707" i="1"/>
  <c r="J4004" i="1"/>
  <c r="J305" i="1"/>
  <c r="J5209" i="1"/>
  <c r="J1303" i="1"/>
  <c r="J2034" i="1"/>
  <c r="J4154" i="1"/>
  <c r="J4008" i="1"/>
  <c r="J4059" i="1"/>
  <c r="J3133" i="1"/>
  <c r="J5185" i="1"/>
  <c r="J495" i="1"/>
  <c r="J4214" i="1"/>
  <c r="J591" i="1"/>
  <c r="J501" i="1"/>
  <c r="J3742" i="1"/>
  <c r="J1463" i="1"/>
  <c r="J1024" i="1"/>
  <c r="J2481" i="1"/>
  <c r="J2624" i="1"/>
  <c r="J3690" i="1"/>
  <c r="J4625" i="1"/>
  <c r="J1629" i="1"/>
  <c r="J4827" i="1"/>
  <c r="J2762" i="1"/>
  <c r="J2683" i="1"/>
  <c r="J4702" i="1"/>
  <c r="J185" i="1"/>
  <c r="J1524" i="1"/>
  <c r="J3275" i="1"/>
  <c r="J4336" i="1"/>
  <c r="J2144" i="1"/>
  <c r="J3416" i="1"/>
  <c r="J1132" i="1"/>
  <c r="J4297" i="1"/>
  <c r="J5455" i="1"/>
  <c r="J3659" i="1"/>
  <c r="J2194" i="1"/>
  <c r="J1289" i="1"/>
  <c r="J4007" i="1"/>
  <c r="J2046" i="1"/>
  <c r="J2818" i="1"/>
  <c r="J2117" i="1"/>
  <c r="J5208" i="1"/>
  <c r="J561" i="1"/>
  <c r="J439" i="1"/>
  <c r="J5711" i="1"/>
  <c r="J2386" i="1"/>
  <c r="J3668" i="1"/>
  <c r="J719" i="1"/>
  <c r="J3283" i="1"/>
  <c r="J3059" i="1"/>
  <c r="J4920" i="1"/>
  <c r="J5683" i="1"/>
  <c r="J2838" i="1"/>
  <c r="J3216" i="1"/>
  <c r="J399" i="1"/>
  <c r="J523" i="1"/>
  <c r="J1302" i="1"/>
  <c r="J1347" i="1"/>
  <c r="J2174" i="1"/>
  <c r="J5271" i="1"/>
  <c r="J521" i="1"/>
  <c r="J3230" i="1"/>
  <c r="J1677" i="1"/>
  <c r="J2169" i="1"/>
  <c r="J4533" i="1"/>
  <c r="J1415" i="1"/>
  <c r="J4018" i="1"/>
  <c r="J1290" i="1"/>
  <c r="J4112" i="1"/>
  <c r="J5048" i="1"/>
  <c r="J1014" i="1"/>
  <c r="J4892" i="1"/>
  <c r="J4057" i="1"/>
  <c r="J5414" i="1"/>
  <c r="J5814" i="1"/>
  <c r="J3573" i="1"/>
  <c r="J3849" i="1"/>
  <c r="J37" i="1"/>
  <c r="J4467" i="1"/>
  <c r="J619" i="1"/>
  <c r="J3274" i="1"/>
  <c r="J2353" i="1"/>
  <c r="J1348" i="1"/>
  <c r="J4499" i="1"/>
  <c r="J2167" i="1"/>
  <c r="J2042" i="1"/>
  <c r="J1369" i="1"/>
  <c r="J736" i="1"/>
  <c r="J5351" i="1"/>
  <c r="J2617" i="1"/>
  <c r="J3453" i="1"/>
  <c r="J3158" i="1"/>
  <c r="J1949" i="1"/>
  <c r="J2660" i="1"/>
  <c r="J5902" i="1"/>
  <c r="J3358" i="1"/>
  <c r="J2082" i="1"/>
  <c r="J1097" i="1"/>
  <c r="J3812" i="1"/>
  <c r="J5934" i="1"/>
  <c r="J46" i="1"/>
  <c r="J1349" i="1"/>
  <c r="J635" i="1"/>
  <c r="J1596" i="1"/>
  <c r="J5694" i="1"/>
  <c r="J4940" i="1"/>
  <c r="J3515" i="1"/>
  <c r="J4143" i="1"/>
  <c r="J256" i="1"/>
  <c r="J2151" i="1"/>
  <c r="J412" i="1"/>
  <c r="J1749" i="1"/>
  <c r="J2340" i="1"/>
  <c r="J4098" i="1"/>
  <c r="J682" i="1"/>
  <c r="J2728" i="1"/>
  <c r="J2204" i="1"/>
  <c r="J4077" i="1"/>
  <c r="J5591" i="1"/>
  <c r="J4387" i="1"/>
  <c r="J3833" i="1"/>
  <c r="J2621" i="1"/>
  <c r="J1634" i="1"/>
  <c r="J4196" i="1"/>
  <c r="J5065" i="1"/>
  <c r="J4833" i="1"/>
  <c r="J824" i="1"/>
  <c r="J4602" i="1"/>
  <c r="J4294" i="1"/>
  <c r="J2379" i="1"/>
  <c r="J4977" i="1"/>
  <c r="J56" i="1"/>
  <c r="J4174" i="1"/>
  <c r="J5199" i="1"/>
  <c r="J1774" i="1"/>
  <c r="J5307" i="1"/>
  <c r="J5115" i="1"/>
  <c r="J3222" i="1"/>
  <c r="J1001" i="1"/>
  <c r="J1325" i="1"/>
  <c r="J420" i="1"/>
  <c r="J5562" i="1"/>
  <c r="J1394" i="1"/>
  <c r="J4436" i="1"/>
  <c r="J5253" i="1"/>
  <c r="J3784" i="1"/>
  <c r="J1411" i="1"/>
  <c r="J4212" i="1"/>
  <c r="J4922" i="1"/>
  <c r="J3043" i="1"/>
  <c r="J1368" i="1"/>
  <c r="J2789" i="1"/>
  <c r="J4863" i="1"/>
  <c r="J1067" i="1"/>
  <c r="J2559" i="1"/>
  <c r="J1484" i="1"/>
  <c r="J1644" i="1"/>
  <c r="J287" i="1"/>
  <c r="J916" i="1"/>
  <c r="J4872" i="1"/>
  <c r="J912" i="1"/>
  <c r="J4459" i="1"/>
  <c r="J5155" i="1"/>
  <c r="J278" i="1"/>
  <c r="J2613" i="1"/>
  <c r="J3613" i="1"/>
  <c r="J3502" i="1"/>
  <c r="J5302" i="1"/>
  <c r="J620" i="1"/>
  <c r="J4749" i="1"/>
  <c r="J3780" i="1"/>
  <c r="J2241" i="1"/>
  <c r="J212" i="1"/>
  <c r="J4961" i="1"/>
  <c r="J1365" i="1"/>
  <c r="J2931" i="1"/>
  <c r="J1010" i="1"/>
  <c r="J154" i="1"/>
  <c r="J3857" i="1"/>
  <c r="J4735" i="1"/>
  <c r="J3183" i="1"/>
  <c r="J3896" i="1"/>
  <c r="J469" i="1"/>
  <c r="J4641" i="1"/>
  <c r="J3334" i="1"/>
  <c r="J927" i="1"/>
  <c r="J2623" i="1"/>
  <c r="J2245" i="1"/>
  <c r="J1054" i="1"/>
  <c r="J2515" i="1"/>
  <c r="J3144" i="1"/>
  <c r="J2930" i="1"/>
  <c r="J2271" i="1"/>
  <c r="J408" i="1"/>
  <c r="J2648" i="1"/>
  <c r="J1396" i="1"/>
  <c r="J1664" i="1"/>
  <c r="J2781" i="1"/>
  <c r="J4895" i="1"/>
  <c r="J5126" i="1"/>
  <c r="J4482" i="1"/>
  <c r="J2229" i="1"/>
  <c r="J5524" i="1"/>
  <c r="J2058" i="1"/>
  <c r="J1675" i="1"/>
  <c r="J772" i="1"/>
  <c r="J1209" i="1"/>
  <c r="J4678" i="1"/>
  <c r="J1073" i="1"/>
  <c r="J656" i="1"/>
  <c r="J664" i="1"/>
  <c r="J2509" i="1"/>
  <c r="J3197" i="1"/>
  <c r="J3941" i="1"/>
  <c r="J932" i="1"/>
  <c r="J3686" i="1"/>
  <c r="J2612" i="1"/>
  <c r="J4425" i="1"/>
  <c r="J1621" i="1"/>
  <c r="J2986" i="1"/>
  <c r="J2694" i="1"/>
  <c r="J4001" i="1"/>
  <c r="J2315" i="1"/>
  <c r="J4732" i="1"/>
  <c r="J5033" i="1"/>
  <c r="J979" i="1"/>
  <c r="J3793" i="1"/>
  <c r="J670" i="1"/>
  <c r="J3224" i="1"/>
  <c r="J1681" i="1"/>
  <c r="J4452" i="1"/>
  <c r="J2027" i="1"/>
  <c r="J599" i="1"/>
  <c r="J4415" i="1"/>
  <c r="J1314" i="1"/>
  <c r="J3778" i="1"/>
  <c r="J1015" i="1"/>
  <c r="J5897" i="1"/>
  <c r="J2520" i="1"/>
  <c r="J417" i="1"/>
  <c r="J337" i="1"/>
  <c r="J1089" i="1"/>
  <c r="J716" i="1"/>
  <c r="J4689" i="1"/>
  <c r="J584" i="1"/>
  <c r="J111" i="1"/>
  <c r="J1266" i="1"/>
  <c r="J390" i="1"/>
  <c r="J5961" i="1"/>
  <c r="J947" i="1"/>
  <c r="J3512" i="1"/>
  <c r="J395" i="1"/>
  <c r="J2087" i="1"/>
  <c r="J939" i="1"/>
  <c r="J1346" i="1"/>
  <c r="J5836" i="1"/>
  <c r="J5915" i="1"/>
  <c r="J882" i="1"/>
  <c r="J4403" i="1"/>
  <c r="J1310" i="1"/>
  <c r="J5369" i="1"/>
  <c r="J2532" i="1"/>
  <c r="J1998" i="1"/>
  <c r="J5495" i="1"/>
  <c r="J3800" i="1"/>
  <c r="J4659" i="1"/>
  <c r="J961" i="1"/>
  <c r="J4329" i="1"/>
  <c r="J671" i="1"/>
  <c r="J3797" i="1"/>
  <c r="J4965" i="1"/>
  <c r="J1491" i="1"/>
  <c r="J1880" i="1"/>
  <c r="J4738" i="1"/>
  <c r="J1758" i="1"/>
  <c r="J1464" i="1"/>
  <c r="J3496" i="1"/>
  <c r="J1495" i="1"/>
  <c r="J2521" i="1"/>
  <c r="J3821" i="1"/>
  <c r="J5856" i="1"/>
  <c r="J3049" i="1"/>
  <c r="J604" i="1"/>
  <c r="J1895" i="1"/>
  <c r="J2671" i="1"/>
  <c r="J5989" i="1"/>
  <c r="J1487" i="1"/>
  <c r="J2735" i="1"/>
  <c r="J241" i="1"/>
  <c r="J4670" i="1"/>
  <c r="J3642" i="1"/>
  <c r="J2359" i="1"/>
  <c r="J327" i="1"/>
  <c r="J4039" i="1"/>
  <c r="J3699" i="1"/>
  <c r="J2784" i="1"/>
  <c r="J5908" i="1"/>
  <c r="J5117" i="1"/>
  <c r="J2335" i="1"/>
  <c r="J1782" i="1"/>
  <c r="J2076" i="1"/>
  <c r="J5082" i="1"/>
  <c r="J2552" i="1"/>
  <c r="J5561" i="1"/>
  <c r="J3048" i="1"/>
  <c r="J836" i="1"/>
  <c r="J4160" i="1"/>
  <c r="J150" i="1"/>
  <c r="J846" i="1"/>
  <c r="J5181" i="1"/>
  <c r="J1925" i="1"/>
  <c r="J5276" i="1"/>
  <c r="J611" i="1"/>
  <c r="J3141" i="1"/>
  <c r="J5860" i="1"/>
  <c r="J105" i="1"/>
  <c r="J1483" i="1"/>
  <c r="J4882" i="1"/>
  <c r="J747" i="1"/>
  <c r="J5599" i="1"/>
  <c r="J1335" i="1"/>
  <c r="J4398" i="1"/>
  <c r="J2024" i="1"/>
  <c r="J5998" i="1"/>
  <c r="J1706" i="1"/>
  <c r="J4720" i="1"/>
  <c r="J5821" i="1"/>
  <c r="J4332" i="1"/>
  <c r="J1572" i="1"/>
  <c r="J5158" i="1"/>
  <c r="J4363" i="1"/>
  <c r="J5808" i="1"/>
  <c r="J1610" i="1"/>
  <c r="J5676" i="1"/>
  <c r="J4317" i="1"/>
  <c r="J5043" i="1"/>
  <c r="J3900" i="1"/>
  <c r="J430" i="1"/>
  <c r="J1418" i="1"/>
  <c r="J5868" i="1"/>
  <c r="J3703" i="1"/>
  <c r="J5146" i="1"/>
  <c r="J2973" i="1"/>
  <c r="J5003" i="1"/>
  <c r="J799" i="1"/>
  <c r="J4537" i="1"/>
  <c r="J5470" i="1"/>
  <c r="J2583" i="1"/>
  <c r="J475" i="1"/>
  <c r="J4205" i="1"/>
  <c r="J2962" i="1"/>
  <c r="J1655" i="1"/>
  <c r="J1098" i="1"/>
  <c r="J5976" i="1"/>
  <c r="J4442" i="1"/>
  <c r="J2979" i="1"/>
  <c r="J5973" i="1"/>
  <c r="J2987" i="1"/>
  <c r="J1353" i="1"/>
  <c r="J3546" i="1"/>
  <c r="J1000" i="1"/>
  <c r="J2145" i="1"/>
  <c r="J4195" i="1"/>
  <c r="J779" i="1"/>
  <c r="J4033" i="1"/>
  <c r="J1019" i="1"/>
  <c r="J3818" i="1"/>
  <c r="J1439" i="1"/>
  <c r="J5719" i="1"/>
  <c r="J5607" i="1"/>
  <c r="J4751" i="1"/>
  <c r="J5975" i="1"/>
  <c r="J5824" i="1"/>
  <c r="J3999" i="1"/>
  <c r="J4445" i="1"/>
  <c r="J5478" i="1"/>
  <c r="J5772" i="1"/>
  <c r="J5885" i="1"/>
  <c r="J5071" i="1"/>
  <c r="J4357" i="1"/>
  <c r="J2575" i="1"/>
  <c r="J5816" i="1"/>
  <c r="J1120" i="1"/>
  <c r="J3873" i="1"/>
  <c r="J2582" i="1"/>
  <c r="J5546" i="1"/>
  <c r="J1593" i="1"/>
  <c r="J5629" i="1"/>
  <c r="J5986" i="1"/>
  <c r="J3508" i="1"/>
  <c r="J3928" i="1"/>
  <c r="J706" i="1"/>
  <c r="J2473" i="1"/>
  <c r="J4147" i="1"/>
  <c r="J2483" i="1"/>
  <c r="J292" i="1"/>
  <c r="J5169" i="1"/>
  <c r="J4333" i="1"/>
  <c r="J95" i="1"/>
  <c r="J3980" i="1"/>
  <c r="J3836" i="1"/>
  <c r="J2968" i="1"/>
  <c r="J5704" i="1"/>
  <c r="J5172" i="1"/>
  <c r="J4261" i="1"/>
  <c r="J5348" i="1"/>
  <c r="J1139" i="1"/>
  <c r="J1737" i="1"/>
  <c r="J717" i="1"/>
  <c r="J2782" i="1"/>
  <c r="J1496" i="1"/>
  <c r="J5283" i="1"/>
  <c r="J2028" i="1"/>
  <c r="J5593" i="1"/>
  <c r="J4247" i="1"/>
  <c r="J4210" i="1"/>
  <c r="J252" i="1"/>
  <c r="J2819" i="1"/>
  <c r="J1690" i="1"/>
  <c r="J4578" i="1"/>
  <c r="J288" i="1"/>
  <c r="J3950" i="1"/>
  <c r="J2063" i="1"/>
  <c r="J2974" i="1"/>
  <c r="J805" i="1"/>
  <c r="J570" i="1"/>
  <c r="J362" i="1"/>
  <c r="J1703" i="1"/>
  <c r="J5403" i="1"/>
  <c r="J2069" i="1"/>
  <c r="J2217" i="1"/>
  <c r="J5378" i="1"/>
  <c r="J4645" i="1"/>
  <c r="J1710" i="1"/>
  <c r="J533" i="1"/>
  <c r="J1965" i="1"/>
  <c r="J304" i="1"/>
  <c r="J5339" i="1"/>
  <c r="J2733" i="1"/>
  <c r="J4823" i="1"/>
  <c r="J1440" i="1"/>
  <c r="J1918" i="1"/>
  <c r="J5362" i="1"/>
  <c r="J4797" i="1"/>
  <c r="J3740" i="1"/>
  <c r="J1643" i="1"/>
  <c r="J1057" i="1"/>
  <c r="J2512" i="1"/>
  <c r="J3130" i="1"/>
  <c r="J5347" i="1"/>
  <c r="J5451" i="1"/>
  <c r="J5416" i="1"/>
  <c r="J4338" i="1"/>
  <c r="J5315" i="1"/>
  <c r="J3536" i="1"/>
  <c r="J2404" i="1"/>
  <c r="J3658" i="1"/>
  <c r="J5363" i="1"/>
  <c r="J3247" i="1"/>
  <c r="J2153" i="1"/>
  <c r="J3776" i="1"/>
  <c r="J636" i="1"/>
  <c r="J2336" i="1"/>
  <c r="J5493" i="1"/>
  <c r="J2910" i="1"/>
  <c r="J3895" i="1"/>
  <c r="J3719" i="1"/>
  <c r="J221" i="1"/>
  <c r="J5799" i="1"/>
  <c r="J5328" i="1"/>
  <c r="J1781" i="1"/>
  <c r="J1653" i="1"/>
  <c r="J5330" i="1"/>
  <c r="J595" i="1"/>
  <c r="J2405" i="1"/>
  <c r="J2396" i="1"/>
  <c r="J4301" i="1"/>
  <c r="J1742" i="1"/>
  <c r="J3340" i="1"/>
  <c r="J2553" i="1"/>
  <c r="J308" i="1"/>
  <c r="J5316" i="1"/>
  <c r="J4899" i="1"/>
  <c r="J5101" i="1"/>
  <c r="J5723" i="1"/>
  <c r="J997" i="1"/>
  <c r="J2966" i="1"/>
  <c r="J4638" i="1"/>
  <c r="J3306" i="1"/>
  <c r="J5652" i="1"/>
  <c r="J5198" i="1"/>
  <c r="J1890" i="1"/>
  <c r="J4626" i="1"/>
  <c r="J654" i="1"/>
  <c r="J2929" i="1"/>
  <c r="J261" i="1"/>
  <c r="J807" i="1"/>
</calcChain>
</file>

<file path=xl/sharedStrings.xml><?xml version="1.0" encoding="utf-8"?>
<sst xmlns="http://schemas.openxmlformats.org/spreadsheetml/2006/main" count="72802" uniqueCount="32810">
  <si>
    <t>titles</t>
  </si>
  <si>
    <t>study_types</t>
  </si>
  <si>
    <t>dates</t>
  </si>
  <si>
    <t>ids</t>
  </si>
  <si>
    <t>conditions</t>
  </si>
  <si>
    <t>General_descriptors</t>
  </si>
  <si>
    <t>names</t>
  </si>
  <si>
    <t>cities</t>
  </si>
  <si>
    <t>countries</t>
  </si>
  <si>
    <t>phones</t>
  </si>
  <si>
    <t>emails</t>
  </si>
  <si>
    <t>institutions</t>
  </si>
  <si>
    <t>Clinical assessment of gynecological acceptability and subjective perceived efficacy under normal conditions of use for vaginal moisture restorative moisturizer HG22</t>
  </si>
  <si>
    <t>Interventional</t>
  </si>
  <si>
    <t>U1111-1285-3834</t>
  </si>
  <si>
    <t>Noninflammatory disorder of vagina,unspecified</t>
  </si>
  <si>
    <t>Other inflammatory conditions of the vagina and vulva</t>
  </si>
  <si>
    <t>Ana Lucia Tabarini Alves Pinheiro</t>
  </si>
  <si>
    <t>Campinas</t>
  </si>
  <si>
    <t>Brazil</t>
  </si>
  <si>
    <t>+55(19)99829-3482</t>
  </si>
  <si>
    <t>ks@kosmoscience.com</t>
  </si>
  <si>
    <t>Kosmoscience Ciência e Tecnologia Cos Imp Exp Ltda</t>
  </si>
  <si>
    <t>Impact of different educational strategies for teaching empathy to medical students: a randomized controlled trial in education</t>
  </si>
  <si>
    <t>U1111-1286-8331</t>
  </si>
  <si>
    <t>Empathy</t>
  </si>
  <si>
    <t>Behavior and Behavior Mechanisms</t>
  </si>
  <si>
    <t>Diego Junqueira Sarkis</t>
  </si>
  <si>
    <t>Juiz de Fora</t>
  </si>
  <si>
    <t>djsarkis13@gmail.com</t>
  </si>
  <si>
    <t>Faculdade de Medicina da Universidade Federal de Juiz de Fora</t>
  </si>
  <si>
    <t>Effects of Active-Fascial Stretching via telehealth in community-dwelling Older Adults</t>
  </si>
  <si>
    <t>U1111-1286-5805</t>
  </si>
  <si>
    <t>Sarcopenia</t>
  </si>
  <si>
    <t>Aged</t>
  </si>
  <si>
    <t>Angélica Castilho Alonso</t>
  </si>
  <si>
    <t>São Paulo</t>
  </si>
  <si>
    <t>+55(11)27991677</t>
  </si>
  <si>
    <t>angelicacastilho@msn.com</t>
  </si>
  <si>
    <t>Universidade São Judas Tadeu</t>
  </si>
  <si>
    <t>Effect of an Educational Intervention on the type 1 Diabetes Mellitus adolescents self-efficiency</t>
  </si>
  <si>
    <t>U1111-1287-0769</t>
  </si>
  <si>
    <t>Diabetes Mellitus type 1</t>
  </si>
  <si>
    <t>Chronic Disease</t>
  </si>
  <si>
    <t>Laura Martins Mendes Cavaleiro Brito</t>
  </si>
  <si>
    <t>Fortaleza</t>
  </si>
  <si>
    <t>+55(85)988909876</t>
  </si>
  <si>
    <t>laura_cavaleiro@hotmail.com</t>
  </si>
  <si>
    <t>Universidade Estadual do Ceará</t>
  </si>
  <si>
    <t>Effectiveness of Cryotherapy on function pain intensity swelling dorsiflexion range of motion in Acute Ankle Sprain: a randomized controlled trial - the frost study</t>
  </si>
  <si>
    <t>U1111-1285-1877</t>
  </si>
  <si>
    <t>Dislocation,sprain and strain of joints and ligaments at ankle and foot level</t>
  </si>
  <si>
    <t>Júlio  Miranda</t>
  </si>
  <si>
    <t>Diamantina</t>
  </si>
  <si>
    <t>+55 (38) 3532-1239</t>
  </si>
  <si>
    <t>julio.miranda@ufvjm.edu.br</t>
  </si>
  <si>
    <t>Universidade Federal dos Vales do Jequitinhonha e Mucuri</t>
  </si>
  <si>
    <t>Diseases of the musculoskeletal system and connective tissue</t>
  </si>
  <si>
    <t>Rhytidectomy with and without SMAS plicature in post-bariatric surgery patients</t>
  </si>
  <si>
    <t>U1111-1287-4602</t>
  </si>
  <si>
    <t>Skin Aging</t>
  </si>
  <si>
    <t>Bariatric Surgery</t>
  </si>
  <si>
    <t>Paulo Cesar Greimel de Paiva Filho</t>
  </si>
  <si>
    <t>+55(11)970592753</t>
  </si>
  <si>
    <t>greimel.paulo@gmail.com</t>
  </si>
  <si>
    <t>Escola Paulista de Medicina</t>
  </si>
  <si>
    <t>Salivary fluoride bioavailability after the use of fluoride varnishes</t>
  </si>
  <si>
    <t>U1111-1286-6593</t>
  </si>
  <si>
    <t>Fluoride</t>
  </si>
  <si>
    <t>Bioavailability</t>
  </si>
  <si>
    <t>Keylla Maria de Sá Urtiga  Aita</t>
  </si>
  <si>
    <t>Teresina</t>
  </si>
  <si>
    <t>(86) 3215-5564</t>
  </si>
  <si>
    <t>pesquisa@ufpi.edu.br</t>
  </si>
  <si>
    <t>Universidade Federal do Piauí</t>
  </si>
  <si>
    <t>Impact assessment of a skin injury prevention protocol on the clinical outcomes of critical care unit patients</t>
  </si>
  <si>
    <t>U1111-1287-8275</t>
  </si>
  <si>
    <t>Critical care</t>
  </si>
  <si>
    <t>Pressure ulcer</t>
  </si>
  <si>
    <t>Eduesley Santana Santos</t>
  </si>
  <si>
    <t>Sao Cristovao</t>
  </si>
  <si>
    <t>ppgen@academico.ufs.br</t>
  </si>
  <si>
    <t>Universidade Federal de Sergipe</t>
  </si>
  <si>
    <t>A phase IIrandomized double-blind placebo-controlled clinical study to evaluate the effectiveness safety and tolerability of the Extract of the Pericarp of Passiflora edulis in the glycemic control of type 1 Diabetes Mellitus</t>
  </si>
  <si>
    <t>U1111-1285-1818</t>
  </si>
  <si>
    <t>Diabetes Mellitus,Type 1</t>
  </si>
  <si>
    <t>Metabolic Diseases</t>
  </si>
  <si>
    <t>Rand Randall Martins</t>
  </si>
  <si>
    <t>Natal</t>
  </si>
  <si>
    <t>55(84)33429824</t>
  </si>
  <si>
    <t>randrandall@gmail.com</t>
  </si>
  <si>
    <t>Universidade Federal do Rio Grande do Norte</t>
  </si>
  <si>
    <t>Development of a Device for Performing Biopsy Video-Assisted Liver</t>
  </si>
  <si>
    <t>U1111-1278-1069</t>
  </si>
  <si>
    <t>Liver Cirrhosis</t>
  </si>
  <si>
    <t>Liver</t>
  </si>
  <si>
    <t>Alexandre Mano</t>
  </si>
  <si>
    <t>+55 (85) 3366-8044</t>
  </si>
  <si>
    <t>hermano@ufc.br</t>
  </si>
  <si>
    <t>IPADE - Instituto para o Desenvolvimento da Educação Ltda</t>
  </si>
  <si>
    <t>Growth differentiation factor-15 in Assessment of Prognosis of patients with Atrial Fibrillation (GAP-AF Study)</t>
  </si>
  <si>
    <t>Observational</t>
  </si>
  <si>
    <t>U1111-1286-6984</t>
  </si>
  <si>
    <t>Atrial Fibrillation</t>
  </si>
  <si>
    <t>Angelo Michele di Candia</t>
  </si>
  <si>
    <t>Niterói</t>
  </si>
  <si>
    <t>55(21)26299328</t>
  </si>
  <si>
    <t>poscardiovascularuff@gmail.com</t>
  </si>
  <si>
    <t>Universidade Federal Fluminense</t>
  </si>
  <si>
    <t>Functional Training Immunosenescence and Functionality of older women</t>
  </si>
  <si>
    <t>U1111-1286-5721</t>
  </si>
  <si>
    <t>Obesity,Diabetes Mellitus,Hypertension,Hypercholesterolemia</t>
  </si>
  <si>
    <t>Immunosenescence</t>
  </si>
  <si>
    <t>Francisco de Assis Pereira</t>
  </si>
  <si>
    <t>Aracaju</t>
  </si>
  <si>
    <t>+55 (79) 3194-7208</t>
  </si>
  <si>
    <t>cep@academico.ufs.br</t>
  </si>
  <si>
    <t>Endocrine,nutritional and metabolic diseases</t>
  </si>
  <si>
    <t>Effectiveness of techniques for insertion of nasoenteral probe in critical patients: randomized clinical trial</t>
  </si>
  <si>
    <t>02/17/2022</t>
  </si>
  <si>
    <t>U1111-1269-8189</t>
  </si>
  <si>
    <t>Protein-Energy Malnutrition</t>
  </si>
  <si>
    <t>Deglutition Disorders</t>
  </si>
  <si>
    <t>Rodrigo Assis Neves Dantas</t>
  </si>
  <si>
    <t>rodrigoenf@yahoo.com.br</t>
  </si>
  <si>
    <t>Hospital Dr. José Pedro Bezerra</t>
  </si>
  <si>
    <t>Clinical assessment of gynecological acceptability and subjective perceived efficacy under Normal conditions of use for Vaginal Moisture Restorative Moisturizer HB22</t>
  </si>
  <si>
    <t>05/21/2020</t>
  </si>
  <si>
    <t>Other specified noninflammatory disorders of vagina</t>
  </si>
  <si>
    <t>Diseases of the genitourinary system</t>
  </si>
  <si>
    <t>Marcelo Álvaro Oliveira</t>
  </si>
  <si>
    <t>Caruaru</t>
  </si>
  <si>
    <t>+55 (81) 3722-1333</t>
  </si>
  <si>
    <t>marcelo.alvaro@hebron.com.br</t>
  </si>
  <si>
    <t>INFAN - Indústria Química e Farmacêutica Nacional</t>
  </si>
  <si>
    <t>Vaccination against Hepatitis B in Chronic Kidneys before or after Hemodialytic treatment:Randomized Clinical Trial</t>
  </si>
  <si>
    <t>01/31/2023</t>
  </si>
  <si>
    <t>U1111-1287-2116</t>
  </si>
  <si>
    <t>Hypertensive kidney disease with kidney failure</t>
  </si>
  <si>
    <t>Kidney Diseases</t>
  </si>
  <si>
    <t>Laís  Miranda Crispim Costa</t>
  </si>
  <si>
    <t>Maceió</t>
  </si>
  <si>
    <t>55(82)32141171</t>
  </si>
  <si>
    <t>sec.mestrado.enfermagem@gmail.com</t>
  </si>
  <si>
    <t>Programa de Pós Graduação em Enfermagem</t>
  </si>
  <si>
    <t>Post-Covid impact on functionality and well-being</t>
  </si>
  <si>
    <t>U1111-1150-0031</t>
  </si>
  <si>
    <t>COVID-19</t>
  </si>
  <si>
    <t>Coronavirus Infections</t>
  </si>
  <si>
    <t>Marília Lira da Silveira Coelho</t>
  </si>
  <si>
    <t>Sao Paulo</t>
  </si>
  <si>
    <t>+55(11) 2366-7317</t>
  </si>
  <si>
    <t>marilialira.coelho@mackenzie.br</t>
  </si>
  <si>
    <t>Universidade Presbiteriana Mackenzie</t>
  </si>
  <si>
    <t>Coronavirus infections</t>
  </si>
  <si>
    <t>Behavioral profile of patients with Central Sensitization after Biopsychosocial Treatment</t>
  </si>
  <si>
    <t>U1111-1286-0705</t>
  </si>
  <si>
    <t>Low back pain</t>
  </si>
  <si>
    <t>Central Nervous System Sensitization</t>
  </si>
  <si>
    <t>+55(79)3194 - 7208</t>
  </si>
  <si>
    <t>Pain</t>
  </si>
  <si>
    <t>Bioavailability of salivary fluoride after brushing with high-fluoride dentifrice</t>
  </si>
  <si>
    <t>U1111-1284-8669</t>
  </si>
  <si>
    <t>Area under the curve</t>
  </si>
  <si>
    <t>Clinical and laboratory evaluation of the association of the Ozone to Hydrogen Peroxide in office Bleaching treatments</t>
  </si>
  <si>
    <t>01/30/2023</t>
  </si>
  <si>
    <t>U1111-1283-7710</t>
  </si>
  <si>
    <t>Stained Dental Enamel</t>
  </si>
  <si>
    <t>Dental Diseases</t>
  </si>
  <si>
    <t>Vanessa de Faria</t>
  </si>
  <si>
    <t>São José dos Campos</t>
  </si>
  <si>
    <t>+55(12)981565157</t>
  </si>
  <si>
    <t>vanessa.faria@unesp.br</t>
  </si>
  <si>
    <t>Instituto de Ciência e Tecnologia de São José dos Campos (ICT) - Unesp</t>
  </si>
  <si>
    <t>Postprandial triglyceride and cardiovascular risk</t>
  </si>
  <si>
    <t>U1111-1263-1627</t>
  </si>
  <si>
    <t>Hypertriglyceridemia</t>
  </si>
  <si>
    <t>Dyslipidemias</t>
  </si>
  <si>
    <t>Caroline Fernandes dos Santos Bottino</t>
  </si>
  <si>
    <t>Nova Friburgo</t>
  </si>
  <si>
    <t>+55 22 996072566</t>
  </si>
  <si>
    <t>cf_santos@id.uff.br</t>
  </si>
  <si>
    <t>Universidade Federal Fluminense - Instituto de Saúde de Nova Friburgo</t>
  </si>
  <si>
    <t>Comparison between Instrumental Myofascial Release Devices in relieving delayed muscle pain in runners</t>
  </si>
  <si>
    <t>U1111-1283-4616</t>
  </si>
  <si>
    <t>Myofascial Pain Syndromes</t>
  </si>
  <si>
    <t>Musculoskeletal Pain</t>
  </si>
  <si>
    <t>Rodrigo Pimentel da Silveira</t>
  </si>
  <si>
    <t>+55 (79) 999772156</t>
  </si>
  <si>
    <t>ropimenteldasilveira@gmail.com</t>
  </si>
  <si>
    <t>Effects of a Case Management Program based on fall Prevention in elderly people who fall: a randomized clinical trial</t>
  </si>
  <si>
    <t>09/25/2020</t>
  </si>
  <si>
    <t>U1111-1255-3479</t>
  </si>
  <si>
    <t>Accidents</t>
  </si>
  <si>
    <t>Karina  Gramani Say</t>
  </si>
  <si>
    <t>São Carlos</t>
  </si>
  <si>
    <t>gramanisay@ufscar.br</t>
  </si>
  <si>
    <t>Universidade Federal de São Carlos</t>
  </si>
  <si>
    <t>Training of the muscles of the Pelvic Floor for the treatment of Stress Urinary incontinence in the modality of teleconsultation and telemonitoring</t>
  </si>
  <si>
    <t>01/25/2023</t>
  </si>
  <si>
    <t>U1111-1281-6621</t>
  </si>
  <si>
    <t>Urinary Incontinence</t>
  </si>
  <si>
    <t>Female Urogenital Diseases</t>
  </si>
  <si>
    <t>Fátima Faní Fitz</t>
  </si>
  <si>
    <t>+55 (11) 999651084</t>
  </si>
  <si>
    <t>fanifitz@yahoo.com.br</t>
  </si>
  <si>
    <t>Centro Universitário São Camilo</t>
  </si>
  <si>
    <t>Treatment of non-motor symptoms of Parkinsons disease with purified extract of Cannabis sativa</t>
  </si>
  <si>
    <t>U1111-1282-8127</t>
  </si>
  <si>
    <t>Parkinsons Disease</t>
  </si>
  <si>
    <t>Chronic Pain</t>
  </si>
  <si>
    <t>Pathological Conditions,Signs and Symptoms</t>
  </si>
  <si>
    <t>Mateus Deltreggia</t>
  </si>
  <si>
    <t>+55 (15) 3232-3311</t>
  </si>
  <si>
    <t>mateus_del@hotmail.com</t>
  </si>
  <si>
    <t>Hospital da Clínicas da Faculdade de Medicina da Universidade de São Paulo</t>
  </si>
  <si>
    <t>Aerobic Exercise effects on cognitive and cerebrovascular functions on patients with Parkinson Disease</t>
  </si>
  <si>
    <t>U1111-1285-6607</t>
  </si>
  <si>
    <t>Parkinson Disease</t>
  </si>
  <si>
    <t>Central Nervous System Diseases</t>
  </si>
  <si>
    <t>Raphael Mendes Ritti-Dias</t>
  </si>
  <si>
    <t>+55 019 999406878</t>
  </si>
  <si>
    <t>raphaelritti@gmail.com</t>
  </si>
  <si>
    <t>Universidade Nove de Julho</t>
  </si>
  <si>
    <t>Diseases of the nervous system</t>
  </si>
  <si>
    <t>Protocol of Therapeutic Exercises during hospital admission in pediatric Oncohematological patients: a randomized trial</t>
  </si>
  <si>
    <t>U1111-1282-1735</t>
  </si>
  <si>
    <t>Neoplasm</t>
  </si>
  <si>
    <t>Cintia Freire Carniel</t>
  </si>
  <si>
    <t>Santo André</t>
  </si>
  <si>
    <t>+55(11)49935400</t>
  </si>
  <si>
    <t>cep@fmabc.br</t>
  </si>
  <si>
    <t>Centro Universitário Faculdade de Medicina do ABC</t>
  </si>
  <si>
    <t>Evaluation of vaginal microbiota and sexual function after Microablative Fractional Radiofrequency for the Genitourinary Syndrome of Menopause in Breast Cancer suvivors</t>
  </si>
  <si>
    <t>01/24/2023</t>
  </si>
  <si>
    <t>U1111-1212-5960</t>
  </si>
  <si>
    <t>Breast Neoplasms</t>
  </si>
  <si>
    <t>Sexual Dysfunction,Physiological</t>
  </si>
  <si>
    <t>Atrophic Vaginitis</t>
  </si>
  <si>
    <t>Nicoli Serquiz Azevedo</t>
  </si>
  <si>
    <t>+55(84)991936200</t>
  </si>
  <si>
    <t>nicoli.serquiz@ufrn.br</t>
  </si>
  <si>
    <t>Univesidade Federal do Rio Grande do Norte</t>
  </si>
  <si>
    <t>Evaluation of Methylprednisone use in patients with Acute Respiratory Syndrome by COVID-19</t>
  </si>
  <si>
    <t>U1111-1280-9317</t>
  </si>
  <si>
    <t>Respiratory Distress Syndrome</t>
  </si>
  <si>
    <t>Ederlon Alves de Carvalho Rezende</t>
  </si>
  <si>
    <t>+55 (11)99979-9819</t>
  </si>
  <si>
    <t>eacrezende@gmail.com</t>
  </si>
  <si>
    <t>Instituto de Assistência Médica ao Servidor Público Estadual de São Paulo</t>
  </si>
  <si>
    <t>The effect of different Ethylene-Vinyl Acetate (EVA) brands for applied for Custom-Fitted Mouthguards on the Preference and Wearability during sports practice: A randomized crossover clinical study</t>
  </si>
  <si>
    <t>U1111-1286-7750</t>
  </si>
  <si>
    <t>Dental injuries</t>
  </si>
  <si>
    <t>Wounds and Injuries</t>
  </si>
  <si>
    <t>Crisnicaw  Veríssimo</t>
  </si>
  <si>
    <t>Goiânia</t>
  </si>
  <si>
    <t>+55 (62) 3209-6051</t>
  </si>
  <si>
    <t>crisnicaw.verissimo@ufg.br</t>
  </si>
  <si>
    <t>Faculdade de Odontologia da Universidade Federal de Goiás</t>
  </si>
  <si>
    <t>Photodynamic Therapy in the treatment of infected ulcers in people with Diabetes Mellitus: a Randomized Clinical Trial</t>
  </si>
  <si>
    <t>01/23/2023</t>
  </si>
  <si>
    <t>U1111-1286-7818</t>
  </si>
  <si>
    <t>Diabetic foot ulcer</t>
  </si>
  <si>
    <t>Diabetes Mellitus</t>
  </si>
  <si>
    <t>Maria Girlane Sousa Albuquerque Albuquerque</t>
  </si>
  <si>
    <t>Ribeirão Preto</t>
  </si>
  <si>
    <t>+55 (88) 998516914</t>
  </si>
  <si>
    <t>girlanealbuquerque@usp.br</t>
  </si>
  <si>
    <t>Escola de Enfermagem de Ribeirão Preto - Universidade de São Paulo</t>
  </si>
  <si>
    <t>Effects of Osteopathic Manipulation Techniques on treatment of patients with Brain Stroke Ischemic</t>
  </si>
  <si>
    <t>U1111-1281-9158</t>
  </si>
  <si>
    <t>Ischemic Stroke</t>
  </si>
  <si>
    <t>Neuroinflammatory Diseases</t>
  </si>
  <si>
    <t>Walmir Candido da Silva -  www.osteopatiamadrid.com.br</t>
  </si>
  <si>
    <t>+55 (19)3236-3816</t>
  </si>
  <si>
    <t>departamentocientifico@osteopatiamadrid.com.br</t>
  </si>
  <si>
    <t>Escuela de Osteopatia de Madri - Brasil Ltda</t>
  </si>
  <si>
    <t>Effect of Transcranial Direct Current Electric Stimulation associated with Physical Exercise in patients with Greater Trochanteric Pain Syndrome</t>
  </si>
  <si>
    <t>01/20/2023</t>
  </si>
  <si>
    <t>U1111-1285-7266</t>
  </si>
  <si>
    <t>Femur</t>
  </si>
  <si>
    <t>Musculoskeletal pain</t>
  </si>
  <si>
    <t>Jean Marcos De Souza</t>
  </si>
  <si>
    <t>+55 (19) 35219211</t>
  </si>
  <si>
    <t>souzajm@unicamp.br</t>
  </si>
  <si>
    <t>Universidade Estadual de Campinas</t>
  </si>
  <si>
    <t>Analysis of anti-inflammatory and antinociceptive effects of Subcritical Extract of Black Sesame (Sesamum Indicum L.) on functional performance and pain intensity in adults with Low Back Pain</t>
  </si>
  <si>
    <t>U1111-1286-8271</t>
  </si>
  <si>
    <t>Back Pain</t>
  </si>
  <si>
    <t>Marina Vasconcelos Souza</t>
  </si>
  <si>
    <t>Santarém</t>
  </si>
  <si>
    <t>+55 (93) 2101 4911</t>
  </si>
  <si>
    <t>marinasouza185@gmail.com</t>
  </si>
  <si>
    <t>Universidade Federal do Oeste do Pará</t>
  </si>
  <si>
    <t>Efficacy and safety of 5% nicotinamide cream in stabilizing the skin field cancerization: a randomized double blind placebo-controlled clinical trial</t>
  </si>
  <si>
    <t>U1111-1265-9243</t>
  </si>
  <si>
    <t>Actinic Keratosis</t>
  </si>
  <si>
    <t>Precancerous Lesions</t>
  </si>
  <si>
    <t>Ivanka Miranda de Castro</t>
  </si>
  <si>
    <t>Botucatu</t>
  </si>
  <si>
    <t>ivanka.castro@gmail.com</t>
  </si>
  <si>
    <t>Faculdade de Medicina Julio de Mesquita Filho</t>
  </si>
  <si>
    <t>Effect Of Jabuticaba (Plinia Jaboticaba) Peel Supplementation On Metabolism</t>
  </si>
  <si>
    <t>10/29/2019</t>
  </si>
  <si>
    <t>U1111-1286-6044</t>
  </si>
  <si>
    <t>metabolic syndrome</t>
  </si>
  <si>
    <t>Nutritional and metabolic diseases</t>
  </si>
  <si>
    <t>names_nao_encontrado</t>
  </si>
  <si>
    <t>cities_nao_encontrado</t>
  </si>
  <si>
    <t>countries_nao_encontrado</t>
  </si>
  <si>
    <t>phones_nao_encontrado</t>
  </si>
  <si>
    <t>emails_nao_encontrado</t>
  </si>
  <si>
    <t>institutions_nao_encontrado</t>
  </si>
  <si>
    <t>Modification of Palmar Grip Strength induced by Overflow of non-homologous muscles and Acupuncture at points HT3 (ShaoHai) and HT7 (ShenMen)</t>
  </si>
  <si>
    <t>01/19/2023</t>
  </si>
  <si>
    <t>U1111-1285-1355</t>
  </si>
  <si>
    <t>Hand Strength</t>
  </si>
  <si>
    <t>Muscle Strength</t>
  </si>
  <si>
    <t>Kelly Zhang</t>
  </si>
  <si>
    <t>+55(16)33153500</t>
  </si>
  <si>
    <t>kelly.zhang@alumni.usp.br</t>
  </si>
  <si>
    <t>Universidade de São Paulo</t>
  </si>
  <si>
    <t>Virtual Reality Games as a possibility of Telerehabilitation for Individuals with Poliomyelitis sequel and Postpoliomyelitis Syndrome</t>
  </si>
  <si>
    <t>U1111-1285-1403</t>
  </si>
  <si>
    <t>Neuromuscular Diseases</t>
  </si>
  <si>
    <t>Postpoliomyelitis Syndrome</t>
  </si>
  <si>
    <t>Talita Dias da Silva</t>
  </si>
  <si>
    <t>ft.talitadias@gmail.com</t>
  </si>
  <si>
    <t>Faculdade de Medicina da Universidade de São Paulo</t>
  </si>
  <si>
    <t>Evaluation of a Bioactive Composite for the Restoration of Endodontically Treated Teeth: A Prospective Clinical Study</t>
  </si>
  <si>
    <t>U1111-1283-4291</t>
  </si>
  <si>
    <t>Dental Restoration Wear</t>
  </si>
  <si>
    <t>Stomatognathic diseases</t>
  </si>
  <si>
    <t>Silmara Milori Corona</t>
  </si>
  <si>
    <t>+55 (16) 3315-3955</t>
  </si>
  <si>
    <t>silmaracorona@forp.usp.br</t>
  </si>
  <si>
    <t>Faculdade de Odontologia de Ribeirão Preto da Universidade de São Paulo - FORP USP</t>
  </si>
  <si>
    <t>Diseases of the digestive system</t>
  </si>
  <si>
    <t>Amantadine for disorders of consciousness after Aneurysmal Subarachnoid Hemorrhage</t>
  </si>
  <si>
    <t>U1111-1282-3894</t>
  </si>
  <si>
    <t>Subarachnoid hemorrhage</t>
  </si>
  <si>
    <t>Non specified cardiovascular disease</t>
  </si>
  <si>
    <t>Luana Maranha Gatto</t>
  </si>
  <si>
    <t>cappesq.adm@hc.fm.usp.br</t>
  </si>
  <si>
    <t>Hospital das Clínicas da Faculdade de Medicina da Universidade de São Paulo</t>
  </si>
  <si>
    <t>Cardiovascular Diseases</t>
  </si>
  <si>
    <t>Immunomodulatory effect of Dexmedetomidine as an adjuvant drug in patients undergoing laparoscopic Cholecystectomy</t>
  </si>
  <si>
    <t>03/28/2022</t>
  </si>
  <si>
    <t>U1111-1273-9213</t>
  </si>
  <si>
    <t>Physiological effects of drugs</t>
  </si>
  <si>
    <t>Adverse effects of other drugs and medications</t>
  </si>
  <si>
    <t>Rossano Kepler Fiorelli</t>
  </si>
  <si>
    <t>Rio de Janeiro</t>
  </si>
  <si>
    <t>+55(21)999973214</t>
  </si>
  <si>
    <t>fiorellirossano@hotmail.com</t>
  </si>
  <si>
    <t>Hospital Universitário Gaffree e Guinle</t>
  </si>
  <si>
    <t>Chronic tinnitus: Analysis of therapy with Access Bar as a treatment proposal</t>
  </si>
  <si>
    <t>U1111-1286-1448</t>
  </si>
  <si>
    <t>tinnitus</t>
  </si>
  <si>
    <t>Otorhinolaryngologic Diseases</t>
  </si>
  <si>
    <t>Rúbia Soares Bruno</t>
  </si>
  <si>
    <t>Santa Maria- Camobi</t>
  </si>
  <si>
    <t>+55 55 3220-8659</t>
  </si>
  <si>
    <t>rubiabruno04@gmail.com</t>
  </si>
  <si>
    <t>Universidade Federal de Santa Maria -UFSM</t>
  </si>
  <si>
    <t>Intraoral and extraoral Photobiomodulation Therapy in the treatment of common oral mucosal diseases: basket trial</t>
  </si>
  <si>
    <t>01/18/2023</t>
  </si>
  <si>
    <t>U1111-1285-6199</t>
  </si>
  <si>
    <t>Lichen Planus,Oral</t>
  </si>
  <si>
    <t>Burning Mouth Syndrome</t>
  </si>
  <si>
    <t>Mouth Diseases</t>
  </si>
  <si>
    <t>Alan Roger Santos-Silva</t>
  </si>
  <si>
    <t>Piracicaba</t>
  </si>
  <si>
    <t>+55 19 2106-5213</t>
  </si>
  <si>
    <t>alan@unicamp.br</t>
  </si>
  <si>
    <t>Faculdade de Odontologia de Piracicaba da Universidade Estadual de Campinas</t>
  </si>
  <si>
    <t>Effects of Thermal Blanket in Premature newborns: a randomized controlled clinical study</t>
  </si>
  <si>
    <t>U1111-1285-2094</t>
  </si>
  <si>
    <t>Hypothermia</t>
  </si>
  <si>
    <t>infant,premature</t>
  </si>
  <si>
    <t>José Antonio de Sá Neto</t>
  </si>
  <si>
    <t>+55(21)3938-0944</t>
  </si>
  <si>
    <t>pesquisa@eean.ufrj.br</t>
  </si>
  <si>
    <t>Escola de Enfermagem Anna Nery</t>
  </si>
  <si>
    <t>Efficacy of adding Self-Efficacy Strategies to Strengthening Exercises and Manual Therapy for disability and self-efficacy of individuals with chronic shoulder pain: a randomized controlled trial with economic evaluation</t>
  </si>
  <si>
    <t>U1111-1286-6509</t>
  </si>
  <si>
    <t>Subacromial Impingement Syndrome</t>
  </si>
  <si>
    <t>Shoulder pain</t>
  </si>
  <si>
    <t>Carolina Matiello Souza</t>
  </si>
  <si>
    <t>+55 16 3315-4585</t>
  </si>
  <si>
    <t>carolina.matiello.souza@usp.br</t>
  </si>
  <si>
    <t>Faculdade de Medicina de Ribeirão Preto - Universidade de São Paulo</t>
  </si>
  <si>
    <t>Effects of Ora-pro-nobis (Pereskia aculleata) on female health</t>
  </si>
  <si>
    <t>01/17/2023</t>
  </si>
  <si>
    <t>U1111-1281-8278</t>
  </si>
  <si>
    <t>Overweight</t>
  </si>
  <si>
    <t>Obesity</t>
  </si>
  <si>
    <t>Nutritional and Metabolic Diseases</t>
  </si>
  <si>
    <t>Denise Coutinho Endringer</t>
  </si>
  <si>
    <t>Vila Velha</t>
  </si>
  <si>
    <t>+55 27 999163366</t>
  </si>
  <si>
    <t>endringe@gmail.com</t>
  </si>
  <si>
    <t>Universidade Vila Velha</t>
  </si>
  <si>
    <t>Effects of the Aquatic Training in Upright Position on Hemodynamic Metabolic Functional and Psychosocial Outcomes in Adults and Elderly</t>
  </si>
  <si>
    <t>U1111-1285-1297</t>
  </si>
  <si>
    <t>Diabetes mellitus</t>
  </si>
  <si>
    <t>Hypertension</t>
  </si>
  <si>
    <t>Cardiometabolic Risk Factors</t>
  </si>
  <si>
    <t>Rodrigo Sudatti Delevatti</t>
  </si>
  <si>
    <t>Florianópolis</t>
  </si>
  <si>
    <t>+55(48) 3721-9925</t>
  </si>
  <si>
    <t>rodrigo.delevatti@ufsc.br</t>
  </si>
  <si>
    <t>Universidade Federal de Santa Catarina</t>
  </si>
  <si>
    <t>Effects of the recovery interval on the strength of the trunk extenders in healthy adults and with chronic non-specific low back pain</t>
  </si>
  <si>
    <t>U1111-1284-4717</t>
  </si>
  <si>
    <t>Back pain</t>
  </si>
  <si>
    <t>Single or Multi-Joint Strengthening Exercises in Patients with Patellofemoral Pain: A Pilot Study</t>
  </si>
  <si>
    <t>U1111-1284-1064</t>
  </si>
  <si>
    <t>Patellofemoral Pain Syndrome</t>
  </si>
  <si>
    <t>Patellofemoral disorders</t>
  </si>
  <si>
    <t>Paulo Roberto Veiga Quemelo</t>
  </si>
  <si>
    <t>pquemelo@hotmail.com</t>
  </si>
  <si>
    <t>CuidAR: reducing morbidity and costs in Asthma in the country</t>
  </si>
  <si>
    <t>01/16/2023</t>
  </si>
  <si>
    <t>U1111-1284-2423</t>
  </si>
  <si>
    <t>Asthma</t>
  </si>
  <si>
    <t>Respiratory Tract Diseases</t>
  </si>
  <si>
    <t>Paulo Pitrez</t>
  </si>
  <si>
    <t>Porto Alegre</t>
  </si>
  <si>
    <t>+55 51 33143167</t>
  </si>
  <si>
    <t>ppitrez70@gmail.com</t>
  </si>
  <si>
    <t>Associação Hospitalar Moinhos de Vento</t>
  </si>
  <si>
    <t>Diseases of the respiratory system</t>
  </si>
  <si>
    <t>Impact of intervention with Curcuma longa L. on endothelial function health oral and inflammatory and oxidative stress markers: establishment of importance of phytotherapy as an integrative practice in the treatment of Diabetes Mellitus of type 2</t>
  </si>
  <si>
    <t>U1111-1285-3256</t>
  </si>
  <si>
    <t>Diabetes Mellitus Type 2</t>
  </si>
  <si>
    <t>Maria do Carmo Pinho Franco</t>
  </si>
  <si>
    <t>55 11 3385-4100 Ramal 3027</t>
  </si>
  <si>
    <t>maria.franco@unifesp.br</t>
  </si>
  <si>
    <t>Universidade Federal de São Paulo</t>
  </si>
  <si>
    <t>Transversal and longitudinal relations between 24 hour movement behaviours and health outcome in preschoolers of Petrolina PE city – the movements cool project</t>
  </si>
  <si>
    <t>U111112794717</t>
  </si>
  <si>
    <t>Sedentary Behavior</t>
  </si>
  <si>
    <t>Natália Batista Albuquerque Goulart Lemos</t>
  </si>
  <si>
    <t>Petrolina</t>
  </si>
  <si>
    <t>+55(87)21016856</t>
  </si>
  <si>
    <t>natalia.goulart@univasf.edu.br</t>
  </si>
  <si>
    <t>Universidade Federal do Vale do São Francisco</t>
  </si>
  <si>
    <t>Unilateral thalamic specific nuclei deep brain stimulation for the treatment of refractory focal epilepsy</t>
  </si>
  <si>
    <t>01/15/2023</t>
  </si>
  <si>
    <t>U1111-1267-2377</t>
  </si>
  <si>
    <t>focal epilepsy</t>
  </si>
  <si>
    <t>epilepsy</t>
  </si>
  <si>
    <t>Osvaldo Vilela Filho</t>
  </si>
  <si>
    <t>ovilelafilho@clanfer.com</t>
  </si>
  <si>
    <t>Hospital das Clínicas,Faculdade de Medicina,Universidade Federal de Goiás</t>
  </si>
  <si>
    <t>Evaluation of Anterior Open Bite and Maxillary Transverse Discrepancy treatment: a randomized clinical trial</t>
  </si>
  <si>
    <t>01/14/2023</t>
  </si>
  <si>
    <t>U1111-1283-5052</t>
  </si>
  <si>
    <t>Open bite</t>
  </si>
  <si>
    <t>Malocclusion</t>
  </si>
  <si>
    <t>Célia Regina Maio Pinzan Vercelino</t>
  </si>
  <si>
    <t>Maringá</t>
  </si>
  <si>
    <t>+55(44) 3033 5009</t>
  </si>
  <si>
    <t>cepinzan@hotmail.com</t>
  </si>
  <si>
    <t>Centro Universitário Ingá - UNINGA</t>
  </si>
  <si>
    <t>Study of the effectiveness of blood products in alveolar repair</t>
  </si>
  <si>
    <t>U1111-1284-7201</t>
  </si>
  <si>
    <t>Exodontia</t>
  </si>
  <si>
    <t>Bone Regeneration</t>
  </si>
  <si>
    <t>Oral surgical procedures</t>
  </si>
  <si>
    <t>Belmiro Cavalcanti do Egito Vasconcelos</t>
  </si>
  <si>
    <t>Recife</t>
  </si>
  <si>
    <t>+55 (81) 988868677</t>
  </si>
  <si>
    <t>belmirovasconcelos@upe.br</t>
  </si>
  <si>
    <t>Faculdade de Odontologia da Universidade de Pernambuco</t>
  </si>
  <si>
    <t>Papain with the treatment of inflammatory diseases that occur around the teeth</t>
  </si>
  <si>
    <t>U1111-1276-0172</t>
  </si>
  <si>
    <t>Chronic periodontitis,dental calculus</t>
  </si>
  <si>
    <t>Periodontal disease</t>
  </si>
  <si>
    <t>Luiz Eduardo Monteiro Dias da Rocha</t>
  </si>
  <si>
    <t>luizedurocha@gmail.com</t>
  </si>
  <si>
    <t>Faculdade de Odontologia da Universidade do Estado do Rio de Janeiro</t>
  </si>
  <si>
    <t>Treatment of Dental Hypersensitivity associated to Molar Incisor Hypomineralization</t>
  </si>
  <si>
    <t>01/13/2023</t>
  </si>
  <si>
    <t>U1111-1248-4964</t>
  </si>
  <si>
    <t>Dentin Sensitivity. Dental Caries. Amelogenesis</t>
  </si>
  <si>
    <t>Tooth Demineralization</t>
  </si>
  <si>
    <t>Juliana Feltrin de Souza</t>
  </si>
  <si>
    <t>Curitiba</t>
  </si>
  <si>
    <t>julianafeltrin@hotmail.com</t>
  </si>
  <si>
    <t>Programa de Pós Graduação em Odontologia da Universidade Federal do Paraná</t>
  </si>
  <si>
    <t>Photobiomodulation therapy in Nipple and Perineal Trauma in the puerperal period: randomized clinical trial</t>
  </si>
  <si>
    <t>U1111-1279-3594</t>
  </si>
  <si>
    <t>Puerperal Disorders</t>
  </si>
  <si>
    <t>Fernanda Garanhani de Castro Surita</t>
  </si>
  <si>
    <t>+55(19) 3521-9333</t>
  </si>
  <si>
    <t>surita@unicamp.br</t>
  </si>
  <si>
    <t>Respiratory Rehabilitation in survivors of COVID-19 - a clinical study</t>
  </si>
  <si>
    <t>11/25/2020</t>
  </si>
  <si>
    <t>U1111-1261-4925</t>
  </si>
  <si>
    <t>Betacoronavirus</t>
  </si>
  <si>
    <t>Aderbal Silva Aguiar</t>
  </si>
  <si>
    <t>Araranguá</t>
  </si>
  <si>
    <t>aderbal.aguiar@ufsc.br</t>
  </si>
  <si>
    <t>Clinical Evaluation of the Use of Er:YAG Laser in Snoring Disorder</t>
  </si>
  <si>
    <t>U1111-1284-3764</t>
  </si>
  <si>
    <t>Obstructive Sleep Apnea</t>
  </si>
  <si>
    <t>Respiratory Disorders</t>
  </si>
  <si>
    <t>Valeria  Mendes</t>
  </si>
  <si>
    <t>specialcareneeds@gmail.com</t>
  </si>
  <si>
    <t>Instituto de Pesquisas Energéticas e Nucleares - IPEN</t>
  </si>
  <si>
    <t>Comparison between the effects of Periodized Strength Training Programs Machine versus Free Weight on parameters of neuromuscular fitness in Brazilian Army militaries</t>
  </si>
  <si>
    <t>U1111-1277-3311</t>
  </si>
  <si>
    <t>Young Adult</t>
  </si>
  <si>
    <t>People</t>
  </si>
  <si>
    <t>Humberto Lameira Miranda</t>
  </si>
  <si>
    <t>Rio de janeiro</t>
  </si>
  <si>
    <t>humbertomirandaufrj@gmail.com</t>
  </si>
  <si>
    <t>Escola de Educação Física e Desportos da Universidade federal do Rio de Janeiro - EEFD/UFRJ</t>
  </si>
  <si>
    <t>Evaluation of color change after application of an Adhesive on the inside of Ceramic Laminates - Clinical Trial</t>
  </si>
  <si>
    <t>U1111-1283-5644</t>
  </si>
  <si>
    <t>Intracoronary Dental Restorations</t>
  </si>
  <si>
    <t>Dental Restoration Repair</t>
  </si>
  <si>
    <t>Carlos Eduardo Francci</t>
  </si>
  <si>
    <t>+55 (11) 98369-2227</t>
  </si>
  <si>
    <t>francci@usp.br</t>
  </si>
  <si>
    <t>Universidade de São Paulo - Faculdade de Odontologia</t>
  </si>
  <si>
    <t>Effectiveness of the Mindfulness-based Health Promotion Program (MBHP) to improve the psychological well-being of university students: a study controlled and randomized</t>
  </si>
  <si>
    <t>U1111-1286-4019</t>
  </si>
  <si>
    <t>Anxiety</t>
  </si>
  <si>
    <t>Stress,Psychological</t>
  </si>
  <si>
    <t>Vânia  DAlmeida</t>
  </si>
  <si>
    <t>+55(11) 55725092</t>
  </si>
  <si>
    <t>ppg.psicobiologia@unifesp.br</t>
  </si>
  <si>
    <t>Kinesis research project: effects on motor performance after Physiotherapy Care in children with Cerebral Palsy after application of Botulinum Toxin type A</t>
  </si>
  <si>
    <t>U1111-1282-2031</t>
  </si>
  <si>
    <t>Postural Balance</t>
  </si>
  <si>
    <t>Cerebral Palsy</t>
  </si>
  <si>
    <t>Daniela Rosa Garcez</t>
  </si>
  <si>
    <t>Belém</t>
  </si>
  <si>
    <t>+55(91)32017818</t>
  </si>
  <si>
    <t>drgarcez@gmail.com</t>
  </si>
  <si>
    <t>Hospital Universitário Bettina Ferro de Souza</t>
  </si>
  <si>
    <t>Effects of Physical Training on hemodynamic and autonomic responses to Muscle Ergoreflex Activation in patients attending a cardiac rehabilitation program</t>
  </si>
  <si>
    <t>U1111-1286-4689</t>
  </si>
  <si>
    <t>Heart Defects,Congenital</t>
  </si>
  <si>
    <t>Juliana Pereira Borges</t>
  </si>
  <si>
    <t>+55(021)99234-8072</t>
  </si>
  <si>
    <t>julipborges@gmail.com</t>
  </si>
  <si>
    <t>Universidade do Estado do Rio de Janeiro</t>
  </si>
  <si>
    <t>Effectiveness of an Internet-delivered Physical Exercise Program in pain and physical function of women with clinical diagnosis of knee Osteoarthritis: a randomized clinical trial</t>
  </si>
  <si>
    <t>U1111-1284-9922</t>
  </si>
  <si>
    <t>Osteoarthritis,knee</t>
  </si>
  <si>
    <t>Arthritis</t>
  </si>
  <si>
    <t>Alessandra de Carvalho Bastone</t>
  </si>
  <si>
    <t>+55 (038) 988376894</t>
  </si>
  <si>
    <t>alessandra.bastone@ufvjm.edu.br</t>
  </si>
  <si>
    <t>Effectiveness of Home-based Rehabilitation compared to Face-to-face Rehabilitation in individuals with Peripheral Arterial Disease: a randomized clinical trial</t>
  </si>
  <si>
    <t>04/14/2022</t>
  </si>
  <si>
    <t>U1111-1275-0153</t>
  </si>
  <si>
    <t>Intermittent Claudication</t>
  </si>
  <si>
    <t>Isabella de Oliveira Nascimento</t>
  </si>
  <si>
    <t>belo horizonte</t>
  </si>
  <si>
    <t>bellaon@hotmail.com</t>
  </si>
  <si>
    <t>Universidade Federal de Minas Gerais</t>
  </si>
  <si>
    <t>Influence of Dextroketamine on Electroencephalogram during Total Venous Anesthesia</t>
  </si>
  <si>
    <t>U1111-1281-7047</t>
  </si>
  <si>
    <t>Anesthesia</t>
  </si>
  <si>
    <t>Grazielle Mara</t>
  </si>
  <si>
    <t>+55(85)4009-1278</t>
  </si>
  <si>
    <t>cep@hospitalsaocarlos.com.br</t>
  </si>
  <si>
    <t>Hospital São Carlos</t>
  </si>
  <si>
    <t>Effectiveness of intervention at the site of botropic poisoning by means of ice and hot compresses: open randomized clinical trial</t>
  </si>
  <si>
    <t>U1111-1169-1005</t>
  </si>
  <si>
    <t>Snakebite</t>
  </si>
  <si>
    <t>Contact with venomous snakes and lizards</t>
  </si>
  <si>
    <t>Jacqueline Almeida Gonçalves Sachett</t>
  </si>
  <si>
    <t>Manaus</t>
  </si>
  <si>
    <t>+55 (92) 81518086</t>
  </si>
  <si>
    <t>jac.sachett@gmail.com</t>
  </si>
  <si>
    <t>Universidade do Estado do Amazonas</t>
  </si>
  <si>
    <t>Randomized Prospective Longitudinal Study of Calcium Phosphate Biphasic Graft</t>
  </si>
  <si>
    <t>04/18/2022</t>
  </si>
  <si>
    <t>U1111-1276-5336</t>
  </si>
  <si>
    <t>Jaw Edentulous</t>
  </si>
  <si>
    <t>tooth loss</t>
  </si>
  <si>
    <t>Cesar Augusto Magalhães Benfatti</t>
  </si>
  <si>
    <t>+55 (48) 3721 3407</t>
  </si>
  <si>
    <t>cesarbenfatti@yahoo.com</t>
  </si>
  <si>
    <t>Effectiveness of an Educational System and Remote Data Collection of patient information by Mobile Devices and the Internet in the metabolic control of type 2 Diabetes Mellitus A controlled study in a population residing in Complexo do Alemão Rio de Janeiro</t>
  </si>
  <si>
    <t>U1111-1284-3932</t>
  </si>
  <si>
    <t>Diabetes Mellitus,Type 2</t>
  </si>
  <si>
    <t>Michelle Quarti Machado da Rosa</t>
  </si>
  <si>
    <t>+55(21)966913408</t>
  </si>
  <si>
    <t>michelleqmrosa@gmail.com</t>
  </si>
  <si>
    <t>The effect of Manual Release on Abdominal Scars in patients with Chronic Nonspecific Low Back Pain</t>
  </si>
  <si>
    <t>U1111-1283-6413</t>
  </si>
  <si>
    <t>Daniel Kenji Makita</t>
  </si>
  <si>
    <t>+55 19 983570200</t>
  </si>
  <si>
    <t>dkmakita@gmail.com</t>
  </si>
  <si>
    <t>Faculdade Integradas Einstein de Limeira</t>
  </si>
  <si>
    <t>Effect of Ozonized Water on Halitosis and clinical parameters of patients with Periodontal Disease: A randomized clinical trial</t>
  </si>
  <si>
    <t>U1111-1286-4184</t>
  </si>
  <si>
    <t>Halitosis</t>
  </si>
  <si>
    <t>Periodontitis</t>
  </si>
  <si>
    <t>Periodontal Disease</t>
  </si>
  <si>
    <t>Leonardo Saraiva</t>
  </si>
  <si>
    <t>Passo Fundo</t>
  </si>
  <si>
    <t>leo77saraiva@hotmail.com</t>
  </si>
  <si>
    <t>Universidade de Passo Fundo</t>
  </si>
  <si>
    <t>Effect of execution order Concurrent Physical Exercise on glycemic acute and subacute response in postmenopausal women with type 2 Diabetes Mellitus</t>
  </si>
  <si>
    <t>U1111-1283-4962</t>
  </si>
  <si>
    <t>Non-insulin-dependent diabetes mellitus - without complications</t>
  </si>
  <si>
    <t>Caroline Pereira Garcês</t>
  </si>
  <si>
    <t>Uberlândia</t>
  </si>
  <si>
    <t>+55 (34) 3218-2965</t>
  </si>
  <si>
    <t>caroline.garces@ufu.br</t>
  </si>
  <si>
    <t>Universidade Federal de Uberlândia</t>
  </si>
  <si>
    <t>Effects of Partial Vascular Occlusion on muscular and functional aspects of individuals with Strength Asymmetry in Lower Limbs</t>
  </si>
  <si>
    <t>U1111-1286-3867</t>
  </si>
  <si>
    <t>Body Constitution</t>
  </si>
  <si>
    <t>Natália Boneti Moreira</t>
  </si>
  <si>
    <t>+55 (41) 3361-3072</t>
  </si>
  <si>
    <t>nataliamoreira@ufpr.br</t>
  </si>
  <si>
    <t>Universidade Federal do Paraná</t>
  </si>
  <si>
    <t>Transdermal Laser Association comparing two treatments of Sclerotherapy for the Treatment of Unesthetic Veins of Lower Limbs: Triple Blind Randomized Clinical Trial</t>
  </si>
  <si>
    <t>U1111-1267-1055</t>
  </si>
  <si>
    <t>Asymptomatic varicose veins of lower extremities</t>
  </si>
  <si>
    <t>Varicose Veins</t>
  </si>
  <si>
    <t>Adamastor Humberto Pereira</t>
  </si>
  <si>
    <t>51 99967 6641</t>
  </si>
  <si>
    <t>adahpereira@gmail.com</t>
  </si>
  <si>
    <t>Clinica Prime Vascular</t>
  </si>
  <si>
    <t>Angiotensin- (1-7) as a new ergogenic supplement for exercise practitioners</t>
  </si>
  <si>
    <t>U1111-1262-7587</t>
  </si>
  <si>
    <t>Behavior</t>
  </si>
  <si>
    <t>Causes and effects of maternal microbiota at birth and newborn survival preterm infants: maternal and child health promotion strategies</t>
  </si>
  <si>
    <t>U111-12779597</t>
  </si>
  <si>
    <t>preterm baby</t>
  </si>
  <si>
    <t>infant</t>
  </si>
  <si>
    <t>Thaise Cristina Brancher Soncini</t>
  </si>
  <si>
    <t>Florianopolis</t>
  </si>
  <si>
    <t>thaisesoncini@gmail.com</t>
  </si>
  <si>
    <t>Feasibility and effectiveness of brief online interventions to reduce alcohol use among youth and adults during the COVID-19 pandemic: a randomized clinical trial</t>
  </si>
  <si>
    <t>U1111-1286-6174</t>
  </si>
  <si>
    <t>Excessive consumption of alcoholic beverages</t>
  </si>
  <si>
    <t>Health Risk Behaviors</t>
  </si>
  <si>
    <t>Metabolic responses of overweight/obesity climacteric women according to feeding times</t>
  </si>
  <si>
    <t>U1111-1285-3646</t>
  </si>
  <si>
    <t>Climacteric</t>
  </si>
  <si>
    <t>Nutritional Disorders</t>
  </si>
  <si>
    <t>Elizabeth  Nascimento</t>
  </si>
  <si>
    <t>+55(81)21268568</t>
  </si>
  <si>
    <t>elizabeth.nascimento2@ufpe.br</t>
  </si>
  <si>
    <t>Centro de ciências da saúde - Universidade Federal de Pernambuco - UFPE</t>
  </si>
  <si>
    <t>Durability of the aesthetic applications of Botulinum Toxin type A in practitioners of high intensity physical exercise</t>
  </si>
  <si>
    <t>U1111-1285-7575</t>
  </si>
  <si>
    <t>Exercise</t>
  </si>
  <si>
    <t>Aging</t>
  </si>
  <si>
    <t>Giancarlo De la Torre Canales</t>
  </si>
  <si>
    <t>Maringa</t>
  </si>
  <si>
    <t>+55 44 3033 5009</t>
  </si>
  <si>
    <t>giank_28@hotmail.com</t>
  </si>
  <si>
    <t>Centro Universitário Ingá - UNINGÁ</t>
  </si>
  <si>
    <t>Effectiveness of a Novel Multicomponent Treatment versus Conventional Treatment in patients with Fibromyalgia: Randomized clinical trial single blind</t>
  </si>
  <si>
    <t>U1111-1232-0862</t>
  </si>
  <si>
    <t>Fibromyalgia</t>
  </si>
  <si>
    <t>Felipe Araya Quintanilla</t>
  </si>
  <si>
    <t>Santiago</t>
  </si>
  <si>
    <t>Chile</t>
  </si>
  <si>
    <t>fandres.kine@gmail.com</t>
  </si>
  <si>
    <t>Universidad de las Americas</t>
  </si>
  <si>
    <t>Effects of Isometric Handgrip Training on blood pressure variability and cardiac autonomic modulation in Hypertensive patients</t>
  </si>
  <si>
    <t>U1111-1284-9151</t>
  </si>
  <si>
    <t>Emmina Lima da Cruz de Souza</t>
  </si>
  <si>
    <t>+55(92)991623901</t>
  </si>
  <si>
    <t>emmina.cruz@gmail.com</t>
  </si>
  <si>
    <t>Universidade Federal do Amazonas</t>
  </si>
  <si>
    <t>Effect of chemotherapy on anthropometric indicators physical activity level cardiovascular parameters in women with breast cancer</t>
  </si>
  <si>
    <t>U1111-1282-5285</t>
  </si>
  <si>
    <t>Valmir Oliveira Silvino</t>
  </si>
  <si>
    <t>(+55) 86988524880</t>
  </si>
  <si>
    <t>valmirsilvino@live.com</t>
  </si>
  <si>
    <t>The effect of Family constellation on quality of life anxiety depression resilience and pain intensity in women with chronic pelvic pain</t>
  </si>
  <si>
    <t>U1111-1284-6061</t>
  </si>
  <si>
    <t>Pelvic pain</t>
  </si>
  <si>
    <t>Chronic pain</t>
  </si>
  <si>
    <t>José Miguel de Deus</t>
  </si>
  <si>
    <t>+55(62)32096156/+55(62)999751988</t>
  </si>
  <si>
    <t>jm.dedeus@hotmail.com</t>
  </si>
  <si>
    <t>Hospital das Clínicas da Universidade Federal de Goiás</t>
  </si>
  <si>
    <t>Comparison of the effectiveness of Suprascapular nerve block associated with Physical therapy and Physical therapy alone in the treatment of Primary rigid shoulder</t>
  </si>
  <si>
    <t>U1111-1277-0553</t>
  </si>
  <si>
    <t>Adhesive capsulitis in shoulder</t>
  </si>
  <si>
    <t>Shoulder lesion</t>
  </si>
  <si>
    <t>João Felipe de Medeiros Filho</t>
  </si>
  <si>
    <t>+55 (84) 999818791</t>
  </si>
  <si>
    <t>jfelip_ortopedia@uol.com.br</t>
  </si>
  <si>
    <t>Clínica de Fraturas</t>
  </si>
  <si>
    <t>Effects of multi-joint lowerlimb Strengthening in recreational athletes with Achilles Tendinopathy: a randomized controlled trial</t>
  </si>
  <si>
    <t>12/30/2022</t>
  </si>
  <si>
    <t>U1111-1284-8223</t>
  </si>
  <si>
    <t>Achilles Tendinopathy</t>
  </si>
  <si>
    <t>Enthesopathies,lower limb,excluding foot</t>
  </si>
  <si>
    <t>Victor Matheus Leite Mascarenhas Ferreira</t>
  </si>
  <si>
    <t>Belo Horizonte</t>
  </si>
  <si>
    <t>+55(31) 3409-7409</t>
  </si>
  <si>
    <t>victor.mascarenhasf@gmail.com</t>
  </si>
  <si>
    <t>Longitudinal evaluation of the dental enamel surface after the removal of orthodontic brackets. Effects of surface treatments and analysis times</t>
  </si>
  <si>
    <t>U1111-1276-6336</t>
  </si>
  <si>
    <t>Orthodontics</t>
  </si>
  <si>
    <t>Dental enamel</t>
  </si>
  <si>
    <t>Laura Molinar Franco</t>
  </si>
  <si>
    <t>Araçatuba</t>
  </si>
  <si>
    <t>+55 (18) 3636-3253</t>
  </si>
  <si>
    <t>lauramf3@hotmail.com</t>
  </si>
  <si>
    <t>Faculdade de Odontologia de Araçatuba - UNESP</t>
  </si>
  <si>
    <t>Electromyographic evaluation during Cardiopulmonary Exercise Test: retrospective study</t>
  </si>
  <si>
    <t>U1111-1285-3302</t>
  </si>
  <si>
    <t>Nicole Soares Oliver Cruz</t>
  </si>
  <si>
    <t>Cabedelo</t>
  </si>
  <si>
    <t>+55 (83) 2106-3800</t>
  </si>
  <si>
    <t>nicolesocruz@hotmail.com</t>
  </si>
  <si>
    <t>Centro Universitário da Paraíba (UNIESP)</t>
  </si>
  <si>
    <t>Randomized pilot multicenter clinical study in Brazil to assess the feasibility of improvement of static lung compliance by different PEEP Titration Methods in patients with ARDS</t>
  </si>
  <si>
    <t>U1111-1208-4537</t>
  </si>
  <si>
    <t>Respiratory Insufficiency</t>
  </si>
  <si>
    <t>Israel  Maia</t>
  </si>
  <si>
    <t>florianopolis</t>
  </si>
  <si>
    <t>+55 48 984131510</t>
  </si>
  <si>
    <t>israels.maia@gmail.com</t>
  </si>
  <si>
    <t>Hospital Nereu Ramos</t>
  </si>
  <si>
    <t>Randomized clinical trial to evaluate the safety and pharmacodynamics of the PARP inhibitor Olaparib in sepsis</t>
  </si>
  <si>
    <t>U1111-1281-3448</t>
  </si>
  <si>
    <t>septic shock</t>
  </si>
  <si>
    <t>sepsis</t>
  </si>
  <si>
    <t>Reinaldo Salomão</t>
  </si>
  <si>
    <t>+55 (11) 5576-4848</t>
  </si>
  <si>
    <t>secretaria.dipa@unifesp.br</t>
  </si>
  <si>
    <t>Escola Paulista de Medicina,Universidade Federal de São Paulo</t>
  </si>
  <si>
    <t>Certain infectious and parasitic diseases</t>
  </si>
  <si>
    <t>Evaluation of GH Growth Hormone (rhGH) Treatment in the transition phase: Impact on body composition bone metabolism glucose and lipids in patients who were treated with rhGH</t>
  </si>
  <si>
    <t>U1111-1280-7723</t>
  </si>
  <si>
    <t>Osteoporosis</t>
  </si>
  <si>
    <t>Fractures,Bone</t>
  </si>
  <si>
    <t>Valesca Mansur Kuba</t>
  </si>
  <si>
    <t>vmkuba@uol.com.br</t>
  </si>
  <si>
    <t>Effectss of Hydrotherapy in Buckets in Preterm Newborns in a Neonatal Unit Care</t>
  </si>
  <si>
    <t>U1111-1195-1751</t>
  </si>
  <si>
    <t>Infant,Premature,Other preterm infants</t>
  </si>
  <si>
    <t>Other conditions originating in the perinatal period</t>
  </si>
  <si>
    <t>Daniele de Almeida Soares-Marangoni</t>
  </si>
  <si>
    <t>Campo Grande</t>
  </si>
  <si>
    <t>+55 (67) 991635949</t>
  </si>
  <si>
    <t>daniele.soares@ufms.br</t>
  </si>
  <si>
    <t>Universidade Federal de Mato Grosso do Sul (UFMS)</t>
  </si>
  <si>
    <t>Health Technology Tools for safe Dysphagia care: a randomized clinical trial</t>
  </si>
  <si>
    <t>12/29/2022</t>
  </si>
  <si>
    <t>U1111-1283-9091</t>
  </si>
  <si>
    <t>Malnutrition</t>
  </si>
  <si>
    <t>Thaís Lima Dias Borges</t>
  </si>
  <si>
    <t>+55(84)33422291</t>
  </si>
  <si>
    <t>thaisldborges@gmail.com</t>
  </si>
  <si>
    <t>Universidade Federal do Rio Grande do Norte - UFRN</t>
  </si>
  <si>
    <t>Assessment of pain caused by respiratory therapy in children with congenital heart disease after surgery</t>
  </si>
  <si>
    <t>U1111-1281-8726</t>
  </si>
  <si>
    <t>Congenital malformation of circulatory system,unspecified</t>
  </si>
  <si>
    <t>Fabio Carmona</t>
  </si>
  <si>
    <t>carmona@fmrp.usp.br</t>
  </si>
  <si>
    <t>Faculdade de Medicina de Ribeirão Preto,Universidade de São Paulo</t>
  </si>
  <si>
    <t>Diseases of the circulatory system</t>
  </si>
  <si>
    <t>Clinical and Thermographic evaluationof third molar sockets after Extraction that received Laser Therapy</t>
  </si>
  <si>
    <t>Tooth,Unerupted</t>
  </si>
  <si>
    <t>Virgilio Moreira Roriz</t>
  </si>
  <si>
    <t>vmroriz@hotmail.com</t>
  </si>
  <si>
    <t>Topical Clobetasol as an adjunct treatment to 4% Hydroquinone in moderate to severe facial Melasma: a randomized double-blind controlled clinical trial</t>
  </si>
  <si>
    <t>12/28/2022</t>
  </si>
  <si>
    <t>U1111-1281-6589</t>
  </si>
  <si>
    <t>Melasma</t>
  </si>
  <si>
    <t>Skin Diseases</t>
  </si>
  <si>
    <t>Hélio Amante Miot</t>
  </si>
  <si>
    <t>+55(14)38134727</t>
  </si>
  <si>
    <t>heliomiot@gmail.com</t>
  </si>
  <si>
    <t>Universidade Estadual Paulista (UNESP)</t>
  </si>
  <si>
    <t>Diseases of the skin and subcutaneous tissue</t>
  </si>
  <si>
    <t>Effects of acute modafinil administration on learning conditional relationships and emergence of stimulus equivalence in the elderly</t>
  </si>
  <si>
    <t>U1111-1283-6649</t>
  </si>
  <si>
    <t>Learning</t>
  </si>
  <si>
    <t>Ana Julia Lima Bomfim</t>
  </si>
  <si>
    <t>+55(016)997212482</t>
  </si>
  <si>
    <t>anaajullia@hotmail.com</t>
  </si>
  <si>
    <t>Diseases of the ear and mastoid process</t>
  </si>
  <si>
    <t>The effectiveness of using a Mobile Application in the knowledge of nursing students about the Health of the Elderly: a randomized clinical trial</t>
  </si>
  <si>
    <t>U1111-1282-8467</t>
  </si>
  <si>
    <t>Knowledge</t>
  </si>
  <si>
    <t>Learning Health System</t>
  </si>
  <si>
    <t>Programa de Pós-graduação em Ciências e Tecnologias em Saúde</t>
  </si>
  <si>
    <t>Brasília</t>
  </si>
  <si>
    <t>+ 55 (61) 31078937</t>
  </si>
  <si>
    <t>pgcts@unb.br</t>
  </si>
  <si>
    <t>Fundação Universidade de Brasília</t>
  </si>
  <si>
    <t>Incidence of Postoperative Pain in single and multiple session Endodontic Treatments: clinical study</t>
  </si>
  <si>
    <t>12/27/2022</t>
  </si>
  <si>
    <t>U1111-1281-6645</t>
  </si>
  <si>
    <t>pulp necrosis</t>
  </si>
  <si>
    <t>Roni Heverson da Silva Donizeti</t>
  </si>
  <si>
    <t>+55(41)33173260</t>
  </si>
  <si>
    <t>roni.donizeti@up.edu.br</t>
  </si>
  <si>
    <t>Universidade Positivo</t>
  </si>
  <si>
    <t>The effects of specific Osteopathic Manipulative Treatment in patients with non-specific Chronic Low Back Pain</t>
  </si>
  <si>
    <t>U1111-1280-2885</t>
  </si>
  <si>
    <t>Low Back Pain</t>
  </si>
  <si>
    <t>Silvia de Lima Filó Lins</t>
  </si>
  <si>
    <t>Rio das Ostras</t>
  </si>
  <si>
    <t>silviadelimalins@hotmail.com</t>
  </si>
  <si>
    <t>Universidade Federal do Rio de Janeiro - UFRJ - Campus Macaé</t>
  </si>
  <si>
    <t>Effects of a remotely supervised Home-based Program during the Covid-19 pandemic on the Functional Capacity and Cognitive Function of community-dwelling elderly: a randomized clinical trial</t>
  </si>
  <si>
    <t>U1111-1286-4456</t>
  </si>
  <si>
    <t>Cognitive Dysfunction</t>
  </si>
  <si>
    <t>Cognition Disorders</t>
  </si>
  <si>
    <t>André Luiz Torres Pirauá</t>
  </si>
  <si>
    <t>+55 (81) 33205444</t>
  </si>
  <si>
    <t>andrepiraua@hotmail.com</t>
  </si>
  <si>
    <t>Universidade Federal Rural de Pernambuco</t>
  </si>
  <si>
    <t>Intrauterine Foley Catheter for 24 hours versus 48 hours for cervical ripening in pregnant with one previous cesarean section: randomized trial</t>
  </si>
  <si>
    <t>U111112865182</t>
  </si>
  <si>
    <t>Cervical maturity</t>
  </si>
  <si>
    <t>Labor,Obstetric</t>
  </si>
  <si>
    <t>Henri  Augusto Korkes</t>
  </si>
  <si>
    <t>+55(15)99848-1311</t>
  </si>
  <si>
    <t>henrikorkes@gmail.com</t>
  </si>
  <si>
    <t>Hospital Municipal e Maternidade Escola Dr Mário de Moraes Altenfelder Silva</t>
  </si>
  <si>
    <t>Pregnancy,childbirth and the puerperium</t>
  </si>
  <si>
    <t>Laser and Radiofrequency treatment in women with Genitourinary Menopause Syndrome</t>
  </si>
  <si>
    <t>12/26/2022</t>
  </si>
  <si>
    <t>U1111-1286-4946</t>
  </si>
  <si>
    <t>Postmenopausal atrophic vaginitis</t>
  </si>
  <si>
    <t>Helena Slongo</t>
  </si>
  <si>
    <t>+55(41)999966880</t>
  </si>
  <si>
    <t>slongohelena@gmail.com</t>
  </si>
  <si>
    <t>Hospital da Mulher Prof. Dr. José Aristodemo Pinotti - CAISM</t>
  </si>
  <si>
    <t>Comparison of the vestibular anesthetic effectiveness of lidocaine and articaine in upper third molar exodontics</t>
  </si>
  <si>
    <t>12/23/2022</t>
  </si>
  <si>
    <t>U1111-1281-0984</t>
  </si>
  <si>
    <t>Third molar</t>
  </si>
  <si>
    <t>Oral Surgical Procedures</t>
  </si>
  <si>
    <t>081 988868677</t>
  </si>
  <si>
    <t>Pharmaceutical Interventions on the Complexity of Pharmacotherapy in the elderly with Cardiovascular Risk Disease: a randomized controlled clinical trial with a pharmacoeconomic study</t>
  </si>
  <si>
    <t>12/22/2022</t>
  </si>
  <si>
    <t>U1111-1285-9138</t>
  </si>
  <si>
    <t>Polypharmacy</t>
  </si>
  <si>
    <t>Pharmacological Treatment</t>
  </si>
  <si>
    <t>Anita Hermínia Oliveira Souza</t>
  </si>
  <si>
    <t>(79)3194-7208</t>
  </si>
  <si>
    <t>cephu@ufs.br</t>
  </si>
  <si>
    <t>The Effect of Hypopressive Exercises original method on improving Rectus Abdominal Diastasis Adbominal Dysfunction and Pevic Floor Complaints in postpartum women: Randomized Clinical Trial</t>
  </si>
  <si>
    <t>U1111-1283-6043</t>
  </si>
  <si>
    <t>Unspecified urinary incontinence</t>
  </si>
  <si>
    <t>muscle diastase</t>
  </si>
  <si>
    <t>Sara Emmanuela Moreira</t>
  </si>
  <si>
    <t>+55(34)3218-2901</t>
  </si>
  <si>
    <t>semoreira@ufu.br</t>
  </si>
  <si>
    <t>Neural and biomechanical mechanisms associated with changes in functional mobility after an Intensive Task-Oriented Training protocol in children and adolescents with Cerebral Palsy</t>
  </si>
  <si>
    <t>10/18/2022</t>
  </si>
  <si>
    <t>U1111-1280-4033</t>
  </si>
  <si>
    <t>Nervous System Diseases</t>
  </si>
  <si>
    <t>Isabella Pessóta Sudati</t>
  </si>
  <si>
    <t>São Carlos / Brasil</t>
  </si>
  <si>
    <t>isabellasudati@estudante.ufscar.br</t>
  </si>
  <si>
    <t>Effects of Ketamine s (+) on PSI-SEDLine Electroencephalogram and Sedation Levels</t>
  </si>
  <si>
    <t>12/21/2022</t>
  </si>
  <si>
    <t>U1111-1281-6949</t>
  </si>
  <si>
    <t>Conscious Sedation</t>
  </si>
  <si>
    <t>Comparison of the Effect of two Suturing Techniques on inflammatory signs after Extraction of mandibular Third molars</t>
  </si>
  <si>
    <t>U1111-1281-1024</t>
  </si>
  <si>
    <t>Trismus</t>
  </si>
  <si>
    <t>Éwerton Daniel Rocha Rodrigues</t>
  </si>
  <si>
    <t>+55 (81) 31847659</t>
  </si>
  <si>
    <t>ewertondaniel27@hotmail.com</t>
  </si>
  <si>
    <t>Evaluation of the impact of the use of Therapeutic Footwear on the foot of people with type 2 Diabetes Mellitus</t>
  </si>
  <si>
    <t>12/19/2022</t>
  </si>
  <si>
    <t>U1111-1283-9335</t>
  </si>
  <si>
    <t>Chronic diseases</t>
  </si>
  <si>
    <t>Juliana Vallim Jorgetto Santos</t>
  </si>
  <si>
    <t>São paulo</t>
  </si>
  <si>
    <t>+55 19-36235061</t>
  </si>
  <si>
    <t>julianavallim26@gmail.com</t>
  </si>
  <si>
    <t>Evaluation of the use of alkalized Lidocaine in endotracheal tube cuff inflation in patients undergoing thyroidectomy surgery</t>
  </si>
  <si>
    <t>U1111-1284-8804</t>
  </si>
  <si>
    <t>Intratracheal Intubation</t>
  </si>
  <si>
    <t>Airway Management</t>
  </si>
  <si>
    <t>Plinio da Cunha Leal</t>
  </si>
  <si>
    <t>São Luís</t>
  </si>
  <si>
    <t>+55 (98) 3216-8113</t>
  </si>
  <si>
    <t>pliniocunhaleal@hotmail.com</t>
  </si>
  <si>
    <t>Hospital São Domingos</t>
  </si>
  <si>
    <t>The searching for novel biomarkers for the diagnosis of peri-implant diseases using proteomic approaches</t>
  </si>
  <si>
    <t>U1111-1280-3175</t>
  </si>
  <si>
    <t>Peri-Implantitis</t>
  </si>
  <si>
    <t>Dental implants</t>
  </si>
  <si>
    <t>Maurício Guimarães Araújo</t>
  </si>
  <si>
    <t>+55(44)30119052</t>
  </si>
  <si>
    <t>odomar@hotmail.com</t>
  </si>
  <si>
    <t>Universidade Estadual de Maringá</t>
  </si>
  <si>
    <t>Effectiveness of sports stars Brazil on activity participation and physical literacy in children and adolescents with autism spectrum disorder : a randomized controlled trial</t>
  </si>
  <si>
    <t>U1111-1279-6311</t>
  </si>
  <si>
    <t>Autism Spectrum Disorder</t>
  </si>
  <si>
    <t>Mental disorders</t>
  </si>
  <si>
    <t>Hércules Ribeiro Leite</t>
  </si>
  <si>
    <t>herculesdtnaa@gmail.com</t>
  </si>
  <si>
    <t>Escola de Educação Física,Fisioterapia e Terapia Ocupacional - Universidade Federal de Minas Gerais</t>
  </si>
  <si>
    <t>A double-blind randomized placebo-controlled study to evaluate the efficacy of Eclipta prostrata (L.) L. in the treatment of atopic dermatitis in children above 2 years old</t>
  </si>
  <si>
    <t>12/16/2022</t>
  </si>
  <si>
    <t>U1111-1284-4673</t>
  </si>
  <si>
    <t>Atopic dermatits</t>
  </si>
  <si>
    <t>Skin Diseases,Genetic</t>
  </si>
  <si>
    <t>Effectiveness of a simulated environment on the knowledge and skills of healthcare students</t>
  </si>
  <si>
    <t>12/15/2022</t>
  </si>
  <si>
    <t>Pressure Ulcer</t>
  </si>
  <si>
    <t>Franciane Silva Luiz</t>
  </si>
  <si>
    <t>+55 32 99162-0826</t>
  </si>
  <si>
    <t>francianesilvaluiz@gmail.com</t>
  </si>
  <si>
    <t>Universidade Federal de Juiz de Fora</t>
  </si>
  <si>
    <t>Effects of a online Mindfulness-based stress reduction program in individuals with chronic low back pain</t>
  </si>
  <si>
    <t>U1111-1280-6860</t>
  </si>
  <si>
    <t>Alessandra Mussi Ribeiro</t>
  </si>
  <si>
    <t>Santos</t>
  </si>
  <si>
    <t>+55(13)991351811</t>
  </si>
  <si>
    <t>alessandra.ribeiro@unifesp.br</t>
  </si>
  <si>
    <t>Efficacy of Hypnosis in the management of chronic pain related to Fibromyalgia (HYP-FIBRO)</t>
  </si>
  <si>
    <t>12/14/2022</t>
  </si>
  <si>
    <t>U1111-1285-1279</t>
  </si>
  <si>
    <t>fibromyalgia</t>
  </si>
  <si>
    <t>Musculoskeletal Diseases</t>
  </si>
  <si>
    <t>Daniela Caputo Dorta</t>
  </si>
  <si>
    <t>Salvador</t>
  </si>
  <si>
    <t>+55(71)3176-2234</t>
  </si>
  <si>
    <t>danicdorta@hotmail.com</t>
  </si>
  <si>
    <t>Fundação Oswaldo Cruz - Instituto Gonçalo Muniz</t>
  </si>
  <si>
    <t>Analysis of motor and functional performance of people with Spinocerebellar Ataxia during tasks practice in real and virtual environments: a cross-sectional study</t>
  </si>
  <si>
    <t>U1111-1283-6888</t>
  </si>
  <si>
    <t>Spinocerebellar Ataxias</t>
  </si>
  <si>
    <t>Cerebelar Ataxia</t>
  </si>
  <si>
    <t>Carlos Bandeira de Mello Monteiro</t>
  </si>
  <si>
    <t>+55(11)3091-8403</t>
  </si>
  <si>
    <t>carlosmonteiro@usp.br</t>
  </si>
  <si>
    <t>Conservative versus surgical treatment of grade III acromioclavicular dislocations: prospective and randomized study</t>
  </si>
  <si>
    <t>12/13/2022</t>
  </si>
  <si>
    <t>U1111-1274-8702</t>
  </si>
  <si>
    <t>Dislocation of the acromioclavicular joint</t>
  </si>
  <si>
    <t>Shoulder injuries</t>
  </si>
  <si>
    <t>Paulo Henrique Schmidt Lara</t>
  </si>
  <si>
    <t>5511 3003-2442</t>
  </si>
  <si>
    <t>phslara@gmail.com</t>
  </si>
  <si>
    <t>Centro de Traumatologia do Esporte da Escola Paulista de Medicina</t>
  </si>
  <si>
    <t>Implementation of a pharmacotherapeutic service in primary care</t>
  </si>
  <si>
    <t>U1111-1268-9823</t>
  </si>
  <si>
    <t>Pharmacy Service</t>
  </si>
  <si>
    <t>Evaluation of the effect of Resistance Training on myofascial force transmission between latissimus dorsi and gluteus maximus</t>
  </si>
  <si>
    <t>U1111-1283-6117</t>
  </si>
  <si>
    <t>Back Muscles</t>
  </si>
  <si>
    <t>Muscles</t>
  </si>
  <si>
    <t>Barbara Alice Junqueira Murta</t>
  </si>
  <si>
    <t>+55(31)3409-7409</t>
  </si>
  <si>
    <t>barbaramurta@ufmg.br</t>
  </si>
  <si>
    <t>Clinical evaluation of restorations in anterior teeth using composites with various levels of translucency: randomized clinical trial</t>
  </si>
  <si>
    <t>U1111-1277-2395</t>
  </si>
  <si>
    <t>Dental Caries</t>
  </si>
  <si>
    <t>Carlos Rocha Gomes Torres</t>
  </si>
  <si>
    <t>carlosrgt@gmail.com</t>
  </si>
  <si>
    <t>Instituto de Ciência e Tecnologia da Universidade Estadual Paulista de São José dos Campos</t>
  </si>
  <si>
    <t>Randomized-controlled trial of the effectiveness of Genicular nerve block image guided with Phenol for the treatment of Chronic Knee Pain due to Knee Ostheoarthritis</t>
  </si>
  <si>
    <t>U1111-1285-7166</t>
  </si>
  <si>
    <t>Knee Ostheoarthritis</t>
  </si>
  <si>
    <t>Ostheoarthritis</t>
  </si>
  <si>
    <t>Leonardo da Cunha Ferraro</t>
  </si>
  <si>
    <t>+55 011 99951-6103</t>
  </si>
  <si>
    <t>leohcferraro1@hotmail.com</t>
  </si>
  <si>
    <t>Effectiveness of Omega 3 supplementation on strength and muscle mass in healthy adults</t>
  </si>
  <si>
    <t>U1111-1284-7632</t>
  </si>
  <si>
    <t>Muscle development</t>
  </si>
  <si>
    <t>Heloisa C. Castanheira Santo André</t>
  </si>
  <si>
    <t>Limeira</t>
  </si>
  <si>
    <t>+55 (19) 3701-6730</t>
  </si>
  <si>
    <t>h169547@dac.unicamp.br</t>
  </si>
  <si>
    <t>Effect of a toothpaste for sensitive teeth and repair of enamel on the sensitivity and effectiveness of in-office dental bleaching</t>
  </si>
  <si>
    <t>U1111-1281-1613</t>
  </si>
  <si>
    <t>Stained enamel</t>
  </si>
  <si>
    <t>Doenças Dentárias</t>
  </si>
  <si>
    <t>Michelle Azeredo Américo</t>
  </si>
  <si>
    <t>Canoas</t>
  </si>
  <si>
    <t>michelleazeredo77@gmail.com</t>
  </si>
  <si>
    <t>Universidade Luterana do Brasil</t>
  </si>
  <si>
    <t>Effectiveness of Physical Therapy matrix support in primary health care: a randomized clinical trial</t>
  </si>
  <si>
    <t>U1111-1281-6769</t>
  </si>
  <si>
    <t>Community Health Workers</t>
  </si>
  <si>
    <t>Healthy Volunteers</t>
  </si>
  <si>
    <t>Juliana Nunes Santos</t>
  </si>
  <si>
    <t>+55 (38) 3532-6977</t>
  </si>
  <si>
    <t>juliana.santos@ufvjm.edu.br</t>
  </si>
  <si>
    <t>Universidade Federal dos Vales do Jequitinhonha e Mucurí</t>
  </si>
  <si>
    <t>Evaluation of the Efficacy of Dentinic Hypersensitivity treatment using two types of Desensitizing Agents</t>
  </si>
  <si>
    <t>03/20/2019</t>
  </si>
  <si>
    <t>U1111-1226-0657</t>
  </si>
  <si>
    <t>dentin sensitivity</t>
  </si>
  <si>
    <t>Stomatognathic Diseases</t>
  </si>
  <si>
    <t>Effect of Nutritional Counseling Therapy Associated with Transcranial Direct Current Stimulation (tDCS) on body weight in individuals with obesity and major depressive disorder: a sham-controlled parallel-blind randomized clinical trial</t>
  </si>
  <si>
    <t>U1111-1280-9239</t>
  </si>
  <si>
    <t>Major depressive disorder</t>
  </si>
  <si>
    <t>depression</t>
  </si>
  <si>
    <t>Débora Kurrle Rieger Venske</t>
  </si>
  <si>
    <t>+55 (48) 3721-2894</t>
  </si>
  <si>
    <t>debora.venske@ufsc.br</t>
  </si>
  <si>
    <t>Comparative study between Medial Opening Wedge Osteotomy with Autologous versus Homologous Graft</t>
  </si>
  <si>
    <t>U1111-1280-0637</t>
  </si>
  <si>
    <t>Osteoarthritis,Knee</t>
  </si>
  <si>
    <t>Anterior Cruciate Ligament Injuries</t>
  </si>
  <si>
    <t>Osteotomy</t>
  </si>
  <si>
    <t>Rafael Erthal de Paula</t>
  </si>
  <si>
    <t>erthalortopedia@gmail.com</t>
  </si>
  <si>
    <t>Instituto Nacional de Traumatologia e Ortopedia Jamil Haddad</t>
  </si>
  <si>
    <t>Effect of Transcutaneous Electrical Stimulation of the Vagus Nerve combined with Osteopathic Global Treatment in women with Fibromyalgia: clinical trial randomized controlled</t>
  </si>
  <si>
    <t>11/30/2022</t>
  </si>
  <si>
    <t>U1111-1283-2834</t>
  </si>
  <si>
    <t>Myalgia</t>
  </si>
  <si>
    <t>Daiana Cristina Salm</t>
  </si>
  <si>
    <t>Palhoça</t>
  </si>
  <si>
    <t>+55(48)984907241</t>
  </si>
  <si>
    <t>daianasalm@hotmail.com</t>
  </si>
  <si>
    <t>Universidade do Sul de Santa Catarina</t>
  </si>
  <si>
    <t>Primary Care after COVID-19: creation of a Mobile Application for the development of health actions</t>
  </si>
  <si>
    <t>11/23/2022</t>
  </si>
  <si>
    <t>U1111-1284-5467</t>
  </si>
  <si>
    <t>Arterial Hypertension</t>
  </si>
  <si>
    <t>Noncommunicable Chronic Diseases</t>
  </si>
  <si>
    <t>Emily Ferreira</t>
  </si>
  <si>
    <t>Viçosa</t>
  </si>
  <si>
    <t>+55(31)36121081</t>
  </si>
  <si>
    <t>emily.s.ferreira@ufv.br</t>
  </si>
  <si>
    <t>Universidade Federal de Viçosa</t>
  </si>
  <si>
    <t>Assessment of dental sensitivity presence and intensity after dental bleaching associated or not to desensitizing methods</t>
  </si>
  <si>
    <t>11/28/2022</t>
  </si>
  <si>
    <t>U1111-1282-2227</t>
  </si>
  <si>
    <t>Dental Sensitivity</t>
  </si>
  <si>
    <t>Tooth discoloration</t>
  </si>
  <si>
    <t>Letícia Monteiro Peixoto</t>
  </si>
  <si>
    <t>Vitória</t>
  </si>
  <si>
    <t>+55 (27) 999051903</t>
  </si>
  <si>
    <t>leticia.m.peixoto@hotmail.com</t>
  </si>
  <si>
    <t>Universidade Federal do Espírito Santo</t>
  </si>
  <si>
    <t>Effectiveness of nutritional supplementation in the prevention and treatment of anemia in socially vulnerable children</t>
  </si>
  <si>
    <t>11/27/2022</t>
  </si>
  <si>
    <t>U1111-1283-4004</t>
  </si>
  <si>
    <t>Iron deficiency anemia</t>
  </si>
  <si>
    <t>Anemia</t>
  </si>
  <si>
    <t>Ana Paula Grotti Clemente</t>
  </si>
  <si>
    <t>anagrotticlemente@gmail.com</t>
  </si>
  <si>
    <t>Universidade Federal de Alagoas</t>
  </si>
  <si>
    <t>Marginal Bone Level Assessment of Additive-Manufactured Titanium Implants at 30 and 90 Days: 1-year non-inferiority within-subject randomized clinical trial</t>
  </si>
  <si>
    <t>11/25/2022</t>
  </si>
  <si>
    <t>U1111-1285-0095</t>
  </si>
  <si>
    <t>Loss of teeth due to accident,extraction or localized periodontal diseases</t>
  </si>
  <si>
    <t>Other disorders of the teeth and their supporting structures</t>
  </si>
  <si>
    <t>Giuseppe Alexandre Romito</t>
  </si>
  <si>
    <t>+55(11)30917868</t>
  </si>
  <si>
    <t>garomito@usp.br</t>
  </si>
  <si>
    <t>High Frequency Chest Wall Oscillation Therapy use in infants: feasibility study for a randomized controlled trial</t>
  </si>
  <si>
    <t>U1111-1282-9381</t>
  </si>
  <si>
    <t>Infant</t>
  </si>
  <si>
    <t>Treatment Adherence and Compliance</t>
  </si>
  <si>
    <t>Karolinne Souza Monteiro</t>
  </si>
  <si>
    <t>Santa Cruz</t>
  </si>
  <si>
    <t>+55(84)33422287</t>
  </si>
  <si>
    <t>smkarolinne@gmail.com</t>
  </si>
  <si>
    <t>Faculdade de Ciências da Saúde do Trairí (FACISA) - Universidade Federal do Rio Grande do Norte (UFRN)</t>
  </si>
  <si>
    <t>Effects of Electromassage in adults with bruxism: a randomized clinical trial controlled</t>
  </si>
  <si>
    <t>11/24/2022</t>
  </si>
  <si>
    <t>U1111-1277-8934</t>
  </si>
  <si>
    <t>Bruxism</t>
  </si>
  <si>
    <t>Temporomandibular joint disorders</t>
  </si>
  <si>
    <t>Raciele Ivandra Guarda Korelo</t>
  </si>
  <si>
    <t>+55 (41) 3360-4330</t>
  </si>
  <si>
    <t>raciele@ufpr.br</t>
  </si>
  <si>
    <t>Mindfulness self-compassion and associated factors in the context of parenting: a study protocol for a randomized clinical trial</t>
  </si>
  <si>
    <t>U1111-1284-0878</t>
  </si>
  <si>
    <t>Depression</t>
  </si>
  <si>
    <t>anxiety</t>
  </si>
  <si>
    <t>Parenting</t>
  </si>
  <si>
    <t>Luana Dias Santiago Pimenta</t>
  </si>
  <si>
    <t>João Pessoa</t>
  </si>
  <si>
    <t>neurofamilialecopsi@gmail.com</t>
  </si>
  <si>
    <t>Universidade Federal da Paraíba</t>
  </si>
  <si>
    <t>Latarjet Surgery: a prospective comparison of the fixation of the screw with and without washer</t>
  </si>
  <si>
    <t>U1111-1285-2519</t>
  </si>
  <si>
    <t>Shoulder joint dislocation</t>
  </si>
  <si>
    <t>Other joint instabilities</t>
  </si>
  <si>
    <t>Leandro Masini Ribeiro</t>
  </si>
  <si>
    <t>lemasini@yahoo.com.br</t>
  </si>
  <si>
    <t>Centro de Traumatologia do Esporte</t>
  </si>
  <si>
    <t>Effectiveness and safety of Dolutegravir among treatment-experienced children aged 6 to 12 years: a multicenter observational study in Brazil</t>
  </si>
  <si>
    <t>U1111-1269-4324</t>
  </si>
  <si>
    <t>Human Immunodeficiency Virus 1,resulting in infectious and parasitic diseases</t>
  </si>
  <si>
    <t>Jorge A. Pinto</t>
  </si>
  <si>
    <t>+55 (31)34099822</t>
  </si>
  <si>
    <t>jpinto@medicina.ufmg.br</t>
  </si>
  <si>
    <t>Faculdade de Medicina,Universidade Federal de Minas Gerais/UFMG</t>
  </si>
  <si>
    <t>Development evaluation and effectiveness of an mHealth-type intervention based on Compassion-Focused Therapy for mental health prevention among Brazilian university students</t>
  </si>
  <si>
    <t>U1111-1284-3386</t>
  </si>
  <si>
    <t>Behavioral Symptoms</t>
  </si>
  <si>
    <t>Bruno Luis Schaab</t>
  </si>
  <si>
    <t>+55 51 99474493</t>
  </si>
  <si>
    <t>bruno.schaab@ufcspa.edu.br</t>
  </si>
  <si>
    <t>Universidade Federal de Ciências da Saúde de Porto Alegre</t>
  </si>
  <si>
    <t>SPORTS STARS Brasil: The effectiveness of a sport-centered group intervention for children and adolescents with Cerebral Palsy with or without context-focused therapy</t>
  </si>
  <si>
    <t>10/19/2021</t>
  </si>
  <si>
    <t>U1111-1256-4998</t>
  </si>
  <si>
    <t>cerebral palsy</t>
  </si>
  <si>
    <t>55 31 34092303</t>
  </si>
  <si>
    <t>The effect of Photobiomodulation Therapy in the treatment of Radiotherapy-induced Trismus in Head and Neck Cancer patients</t>
  </si>
  <si>
    <t>11/22/2022</t>
  </si>
  <si>
    <t>U1111-1284-4297</t>
  </si>
  <si>
    <t>Head and Neck Neoplasms</t>
  </si>
  <si>
    <t>Antonio Nocchi Kalil</t>
  </si>
  <si>
    <t>+55 (51) 3214-8363</t>
  </si>
  <si>
    <t>observership@santacasa.org.br</t>
  </si>
  <si>
    <t>Irmandade Santa Casa de Misericórdia de Porto Alegre</t>
  </si>
  <si>
    <t>Transcranial Direct Current Stimulation and the potential therapeutic approach in different populations</t>
  </si>
  <si>
    <t>U1111-1275-7256</t>
  </si>
  <si>
    <t>Nervous system diseases</t>
  </si>
  <si>
    <t>Rodrigo Pegado de Abreu Freitas</t>
  </si>
  <si>
    <t>+55(84)33422385</t>
  </si>
  <si>
    <t>rodrigopegado@gmail.com</t>
  </si>
  <si>
    <t>Efficacy of Cardiac Rehabilitation after Acute Myocardial Infarction: Randomized Clinical Trial</t>
  </si>
  <si>
    <t>U1111-1272-3590</t>
  </si>
  <si>
    <t>Myocardial Infarction</t>
  </si>
  <si>
    <t>Coronary Disease</t>
  </si>
  <si>
    <t>Hospital Universitário Onofre Lopes</t>
  </si>
  <si>
    <t>+55 (84) 3342-5000</t>
  </si>
  <si>
    <t>Huol@ebserh.gov.br</t>
  </si>
  <si>
    <t>Alteration of Hemolysis markers in Packed Red Blood Cell Transfusion using PICC in newborns: randomized clinical trial</t>
  </si>
  <si>
    <t>U1111-1281-0666</t>
  </si>
  <si>
    <t>hemolysis</t>
  </si>
  <si>
    <t>Transfusion Reaction</t>
  </si>
  <si>
    <t>Mitzy Tannia Reichembach Danski</t>
  </si>
  <si>
    <t>+55(41) 3360-5000</t>
  </si>
  <si>
    <t>profa.mitzy@ufpr.br</t>
  </si>
  <si>
    <t>Universidade Federal do Paraná - Jardim Botânico</t>
  </si>
  <si>
    <t>Impact of an individualized Therapeutic Exercise Protocol on Heart Rate Variability in the postoperative Heart Surgery: Randomized controlled clinical trial</t>
  </si>
  <si>
    <t>11/21/2022</t>
  </si>
  <si>
    <t>U1111-1278-7676</t>
  </si>
  <si>
    <t>Myocardial Revascularization</t>
  </si>
  <si>
    <t>Cardiac Surgery</t>
  </si>
  <si>
    <t>Mariane Oliveira Ribeiro</t>
  </si>
  <si>
    <t>+55(98)21091000</t>
  </si>
  <si>
    <t>marianeoliveirar@outlook.com</t>
  </si>
  <si>
    <t>Hospital universitário da Universidade Federal do Maranhão (HUUFMA)</t>
  </si>
  <si>
    <t>Effects of Physical Exercise on Cognition Creative Thinking and Occupational Performance in childrens and adults</t>
  </si>
  <si>
    <t>U1111-1283-6519</t>
  </si>
  <si>
    <t>Cognition</t>
  </si>
  <si>
    <t>Mental Processes</t>
  </si>
  <si>
    <t>Adriene Damasceno Seabra</t>
  </si>
  <si>
    <t>+55913201 8892</t>
  </si>
  <si>
    <t>adalseabra@gmail.com</t>
  </si>
  <si>
    <t>Faculdade de Fisioterapia e Terapia Ocupacional da Universidade Federal do Pará</t>
  </si>
  <si>
    <t>Effectiveness of a mobile device Application on glycated hemoglobin in elderly people with Type 2 Diabetes Mellitus: a randomized clinical trial</t>
  </si>
  <si>
    <t>U1111-1284-1609</t>
  </si>
  <si>
    <t>Comitê de ética em Pesquisa da Faculdade de Ceilândia da Universidade de Brasília</t>
  </si>
  <si>
    <t>Ceilândia</t>
  </si>
  <si>
    <t>+55 (61)3107-8434</t>
  </si>
  <si>
    <t>cep.fce@gmail.com</t>
  </si>
  <si>
    <t>Universidade de Brasília - Faculdade de Ceilândia</t>
  </si>
  <si>
    <t>Evaluation of the influence of intermittent fasting on caloric ingestion body and nutrition composition hunger and saciety and hormonal parameters in healthy women: a prospective cross cohort study</t>
  </si>
  <si>
    <t>11/19/2022</t>
  </si>
  <si>
    <t>U1111-1267-1724</t>
  </si>
  <si>
    <t>Daniela Caetano Gonçalves</t>
  </si>
  <si>
    <t>+55(13)35122700</t>
  </si>
  <si>
    <t>daniela.caetano@unifesp.br</t>
  </si>
  <si>
    <t>Functional capacity and fatigue levels in children and adolescents undergoing Oncological treatment submitted to a Physical Activity Protocol</t>
  </si>
  <si>
    <t>11/18/2022</t>
  </si>
  <si>
    <t>U1111-1284-3093</t>
  </si>
  <si>
    <t>Therapeutics</t>
  </si>
  <si>
    <t>Adolescent</t>
  </si>
  <si>
    <t>Cancer</t>
  </si>
  <si>
    <t>Licelli Amante Cardoso</t>
  </si>
  <si>
    <t>+55(048)37219217</t>
  </si>
  <si>
    <t>licelli.amante.cardoso@gmail.com</t>
  </si>
  <si>
    <t>Use of complete denture conventional bimaxillary during sleep and its influence in degree of apnea quality of sleep and life quality: blind randomized controlled clinical trial</t>
  </si>
  <si>
    <t>U1111-1257-0514</t>
  </si>
  <si>
    <t>obstructive sleep apnea</t>
  </si>
  <si>
    <t>Respiratory tract diseases</t>
  </si>
  <si>
    <t>Sandra Lúcia Dantas Moraes</t>
  </si>
  <si>
    <t>sandra.moraes@upe.br</t>
  </si>
  <si>
    <t>Universidade de Pernambuco</t>
  </si>
  <si>
    <t>Controlled and randomized clinical study of the effect of Orofacial Myotherapy associated with Photobiomodulation in elderly with presbyphagia</t>
  </si>
  <si>
    <t>U1111-1280-4245</t>
  </si>
  <si>
    <t>Dysphagia</t>
  </si>
  <si>
    <t>Juliana Gonzalez Diaz</t>
  </si>
  <si>
    <t>+55 (13) 32234213</t>
  </si>
  <si>
    <t>gonzalezdiazjuliana@gmail.com</t>
  </si>
  <si>
    <t>Universidade Federal de São Paulo - Campus Baixada Santista</t>
  </si>
  <si>
    <t>Intervention for health promotion and obesity prevention in Generation C children in the school environment (Daycare Centers: Place of Play &amp; Health): a cluster randomized controlled study</t>
  </si>
  <si>
    <t>11/17/2022</t>
  </si>
  <si>
    <t>U1111-1281-3126</t>
  </si>
  <si>
    <t>Body Weight</t>
  </si>
  <si>
    <t>Dixis Pedraza</t>
  </si>
  <si>
    <t>Campina Grande</t>
  </si>
  <si>
    <t>+55(83)33153300</t>
  </si>
  <si>
    <t>dixisfigueroa@gmail.com</t>
  </si>
  <si>
    <t>Universidade Estadual da Paraíba</t>
  </si>
  <si>
    <t>Effects of Visceral Manipulation associated or not with Structural Techniques on pain range of motion activation and muscle strength of individuals with knee Osteoarthritis: A randomized clinical trial</t>
  </si>
  <si>
    <t>U1111-1284-9108</t>
  </si>
  <si>
    <t>Knee Osteoarthritis</t>
  </si>
  <si>
    <t>Arthropathies</t>
  </si>
  <si>
    <t>Ronaldo Valdir Briani</t>
  </si>
  <si>
    <t>Presidente Prudente</t>
  </si>
  <si>
    <t>+55 18 981670969</t>
  </si>
  <si>
    <t>ronaldobriani@unesp.br</t>
  </si>
  <si>
    <t>Faculdade de Ciências e Tecnologia do Campus de Presidente Prudente</t>
  </si>
  <si>
    <t>Cardiorespiratory capacity symptomatic and socioeconomic profile of adult patients after one year or more of COVID-19 infection: a cross-sectional study</t>
  </si>
  <si>
    <t>11/16/2022</t>
  </si>
  <si>
    <t>U1111-1281-9597</t>
  </si>
  <si>
    <t>Pontificia Universidade Católica de Campinas</t>
  </si>
  <si>
    <t>comitedeetica@puc-campinas.edu.br</t>
  </si>
  <si>
    <t>Pontifícia Universidade Católica de Campinas</t>
  </si>
  <si>
    <t>Elaboration and acceptance of a product based on nanoencapsulated cocoa with goat whey protein concentrate and evaluation of its functional properties in human health</t>
  </si>
  <si>
    <t>U1111-1280-0062</t>
  </si>
  <si>
    <t>Muscle contraction</t>
  </si>
  <si>
    <t>Thiago da Silveira Alvares</t>
  </si>
  <si>
    <t>Macaé</t>
  </si>
  <si>
    <t>+55(22)21414091</t>
  </si>
  <si>
    <t>alvares@macae.ufrj.br</t>
  </si>
  <si>
    <t>Universidade Federal do Rio de Janeiro</t>
  </si>
  <si>
    <t>Effect of Dual-Wavelength Photobiomodulation on tissue healing of Connective Tissue Graft Donor Areas</t>
  </si>
  <si>
    <t>U1111-1281-2428</t>
  </si>
  <si>
    <t>Gingival recessions</t>
  </si>
  <si>
    <t>Wound and Injuries</t>
  </si>
  <si>
    <t>Guilherme José Pimentel Lopes Oliveira</t>
  </si>
  <si>
    <t>Uberlandia</t>
  </si>
  <si>
    <t>+55(34)32258132</t>
  </si>
  <si>
    <t>guilherme.lopesoliveira@ufu.br</t>
  </si>
  <si>
    <t>Effectiveness of Photobiomodulation Therapy on Pain during breastfeeding: a randomized clinical trial</t>
  </si>
  <si>
    <t>U1111-1284-7340</t>
  </si>
  <si>
    <t>Beatriz Boleta Fernandes</t>
  </si>
  <si>
    <t>+55 (016) 3315-3381</t>
  </si>
  <si>
    <t>bboletaf@usp.br</t>
  </si>
  <si>
    <t>Escola de Enfermagem de Ribeirão Preto</t>
  </si>
  <si>
    <t>Development of a Cost-effective Corticosteroids Protocol in the postoperative Cataract Surgery</t>
  </si>
  <si>
    <t>U1111-1284-6644</t>
  </si>
  <si>
    <t>Inflammation</t>
  </si>
  <si>
    <t>Cataract Extraction</t>
  </si>
  <si>
    <t>João Crispim Moraes Lima Ribeiro</t>
  </si>
  <si>
    <t>+55(85)32658100</t>
  </si>
  <si>
    <t>joaocrisp@gmail.com</t>
  </si>
  <si>
    <t>Universitary Center Christus (Centro Universitário Christus - Unichristus)</t>
  </si>
  <si>
    <t>Effectiveness of Zinc supplementation on Dysgeusia in patients with Head and Neck Cancer submitted to Radiotherapy: a randomized clinical test protocol</t>
  </si>
  <si>
    <t>U1111-1275-5979</t>
  </si>
  <si>
    <t>Dysgeusia</t>
  </si>
  <si>
    <t>Radiotherapy</t>
  </si>
  <si>
    <t>Kleyton Santos Medeiros</t>
  </si>
  <si>
    <t>+55 - (84) 99902-6430</t>
  </si>
  <si>
    <t>kleyton_medeiros@hotmail.com</t>
  </si>
  <si>
    <t>Liga Norte Riograndense Contra o Câncer</t>
  </si>
  <si>
    <t>Antibiotic prophylaxis with Levofloxacin in chemotherapy induction in children with Acute Lymphoblastic Leukemia - a randomized clinical trial</t>
  </si>
  <si>
    <t>U1111-1284-1338</t>
  </si>
  <si>
    <t>Acute lymphoblastic leukemia</t>
  </si>
  <si>
    <t>Precursor Cell Lymphoblastic Leukemia-Lymphoma</t>
  </si>
  <si>
    <t>Mauro Cesar Dufrayer</t>
  </si>
  <si>
    <t>mauro.dufrayer@santacasa.org.br</t>
  </si>
  <si>
    <t>Hospital de Clínicas de Porto Alegre</t>
  </si>
  <si>
    <t>Effects of the Animal Fun Program on motor and psychosocial performance in children aged between 4 and 6 years</t>
  </si>
  <si>
    <t>U1111-1282-8831</t>
  </si>
  <si>
    <t>Psychomotor Performance</t>
  </si>
  <si>
    <t>child development</t>
  </si>
  <si>
    <t>Cristina dos Santos Cardoso de Sá</t>
  </si>
  <si>
    <t>+55 13 3512-2700</t>
  </si>
  <si>
    <t>cristina.sa@unifesp.br</t>
  </si>
  <si>
    <t>Effect of Dual-Wavelength Photobiomodulation on tissue healing after Root Coverage associated with different Soft Tissue Substitutes. A clinical controlled randomized study</t>
  </si>
  <si>
    <t>11/14/2022</t>
  </si>
  <si>
    <t>U1111-1281-2320</t>
  </si>
  <si>
    <t>Clinical evaluation of Restorations in Anterior Teeth with Composite Resin using the cloud shades concept: randomized clinical trial</t>
  </si>
  <si>
    <t>U1111-1281-4480</t>
  </si>
  <si>
    <t>Development and evaluation of a positive psychology based intervention: Flourishing/Florescer Program</t>
  </si>
  <si>
    <t>09/23/2022</t>
  </si>
  <si>
    <t>U1111-1281-0808</t>
  </si>
  <si>
    <t>Depressive Symptoms</t>
  </si>
  <si>
    <t>Homero  Pinto Vallada Filho</t>
  </si>
  <si>
    <t>hvallada@usp.br</t>
  </si>
  <si>
    <t>Faculdade de Medicina da Universidade de São Paulo - FMUSP</t>
  </si>
  <si>
    <t>Influence of the use of premedication on peg asparaginase activity in children undergoing treatment for acute leukemia</t>
  </si>
  <si>
    <t>U1111-1258-2594</t>
  </si>
  <si>
    <t>Acute Lymphoblastic Leukemia</t>
  </si>
  <si>
    <t>Lymphoid Leukemia</t>
  </si>
  <si>
    <t>Daiane Keller Cecconello</t>
  </si>
  <si>
    <t>daia_cecconello@hotmail.com</t>
  </si>
  <si>
    <t>Universidade Federal do Rio Grande do Sul</t>
  </si>
  <si>
    <t>Effects of the association of Constraint Induced Therapy and the Brain Interface Machine in the functionality of the severely upper limb affected by Stroke: clinical controlled randomized blinded trial</t>
  </si>
  <si>
    <t>U1111-1282-2326</t>
  </si>
  <si>
    <t>Upper Extremity</t>
  </si>
  <si>
    <t>Stroke,not specified as hemorrhagic or ischemic</t>
  </si>
  <si>
    <t>Gabriela da Silva Matuti</t>
  </si>
  <si>
    <t>Guarulhos</t>
  </si>
  <si>
    <t>gabrielamatuti@hotmail.com</t>
  </si>
  <si>
    <t>Associação de Assistência a Criança Deficiente</t>
  </si>
  <si>
    <t>Diseases of the blood and blood-forming organs and certain disorders involving the immune mechanism</t>
  </si>
  <si>
    <t>Transcranial Direct Current Electrostimulation for chronic pain relief in individuals with Endometriosis: a randomized controlled clinical trial</t>
  </si>
  <si>
    <t>U1111-1284-0467</t>
  </si>
  <si>
    <t>Endometriosis</t>
  </si>
  <si>
    <t>Pelvic Pain</t>
  </si>
  <si>
    <t>Maria Thereza Micussi</t>
  </si>
  <si>
    <t>therezamicussi@yahoo.com.br</t>
  </si>
  <si>
    <t>Comparison of volume load progression models in Resistance training in strength gains and muscle hypertrophy: a within-subject randomized controlled trial</t>
  </si>
  <si>
    <t>U1111-1283-2662</t>
  </si>
  <si>
    <t>Muscle strength</t>
  </si>
  <si>
    <t>Musculoskeletal and Neural Physiological Phenomena</t>
  </si>
  <si>
    <t>Cleiton Augusto Libardi</t>
  </si>
  <si>
    <t>+55(16) 3351-9574</t>
  </si>
  <si>
    <t>libardi.cleiton@gmail.com</t>
  </si>
  <si>
    <t>HOTFy: randomised clinical trial to Hyperbaric Oxygen Therapy in Fibromyalgia</t>
  </si>
  <si>
    <t>06/17/2022</t>
  </si>
  <si>
    <t>U1111-1278-3224</t>
  </si>
  <si>
    <t>Other soft tissue disorders,not elsewhere classified</t>
  </si>
  <si>
    <t>Jose da Mota Neto</t>
  </si>
  <si>
    <t>+55(32)999120909</t>
  </si>
  <si>
    <t>jose.jmota@ebserh.gov.br</t>
  </si>
  <si>
    <t>Virtual Reality in the management of Chronic Neck Pain: a pilot study</t>
  </si>
  <si>
    <t>U1111-1282-9687</t>
  </si>
  <si>
    <t>Neck pain</t>
  </si>
  <si>
    <t>Universidade Regional de Blumenau</t>
  </si>
  <si>
    <t>Blumenau</t>
  </si>
  <si>
    <t>(47) 3321-0200</t>
  </si>
  <si>
    <t>fisioterapia@furb.br</t>
  </si>
  <si>
    <t>Effects of different tissue stimuli on functional behavior and motor action</t>
  </si>
  <si>
    <t>U1111-1283-7147</t>
  </si>
  <si>
    <t>Rodrigo Antônio Carvalho Andraus</t>
  </si>
  <si>
    <t>Londrina</t>
  </si>
  <si>
    <t>+55(43)3371-9849</t>
  </si>
  <si>
    <t>rodrigo.andraus@kroton.com.br</t>
  </si>
  <si>
    <t>Universidade Norte do Paraná</t>
  </si>
  <si>
    <t>Effect of Resistance Training on Heart Rate Variability Health Parameters Functional Parameters and Cognitive Parameters in the elderly</t>
  </si>
  <si>
    <t>U1111-1283-3944</t>
  </si>
  <si>
    <t>Postmenopause</t>
  </si>
  <si>
    <t>Menopause</t>
  </si>
  <si>
    <t>Anselmo Athayde Costa e Silva</t>
  </si>
  <si>
    <t>+55 (091) 3201-6828</t>
  </si>
  <si>
    <t>secretaria.ppgcmh@ufpa.br</t>
  </si>
  <si>
    <t>Universidade Federal do Pará-UFPA</t>
  </si>
  <si>
    <t>Treatment with Menadione in patients with Gastric Cancer in the Unified Health System</t>
  </si>
  <si>
    <t>U1111-1283-4366</t>
  </si>
  <si>
    <t>Neoplasms</t>
  </si>
  <si>
    <t>Rommel Rodríguez Burbano</t>
  </si>
  <si>
    <t>+55 91 3265-6600</t>
  </si>
  <si>
    <t>rommel@ufpa.br</t>
  </si>
  <si>
    <t>Hospital Ophir Loyola</t>
  </si>
  <si>
    <t>Telerehabilitation of individuals with Cystic Fibrosis</t>
  </si>
  <si>
    <t>U1111-1277-5378</t>
  </si>
  <si>
    <t>Cystic Fibrosis</t>
  </si>
  <si>
    <t>Respiratory Diseases</t>
  </si>
  <si>
    <t>Faculdade de Educação Física e Fisioterapia Faculdade de Educação Física e Fisioterapia Faculdade de Educação Física e Fisioterapia</t>
  </si>
  <si>
    <t>+55 34 3218-2928</t>
  </si>
  <si>
    <t>http://www.ppgfisio.faefi.ufu.br/</t>
  </si>
  <si>
    <t>Faculdade de Educação Fisica e Fisioterapia</t>
  </si>
  <si>
    <t>Telenursing in the promotion of self-care of women in the postoperative Breast Cancer:randomized clinical trial</t>
  </si>
  <si>
    <t>U1111-1278-7034</t>
  </si>
  <si>
    <t>Self-care</t>
  </si>
  <si>
    <t>Postoperative Care</t>
  </si>
  <si>
    <t>Maternidade Escola Assis Chateaubriand</t>
  </si>
  <si>
    <t>+55(85)33668569</t>
  </si>
  <si>
    <t>cepmeac@gmail.com</t>
  </si>
  <si>
    <t>Departamento de Enfermagem da Universidade Federal do Ceará</t>
  </si>
  <si>
    <t>Effects of Continuous Moderate Intensity Training and High Intensity Interval Training on physiological and pathological makers of Metabolic Syndrome and hepatic health in adults</t>
  </si>
  <si>
    <t>U1111-1281-4385</t>
  </si>
  <si>
    <t>Metabolic Syndrome</t>
  </si>
  <si>
    <t>obesity</t>
  </si>
  <si>
    <t>Rodrigo Gomes de Souza Vale</t>
  </si>
  <si>
    <t>+55 (22) 23340448</t>
  </si>
  <si>
    <t>rodrigovale@globo.com</t>
  </si>
  <si>
    <t>Effect of Transcranial Direct Current Stimulation associated with Gametherapy on function upper limbs reaching movement and brain activity in children with Down Syndrome: crossed placebo-controlled and double blind clinical trial</t>
  </si>
  <si>
    <t>U1111-1284-0604</t>
  </si>
  <si>
    <t>Down Syndrome</t>
  </si>
  <si>
    <t>Intellectual Disability</t>
  </si>
  <si>
    <t>Cláudia Santos Oliveira</t>
  </si>
  <si>
    <t>Anápolis</t>
  </si>
  <si>
    <t>+55(62)3310-6600</t>
  </si>
  <si>
    <t>claudia.oliveira@unievangelica.edu.br</t>
  </si>
  <si>
    <t>Universidade Evangélica de Goiás</t>
  </si>
  <si>
    <t>Effect of Adapted Ice Cream ingestion on nutritional inflammatory and oxidative stress indicators incidence of oral mucositis and quality of life of individuals with Cancer undergoing Chemotherapy: a randomized clinical trial</t>
  </si>
  <si>
    <t>01/27/2022</t>
  </si>
  <si>
    <t>U1111-1271-4927</t>
  </si>
  <si>
    <t>Nayala Lirio Gomes Gazola</t>
  </si>
  <si>
    <t>+55 (48) 3721-9164</t>
  </si>
  <si>
    <t>nayala.gazola@ebserh.gov.br</t>
  </si>
  <si>
    <t>Hospital Universitário Polydoro Ernani de São Thiago</t>
  </si>
  <si>
    <t>Clinical microbiological and immunological adjunctive effect of photodinamyc therapy in residual periodontal pockets in periodontal maintenance therapy: a split-mouth randomized controlled trial</t>
  </si>
  <si>
    <t>U1111-1274-7845</t>
  </si>
  <si>
    <t>Periodontitis. Gingivitis</t>
  </si>
  <si>
    <t>Periodontal diseases</t>
  </si>
  <si>
    <t>Fernando Oliveira Costa</t>
  </si>
  <si>
    <t>+55(31)34092427</t>
  </si>
  <si>
    <t>focperio@uol.com.br</t>
  </si>
  <si>
    <t>Effects of meditation and functional training on stress levels and its association with neurobehavioral autonomic and vascular functions in doctoral students</t>
  </si>
  <si>
    <t>U1111-1281-1312</t>
  </si>
  <si>
    <t>Psychological stress</t>
  </si>
  <si>
    <t>Departamento de Ciências Fisiológicas Centro de Ciências Biológicas Universidade Federal de Santa Catarina</t>
  </si>
  <si>
    <t>cfs@contato.ufsc.br</t>
  </si>
  <si>
    <t>Use of the patient-reported outcomes version of the common terminology criteria for adverse events (PRO-CTCAE) short version and MDASI in patients with Cancer patients submitted to oral antineoplastic medications such as Tyrosine Kinase Inhibitors: a comparative study of the 2 scales</t>
  </si>
  <si>
    <t>U1111-1276-5561</t>
  </si>
  <si>
    <t>Adverse events</t>
  </si>
  <si>
    <t>Antineoplastic Agents</t>
  </si>
  <si>
    <t>Ana Maria Teixeira Pires</t>
  </si>
  <si>
    <t>+55(11) 5576 4430</t>
  </si>
  <si>
    <t>ana.tpires67@gmail.com</t>
  </si>
  <si>
    <t>Acute effect of a Hippotherapy session on postural and functional sway in children and adolescents with Autism Spectrum Disorder: a randomized controlled clinical trial</t>
  </si>
  <si>
    <t>U1111-1282-6673</t>
  </si>
  <si>
    <t>pervasive child development disorders</t>
  </si>
  <si>
    <t>Viviane de Fátima Coccia</t>
  </si>
  <si>
    <t>pgedf@ufpr.br</t>
  </si>
  <si>
    <t>Effectiveness of Breastfeeding in reducing Pain induced by the Pentavalent Vaccine in the second month: a randomized clinical trial</t>
  </si>
  <si>
    <t>U1111-1284-0744</t>
  </si>
  <si>
    <t>Vaccines</t>
  </si>
  <si>
    <t>Maria Augusta Rocha Bezerra</t>
  </si>
  <si>
    <t>Floriano</t>
  </si>
  <si>
    <t>+55 (89) 3522-2716</t>
  </si>
  <si>
    <t>mariaaugusta@ufpi.edu.br</t>
  </si>
  <si>
    <t>Study of the effectiveness of the D3 Scleral Contact Lens to assist Epi-on Crosslinking</t>
  </si>
  <si>
    <t>U1111-1282-9097</t>
  </si>
  <si>
    <t>Keratoconus</t>
  </si>
  <si>
    <t>Eye Diseases</t>
  </si>
  <si>
    <t>Mediphacos Industrias Médicas SA</t>
  </si>
  <si>
    <t>+55(31) 2102-2211</t>
  </si>
  <si>
    <t>pesquisaclinica@mediphacos.com</t>
  </si>
  <si>
    <t>Mediphacos Indústrias Médicas S.A</t>
  </si>
  <si>
    <t>Diseases of the eye and adnexa</t>
  </si>
  <si>
    <t>Lymphatic Drainage and Taping in the treatment of edema in pregnant women: a randomized controlled clinical trial</t>
  </si>
  <si>
    <t>U1111-1282-7211</t>
  </si>
  <si>
    <t>Edema</t>
  </si>
  <si>
    <t>Pregnancy</t>
  </si>
  <si>
    <t>Signs and Symptoms</t>
  </si>
  <si>
    <t>Palloma Rodrigues de Andrade</t>
  </si>
  <si>
    <t>+55 (83) 3216-7200</t>
  </si>
  <si>
    <t>pallomandrade@gmail.com</t>
  </si>
  <si>
    <t>Telementoring versus Presential Mentoring in the Training of Scleral Fixation surgeries for intraocular lenses</t>
  </si>
  <si>
    <t>U1111-1281-7985</t>
  </si>
  <si>
    <t>Medical residency</t>
  </si>
  <si>
    <t>Educational measurement</t>
  </si>
  <si>
    <t>Luiz Filipe Adami Lucatto</t>
  </si>
  <si>
    <t>filipeadami@yahoo.com.br</t>
  </si>
  <si>
    <t>Use of Virtual Reality associated with exercise in hospitalized patients with Heart Failure</t>
  </si>
  <si>
    <t>U1111-1280-8870</t>
  </si>
  <si>
    <t>Heart failure</t>
  </si>
  <si>
    <t>Rita Simone Lopes Moreira</t>
  </si>
  <si>
    <t>rita.simone@unifesp.br</t>
  </si>
  <si>
    <t>Training of health managers and professionals of PHC in the state of Paraná in addressing Chronic Non-communicable Diseases: Analysis of effectiveness based on a quali-quantitative approach</t>
  </si>
  <si>
    <t>U1111-1284-6046</t>
  </si>
  <si>
    <t>Essential hypertension</t>
  </si>
  <si>
    <t>Type 1 Diabetes Mellitus</t>
  </si>
  <si>
    <t>Type 2 Diabetes Mellitus</t>
  </si>
  <si>
    <t>Mental Health</t>
  </si>
  <si>
    <t>Noncommunicable Diseases</t>
  </si>
  <si>
    <t>Denilson de Castro Teixeira</t>
  </si>
  <si>
    <t>denict@uel.br</t>
  </si>
  <si>
    <t>Universidade Estadual de Londrina</t>
  </si>
  <si>
    <t>Double-blind randomized clinical trial of the performance of two root filling materials in biopulpectmies of primay molars</t>
  </si>
  <si>
    <t>U1111-1247-8883</t>
  </si>
  <si>
    <t>Pathological conditions,signs and symptoms</t>
  </si>
  <si>
    <t>Amanda Valentim Caldeira</t>
  </si>
  <si>
    <t>Alfenas</t>
  </si>
  <si>
    <t>+55(35)3701-9000</t>
  </si>
  <si>
    <t>amanda.valentim4@gmail.com</t>
  </si>
  <si>
    <t>Universidade Federal de Alfenas</t>
  </si>
  <si>
    <t>Does ruber dam isolation increases the longevity of restorations of primary molars? A randomized clinical trial</t>
  </si>
  <si>
    <t>U1111-1224-6157</t>
  </si>
  <si>
    <t>Jonas de Almeida Rodrigues</t>
  </si>
  <si>
    <t>jorodrigues@ufrgs.br</t>
  </si>
  <si>
    <t>Verification of the acute effect of the Forced stretching of the lower limb musculature on the vertical jump height gain in volleyball athletes</t>
  </si>
  <si>
    <t>U1111-1280-8667</t>
  </si>
  <si>
    <t>Joint range of motion</t>
  </si>
  <si>
    <t>Musculoskeletal Development</t>
  </si>
  <si>
    <t>Erickson Zacharias Barboza</t>
  </si>
  <si>
    <t>zorazarolha@gmail.com</t>
  </si>
  <si>
    <t>Universidade do Estado de Santa Catarina - UDESC</t>
  </si>
  <si>
    <t>Parkour x Plyometric Training effects on biomechanical and functional aspects of the lower limbs</t>
  </si>
  <si>
    <t>U1111-1283-7261</t>
  </si>
  <si>
    <t>Plyometric Exercise</t>
  </si>
  <si>
    <t>Exercise Movement Techniques</t>
  </si>
  <si>
    <t>Daniel Ferreira Moreira Lobato</t>
  </si>
  <si>
    <t>Uberaba</t>
  </si>
  <si>
    <t>+55 34 3700 6712</t>
  </si>
  <si>
    <t>daniel.lobato@uftm.edu.br</t>
  </si>
  <si>
    <t>Universidade Federal do Triângulo Mineiro</t>
  </si>
  <si>
    <t>Effects of occlusal factors on the clinical performance of restorations in non-carious cervical lesion</t>
  </si>
  <si>
    <t>U1111-1283-2999</t>
  </si>
  <si>
    <t>Tooth abrasion</t>
  </si>
  <si>
    <t>Dental Restoration,Permanent</t>
  </si>
  <si>
    <t>Jullyana Mayara Preizner Dezanetti</t>
  </si>
  <si>
    <t>+55(41)999668240</t>
  </si>
  <si>
    <t>ju_preizner@hotmail.com</t>
  </si>
  <si>
    <t>Pontíficia Universidade Católica do Paraná</t>
  </si>
  <si>
    <t>Evaluation of cardiovascular glycemic and psychophysiological parameters of people with Diabetes Mellitus who practice Physical Exercise</t>
  </si>
  <si>
    <t>U1111-1281-3613</t>
  </si>
  <si>
    <t>Type 1 diabetes mellitus</t>
  </si>
  <si>
    <t>Type 2 diabetes mellitus</t>
  </si>
  <si>
    <t>Leandro Paim Da Cruz Carvalho</t>
  </si>
  <si>
    <t>Feira de Santana</t>
  </si>
  <si>
    <t>+55 (75) 991258710</t>
  </si>
  <si>
    <t>leandro.paim@upe.br</t>
  </si>
  <si>
    <t>Instituto Mantenedor de Ensino Superior da Bahia</t>
  </si>
  <si>
    <t>Double blind randomized clinical trial comparative between treatment with Copaifera Hayne multijuga 2% and 10% in skin tears</t>
  </si>
  <si>
    <t>U1111-1276-6714</t>
  </si>
  <si>
    <t>Wound Healing</t>
  </si>
  <si>
    <t>Camila Castanho Cardinelli</t>
  </si>
  <si>
    <t>camila.cardinelli@gmail.com</t>
  </si>
  <si>
    <t>Scoparia dulcis L. (Sweet-broom) in the treatment of Type-2 Diabetes Mellitus</t>
  </si>
  <si>
    <t>10/31/2022</t>
  </si>
  <si>
    <t>U1111-1282-8995</t>
  </si>
  <si>
    <t>Unspecified diabetes mellitus</t>
  </si>
  <si>
    <t>Phase II randomized double-blind crossover placebo-controlled clinical trial to evaluate the efficacy and safety of Esketamine as an adjunct to standard care in patients with Obsessive-Compulsive Disorder</t>
  </si>
  <si>
    <t>U1111-1282-4715</t>
  </si>
  <si>
    <t>obsessive-compulsive disorder</t>
  </si>
  <si>
    <t>mental disorders</t>
  </si>
  <si>
    <t>Lucas de Castro Quarantini</t>
  </si>
  <si>
    <t>+55 -71- 99276 7743</t>
  </si>
  <si>
    <t>lcq@ufba.br</t>
  </si>
  <si>
    <t>Hospital Universitário Professor Edgard Santos</t>
  </si>
  <si>
    <t>Clinical trial to verify the feasibility and effectiveness of a Mixed Remote Individual Rehabilitation Program in the treatment of patients with Parkinsons Disease</t>
  </si>
  <si>
    <t>10/30/2022</t>
  </si>
  <si>
    <t>U1111-1276-2365</t>
  </si>
  <si>
    <t>Neurodegenerative Diseases</t>
  </si>
  <si>
    <t>Luciana Fernandes Pastana Ramos</t>
  </si>
  <si>
    <t>55(93)981342729</t>
  </si>
  <si>
    <t>lucianafpramos@gmail.com</t>
  </si>
  <si>
    <t>Universidade Federal do Pará</t>
  </si>
  <si>
    <t>Effect of different doses of Resistance Training on Muscle Strength Responsiveness and Functional Capacity of untrained elderly women</t>
  </si>
  <si>
    <t>10/28/2022</t>
  </si>
  <si>
    <t>U1111-1282-8507</t>
  </si>
  <si>
    <t>Physical Functional Performance</t>
  </si>
  <si>
    <t>Ádria Samara Negrão Noronha</t>
  </si>
  <si>
    <t>Curuçá</t>
  </si>
  <si>
    <t>+55(91)992733358</t>
  </si>
  <si>
    <t>adria.noronha@castanhal.ufpa.br</t>
  </si>
  <si>
    <t>Programa de Pós-Graduação em Ciências do Movimento Humano da Universidade Federal do Pará</t>
  </si>
  <si>
    <t>Omega-3 supplementation in patients with chronic pain related to obesity: a randomized clinical trial</t>
  </si>
  <si>
    <t>U1111-1284-0944</t>
  </si>
  <si>
    <t>Franciane  Bobinski</t>
  </si>
  <si>
    <t>franciane.bobinski@institutoanimaeducacao.org.br</t>
  </si>
  <si>
    <t>Universidade do Sul de Santa Catarina - Unisul</t>
  </si>
  <si>
    <t>Effectiveness of previous use of Intra-Articular Corticosteroid Injection in Elderly patients with knee Osteoarthritis undergoing a Progressive Resistance Exercise Program: a randomized controlled trial</t>
  </si>
  <si>
    <t>10/27/2022</t>
  </si>
  <si>
    <t>U1111-1283-7386</t>
  </si>
  <si>
    <t>Comitê de Ética em Pesquisa (UNIFESP)</t>
  </si>
  <si>
    <t>secretaria.cepunifesp@gmail.com</t>
  </si>
  <si>
    <t>Positive Psychology-based Interventions for Telehealth in a pandemic context: Well-being and emotional health</t>
  </si>
  <si>
    <t>U1111-1282-1241</t>
  </si>
  <si>
    <t>Personal Satisfaction</t>
  </si>
  <si>
    <t>Janari da Silva Pedroso</t>
  </si>
  <si>
    <t>ladsufpa@gmail.com</t>
  </si>
  <si>
    <t>Physical Activity Program using Telemonitoring in pediatric patients after Kidney Transplantation: a randomized clinical trial</t>
  </si>
  <si>
    <t>U1111-1283-2607</t>
  </si>
  <si>
    <t>Chronic Renal Insufficiency</t>
  </si>
  <si>
    <t>Janice Luisa Lukrafka Tartari</t>
  </si>
  <si>
    <t>+55(51)33038700</t>
  </si>
  <si>
    <t>janicet@ufcspa.edu.br</t>
  </si>
  <si>
    <t>Effect of dose fractionation of Testosterone Cypionete on hematocrit in Transgender Men with Erythrocytosis secondary to testosterone use</t>
  </si>
  <si>
    <t>U1111-1283-2140</t>
  </si>
  <si>
    <t>Transsexualism</t>
  </si>
  <si>
    <t>Transexualism</t>
  </si>
  <si>
    <t>Lúcia Alves da Silva Lara</t>
  </si>
  <si>
    <t>+55(16)36021000</t>
  </si>
  <si>
    <t>luciaalvess2010@gmail.com</t>
  </si>
  <si>
    <t>Faculdade de Medicina de Ribeirão Preto</t>
  </si>
  <si>
    <t>Comparison of Swaddling-type positioning with elastic tissue and inelastic tissue in the movement of preterm newborns: randomized clinical trial</t>
  </si>
  <si>
    <t>10/26/2022</t>
  </si>
  <si>
    <t>U1111-1276-7366</t>
  </si>
  <si>
    <t>Muscle tonus</t>
  </si>
  <si>
    <t>Prematurity</t>
  </si>
  <si>
    <t>Micheli Bernardone Saquetto</t>
  </si>
  <si>
    <t>+55 (71) 3283-8900</t>
  </si>
  <si>
    <t>msaquetto@ufba.br</t>
  </si>
  <si>
    <t>Universidade Federal da Bahia</t>
  </si>
  <si>
    <t>Effect of prolongated cognitive effort and non-invasive brain stimulation on visuomotor perfomance of combat sports athletes</t>
  </si>
  <si>
    <t>10/25/2022</t>
  </si>
  <si>
    <t>U1111-1282-3387</t>
  </si>
  <si>
    <t>Mental processes</t>
  </si>
  <si>
    <t>Heloiana Faro</t>
  </si>
  <si>
    <t>+55(84)998006100</t>
  </si>
  <si>
    <t>heloianafaro@gmail.com</t>
  </si>
  <si>
    <t>Evaluation of the Analgesic Effect of Magnesium Sulfate in burn patients</t>
  </si>
  <si>
    <t>U1111-1282-9655</t>
  </si>
  <si>
    <t>Burns</t>
  </si>
  <si>
    <t>Acute Pain</t>
  </si>
  <si>
    <t>Joadyson Silva Barbosa</t>
  </si>
  <si>
    <t>+55 61 3325-4251</t>
  </si>
  <si>
    <t>joadysonsb@hotmail.com</t>
  </si>
  <si>
    <t>Hospital Regional da Asa Norte</t>
  </si>
  <si>
    <t>The Effects of Tissue Flossing Techniques and Neural Mobilization on Ankle Range of Motion and Performance of Adolescent Basketball Athletes</t>
  </si>
  <si>
    <t>U1111-1273-4849</t>
  </si>
  <si>
    <t>Suzana Matheus Pereira</t>
  </si>
  <si>
    <t>Florianópolis - SC</t>
  </si>
  <si>
    <t>+55 48 3664-8600</t>
  </si>
  <si>
    <t>suzana.pereira@udesc.br</t>
  </si>
  <si>
    <t>Universidade de Estado de Santa Catarina</t>
  </si>
  <si>
    <t>Can the use of Sit-stand table associated with the Personalized approach change Sedentary behaviour in an at-risk population? A quasi-experimental study with administrative workers</t>
  </si>
  <si>
    <t>U1111-1281-5230</t>
  </si>
  <si>
    <t>Luiz Augusto Brusaca</t>
  </si>
  <si>
    <t>+55(16)33066700</t>
  </si>
  <si>
    <t>augustobrusaca@gmail.com</t>
  </si>
  <si>
    <t>Universidade Federal de São Carlos (UFSCar)</t>
  </si>
  <si>
    <t>Efficacy of Pregabalin and Dexamethasone Co-administration in preemptive multimodal analgesia sedation and anxiety reduction in Third Molar Surgeries</t>
  </si>
  <si>
    <t>10/24/2022</t>
  </si>
  <si>
    <t>U1111-1279-1482</t>
  </si>
  <si>
    <t>Pain. Conscious Sedation. Dental Anxiety</t>
  </si>
  <si>
    <t>Molar,Third</t>
  </si>
  <si>
    <t>Jiordanne Araujo Diniz</t>
  </si>
  <si>
    <t>+55(81)31841468</t>
  </si>
  <si>
    <t>jiordanne.diniz@upe.br</t>
  </si>
  <si>
    <t>Faculdade de Odontologia de Pernambuco,Universidade de Pernambuco - UPE</t>
  </si>
  <si>
    <t>Assessment of gynecological and dermatological acceptability of a helth product in normal conditions of use_Ave01.2022</t>
  </si>
  <si>
    <t>10/21/2022</t>
  </si>
  <si>
    <t>U1111-1281-1705</t>
  </si>
  <si>
    <t>Healthy volunteers</t>
  </si>
  <si>
    <t>Research Subjects</t>
  </si>
  <si>
    <t>Cassiano Escudeiro</t>
  </si>
  <si>
    <t>Jundiaí</t>
  </si>
  <si>
    <t>+55-011 4087-0092</t>
  </si>
  <si>
    <t>cassiano@ipclin.com.br</t>
  </si>
  <si>
    <t>Ipclin Instituto de Pesquisa Clínica Integrada Ltda</t>
  </si>
  <si>
    <t>Use of the Guaranteed Volume mode as a ventilatory weaning strategy in Premature Newborns</t>
  </si>
  <si>
    <t>10/20/2022</t>
  </si>
  <si>
    <t>U1111-1280-4479</t>
  </si>
  <si>
    <t>Respiratory Distress Syndrome,Newborn</t>
  </si>
  <si>
    <t>Infant,Premature</t>
  </si>
  <si>
    <t>Pedro Ykaro Fialho Silva</t>
  </si>
  <si>
    <t>pedroyfs@gmail.com</t>
  </si>
  <si>
    <t>Use of blood concentrates in the control of pain edema and postoperative trismus following lower third molar removal: a triple blind randomized clinical study</t>
  </si>
  <si>
    <t>U1111-1273-9719</t>
  </si>
  <si>
    <t>Platelet-Rich Fibrin</t>
  </si>
  <si>
    <t>Marcelo Dias Moreira de Assis Costa</t>
  </si>
  <si>
    <t>UBERLÂNDIA</t>
  </si>
  <si>
    <t>+55 (34)999060622</t>
  </si>
  <si>
    <t>marcelodmac@yahoo.com.br</t>
  </si>
  <si>
    <t>Effects of Modified Intravascular Laser Irradiation of Blood in adults with Fibromyalgia: a randomized placebo-controlled clinical trial</t>
  </si>
  <si>
    <t>U1111-1282-0834</t>
  </si>
  <si>
    <t>Caroline Pires da luz Padilha</t>
  </si>
  <si>
    <t>+55 (41) 3361-1699</t>
  </si>
  <si>
    <t>carolinepires@ufpr.br</t>
  </si>
  <si>
    <t>Stimulation of binaural and isochronic tones in Brainwave Entrainment and its effects on the modulation of mood states and emotional well-being</t>
  </si>
  <si>
    <t>U1111-1281-2286</t>
  </si>
  <si>
    <t>Acute stress reaction</t>
  </si>
  <si>
    <t>Other anxiety disorders</t>
  </si>
  <si>
    <t>Sandro Aparecido Kanzler</t>
  </si>
  <si>
    <t>kanzlersa@gmail.com</t>
  </si>
  <si>
    <t>Effectiveness of 5% grape seed oil lotion for radiodermatitis reduction: randomized clinical trial</t>
  </si>
  <si>
    <t>U1111-1274-5137</t>
  </si>
  <si>
    <t>Radiodermatitis</t>
  </si>
  <si>
    <t>Dermatitis</t>
  </si>
  <si>
    <t>Tânia Solange Bosi de Souza Magnago</t>
  </si>
  <si>
    <t>Santa Maria</t>
  </si>
  <si>
    <t>tania.magnago@ufsm.br</t>
  </si>
  <si>
    <t>Universidade Federal de Santa Maria</t>
  </si>
  <si>
    <t>Clinical evaluation of the antidepressant effect of the use of probiotics in bipolar disorder and possible mediating effects of systemic and Intestinal Inflammatory markers in the microbiota</t>
  </si>
  <si>
    <t>10/15/2021</t>
  </si>
  <si>
    <t>U1111-1280-7625</t>
  </si>
  <si>
    <t>Bipolar disorders</t>
  </si>
  <si>
    <t>Alfredo  José Mansur</t>
  </si>
  <si>
    <t>+55 11 2661-7585</t>
  </si>
  <si>
    <t>A Clinical Trial to Evaluate Nutritional Counseling in Preventing Excessive Gestational Weight Gain in Pregnancy at Antenatal Care of Instituto Fernandes Figueira Rio de Janeiro between 2020 e 2021</t>
  </si>
  <si>
    <t>10/19/2022</t>
  </si>
  <si>
    <t>U1111-1283-4798</t>
  </si>
  <si>
    <t>gestational weight gain</t>
  </si>
  <si>
    <t>Pregnant Women</t>
  </si>
  <si>
    <t>Lizanka Paola Figueiredo Marinheiro</t>
  </si>
  <si>
    <t>+55(21)2554-1730</t>
  </si>
  <si>
    <t>lizankapf@gmail.com</t>
  </si>
  <si>
    <t>Instituto Fernandes Figueira- IFF Fiocruz</t>
  </si>
  <si>
    <t>Detection of silicone oil from the syringe in the vitreous of patients undergoing intravitreal injection: a double-blind randomized clinical trial</t>
  </si>
  <si>
    <t>U1111-1282-6454</t>
  </si>
  <si>
    <t>Diabetic retinopathy</t>
  </si>
  <si>
    <t>Gustavo Barreto Melo</t>
  </si>
  <si>
    <t>gustavobmelo80@gmail.com</t>
  </si>
  <si>
    <t>Hospital de Olhos de Sergipe</t>
  </si>
  <si>
    <t>Precision Oncology: chemoresistance evaluation in vitro Tumors</t>
  </si>
  <si>
    <t>U1111-1284-0393</t>
  </si>
  <si>
    <t>Drug Resistance,Neoplasm</t>
  </si>
  <si>
    <t>Drug Resistance</t>
  </si>
  <si>
    <t>Caroline Brunetto de Farias</t>
  </si>
  <si>
    <t>+55 51 983209131</t>
  </si>
  <si>
    <t>cbfarias@zielbiosciences.com</t>
  </si>
  <si>
    <t>Ziel Biosciences Pesquisa,Desenvolvimento e Diagnóstico LTDA</t>
  </si>
  <si>
    <t>Impact of denture adhesives use on mastication nutrition and quality of life of Removable Partial Dentures wearers: Randomized clinical trial</t>
  </si>
  <si>
    <t>U1111-1282-4443</t>
  </si>
  <si>
    <t>Parcially Edentulous Arch</t>
  </si>
  <si>
    <t>Edentulous jaw</t>
  </si>
  <si>
    <t>Departamento de Odontologia</t>
  </si>
  <si>
    <t>+55(48)3721 5845</t>
  </si>
  <si>
    <t>odt@contato.ufsc.br</t>
  </si>
  <si>
    <t>Influence of the use of High Electrical Rotation in Lower Third Molar Surgeries. A clinical and radiographic prospective randomized and split-mouth study</t>
  </si>
  <si>
    <t>U1111-1284-0409</t>
  </si>
  <si>
    <t>Impacted teeth</t>
  </si>
  <si>
    <t>Daniela  Ponzoni</t>
  </si>
  <si>
    <t>+55(18)3636-3311</t>
  </si>
  <si>
    <t>daniela.ponzoni@unesp.br</t>
  </si>
  <si>
    <t>Faculdade de Odontologia de Araçatuba – Universidade Estadual Paulista</t>
  </si>
  <si>
    <t>Auriculotherapy effectiveness in reducing health problems among hospital workers</t>
  </si>
  <si>
    <t>07/30/2020</t>
  </si>
  <si>
    <t>U1111-1254-2647</t>
  </si>
  <si>
    <t>magnago.tania@gmail.com</t>
  </si>
  <si>
    <t>Evaluation of Injectable Bioactive Composite for Posterior Restoration in deciduous teeth: randomized split-mouth clinical trial</t>
  </si>
  <si>
    <t>10/17/2022</t>
  </si>
  <si>
    <t>U1111-1283-4237</t>
  </si>
  <si>
    <t>Dental caries</t>
  </si>
  <si>
    <t>Dental caries,no other specification</t>
  </si>
  <si>
    <t>Rafaela Manente</t>
  </si>
  <si>
    <t>+55 (16) 33153953</t>
  </si>
  <si>
    <t>rafaela.manente@usp.br</t>
  </si>
  <si>
    <t>Faculdade de Odontologia de Ribeirão Preto,Universidade de São Paulo (FORP-USP)</t>
  </si>
  <si>
    <t>Effects of Pulmonary Ventilation Techniques in a Patient Under Mechanical Ventilation: a controlled clinical trial</t>
  </si>
  <si>
    <t>U1111-1283-4454</t>
  </si>
  <si>
    <t>other respiratory disorders</t>
  </si>
  <si>
    <t>Programa de pós graduação em ciências da reabilitação e desempenho físico funcional</t>
  </si>
  <si>
    <t>+55(32) 2102-3256</t>
  </si>
  <si>
    <t>mestrado.fisioterapia@ufjf.br/ mcreabufjf@gmail.com</t>
  </si>
  <si>
    <t>Effect of Creatine Monohydrate Supplementation in association with Strength Training with Blood Flow Restriction on strength and muscle mass gain in untrained men</t>
  </si>
  <si>
    <t>10/14/2022</t>
  </si>
  <si>
    <t>U1111-1279-7110</t>
  </si>
  <si>
    <t>Sedentary</t>
  </si>
  <si>
    <t>Nelo Eidy Zanchi</t>
  </si>
  <si>
    <t>nelonzpt@gmail.com</t>
  </si>
  <si>
    <t>Universidade Federal do Maranhão</t>
  </si>
  <si>
    <t>Consequences of Sars-Covid19 on the cardiovascular autonomic control of hypertensive patients</t>
  </si>
  <si>
    <t>U1111-1283-0875</t>
  </si>
  <si>
    <t>Coronavirus</t>
  </si>
  <si>
    <t>Hugo Celso Dutra de Souza</t>
  </si>
  <si>
    <t>+55(16)3315-4416</t>
  </si>
  <si>
    <t>hugocds@fmrp.usp.br</t>
  </si>
  <si>
    <t>Faculdade de Medicina de Ribeirão Preto - FMRP/USP</t>
  </si>
  <si>
    <t>Analysis of the concern of Foot Reflexology in patients with Diabetic Neuropathy peripheral</t>
  </si>
  <si>
    <t>10/13/2022</t>
  </si>
  <si>
    <t>U1111-1227-2874</t>
  </si>
  <si>
    <t>Diabetic Neuropathies</t>
  </si>
  <si>
    <t>Complications of Diabetes</t>
  </si>
  <si>
    <t>Adriana Teresa Silva Santos</t>
  </si>
  <si>
    <t>Pouso Alegre</t>
  </si>
  <si>
    <t>+55(35)3449 8772</t>
  </si>
  <si>
    <t>adrianatsilva46@gmail.com</t>
  </si>
  <si>
    <t>Faculdade de Ciências Médicas Dr. José Antônio Garcia Coutinho</t>
  </si>
  <si>
    <t>Effectiveness of Topical Morphine use in patients with painful Neoplastic Wounds in the breast and head and neck: double blind randomized clinical trial - MorphineGel</t>
  </si>
  <si>
    <t>U1111-1282-9287</t>
  </si>
  <si>
    <t>Daianny Arrais de Oliveira da Cunha</t>
  </si>
  <si>
    <t>+55(21)32073751</t>
  </si>
  <si>
    <t>daoliveira@inca.gov.br</t>
  </si>
  <si>
    <t>Instituto Nacional de Câncer José Alencar Gomes da Silva - Hospital do Câncer IV</t>
  </si>
  <si>
    <t>Efficacy of Psychoeducation associated with Meditation on Burden and Quality of Life of Family Caregivers of Patients with Alzheimers Disease</t>
  </si>
  <si>
    <t>U1111-1277-6267</t>
  </si>
  <si>
    <t>Caregivers</t>
  </si>
  <si>
    <t>Edivaldo Lima de Araujo</t>
  </si>
  <si>
    <t>(11) 2151-1233</t>
  </si>
  <si>
    <t>edivaldo.dr@gmail.com</t>
  </si>
  <si>
    <t>Instituto Israelita de Ensino e Pesquisa Albert Einstein</t>
  </si>
  <si>
    <t>Pharmacy-based: elaboration updating and implementation of clinical pharmaceutical care guidelines for self-limiting health problems</t>
  </si>
  <si>
    <t>U1111-1282-4082</t>
  </si>
  <si>
    <t>Headache</t>
  </si>
  <si>
    <t>Dysmenorrhea</t>
  </si>
  <si>
    <t>Constipation</t>
  </si>
  <si>
    <t>Tobacco Use Disorder</t>
  </si>
  <si>
    <t>Laís Bié Bandeira</t>
  </si>
  <si>
    <t>+55 (61) 981584504</t>
  </si>
  <si>
    <t>laisbie@gmail.com</t>
  </si>
  <si>
    <t>Universidade de Brasília</t>
  </si>
  <si>
    <t>Prospective split-mouth Clinical Study of Monolithic Zirconia and Metal-ceramic Crowns on teeth comparing Survival Surface Wear and Color Stability</t>
  </si>
  <si>
    <t>U1111-1282-8178</t>
  </si>
  <si>
    <t>Dental Health Services</t>
  </si>
  <si>
    <t>Alessandra Sayuri Tuzita</t>
  </si>
  <si>
    <t>+55(11)982145626</t>
  </si>
  <si>
    <t>astuzita@yahoo.com.br</t>
  </si>
  <si>
    <t>Universidade Paulista</t>
  </si>
  <si>
    <t>Factors influencing health status and contact with health services</t>
  </si>
  <si>
    <t>Clinical evaluation of posterior composite restorations placed with an intermediate flowable base in endodontically treated premolars</t>
  </si>
  <si>
    <t>U1111-1277-9465</t>
  </si>
  <si>
    <t>Endodontics</t>
  </si>
  <si>
    <t>Composite Resins</t>
  </si>
  <si>
    <t>Brenda Giselle Sanchez Leyton</t>
  </si>
  <si>
    <t>curitiba</t>
  </si>
  <si>
    <t>+55 (41) 3271-1515</t>
  </si>
  <si>
    <t>brenda.leyton@pucpr.edu.br</t>
  </si>
  <si>
    <t>Pontificia Universidade Católica de Paraná</t>
  </si>
  <si>
    <t>Effects of using a mobile application in female pelvic training in women complaining of stress urinary incontinence: a randomized controlled trial</t>
  </si>
  <si>
    <t>U1111-1283-2102</t>
  </si>
  <si>
    <t>Urinary incontinence</t>
  </si>
  <si>
    <t>urinary disorders</t>
  </si>
  <si>
    <t>Ingrid da Costa Vilela</t>
  </si>
  <si>
    <t>55-34-32182901</t>
  </si>
  <si>
    <t>ingridvilelaa@gmail.com</t>
  </si>
  <si>
    <t>Evaluation of the effectiveness of a nursing intervention based on the Theory of Dorothea Orems self-care deficit in the glycemic control of elderly people with type 2 diabetes mellitus: randomized clinical trial</t>
  </si>
  <si>
    <t>U1111-1278-0386</t>
  </si>
  <si>
    <t>Marina Morato Stival</t>
  </si>
  <si>
    <t>+55 (61) 3107-8937</t>
  </si>
  <si>
    <t>mstival@gmail.com</t>
  </si>
  <si>
    <t>Influence of Low Power Laser Therapy on salivary glands of individuals with Sjögrens Syndrome and the impact of oral health on quality of life</t>
  </si>
  <si>
    <t>U1111-1267-6401</t>
  </si>
  <si>
    <t>Sjogrens Syndrome</t>
  </si>
  <si>
    <t>Indicators of Quality of Life</t>
  </si>
  <si>
    <t>Paulo Sérgio da Silva Santos</t>
  </si>
  <si>
    <t>Bauru</t>
  </si>
  <si>
    <t>+55 (14) 99670-0921</t>
  </si>
  <si>
    <t>paulosss@fob.usp.br</t>
  </si>
  <si>
    <t>Faculdade de Odontologia de Bauru</t>
  </si>
  <si>
    <t>Effects of the progressive intensity resistance training on Fibromyalgia impact: a blinded randomized controlled trial</t>
  </si>
  <si>
    <t>U1111-1280-6794</t>
  </si>
  <si>
    <t>Muscular Diseases</t>
  </si>
  <si>
    <t>CEP UFSCar</t>
  </si>
  <si>
    <t>+55 (16) 33518028</t>
  </si>
  <si>
    <t>cephumanos@ufscar.br</t>
  </si>
  <si>
    <t>Effect of task-specific training in the prevention of upper limb contracture in individuals after Stroke- a feasibility study</t>
  </si>
  <si>
    <t>U1111-1274-9354</t>
  </si>
  <si>
    <t>Contracture</t>
  </si>
  <si>
    <t>Stroke</t>
  </si>
  <si>
    <t>Aline Alvim Scianni</t>
  </si>
  <si>
    <t>ascianni@task.com.br</t>
  </si>
  <si>
    <t>Assessment and intervention through Physical Activity and Physical Therapy in elderly women with and without pelvic floor dysfunction</t>
  </si>
  <si>
    <t>U1111-1282-0502</t>
  </si>
  <si>
    <t>Pelvic Floor</t>
  </si>
  <si>
    <t>Gesilani Júlia da Silva Honório</t>
  </si>
  <si>
    <t>cep.udesc@gmail.com</t>
  </si>
  <si>
    <t>Universidade do Estado de Santa Catarina</t>
  </si>
  <si>
    <t>Effects of a dual-task Exercises Program in community-dwelling elderly gait</t>
  </si>
  <si>
    <t>U1111-1283-5368</t>
  </si>
  <si>
    <t>Adriana Torres de Lemos</t>
  </si>
  <si>
    <t>adrianatl@ufcspa.edu.br</t>
  </si>
  <si>
    <t>Effectiveness of hot immersion bath in pain management of hospitalized children: Randomized clinical trial</t>
  </si>
  <si>
    <t>U1111-1274-3262</t>
  </si>
  <si>
    <t>Criança Hospitalizada</t>
  </si>
  <si>
    <t>Comitê de Ética Hospital Universitário Universidade de São Paulo</t>
  </si>
  <si>
    <t>55-113091-9457</t>
  </si>
  <si>
    <t>cep@hu.usp.br</t>
  </si>
  <si>
    <t>Hospital Universitário da Universidade de São Paulo</t>
  </si>
  <si>
    <t>Effect of buspirone hydrochloride on awake bruxism as a somatic manifestation of anxiety: a pilot study</t>
  </si>
  <si>
    <t>U1111-1278-8571</t>
  </si>
  <si>
    <t>General Anxiety</t>
  </si>
  <si>
    <t>Jordana Senff</t>
  </si>
  <si>
    <t>+55(48)999122134</t>
  </si>
  <si>
    <t>jordanasenff@hotmail.com</t>
  </si>
  <si>
    <t>Transcranial Direct Current Stimulation and its therapeutic potential in patients with Chronic Kidney Disease in Hemodialysis</t>
  </si>
  <si>
    <t>U1111-1282-0909</t>
  </si>
  <si>
    <t>Renal Insufficiency,Chronic</t>
  </si>
  <si>
    <t>Effects of 12-week supplementation of Grape seed meal on Insulin resistance in women with Polycystic ovarian syndrome</t>
  </si>
  <si>
    <t>U1111-1283-2909</t>
  </si>
  <si>
    <t>Polycystic Ovary Syndrome</t>
  </si>
  <si>
    <t>Womens Health</t>
  </si>
  <si>
    <t>Gustavo Padovani Carmo</t>
  </si>
  <si>
    <t>55 (11) 948123690</t>
  </si>
  <si>
    <t>gp.carmo@unifesp.br</t>
  </si>
  <si>
    <t>Universidade Federal de São Paulo (UNIFESP)</t>
  </si>
  <si>
    <t>Effectiveness of Laser therapy in Diabetic Foot: randomized clinical trial</t>
  </si>
  <si>
    <t>U1111-1283-5419</t>
  </si>
  <si>
    <t>Diabetic Foot</t>
  </si>
  <si>
    <t>Maria Helena de Melo Lima</t>
  </si>
  <si>
    <t>+55(019) 3521-8820</t>
  </si>
  <si>
    <t>mhmelolima@gmail.com</t>
  </si>
  <si>
    <t>Faculdade de Enfermagem - Universidade Estadual de Campinas</t>
  </si>
  <si>
    <t>The Odontological Treatment on the Head and Neck Cancer patient</t>
  </si>
  <si>
    <t>U1111-1274-7773</t>
  </si>
  <si>
    <t>Dental care</t>
  </si>
  <si>
    <t>Raquel Richelieu Lima de Andrade Pontes</t>
  </si>
  <si>
    <t>+55 (21) 2868-8253</t>
  </si>
  <si>
    <t>raquelrichelieu@gmail.com</t>
  </si>
  <si>
    <t>Infant motor profile: portuguese translation and normative data</t>
  </si>
  <si>
    <t>U1111-1278-4383</t>
  </si>
  <si>
    <t>Motor Skills. Neurologic Examination</t>
  </si>
  <si>
    <t>Eloisa Tudella</t>
  </si>
  <si>
    <t>(16) 3351-8341</t>
  </si>
  <si>
    <t>tudella@terra.com.br</t>
  </si>
  <si>
    <t>Clinical evaluation of direct Adhesive composite resin Restorations in abfraction dental lesions</t>
  </si>
  <si>
    <t>09/30/2022</t>
  </si>
  <si>
    <t>U1111-1281-1383</t>
  </si>
  <si>
    <t>Other specified diseases of the hard tissues of the teeth</t>
  </si>
  <si>
    <t>Disorders of development and eruption of teeth</t>
  </si>
  <si>
    <t>Matheus da Silva Regis</t>
  </si>
  <si>
    <t>Limoeiro do Norte</t>
  </si>
  <si>
    <t>+55 (88) 992435210</t>
  </si>
  <si>
    <t>matheusregis@alu.uern.br</t>
  </si>
  <si>
    <t>Universidade do Estado do Rio Grande do Norte</t>
  </si>
  <si>
    <t>Effects of positioning with the Octopus or Swaddled on the sleep of Very Low Birth Weight Newborns</t>
  </si>
  <si>
    <t>U1111-1281-2356</t>
  </si>
  <si>
    <t>Premature newborn</t>
  </si>
  <si>
    <t>Sleep</t>
  </si>
  <si>
    <t>Dyssomnias</t>
  </si>
  <si>
    <t>Silvana Alves Pereira</t>
  </si>
  <si>
    <t>apsilvana@ccs.ufrn.br</t>
  </si>
  <si>
    <t>Universidade federal do Rio Grande do Norte</t>
  </si>
  <si>
    <t>Effect of mental fatigue on elderly performance in tasks of daily living</t>
  </si>
  <si>
    <t>09/29/2022</t>
  </si>
  <si>
    <t>U1111-1279-9944</t>
  </si>
  <si>
    <t>Mental Fatigue</t>
  </si>
  <si>
    <t>Fatigue</t>
  </si>
  <si>
    <t>Vinícius Nagy Soares</t>
  </si>
  <si>
    <t>+55 (19) 9 8339-6864</t>
  </si>
  <si>
    <t>viniciusnagy@gmail.com</t>
  </si>
  <si>
    <t>Programa de Pós-Graduação em Gerontologia da Universidade Estadual de Campinas (UNICAMP)</t>
  </si>
  <si>
    <t>Efficacy of Cognitive-Evolutionary Group Therapy for Depression: a randomized clinical trial</t>
  </si>
  <si>
    <t>U1111-1283-1153</t>
  </si>
  <si>
    <t>Rosana Suemi Tokumaru</t>
  </si>
  <si>
    <t>(+55) 27 314545571</t>
  </si>
  <si>
    <t>suemitokumaru@gmail.com</t>
  </si>
  <si>
    <t>Effect of a digital pain education material on beliefs and attitudes about low back pain in the general community: a randomized controlled trial</t>
  </si>
  <si>
    <t>09/28/2022</t>
  </si>
  <si>
    <t>U1111-1279-5533</t>
  </si>
  <si>
    <t>Viviane Rocha Celedonio</t>
  </si>
  <si>
    <t>+55 (85) 3366 8091</t>
  </si>
  <si>
    <t>vivianeceledonio@gmail.com</t>
  </si>
  <si>
    <t>Universidade Federal do Ceará</t>
  </si>
  <si>
    <t>Effect of Nitrate rich meal consumption in strong physical performance antioxidant and antiinflamatory potential between Active and Sedentary Elderly</t>
  </si>
  <si>
    <t>09/26/2022</t>
  </si>
  <si>
    <t>U1111-1283-0236</t>
  </si>
  <si>
    <t>Atrofia Muscular</t>
  </si>
  <si>
    <t>Clislian Luzia Silva</t>
  </si>
  <si>
    <t>Asa Norte</t>
  </si>
  <si>
    <t>clislian@gmail.com</t>
  </si>
  <si>
    <t>Effect of Hygiene Devices on the healing of Peri-implant Mucositis lesions: a parallel randomized clinical trial</t>
  </si>
  <si>
    <t>U1111-1281-0861</t>
  </si>
  <si>
    <t>Mucositis</t>
  </si>
  <si>
    <t>Dental implant</t>
  </si>
  <si>
    <t>+55 (44) 999597622</t>
  </si>
  <si>
    <t>ra114539@uem.br</t>
  </si>
  <si>
    <t>Evaluation of Dog-Assisted Therapy and Intravascular Irradiation of Blood with Laser (ILIB) in the control of childrens anxiety in Dental Treatment</t>
  </si>
  <si>
    <t>U1111-1280-7568</t>
  </si>
  <si>
    <t>Dental anxiety</t>
  </si>
  <si>
    <t>Generalized anxiety</t>
  </si>
  <si>
    <t>Centro Ciências da Vida</t>
  </si>
  <si>
    <t>+55(19)33436800</t>
  </si>
  <si>
    <t>ccv@puc-campinas.edu.br</t>
  </si>
  <si>
    <t>Comparison of Analgesia of Erector Spinae Plane Block in pulmonary surgeries in relation to Paravertebral Block: a randomized multicenter study</t>
  </si>
  <si>
    <t>08/13/2019</t>
  </si>
  <si>
    <t>U1111-1228-3658</t>
  </si>
  <si>
    <t>Thoracic pain,unspecified</t>
  </si>
  <si>
    <t>Symptoms,signs and abnormal clinical and laboratory findings,not elsewhere classified</t>
  </si>
  <si>
    <t>Pedro Hilton de Andrade Filho</t>
  </si>
  <si>
    <t>pedrohafilho@usp.br</t>
  </si>
  <si>
    <t>Effects of Kinesiology Tape on electrical activity of the masseter muscle orofacial pain and mandibular mobility</t>
  </si>
  <si>
    <t>U1111-1280-1428</t>
  </si>
  <si>
    <t>Temporomandibular Joint Disorders</t>
  </si>
  <si>
    <t>Facial Pain</t>
  </si>
  <si>
    <t>Renata Maria Moreira Moraes Furlan</t>
  </si>
  <si>
    <t>+55(31)34099670</t>
  </si>
  <si>
    <t>renatamfurlan@ufmg.br</t>
  </si>
  <si>
    <t>Faculdade de Medicina da Universidade Federal de Minas Gerais</t>
  </si>
  <si>
    <t>Effectiveness of Rosemary on sleep affectivity and cardiovascular risk in emergency nursing: a quasi-experimental study</t>
  </si>
  <si>
    <t>U1111-1280-0143</t>
  </si>
  <si>
    <t>Emergency Nursing</t>
  </si>
  <si>
    <t>Carolina Renz Pretto</t>
  </si>
  <si>
    <t>Ijuí</t>
  </si>
  <si>
    <t>+55 55 999070000</t>
  </si>
  <si>
    <t>carol.renzpretto@gmail.com</t>
  </si>
  <si>
    <t>Ultrasound-guided Chemical Neurolysis of genicular nerves to treat Chronic Pain from primary knee Osteoarthritis</t>
  </si>
  <si>
    <t>U1111-1282-7497</t>
  </si>
  <si>
    <t>Mariana Goncalves Musauer</t>
  </si>
  <si>
    <t>+55 (21) 2134-5000</t>
  </si>
  <si>
    <t>dramarianamusauer@gmail.com</t>
  </si>
  <si>
    <t>Instituto Nacional de Traumatologia e Ortopedia</t>
  </si>
  <si>
    <t>Evaluation of the metabolic profile of saliva and plasma associated with Periodontitis in obese and eutrophic pregnant women and of proteins differentially expressed in the saliva of these women in pre and post term</t>
  </si>
  <si>
    <t>U1111-1281-2063</t>
  </si>
  <si>
    <t>Gingival Diseases</t>
  </si>
  <si>
    <t>Gerson Aparecido Foratori Junior</t>
  </si>
  <si>
    <t>gerson.foratori@usp.br</t>
  </si>
  <si>
    <t>Faculdade de Odontologia de Bauru - Universidade de São Paulo</t>
  </si>
  <si>
    <t>Impact of the Psychological Informed Physiotherapy on disability fear and self-efficacy of elderly people with chronic low back pain</t>
  </si>
  <si>
    <t>U1111-1280-6275</t>
  </si>
  <si>
    <t>Patricia Cilene Freitas Santanna</t>
  </si>
  <si>
    <t>São Leopoldo</t>
  </si>
  <si>
    <t>+55(51)35911265</t>
  </si>
  <si>
    <t>pcfsantanna@gmail.com</t>
  </si>
  <si>
    <t>Universidade do Vale do Rio dos Sinos</t>
  </si>
  <si>
    <t>Guided Bone Regeneration in the maxilla with the use of Xenogeneic Graft associated or not with Platelet-Rich Fibrin: a randomized clinical trial</t>
  </si>
  <si>
    <t>U1111-1282-0343</t>
  </si>
  <si>
    <t>Alveolar ridge atrofy without teeth</t>
  </si>
  <si>
    <t>Other teeth disorders and their supporting structures</t>
  </si>
  <si>
    <t>Atais Bacchi</t>
  </si>
  <si>
    <t>+55(54)981480520</t>
  </si>
  <si>
    <t>atais_bacchi@yahoo.com.br</t>
  </si>
  <si>
    <t>Faculdade Paulo Picanço</t>
  </si>
  <si>
    <t>Keraring Intrastromal Corneal Ring PMCF Study</t>
  </si>
  <si>
    <t>09/22/2022</t>
  </si>
  <si>
    <t>U1111-1278-4560</t>
  </si>
  <si>
    <t>Corneal Diseases</t>
  </si>
  <si>
    <t>João Marcelo Almeida de Gusmão Lyra</t>
  </si>
  <si>
    <t>+55(82)3313-5596</t>
  </si>
  <si>
    <t>joaomlyra@gmail.com</t>
  </si>
  <si>
    <t>Logos Saúde Ltda</t>
  </si>
  <si>
    <t>Effects of Resistance Training and menstrual cycle phase on muscle mass</t>
  </si>
  <si>
    <t>Menstrual Cycle</t>
  </si>
  <si>
    <t>Maira Scarpelli</t>
  </si>
  <si>
    <t>+55 (16) 999755538</t>
  </si>
  <si>
    <t>maira@ufscar.br</t>
  </si>
  <si>
    <t>Effect of Blue and Red LEDs on Inflammatory Acne : controlled and randomized clinical trial</t>
  </si>
  <si>
    <t>U1111-1282-2803</t>
  </si>
  <si>
    <t>acne vulgaris</t>
  </si>
  <si>
    <t>Skin and Connective Tissue Diseases</t>
  </si>
  <si>
    <t>Lara Jansisnki Motta</t>
  </si>
  <si>
    <t>+55(11)33859241</t>
  </si>
  <si>
    <t>larajmotta@uni9.pro.br</t>
  </si>
  <si>
    <t>Universidade Nove de Julho - UNINOVE</t>
  </si>
  <si>
    <t>Evaluation of the efficacy of different protocols of Preemptive Analgesia in Oral Surgeries</t>
  </si>
  <si>
    <t>12/21/2018</t>
  </si>
  <si>
    <t>U1111-1223-0074</t>
  </si>
  <si>
    <t>Pain,Postoperative</t>
  </si>
  <si>
    <t>Luís Otávio de Miranda Cota</t>
  </si>
  <si>
    <t>luiscota@ufmg.br</t>
  </si>
  <si>
    <t>Faculdade de Odontologia da Universidade Federal de Minas Gerais</t>
  </si>
  <si>
    <t>The effect of a Pain Education-based Intervention Program on pain intensity function and psychosocial outcomes in patients with Chronic Low Back Pain: a randomized controlled clinical trial</t>
  </si>
  <si>
    <t>U1111-1282-8529</t>
  </si>
  <si>
    <t>Chronic Low Back Pain</t>
  </si>
  <si>
    <t>Anna Paula Campos Sarchis</t>
  </si>
  <si>
    <t>anna.sarchis@ebserh.gov.br</t>
  </si>
  <si>
    <t>Hospital Universitário da Universidade Federal de Juiz de Fora</t>
  </si>
  <si>
    <t>Effect of Auriculotherapy on Anxiety in adults in Primary Care: pilot clinical trial</t>
  </si>
  <si>
    <t>U1111-1232-4096</t>
  </si>
  <si>
    <t>Biomarkers</t>
  </si>
  <si>
    <t>Behavior and Behavioral Mechanisms</t>
  </si>
  <si>
    <t>Franciane Bobinski</t>
  </si>
  <si>
    <t>franciane.bobinski@unisul.br</t>
  </si>
  <si>
    <t>Application of Conventional Physiotherapy associated with Phototherapy for the treatment of Leprosy</t>
  </si>
  <si>
    <t>U1111-1281-4618</t>
  </si>
  <si>
    <t>Leprosy</t>
  </si>
  <si>
    <t>Mycobacterium infections</t>
  </si>
  <si>
    <t>Amilcar Sabino Damazo</t>
  </si>
  <si>
    <t>Cuiaba</t>
  </si>
  <si>
    <t>asdamazo@yahoo.com.br</t>
  </si>
  <si>
    <t>Universidade Federal de Mato Grosso</t>
  </si>
  <si>
    <t>Effect of Pelvic Floor Muscle Training using telephysiotherapy in obese womens urinary incontinence reports: an assessor blinded randomized controlled trial</t>
  </si>
  <si>
    <t>10/26/2021</t>
  </si>
  <si>
    <t>U1111-1282-8253</t>
  </si>
  <si>
    <t>Pelvic Floor Muscle Training</t>
  </si>
  <si>
    <t>diretoria@fmrp.usp.br</t>
  </si>
  <si>
    <t>Transcranial Direct Current Stimulation (tDCS) and its therapeutic effects on Chikungunya Fever: phase II</t>
  </si>
  <si>
    <t>06/25/2018</t>
  </si>
  <si>
    <t>U1111-1215-7610</t>
  </si>
  <si>
    <t>Chikungunya fever</t>
  </si>
  <si>
    <t>Musculoskeletal diseases</t>
  </si>
  <si>
    <t>Acceptability and effectiveness of Nutrisus in the prevention of anemia and iron deficiency in children under six years old</t>
  </si>
  <si>
    <t>09/21/2022</t>
  </si>
  <si>
    <t>U1111-1281-2944</t>
  </si>
  <si>
    <t>VAC18193RSV2008 A Randomized observer-blind phase 1 study to evaluate innate and pro-inflammatory responses of an Ad26.RSV.preF-based vaccine Ad26.COV2.S vaccine and Ad26.ZEBOV vaccine in adults aged 18 to 59 years</t>
  </si>
  <si>
    <t>U1111-1279-5964</t>
  </si>
  <si>
    <t>Milene Costa Abrahão</t>
  </si>
  <si>
    <t>+55 (11) 963221773</t>
  </si>
  <si>
    <t>mcosta12@its.jnj.com</t>
  </si>
  <si>
    <t>Janssen Cilag Farmaceutica Ltda</t>
  </si>
  <si>
    <t>Evaluation of Radiographic Bone Loss in children and adolescents treated at Piracicaba Dental School. Retrospective study</t>
  </si>
  <si>
    <t>U1111-1280-9051</t>
  </si>
  <si>
    <t>Alveolar Bone Loss</t>
  </si>
  <si>
    <t>Mabelle de Freitas Monteiro</t>
  </si>
  <si>
    <t>+55 (19) 2106-5301</t>
  </si>
  <si>
    <t>mf.monteiro@yahoo.com.br</t>
  </si>
  <si>
    <t>Faculdade de Odontologia de Piracicaba - Universidade Estadual de Campinas</t>
  </si>
  <si>
    <t>Comparative randomized controlled study between Therapeutic Exercises of the Therapeutic School of the Back and Pilates in patients with non-specific Low Back Pain</t>
  </si>
  <si>
    <t>12/16/2019</t>
  </si>
  <si>
    <t>U1111-1242-9754</t>
  </si>
  <si>
    <t>low back pain</t>
  </si>
  <si>
    <t>mario manuel lopez mesa</t>
  </si>
  <si>
    <t>los angeles de san rafael(segovia)</t>
  </si>
  <si>
    <t>Spain</t>
  </si>
  <si>
    <t>+34 691613598</t>
  </si>
  <si>
    <t>mariomlopezm@gmail.com</t>
  </si>
  <si>
    <t>Hospital universitario del Henares</t>
  </si>
  <si>
    <t>09/20/2022</t>
  </si>
  <si>
    <t>U1111-1281-2527</t>
  </si>
  <si>
    <t>Development and evaluation of a topical formulation containing jucá product (Libidibia ferrea) for the treatment of cutaneous Leishmaniasis</t>
  </si>
  <si>
    <t>09/19/2022</t>
  </si>
  <si>
    <t>U1111-1280-7919</t>
  </si>
  <si>
    <t>cutaneous leishmaniasis</t>
  </si>
  <si>
    <t>Leishmaniasis</t>
  </si>
  <si>
    <t>Thiago de Jesus Bacha</t>
  </si>
  <si>
    <t>manaus</t>
  </si>
  <si>
    <t>thiagobacha@live.com</t>
  </si>
  <si>
    <t>Universidade Federal do Amazonas - UFAM</t>
  </si>
  <si>
    <t>Brazilian cohort of patients undergoing rotator cuff repair</t>
  </si>
  <si>
    <t>U1111-1278-8109</t>
  </si>
  <si>
    <t>Rotator cuff syndrome</t>
  </si>
  <si>
    <t>Rupture</t>
  </si>
  <si>
    <t>André Couto Godinho</t>
  </si>
  <si>
    <t>andre_cgod@hotmail.com</t>
  </si>
  <si>
    <t>Effectiveness of telerehabilitation exercise program versus online self management booklet on pain and disability in patients with non-specific chronic neck pain: a randomized controlled trial</t>
  </si>
  <si>
    <t>09/16/2022</t>
  </si>
  <si>
    <t>U1111-1281-2514</t>
  </si>
  <si>
    <t>Neck Pain</t>
  </si>
  <si>
    <t>Mauricio Oliveira Magalhães</t>
  </si>
  <si>
    <t>+55(91)32018892</t>
  </si>
  <si>
    <t>mauriciomag@ufpa.br</t>
  </si>
  <si>
    <t>Comparison of the efficiency of Dental Alignment with the use of Invisalign aligners changed every 7 or 14 days</t>
  </si>
  <si>
    <t>U1111-1281-8045</t>
  </si>
  <si>
    <t>Tooth Diseases</t>
  </si>
  <si>
    <t>Tiago Fialho</t>
  </si>
  <si>
    <t>Gramado</t>
  </si>
  <si>
    <t>+55(54)99666-0978</t>
  </si>
  <si>
    <t>tifialho@hotmail.com</t>
  </si>
  <si>
    <t>Centro Universitário Ingá</t>
  </si>
  <si>
    <t>Effectiveness of a full-body vibration protocol on fall risk balance heart rate variability and post-traumatic stress in post covid-19 patients: randomized controlled study</t>
  </si>
  <si>
    <t>U1111-1259-7187</t>
  </si>
  <si>
    <t>SARS-CoV-2</t>
  </si>
  <si>
    <t>Natalia Tarcila Santos Amorim</t>
  </si>
  <si>
    <t>+55 (81) 2126-8588</t>
  </si>
  <si>
    <t>natalia.samorim@ufpe.br</t>
  </si>
  <si>
    <t>Universidade Federal de Pernambuco</t>
  </si>
  <si>
    <t>Effects of a mindfulness program on emotional intelligence and resilience in nursing leadership</t>
  </si>
  <si>
    <t>U1111-1281-2156</t>
  </si>
  <si>
    <t>Occupational diseases</t>
  </si>
  <si>
    <t>Teresa Maria dos Santos</t>
  </si>
  <si>
    <t>teresa1to@hotmail.com</t>
  </si>
  <si>
    <t>Evaluation of Advanced Platelet-Rich Fibrin (A-PRF) associated with Zucchelli Technique in the Treatment of Gingival Recession type I Cairo</t>
  </si>
  <si>
    <t>09/15/2022</t>
  </si>
  <si>
    <t>U1111-1280-3704</t>
  </si>
  <si>
    <t>Gingival Recession</t>
  </si>
  <si>
    <t>Luiza Roberta Bin</t>
  </si>
  <si>
    <t>Cascavel</t>
  </si>
  <si>
    <t>+55(44)99732-1462</t>
  </si>
  <si>
    <t>luizarbin@protonmail.com</t>
  </si>
  <si>
    <t>Universidade Estadual do Oeste do Paraná</t>
  </si>
  <si>
    <t>Influence of the Use of a Mobile Health Application on adherence to dietary practices and its relationship with the mental health of health professionals</t>
  </si>
  <si>
    <t>U1111-1278-2885</t>
  </si>
  <si>
    <t>Inappropriate diet and eating habits</t>
  </si>
  <si>
    <t>Fhaira Petter da Silva Stefanello</t>
  </si>
  <si>
    <t>Palmeira das Missões</t>
  </si>
  <si>
    <t>+55 (55) 999411514</t>
  </si>
  <si>
    <t>fhaira_petter@hotmail.com</t>
  </si>
  <si>
    <t>Acute Effects of Monoarticular versus Multiarticular Strength Training on Glycemia in Individuals with Type 2 Diabetes</t>
  </si>
  <si>
    <t>09/14/2022</t>
  </si>
  <si>
    <t>Diabetes Complications</t>
  </si>
  <si>
    <t>+55 (48) 3721-4774</t>
  </si>
  <si>
    <t>Telenursing in the Sexual Function of women with Breast Cancer: clinical trial</t>
  </si>
  <si>
    <t>Breast neoplasms</t>
  </si>
  <si>
    <t>Iarlla Silva Ferreira</t>
  </si>
  <si>
    <t>iarlla@live.com</t>
  </si>
  <si>
    <t>Development and evaluation of the effectiveness of the Serious Game for the prevention of surgical site infection: clinical trial</t>
  </si>
  <si>
    <t>U1111-1269-8440</t>
  </si>
  <si>
    <t>Disease Prevention</t>
  </si>
  <si>
    <t>Surgical Wound Infection</t>
  </si>
  <si>
    <t>Maria Helena Barbosa</t>
  </si>
  <si>
    <t>+55(34)91669447</t>
  </si>
  <si>
    <t>mhelena331@hotmail.com</t>
  </si>
  <si>
    <t>Prospective post-marketing clinical follow-up study of the Keraring Intrastromal Corneal Ring SG model</t>
  </si>
  <si>
    <t>09/13/2022</t>
  </si>
  <si>
    <t>U111-1278-4572</t>
  </si>
  <si>
    <t>Prenatal Repair of Myelomeningocele in a university hospital: surgery obstetric and postnatal outcomes</t>
  </si>
  <si>
    <t>U1111-1281-4162</t>
  </si>
  <si>
    <t>Myelomeningocele</t>
  </si>
  <si>
    <t>Luana Sarmento Rocha</t>
  </si>
  <si>
    <t>+ 55 11 2661 8183</t>
  </si>
  <si>
    <t>luasnr@yahoo.com.br</t>
  </si>
  <si>
    <t>Study of nutrition and health in children and adolescents in the city of Fortaleza (ensca-for)</t>
  </si>
  <si>
    <t>U1111-1267-9848</t>
  </si>
  <si>
    <t>Cardiovascular risk</t>
  </si>
  <si>
    <t>Carla Soraya Costa Maia</t>
  </si>
  <si>
    <t>+55(85)3101-9803</t>
  </si>
  <si>
    <t>carla.maia@uece.br</t>
  </si>
  <si>
    <t>Universidade Estadual do Ceará - UECE</t>
  </si>
  <si>
    <t>Effects of Light Therapy on Muscle Performance in Trained People</t>
  </si>
  <si>
    <t>U1111-1282-5088</t>
  </si>
  <si>
    <t>muscle strength</t>
  </si>
  <si>
    <t>healthy volunteers</t>
  </si>
  <si>
    <t>Valéria Amorim Pires di Lorenzo</t>
  </si>
  <si>
    <t>+55 (16) 3351-8448</t>
  </si>
  <si>
    <t>ppgft@ufscar.br</t>
  </si>
  <si>
    <t>Comparative study between the effects of cariostatics in initial dental caries lesions: randomized clinical trial</t>
  </si>
  <si>
    <t>U1111-1269-2592</t>
  </si>
  <si>
    <t>Karla Rocha Pithon</t>
  </si>
  <si>
    <t>Jequié</t>
  </si>
  <si>
    <t>+55 (73) 3528-9727</t>
  </si>
  <si>
    <t>cepjq@uesb.edu.br</t>
  </si>
  <si>
    <t>Universidade Estadual do Sudoeste da Bahia - UESB</t>
  </si>
  <si>
    <t>Topical Treatment of Phimosis: Identifying Success Factors</t>
  </si>
  <si>
    <t>U1111-1277-4207</t>
  </si>
  <si>
    <t>Phimosis</t>
  </si>
  <si>
    <t>Penis Diseases</t>
  </si>
  <si>
    <t>José Murillo Bastos Netto</t>
  </si>
  <si>
    <t>jose.netto@suprema.edu.br</t>
  </si>
  <si>
    <t>Faculdade de Ciências Médicas e da Saúde de Juiz de Fora</t>
  </si>
  <si>
    <t>Acute effect of Low Power Laser (red and infrared) on the performance of patients with peripheral arterial disease in the walk test: a randomized double-blind placebo-controlled trial</t>
  </si>
  <si>
    <t>U1111-1279-9460</t>
  </si>
  <si>
    <t>Endocrine System Diseases</t>
  </si>
  <si>
    <t>Gladson Ricardo Flor Bertolini</t>
  </si>
  <si>
    <t>gladsonricardo@gmail.com</t>
  </si>
  <si>
    <t>Effectiveness of Clinical Simulation as a teaching tool- learning about Patient Safety: an Experimental Study</t>
  </si>
  <si>
    <t>U1111-1282-3651</t>
  </si>
  <si>
    <t>Cross Infection</t>
  </si>
  <si>
    <t>Medication Errors</t>
  </si>
  <si>
    <t>Patient Safety</t>
  </si>
  <si>
    <t>Patrícia Freire de Vasconcelos</t>
  </si>
  <si>
    <t>Redenção</t>
  </si>
  <si>
    <t>+55 (85) 3332-1381</t>
  </si>
  <si>
    <t>patriciafreire@unilab.edu.br</t>
  </si>
  <si>
    <t>Universidade da Integração Internacional da Lusofonia Afro-Brasileira</t>
  </si>
  <si>
    <t>Profile of patients with SARS-COV-2 under Non-Invasive Ventilatory Support in a tertiary hospital in Rio de Janeiro: a retrospective observational study</t>
  </si>
  <si>
    <t>U1111-1278-0320</t>
  </si>
  <si>
    <t>Ventilator-Induced Lung Injury</t>
  </si>
  <si>
    <t>Pedro Leme Silva</t>
  </si>
  <si>
    <t>+55 (21) 98343-0442</t>
  </si>
  <si>
    <t>pedroleme@biof.ufrj.br</t>
  </si>
  <si>
    <t>instituto de biofisica carlos chagas filho</t>
  </si>
  <si>
    <t>Effects of physical exercise associated with photobiomodulation therapy on functional capacity and muscle performance in individuals with persistent symptoms of Covid-19</t>
  </si>
  <si>
    <t>U1111-1277-7957</t>
  </si>
  <si>
    <t>Arthralgia</t>
  </si>
  <si>
    <t>Heloyse Uliam Kuriki</t>
  </si>
  <si>
    <t>heloyse.kuriki@ufsc.br</t>
  </si>
  <si>
    <t>Universidade Federal de Santa Catarina - Campus Araranguá</t>
  </si>
  <si>
    <t>Effect of Posterior Shoulder Capsule Stretches in symptomatic overhead athletes with Internal Rotation Deficit: a randomized controlled trial</t>
  </si>
  <si>
    <t>U1111-1278-9368</t>
  </si>
  <si>
    <t>Valéria Mayaly Alves de Oliveira</t>
  </si>
  <si>
    <t>Joao Pessoa</t>
  </si>
  <si>
    <t>+55(83)32167183</t>
  </si>
  <si>
    <t>valeria.mayaly@academico.ufpb.br</t>
  </si>
  <si>
    <t>Efficacy and tooth sensitivity of different at-home bleaching protocols with a 10% carbamide peroxide: a randomized single-blind clinical trial</t>
  </si>
  <si>
    <t>U1111-1280-9156</t>
  </si>
  <si>
    <t>Dentin sensitivity</t>
  </si>
  <si>
    <t>Tooth Discoloration</t>
  </si>
  <si>
    <t>Oral Health</t>
  </si>
  <si>
    <t>Alessandra  Reis</t>
  </si>
  <si>
    <t>Ponta Grossa</t>
  </si>
  <si>
    <t>+55(42)32209741</t>
  </si>
  <si>
    <t>reis_ale@hotmail.com</t>
  </si>
  <si>
    <t>Universidade Estadual de Ponta Grossa</t>
  </si>
  <si>
    <t>Influence of Black Soy Flour Consumption on Body Composition Body Weight Lipid and Glycid profile in individuals with Obesity</t>
  </si>
  <si>
    <t>weight loss</t>
  </si>
  <si>
    <t>Ilana Felberg Felberg</t>
  </si>
  <si>
    <t>+55 (21) 3622-9600</t>
  </si>
  <si>
    <t>ilana.felberg@embrapa.br</t>
  </si>
  <si>
    <t>Empresa Brasileira de Pesquisa Agropecuária - EMBRAPA</t>
  </si>
  <si>
    <t>Effects of Physical Exercise in motor function manual dexterity and brain plasticity in individuals with Parkinsons disease: randomized controlled trial</t>
  </si>
  <si>
    <t>U1111-1277-9799</t>
  </si>
  <si>
    <t>Parkinson disease</t>
  </si>
  <si>
    <t>Anna Carolyna Lepeuster Gianlorenço</t>
  </si>
  <si>
    <t>+55(16)992027870</t>
  </si>
  <si>
    <t>gianlorenco@ufscar.br</t>
  </si>
  <si>
    <t>Evaluation of autonomic cardiac modulation and body composition in elderly submitted to the Protocol of exercise and the Gametherapy</t>
  </si>
  <si>
    <t>U1111-1275-6416</t>
  </si>
  <si>
    <t>aged</t>
  </si>
  <si>
    <t>Heart Rate</t>
  </si>
  <si>
    <t>Sáskia Fürstenberg Thoma</t>
  </si>
  <si>
    <t>55(083)999304897</t>
  </si>
  <si>
    <t>saskia.thoma@maisunifacisa.com.br</t>
  </si>
  <si>
    <t>UNIFACISA-Faculdade de Ciências Sociais Aplicadas -Centro Universitário</t>
  </si>
  <si>
    <t>Placebo-controlled clinical trial on the effect of an Anesthetic Gel on pain prevention during Periodontal Probing</t>
  </si>
  <si>
    <t>U1111-1258-7379</t>
  </si>
  <si>
    <t>Chronic Periodontitis</t>
  </si>
  <si>
    <t>Periodontal Diseases</t>
  </si>
  <si>
    <t>Daniele Boina de Oliveira</t>
  </si>
  <si>
    <t>+55 (42) 3220-3000</t>
  </si>
  <si>
    <t>stricto.odonto@gmail.com</t>
  </si>
  <si>
    <t>Evaluation of nutritional inflammatory and oxidative status of patients undergoing bariatric surgery</t>
  </si>
  <si>
    <t>U1111-1282-0422</t>
  </si>
  <si>
    <t>Morbid Obesity</t>
  </si>
  <si>
    <t>Fabiano - PPGNS</t>
  </si>
  <si>
    <t>ppgns.ufes@gmail.com</t>
  </si>
  <si>
    <t>Evaluation of Pharmaceutical Services for Clinical Support to Hospital Discharge in the cardiology unit of a teaching hospital in Espírito Santo</t>
  </si>
  <si>
    <t>U1111-1278-6846</t>
  </si>
  <si>
    <t>Patient Discharge</t>
  </si>
  <si>
    <t>Pharmaceutical Services</t>
  </si>
  <si>
    <t>Leonardo Coutinho Ribeiro</t>
  </si>
  <si>
    <t>+55(27)33357153</t>
  </si>
  <si>
    <t>leeovit@yahoo.com.br</t>
  </si>
  <si>
    <t>Hospital Universitário Cassiano Antonio Moraes (HUCAM)/Universidade Federal do Espírito Santo (UFES)</t>
  </si>
  <si>
    <t>Clinical performance of a composite resin with intelligent chromatic technology for the restoration of non-carious cervical lesions</t>
  </si>
  <si>
    <t>U1111-1277-1572</t>
  </si>
  <si>
    <t>Alessandro Dourado Loguercio</t>
  </si>
  <si>
    <t>+55 (42) 3220 3740</t>
  </si>
  <si>
    <t>aloguercio@hormail.com</t>
  </si>
  <si>
    <t>Photobiomodulation and B complex use in patients with taste disorders caused by COVID-19. In vivo randomized and double-blind study</t>
  </si>
  <si>
    <t>11/17/2021</t>
  </si>
  <si>
    <t>U1111-1281-7082</t>
  </si>
  <si>
    <t>taste disorders after COVID-19</t>
  </si>
  <si>
    <t>Disturbances of smell and taste</t>
  </si>
  <si>
    <t>Pedro Cardoso Soares</t>
  </si>
  <si>
    <t>pcsoares@usp.br</t>
  </si>
  <si>
    <t>Neurophysiological assessment of motor responses determined by fascial manipulation: a randomized crossover double-blind study</t>
  </si>
  <si>
    <t>U1111-1279-6466</t>
  </si>
  <si>
    <t>Neuromuscular Manifestations</t>
  </si>
  <si>
    <t>Abrahão Fontes Baptista</t>
  </si>
  <si>
    <t>+55(24)988822040</t>
  </si>
  <si>
    <t>a.baptista@ufabc.edu.br</t>
  </si>
  <si>
    <t>Universidade Federal do ABC</t>
  </si>
  <si>
    <t>Efficacy of acupuncture on quality of life functional performance dyspnea and pulmonary function in patients with Chronic obstructive pulmonary disease: randomized clinical trial</t>
  </si>
  <si>
    <t>U1111-1273-1915</t>
  </si>
  <si>
    <t>Chronic Obstructive Pulmonary Disease</t>
  </si>
  <si>
    <t>Others chronic obstructive pulmonary diseases</t>
  </si>
  <si>
    <t>Vanessa Amaral Mendonça</t>
  </si>
  <si>
    <t>+55(38)35321239</t>
  </si>
  <si>
    <t>vanessa.mendonca@ufvjm.edu.br</t>
  </si>
  <si>
    <t>Glycemic response of individuals to the consumption of formula for enteral nutrition</t>
  </si>
  <si>
    <t>08/31/2022</t>
  </si>
  <si>
    <t>U1111-1278-6581</t>
  </si>
  <si>
    <t>Hyperglycemia</t>
  </si>
  <si>
    <t>Eliana Bistriche Giuntini</t>
  </si>
  <si>
    <t>+55(11)26486206</t>
  </si>
  <si>
    <t>elibi@alumni.usp.br</t>
  </si>
  <si>
    <t>Food Research Center (FoRC) - Universidade de São Paulo</t>
  </si>
  <si>
    <t>Evaluation of the effectiveness of the Laser- ILIB in the control of pain and sensory changes associated with Diabetic Neuropath</t>
  </si>
  <si>
    <t>08/30/2022</t>
  </si>
  <si>
    <t>U1111-1276-6185</t>
  </si>
  <si>
    <t>Cristiane Flora Villarreal</t>
  </si>
  <si>
    <t>+55 (71) 32836933</t>
  </si>
  <si>
    <t>cfv@ufba.br</t>
  </si>
  <si>
    <t>Faculdade de Farmácia da Universidade Federal da Bahia</t>
  </si>
  <si>
    <t>Assessment of primary dermal irritability accumulated dermal irritability and dermal sensitization (HRIPT)</t>
  </si>
  <si>
    <t>08/29/2022</t>
  </si>
  <si>
    <t>U1111-1280-0575</t>
  </si>
  <si>
    <t>Skin</t>
  </si>
  <si>
    <t>Medcin Instituto Da Pele Ltda Instituto da Pele LTDA</t>
  </si>
  <si>
    <t>Osasco</t>
  </si>
  <si>
    <t>+55(11)36835366</t>
  </si>
  <si>
    <t>contato@medicinpesquisa.com,br</t>
  </si>
  <si>
    <t>Medicin Instituto da Pele Ltda</t>
  </si>
  <si>
    <t>Assessment of primary and cumulative irritation potential sensitization potential of the skin and the potential for phototoxicity and photoallergy of the skin supervised by dermatologist for vaginal moisture restorative product HB22</t>
  </si>
  <si>
    <t>05/25/2020</t>
  </si>
  <si>
    <t>Photosensitivity disorders</t>
  </si>
  <si>
    <t>Other acute skin changes due to ultraviolet radiation</t>
  </si>
  <si>
    <t>Effectiveness of Transcranial Direct Current Stimulation associated with Physiotherapy in improving balance and gait of individuals with Parkinson´s disease: randomized clinical trial</t>
  </si>
  <si>
    <t>08/26/2022</t>
  </si>
  <si>
    <t>U1111-1281-2239</t>
  </si>
  <si>
    <t>Neurodegenerative diseases</t>
  </si>
  <si>
    <t>Suhaila Mahmoud Smaili Santos</t>
  </si>
  <si>
    <t>+55 (43) 3371-2320</t>
  </si>
  <si>
    <t>suhaila@uel.br</t>
  </si>
  <si>
    <t>Evaluation of the acute effect of Transcutaneous Electrical Stimulation in individuals with nonspecific low back pain</t>
  </si>
  <si>
    <t>U1111-1281-2545</t>
  </si>
  <si>
    <t>Lumbosacral Region</t>
  </si>
  <si>
    <t>Kelly Mônica Marinho e Lima</t>
  </si>
  <si>
    <t>+55(048)37216934</t>
  </si>
  <si>
    <t>kelly.lima@ufsc.br</t>
  </si>
  <si>
    <t>Evaluation of the effectiveness of adjuvant Photodynamic Therapy to non-surgical Periodontal Therapy: a randomized clinical trial</t>
  </si>
  <si>
    <t>08/25/2022</t>
  </si>
  <si>
    <t>U1111-1280-8041</t>
  </si>
  <si>
    <t>Rafael Esteves Lima</t>
  </si>
  <si>
    <t>rafaelesteveslima@ufmg.br</t>
  </si>
  <si>
    <t>Universidade Federal De Minas Gerais</t>
  </si>
  <si>
    <t>Effect of imposed and self-selected exercise on perceptual and affective responses muscle function and quality and functionality in strength training in elderly women and men</t>
  </si>
  <si>
    <t>U1111-1276-0642</t>
  </si>
  <si>
    <t>Lack of Physical Exercise</t>
  </si>
  <si>
    <t>Lifestyle related issues</t>
  </si>
  <si>
    <t>Erick Doner Garcia</t>
  </si>
  <si>
    <t>(41) 3361-3072</t>
  </si>
  <si>
    <t>erickdoner@gmail.com</t>
  </si>
  <si>
    <t>Inter-individual variability in the bioavailability of citrus flavanones and on the lipid profile in humans</t>
  </si>
  <si>
    <t>U1111-1257-7414</t>
  </si>
  <si>
    <t>Health-disease Process</t>
  </si>
  <si>
    <t>Neuza Mariko Aymoto Hassimotto</t>
  </si>
  <si>
    <t>aymoto@usp.br</t>
  </si>
  <si>
    <t>Faculdade de Ciências Farmacêuticas da Universidade de São Paulo</t>
  </si>
  <si>
    <t>Retrospective postmarketing clinical follow-up study of Keraring Intrastromal Corneal Ring</t>
  </si>
  <si>
    <t>08/24/2022</t>
  </si>
  <si>
    <t>U1111-1278-6237</t>
  </si>
  <si>
    <t>Effects of Mentholated Popsicle on vasopressin osmolarity intensity thirst discomfort and oral dehydration: randomized clinical trial</t>
  </si>
  <si>
    <t>U1111-1269-2932</t>
  </si>
  <si>
    <t>Thirst</t>
  </si>
  <si>
    <t>Satiety Response</t>
  </si>
  <si>
    <t>Thammy Gonçalves Nakaya</t>
  </si>
  <si>
    <t>+55 (43) 3371-2728</t>
  </si>
  <si>
    <t>thammynakaya@hotmail.com</t>
  </si>
  <si>
    <t>Effects of Photobiomodulation Therapy in the prevention and treatment of Acute Radiodermatitis in women with Breast Neoplasm: randomized clinical trial</t>
  </si>
  <si>
    <t>U1111-1279-1686</t>
  </si>
  <si>
    <t>(11)3061-8858</t>
  </si>
  <si>
    <t>cepee@usp.br</t>
  </si>
  <si>
    <t>Development and validation of an Artificial Intelligence-based solution for remote motion detection and correction of exercises for Motor Rehabilitation</t>
  </si>
  <si>
    <t>U1111-1279-7653</t>
  </si>
  <si>
    <t>Carla Moussalli</t>
  </si>
  <si>
    <t>+55(016) 5643-9726</t>
  </si>
  <si>
    <t>eretz.bio@einstein.br</t>
  </si>
  <si>
    <t>LinkFit</t>
  </si>
  <si>
    <t>Asthma attacks: a study of causality and prevention in Brazil</t>
  </si>
  <si>
    <t>08/23/2022</t>
  </si>
  <si>
    <t>U1111-1236-3317</t>
  </si>
  <si>
    <t>Asthmatic crisis</t>
  </si>
  <si>
    <t>Alvaro Augusto Cruz</t>
  </si>
  <si>
    <t>cruz.proar@gmail.com</t>
  </si>
  <si>
    <t>Associacao ProAR</t>
  </si>
  <si>
    <t>Clinical and Immunological Surveillance of hospitalized patients with COVID-19 in the Northwest macro-region of the State of Paraná</t>
  </si>
  <si>
    <t>U1111-1279-4477</t>
  </si>
  <si>
    <t>Dennis Armando Bertolini</t>
  </si>
  <si>
    <t>(+55)44991015090</t>
  </si>
  <si>
    <t>dabertolini@uem.br</t>
  </si>
  <si>
    <t>Influence of the anesthetic technique (Total Intravenous Anesthesia X Balanced Anesthesia) on the behavior of measuring the Optic Nerve Sheath Diameter by Ultrasound in Laparoscopic Gynecological Surgeries. Randomized clinical trial</t>
  </si>
  <si>
    <t>endometriosis</t>
  </si>
  <si>
    <t>Intracranial Pressure</t>
  </si>
  <si>
    <t>Ayrton Bentes Teixeira</t>
  </si>
  <si>
    <t>+55(19)3521-9560</t>
  </si>
  <si>
    <t>abteix@gmail.com</t>
  </si>
  <si>
    <t>Effects of the use of Probiotics on the gut microbiota clinical-nutritional and immunological status of patients undergoing Gastrectomy for Gastric Cancer: a randomized clinical trial</t>
  </si>
  <si>
    <t>U1111-1266-9980</t>
  </si>
  <si>
    <t>Intestinal Microbiota</t>
  </si>
  <si>
    <t>Valquiria do Carmo Alves Martins</t>
  </si>
  <si>
    <t>+55(92)36554600</t>
  </si>
  <si>
    <t>alvesvalquiria@yahoo.com.br</t>
  </si>
  <si>
    <t>FCECON - Fundação Centro de Controle de Oncologia do Estado do Amazonas</t>
  </si>
  <si>
    <t>Nursing care based on Orems Theory of Self-Care for patients with chronic Chagas Disease</t>
  </si>
  <si>
    <t>U1111-1279-5262</t>
  </si>
  <si>
    <t>Nursing Care</t>
  </si>
  <si>
    <t>Models,Nursing</t>
  </si>
  <si>
    <t>Ellany Gurgel Cosme do Nascimento</t>
  </si>
  <si>
    <t>Mossoró</t>
  </si>
  <si>
    <t>+55(84)3315-2247</t>
  </si>
  <si>
    <t>ellanygurgel@uern.br</t>
  </si>
  <si>
    <t>Faculdade de Ciências da Saúde da Universidade do Estado do Rio Grande do Norte</t>
  </si>
  <si>
    <t>Evaluation of the effect of Alogliptin in the prevention of type 1 Diabetes Mellitus</t>
  </si>
  <si>
    <t>U1111-1278-5949</t>
  </si>
  <si>
    <t>Type 1 Diabetes mellitus</t>
  </si>
  <si>
    <t>diabetes mellitus</t>
  </si>
  <si>
    <t>+55(85)3366-8344</t>
  </si>
  <si>
    <t>comepe@ufc.br</t>
  </si>
  <si>
    <t>Incidence of hipotension in the weaning of vasopressor drugs</t>
  </si>
  <si>
    <t>U1111-1277-1950</t>
  </si>
  <si>
    <t>septicemia not specified</t>
  </si>
  <si>
    <t>shock not specified</t>
  </si>
  <si>
    <t>Unidade de Terapia Intensiva Hospital Nossa Senhora da Conceição GHC</t>
  </si>
  <si>
    <t>55 (51) 3357-2000</t>
  </si>
  <si>
    <t>casmallmann@yahoo.com.br</t>
  </si>
  <si>
    <t>Hospital Nossa Senhora da Conceição</t>
  </si>
  <si>
    <t>Effect of Manual Osteopathic Techniques (BMT) on lung function and quality of life in patients with Chronic Obstructive Pulmonary Disease (COPD)</t>
  </si>
  <si>
    <t>U1111-1276-0028</t>
  </si>
  <si>
    <t>Chronic obstructive pulmonary disease unspecified</t>
  </si>
  <si>
    <t>Escola de Osteopatia de Madrid Brasil</t>
  </si>
  <si>
    <t>+55(19)999321491</t>
  </si>
  <si>
    <t>Escola de Osteopatia de Madrid</t>
  </si>
  <si>
    <t>Randomized clinical trial on healing after incisional fasciectomy Bruner and McCash in patients with Dupuytrens Disease</t>
  </si>
  <si>
    <t>02/14/2022</t>
  </si>
  <si>
    <t>U1111-1273-2903</t>
  </si>
  <si>
    <t>Palmar fascia fibromatosis (Dupuytren)</t>
  </si>
  <si>
    <t>Dupuytren Contracture</t>
  </si>
  <si>
    <t>João Baptista Gomes dos Santos</t>
  </si>
  <si>
    <t>+55(11)55797049</t>
  </si>
  <si>
    <t>joaobgs@ig.com.br</t>
  </si>
  <si>
    <t>Effects of Osteopathic Manipulative Treatment (OMT) on the functionality of patients with Congestive Heart Failure: a randomized clinical trial</t>
  </si>
  <si>
    <t>08/22/2022</t>
  </si>
  <si>
    <t>U1111-1280-2856</t>
  </si>
  <si>
    <t>Healthy Lifestyle</t>
  </si>
  <si>
    <t>Fellipe Amatuzzi Teixeira</t>
  </si>
  <si>
    <t>+55(61)3107-8418</t>
  </si>
  <si>
    <t>famatuzzi@gmail.com</t>
  </si>
  <si>
    <t>Programa de Pós-Graduação em Ciências e Tecnologias em Saúde</t>
  </si>
  <si>
    <t>Effects of a physiotherapy treatment protocol for motor functions and quality of life in Parkinsons disease: experimental study</t>
  </si>
  <si>
    <t>08/19/2022</t>
  </si>
  <si>
    <t>U1111-1259-0366</t>
  </si>
  <si>
    <t>Parkinsonian Disorders</t>
  </si>
  <si>
    <t>Aurelio de Melo Barbosa</t>
  </si>
  <si>
    <t>Goiania</t>
  </si>
  <si>
    <t>aurelio.barbosa@goias.gov.br</t>
  </si>
  <si>
    <t>Unidade Universitária Goiânia-ESEFFEGO Universidade Estadual de Goiás</t>
  </si>
  <si>
    <t>Parkinsons disease</t>
  </si>
  <si>
    <t>Neuromuscular electrical stimulation protocol in intensive care unit-acquired weakness (ICUAW) patients: a clinical prospective and randomized study</t>
  </si>
  <si>
    <t>Muscle Weakness</t>
  </si>
  <si>
    <t>Critical Care</t>
  </si>
  <si>
    <t>Rodrigo Marques Tonella</t>
  </si>
  <si>
    <t>digomato@gmail.com</t>
  </si>
  <si>
    <t>Outpatient pre-anesthetic evaluation of 700 urological patients in a university hospital with analysis of perioperative outcomes. Retrospective study</t>
  </si>
  <si>
    <t>U1111-1281-8490</t>
  </si>
  <si>
    <t>Peroperative complications</t>
  </si>
  <si>
    <t>Urologic Diseases</t>
  </si>
  <si>
    <t>Nubia Verçosa Figueiredo</t>
  </si>
  <si>
    <t>+55(21)39382222</t>
  </si>
  <si>
    <t>deptocirurgia.fmufrj@gmail.com</t>
  </si>
  <si>
    <t>Faculdade de Medicina da Universidade Federal do Rio de Janeiro</t>
  </si>
  <si>
    <t>Specific versus general exercises program in patients with shoulder impingement syndrome: A randomized controlled trial</t>
  </si>
  <si>
    <t>01/17/2020</t>
  </si>
  <si>
    <t>U1111-1245-7878</t>
  </si>
  <si>
    <t>Shoulder rotator cuff tendon injury</t>
  </si>
  <si>
    <t>Felipe Andres Araya</t>
  </si>
  <si>
    <t>Evaluation of creatine supplementation in renal hemodialysis patients</t>
  </si>
  <si>
    <t>08/18/2022</t>
  </si>
  <si>
    <t>U1111-1277-4908</t>
  </si>
  <si>
    <t>Gustavo Duarte Pimentel</t>
  </si>
  <si>
    <t>gupimentel@yahoo.com.br</t>
  </si>
  <si>
    <t>Universidade Federal de Goiás</t>
  </si>
  <si>
    <t>The importance of Preoperative Electrocardiogram in healthy patients above 50 years old submitted to Elective Non-Cardiac Surgical Intervention</t>
  </si>
  <si>
    <t>08/17/2022</t>
  </si>
  <si>
    <t>U1111-1279-4103</t>
  </si>
  <si>
    <t>Preoperative Care</t>
  </si>
  <si>
    <t>Alexandre Chateaubriand Duarte de Azeredo Coutinho</t>
  </si>
  <si>
    <t>+55(11)944957764</t>
  </si>
  <si>
    <t>xandechateaubriand@gmail.com</t>
  </si>
  <si>
    <t>Instituto Brasileiro de Controle do Câncer - IBCC/ Oncologia Clínica - SP</t>
  </si>
  <si>
    <t>Motor Intervention Programs in schoolchildren: acute effect of Physical Exercise on cognitive performance</t>
  </si>
  <si>
    <t>U1111-1277-9000</t>
  </si>
  <si>
    <t>Marcos  Moraes</t>
  </si>
  <si>
    <t>Santa Cruz do Sul</t>
  </si>
  <si>
    <t>+55 (51) 997071643</t>
  </si>
  <si>
    <t>mmoraes@unisc.br</t>
  </si>
  <si>
    <t>Universidade de Santa Cruz do Sul (Unisc)</t>
  </si>
  <si>
    <t>Effect of wholy body vibration on capacity Functional muscular strength and strength functionality and quality of life of patients after covid-19: a study controlled and randomized</t>
  </si>
  <si>
    <t>Covid-19</t>
  </si>
  <si>
    <t>Elaine Cristina Santa Cruz de Moura</t>
  </si>
  <si>
    <t>+055 081 994050153</t>
  </si>
  <si>
    <t>elaine.moura@ufpe.br</t>
  </si>
  <si>
    <t>Evaluation of the efficacy of using indocyanine green associated with fluorescence in sentinel lymph node biopsy</t>
  </si>
  <si>
    <t>U1111-1279-4407</t>
  </si>
  <si>
    <t>Breast cancer</t>
  </si>
  <si>
    <t>Neoplasm Staging</t>
  </si>
  <si>
    <t>Rafael da Silva Sa</t>
  </si>
  <si>
    <t>55(18)981514255</t>
  </si>
  <si>
    <t>rafasamed@hotmail.com</t>
  </si>
  <si>
    <t>Hospital Regional do Câncer de Presidente Prudente</t>
  </si>
  <si>
    <t>Persistence of binding and neutralizing antibodies against SARS-CoV2 strains at 6 months or more after a third dose with recombinant covid-19 vaccine (AstraZeneca/Fiocruz) mRNA covid-19 vaccine (Comirnaty Pfizer/ Wyeth) recombinant covid-19 vaccine (Janssen) or adsorbed inactivated Covid-19 vaccine Coronavac (Sinovac/ Butantan) in subjects primed with two Sinovac/Butantan doses – extension of study RHH_001 and assessment of safety and immunogenicity of 4th dose with recombinant covid-19 vaccine (AstraZeneca/Fiocruz) or mRNA covid-19 vaccine (Comirnaty Pfizer/ Wyeth)</t>
  </si>
  <si>
    <t>Respiratory Infections</t>
  </si>
  <si>
    <t>Ana Verena Almeida Mendes</t>
  </si>
  <si>
    <t>pesquisaclinica@idor.org</t>
  </si>
  <si>
    <t>Instituto DOr de Pesquisa e Ensino</t>
  </si>
  <si>
    <t>Influence of Gingiva Retraction with Cotton Cord in the treatment of tooth sensitivity</t>
  </si>
  <si>
    <t>08/16/2022</t>
  </si>
  <si>
    <t>U1111-1279-0789</t>
  </si>
  <si>
    <t>Dentin Hypersensitivity</t>
  </si>
  <si>
    <t>Alexandre Coelho Machado</t>
  </si>
  <si>
    <t>+55 (34) 3225-8462</t>
  </si>
  <si>
    <t>alexandrecoelhomachado@ufu.br</t>
  </si>
  <si>
    <t>Escola Técnica de Saúde da Universidade Federal de Uberlândia</t>
  </si>
  <si>
    <t>Efectiveness of Educational Intervention in parental stress in intensive care unit: experimental study</t>
  </si>
  <si>
    <t>U1111-1278-9888</t>
  </si>
  <si>
    <t>Mother-Child Relations</t>
  </si>
  <si>
    <t>Gerarlene Guimarães Santos</t>
  </si>
  <si>
    <t>Parnaíba</t>
  </si>
  <si>
    <t>gerarlenepg@hotmail.com</t>
  </si>
  <si>
    <t>Evaluation of the prophilatic effects of the flavonoid Hesperidin Methyl Chalcone on Delayed Onset Muscle Soreness in humans</t>
  </si>
  <si>
    <t>Unspecified muscle disorder</t>
  </si>
  <si>
    <t>Monica Zanon Luque</t>
  </si>
  <si>
    <t>+55 (43) 3371-7990</t>
  </si>
  <si>
    <t>monicazanonl@hotmail.com</t>
  </si>
  <si>
    <t>Analgesic effects of the use of Ibuprofen/Oxycodone versus Ibuprofen/Acetominophen in lower third molar Extraction Surgery: a comparative study</t>
  </si>
  <si>
    <t>08/15/2022</t>
  </si>
  <si>
    <t>U1111-1277-0748</t>
  </si>
  <si>
    <t>Postoperative Pain</t>
  </si>
  <si>
    <t>Iolanda Zanotelli Lemos</t>
  </si>
  <si>
    <t>+55(21)28688000</t>
  </si>
  <si>
    <t>zlemosiolanda@gmail.com</t>
  </si>
  <si>
    <t>Universidade Estadual do Rio de Janeiro</t>
  </si>
  <si>
    <t>Hydrocortisone versus placebo for severe Hospital-acquired Pneumonia in intensive care patients</t>
  </si>
  <si>
    <t>U1111-1281-0850</t>
  </si>
  <si>
    <t>Infections</t>
  </si>
  <si>
    <t>Dante Raglione</t>
  </si>
  <si>
    <t>dante.raglione@hc.fm.usp.br</t>
  </si>
  <si>
    <t>Evaluation of the Effectiveness of Simvastatin Use in Systemic Sclerosis Patients: A Pragmatic Clinical Trial</t>
  </si>
  <si>
    <t>09/30/2019</t>
  </si>
  <si>
    <t>U1111-1237-2198</t>
  </si>
  <si>
    <t>Systemic Sclerosis</t>
  </si>
  <si>
    <t>Lilian David Valadares</t>
  </si>
  <si>
    <t>+55(81)21263743</t>
  </si>
  <si>
    <t>ldvaladares@hotmail.com</t>
  </si>
  <si>
    <t>Hospital das Cllinicas da Universidade Federal de Pernambuco</t>
  </si>
  <si>
    <t>Effects of Transcranial Direct Current Stimulation combined with Physical Exercise on individuals with Parkinsons disease locomtion and cortical activity</t>
  </si>
  <si>
    <t>U1111-1281-1992</t>
  </si>
  <si>
    <t>neurodegenerative disease</t>
  </si>
  <si>
    <t>Departamento de Educação Física</t>
  </si>
  <si>
    <t>Rio Claro</t>
  </si>
  <si>
    <t>+55(19)3526-9630</t>
  </si>
  <si>
    <t>edufisic.rc@unesp.br</t>
  </si>
  <si>
    <t>Universidade Estadual Paulista Júlio de Mesquita Filho</t>
  </si>
  <si>
    <t>Comparison of pain levels in nasopalatine nerve blocks using two different techniques</t>
  </si>
  <si>
    <t>U1111-1279-6136</t>
  </si>
  <si>
    <t>Dental Care</t>
  </si>
  <si>
    <t>+55(79)21051821</t>
  </si>
  <si>
    <t>dod@academico.ufs.br</t>
  </si>
  <si>
    <t>Faculdade de Odontologia da Universidade Federal de Sergipe</t>
  </si>
  <si>
    <t>Effects of aerobic exercise and chess in executive function of adolescents: a randomized and controlled clinical trial</t>
  </si>
  <si>
    <t>U1111-1279-7384</t>
  </si>
  <si>
    <t>Sedentarism</t>
  </si>
  <si>
    <t>José Fernando Vila Nova de Moraes</t>
  </si>
  <si>
    <t>josefernando.moraes@univasf.edu.br</t>
  </si>
  <si>
    <t>Phenylephrine Infusion for prevention of arterial hypotension in pregnant women undergoing cesarean section</t>
  </si>
  <si>
    <t>Pregnancy Hypotension</t>
  </si>
  <si>
    <t>Pathological conditions,signs and syntoms</t>
  </si>
  <si>
    <t>Breno Wilson Benevides Andrade</t>
  </si>
  <si>
    <t>Cuiabá</t>
  </si>
  <si>
    <t>+55(65) 992148001</t>
  </si>
  <si>
    <t>brenobenevides1@icloud.com</t>
  </si>
  <si>
    <t>Hospital Geral de Cuiabá – Associação de Proteção à Maternidade e à Infância de Cuiabá</t>
  </si>
  <si>
    <t>Comparison of efficacy and safety between small-incision lenticule extraction (SMILE) and femtolaser-assisted in situ keratomileusis (femtoLASIK) optimized by wavefront analysis</t>
  </si>
  <si>
    <t>U1111-1279-8788</t>
  </si>
  <si>
    <t>Astigmatism</t>
  </si>
  <si>
    <t>Other refractive disorders</t>
  </si>
  <si>
    <t>Felipe Abdo Jorge</t>
  </si>
  <si>
    <t>+55(11)949724652</t>
  </si>
  <si>
    <t>felipeabdojorge@gmail.com</t>
  </si>
  <si>
    <t>Effects/Effectiveness of Formal Caregiver Training on sedentary behavior and functionality of older adults in nursing homes</t>
  </si>
  <si>
    <t>U1111-1279-0723</t>
  </si>
  <si>
    <t>Lack of physical exercise</t>
  </si>
  <si>
    <t>Isabela Vinharski Scheidt</t>
  </si>
  <si>
    <t>isabelavscheidt@gmail.com</t>
  </si>
  <si>
    <t>Universidade Federal do Paraná - Programa de Pós-Graduação em Educação Física</t>
  </si>
  <si>
    <t>Comparison between intermaxillary fixation methods in maxillofacial fractures</t>
  </si>
  <si>
    <t>U1111-1279-7505</t>
  </si>
  <si>
    <t>Mandibular fracture</t>
  </si>
  <si>
    <t>Fracture of the skull and facial bones</t>
  </si>
  <si>
    <t>Ighor Fernandes</t>
  </si>
  <si>
    <t>+55 38 35326063</t>
  </si>
  <si>
    <t>ighor.af@gmail.com</t>
  </si>
  <si>
    <t>Comparative analysis of the food transition process of premature newborns after the application of Speech Therapy Intervention Programs</t>
  </si>
  <si>
    <t>U1111-1279-3656</t>
  </si>
  <si>
    <t>Feeding Methods</t>
  </si>
  <si>
    <t>Sheila Tamanini de Almeida</t>
  </si>
  <si>
    <t>55 (051) 999664237</t>
  </si>
  <si>
    <t>sheilat@ufcspa.edu.br</t>
  </si>
  <si>
    <t>Effectiveness of Virtual Reality in the success of Peripheral Intravenous Catheterization in children: clinical randomized and controlled study</t>
  </si>
  <si>
    <t>U1111-1280-9762</t>
  </si>
  <si>
    <t>Psychological Distress</t>
  </si>
  <si>
    <t>Deiny Almeida Ramos Almeida Ramos</t>
  </si>
  <si>
    <t>Joinville</t>
  </si>
  <si>
    <t>dep@hjaf.org.br</t>
  </si>
  <si>
    <t>Hospital Infantil Dr Jeser Amarante Faria</t>
  </si>
  <si>
    <t>Evaluation of the Efficacy of Ozone Therapy Applied to the Treatment of Venous Ulcers: Randomized Clinical Trial</t>
  </si>
  <si>
    <t>Varicose Ulcer</t>
  </si>
  <si>
    <t>Venous Insufficiency</t>
  </si>
  <si>
    <t>Tássia Lima Bomfim</t>
  </si>
  <si>
    <t>tassiaufs@gmail.com</t>
  </si>
  <si>
    <t>Fundação Universidade Federal de Sergipe</t>
  </si>
  <si>
    <t>Evaluation of primary accumulated dermal irritability and sensitization of a cream through the Patch Test_TCI01.2022</t>
  </si>
  <si>
    <t>U1111-1279-8848</t>
  </si>
  <si>
    <t>Health</t>
  </si>
  <si>
    <t>Assessment of primary and cumulative irritation potential sensitization potential of the skin and the potential for phototoxicity and photoallergy of the skin supervised by Dermatologist for HG22 Vaginal Moisture Restorative Product</t>
  </si>
  <si>
    <t>05/26/2020</t>
  </si>
  <si>
    <t>Contact dermatitis,unspecified,cause unspecified</t>
  </si>
  <si>
    <t>ATTACK II Study - Risk factors for recurrence of asthma attacks in a low-income population: a cohort study</t>
  </si>
  <si>
    <t>U1111-1279-8717</t>
  </si>
  <si>
    <t>Asma</t>
  </si>
  <si>
    <t>Influence of thiamine suplementation in oxidative stress energetic metabolism and mortality among patients with septic shock</t>
  </si>
  <si>
    <t>09/20/2018</t>
  </si>
  <si>
    <t>U1111-1218-9534</t>
  </si>
  <si>
    <t>Amanda Gomes Pereira</t>
  </si>
  <si>
    <t>amandagomesp@yahoo.com</t>
  </si>
  <si>
    <t>Faculdade de Medicina de Botucatu</t>
  </si>
  <si>
    <t>Coenzyme Q10 (CoQ10) or Ubiquinone supplementation in rehabilitation and palliative care patients in the Home Care Service of a city in the interior of Minas Gerais</t>
  </si>
  <si>
    <t>U1111-1272-5264</t>
  </si>
  <si>
    <t>Muscular Atrophy</t>
  </si>
  <si>
    <t>Daniel  dos Santos</t>
  </si>
  <si>
    <t>Franca</t>
  </si>
  <si>
    <t>+55(016)981116125</t>
  </si>
  <si>
    <t>daniel.santos@unifran.edu.br</t>
  </si>
  <si>
    <t>Universidade De Franca</t>
  </si>
  <si>
    <t>Clinical trial on the effect of cognitive rehabilitation in individuals with COVID-19</t>
  </si>
  <si>
    <t>COVID19</t>
  </si>
  <si>
    <t>Nadia Shigaeff</t>
  </si>
  <si>
    <t>nadia.shigaeff@ufjf.br</t>
  </si>
  <si>
    <t>Sociodemographic profile of patients with head and neck cancer in southeastern Brazil and associated symptoms</t>
  </si>
  <si>
    <t>U1111-12719697</t>
  </si>
  <si>
    <t>Malignant neoplasm of other and ill-defined locations with invasive lesion</t>
  </si>
  <si>
    <t>+55(14)32358000</t>
  </si>
  <si>
    <t>paulosergiosilvasantos@gmail.com</t>
  </si>
  <si>
    <t>Universidade de São Paulo - Campus Bauru</t>
  </si>
  <si>
    <t>Evaluation of the Perfusional Response to Semi-orthostasis and its relationship to organic dysfunctions in patients with Sepsis</t>
  </si>
  <si>
    <t>U1111-1275-4168</t>
  </si>
  <si>
    <t>Sepsis</t>
  </si>
  <si>
    <t>Unspecified autonomic nervous system disorder</t>
  </si>
  <si>
    <t>Lilian Barth Guimarães</t>
  </si>
  <si>
    <t>Pinhais</t>
  </si>
  <si>
    <t>55(41)991872028</t>
  </si>
  <si>
    <t>lilibarth@gmail.com</t>
  </si>
  <si>
    <t>Effect of Green Propolis Extract (EPP-AF) in patients with Chronic Stable Angina. A randomized blinded pilot study</t>
  </si>
  <si>
    <t>U111112804011</t>
  </si>
  <si>
    <t>Angina pectoris</t>
  </si>
  <si>
    <t>Coronary Artery Disease</t>
  </si>
  <si>
    <t>Clara Salles Figueiredo</t>
  </si>
  <si>
    <t>clarasfigueiredo@gmail.com</t>
  </si>
  <si>
    <t>Hospital Ana Nery</t>
  </si>
  <si>
    <t>Use of mesenchymal stromal cells for Steroid-refractory chronic Graft-versus-host Disease after hematopoietic stem cell transplantation</t>
  </si>
  <si>
    <t>U1111-1280-0935</t>
  </si>
  <si>
    <t>Graft vs Host Disease</t>
  </si>
  <si>
    <t>Rejection of bone marrow transplantation</t>
  </si>
  <si>
    <t>Carmen Lúcia Kuniyoshi Rebelatto</t>
  </si>
  <si>
    <t>carmen.rebelatto@pucpr.br</t>
  </si>
  <si>
    <t>Pontifícia Universidade Católica do Paraná</t>
  </si>
  <si>
    <t>Training effect of high intensity interval training versus moderate intensity continuous training in functionality and life of quality of post-covid19 syndrome patients: a randomized and controlled clinical trial</t>
  </si>
  <si>
    <t>U1111-1270-1152</t>
  </si>
  <si>
    <t>Virus diseases,of unspecified localization</t>
  </si>
  <si>
    <t>Mansueto Gomes Neto</t>
  </si>
  <si>
    <t>+55 (71) 9 9918-8277</t>
  </si>
  <si>
    <t>mansueto.neto@ufba.br</t>
  </si>
  <si>
    <t>Impact of icodextrin on the left ventricular hypertrophy in patients with chronic kidney disease on peritoneal dialysis</t>
  </si>
  <si>
    <t>chronic kidney disease</t>
  </si>
  <si>
    <t>end-stage renal disease</t>
  </si>
  <si>
    <t>Rosilene M Elias</t>
  </si>
  <si>
    <t>Sao paulo</t>
  </si>
  <si>
    <t>rosilenemotta@hotmail.com</t>
  </si>
  <si>
    <t>Hospital das Clinicas da Universidade de Sao Paulo</t>
  </si>
  <si>
    <t>Use of computerized anesthesia in childrens anxiety and pain perception during dental care: Randomized Clinical Trial</t>
  </si>
  <si>
    <t>Oral health</t>
  </si>
  <si>
    <t>Universidade Federal de Pelotas</t>
  </si>
  <si>
    <t>Pelotas</t>
  </si>
  <si>
    <t>55+ (53) 3284-4006</t>
  </si>
  <si>
    <t>ouvidoria@ufpel.edu.br</t>
  </si>
  <si>
    <t>Study of the Effectiveness of the COVID-19 Recombinante/Fiocruz Vaccine ® against different variants of SARS-COV-2 in the municipality of Botucatu-SP</t>
  </si>
  <si>
    <t>06/30/2021</t>
  </si>
  <si>
    <t>-</t>
  </si>
  <si>
    <t>Karen Ingrid Tasca</t>
  </si>
  <si>
    <t>BOTUCATU</t>
  </si>
  <si>
    <t>+55(14)3880-1765</t>
  </si>
  <si>
    <t>karen.i.tasca@unesp.br</t>
  </si>
  <si>
    <t>Thermonitoring of trapezius muscle Trigger Points during Dryneedling and Ischemic compression</t>
  </si>
  <si>
    <t>U1111-1279-0963</t>
  </si>
  <si>
    <t>Trigger Points</t>
  </si>
  <si>
    <t>Diffuse Myofascial Pain Syndrome</t>
  </si>
  <si>
    <t>Comitê de Ética e Pesquisa do Centro de Saúde da Universidade Federal da Paraíba</t>
  </si>
  <si>
    <t>(83)3216-7791</t>
  </si>
  <si>
    <t>comitedeetica@ccs.ufpb.br</t>
  </si>
  <si>
    <t>Effects of Brainspotting in treating Obesity in adolescents: a quali-quantitative approach</t>
  </si>
  <si>
    <t>U1111-1263-5512</t>
  </si>
  <si>
    <t>Pediatric Obesity</t>
  </si>
  <si>
    <t>Tulio Konstantyner</t>
  </si>
  <si>
    <t>konstantyner@unifesp.br</t>
  </si>
  <si>
    <t>Oral minoxidil 2.5 mg versus 5 mg for the treatment of male Androgenetic Alopecia: a double-blind randomized clinical trial</t>
  </si>
  <si>
    <t>Androgenetic alopecia</t>
  </si>
  <si>
    <t>Other non-scarring forms of bady hair or hair loss</t>
  </si>
  <si>
    <t>Larissa Pierri Carvalho Fonseca</t>
  </si>
  <si>
    <t>+55 (14) 3880-1259</t>
  </si>
  <si>
    <t>larissapcarvalho9@gmail.com</t>
  </si>
  <si>
    <t>Use of a Lactobacillus rhamnosus formula as adjuvant in the treatment of plaque psoriasis patients</t>
  </si>
  <si>
    <t>U1111-1279-5751</t>
  </si>
  <si>
    <t>Psoriasis</t>
  </si>
  <si>
    <t>Marcelo Jenné Mimiça</t>
  </si>
  <si>
    <t>+55 (11) 3367-7883</t>
  </si>
  <si>
    <t>marcelo.mimica@fcmsantacasasp.edu.br</t>
  </si>
  <si>
    <t>Faculdade de Ciências Médicas da Santa Casa de São Paulo</t>
  </si>
  <si>
    <t>Efficacy of a dental floss impregnated with chlorhexidine in adults individuals with gingivitis: a randomized controlled clinical trial</t>
  </si>
  <si>
    <t>U1111-1271-5325</t>
  </si>
  <si>
    <t>Gingivitis</t>
  </si>
  <si>
    <t>Francisco Wilker Mustafa Gomes Muniz</t>
  </si>
  <si>
    <t>+55(53)3222-2766</t>
  </si>
  <si>
    <t>wilkermustafa@gmail.com</t>
  </si>
  <si>
    <t>Effects of Resistance Training with and without Cognitive tasks on the Automaticity of Gait Postural Instability Cholinergic Activity prefrontal cortex activity and Motor Symptoms Severity of individuals with Parkinson´s disease: A randomized double Blind study</t>
  </si>
  <si>
    <t>U1111-1273-6869</t>
  </si>
  <si>
    <t>Parkinson´s Disease</t>
  </si>
  <si>
    <t>Jumes Leopoldino Lira</t>
  </si>
  <si>
    <t>55 11 963596193</t>
  </si>
  <si>
    <t>jumeslira@usp.br</t>
  </si>
  <si>
    <t>Escola de Educação Física e Esporte da Universidade de São Paulo</t>
  </si>
  <si>
    <t>Family Carers of people with dementia: assessing the efficacy of an Acceptance and Commitment Therapy group intervention</t>
  </si>
  <si>
    <t>Mixed anxiety and depressive disorder</t>
  </si>
  <si>
    <t>Michele Gomes Ferreira</t>
  </si>
  <si>
    <t>+55(31)993085754</t>
  </si>
  <si>
    <t>michelegferreira@hotmail.com</t>
  </si>
  <si>
    <t>The effectiveness of Nursing Care in improving blood pressure control in people with Hypertension in the family health strategy: a cluster-type randomized clinical trial</t>
  </si>
  <si>
    <t>U1111-1280-2090</t>
  </si>
  <si>
    <t>Vascular Diseases</t>
  </si>
  <si>
    <t>Ionara De Souza Januário</t>
  </si>
  <si>
    <t>Jucurutu</t>
  </si>
  <si>
    <t>ionara.januario.066@ufrn.edu.br</t>
  </si>
  <si>
    <t>Mestrado Profissional em Saúde da Família no Nordeste</t>
  </si>
  <si>
    <t>Opioid-free anesthesia compared to opioid-based anesthesia for laparoscopic gastroplasty: a prospective randomized double-blind clinical trial</t>
  </si>
  <si>
    <t>U1111-1278-9645</t>
  </si>
  <si>
    <t>Effect of multimodal training with rhythmic cues in Huntingtons Disease a randomized clinical trial</t>
  </si>
  <si>
    <t>U1111-1280-8136</t>
  </si>
  <si>
    <t>Huntingtons disease</t>
  </si>
  <si>
    <t>Encephalopathies</t>
  </si>
  <si>
    <t>Tamine Capato</t>
  </si>
  <si>
    <t>+ 55 11 26620000</t>
  </si>
  <si>
    <t>tamine.capato@hc.fm.usp.br</t>
  </si>
  <si>
    <t>Influence of the ACE gene polymorphism on the effects of peppermint (Mentha piperita L.) essential oil supplementation on the physical performance of runners</t>
  </si>
  <si>
    <t>07/30/2022</t>
  </si>
  <si>
    <t>U1111-1276-6558</t>
  </si>
  <si>
    <t>Muscle Fatigue</t>
  </si>
  <si>
    <t>Foods for Persons Engaged in Physical Activities</t>
  </si>
  <si>
    <t>Alexandre Sérgio Silva</t>
  </si>
  <si>
    <t>alexandresergiosilva@yahoo.com.br</t>
  </si>
  <si>
    <t>Federal University of Paraíba</t>
  </si>
  <si>
    <t>Effects of a low volume protocol of Nordic hamstring exercise on risk factors for musculoskeletal injuries and athlete performance: a clinical trial</t>
  </si>
  <si>
    <t>03/17/2021</t>
  </si>
  <si>
    <t>U1111-1256-7115</t>
  </si>
  <si>
    <t>Wounds and injuries</t>
  </si>
  <si>
    <t>Gianfranco Sganzerla</t>
  </si>
  <si>
    <t>+55 (67) 3345-7190</t>
  </si>
  <si>
    <t>gianfranco.sganzerla@ufms.br</t>
  </si>
  <si>
    <t>Universidade Federal de Mato Grosso do Sul</t>
  </si>
  <si>
    <t>Development of car-t cell for B malignacies treatment - Phase I clinical trial with autologous T cell genetically modified to express chimeric antigen receptor (car) to treat refractory or relapsed patients with B neoplasm CD19+</t>
  </si>
  <si>
    <t>U1111-1250-6114</t>
  </si>
  <si>
    <t>Hemic and lymphatic diseases</t>
  </si>
  <si>
    <t>Isabel Clapis Bello</t>
  </si>
  <si>
    <t>isabel.bello@einstein.br</t>
  </si>
  <si>
    <t>Hospital Israelita Albert Einstein</t>
  </si>
  <si>
    <t>Emotional indicators of college students: an intervention study with Hatha Yoga</t>
  </si>
  <si>
    <t>12/20/2021</t>
  </si>
  <si>
    <t>Emotions</t>
  </si>
  <si>
    <t>Students Health Services</t>
  </si>
  <si>
    <t>Vanessa Ferraz Leite</t>
  </si>
  <si>
    <t>+55(065)3615-8822</t>
  </si>
  <si>
    <t>vanfaen@gmail.com</t>
  </si>
  <si>
    <t>Faculdade de Enfermagem (FAEN)</t>
  </si>
  <si>
    <t>Clinical study to evaluate the safety of the investigational product mint-flavored denture fixative cream through the Assessment of Acceptability in the oral mucosa and Perceived Efficacy under normal conditions of use</t>
  </si>
  <si>
    <t>07/29/2022</t>
  </si>
  <si>
    <t>U1111-1280-9824</t>
  </si>
  <si>
    <t>Edentulous arcade</t>
  </si>
  <si>
    <t>Dental prosthesis</t>
  </si>
  <si>
    <t>Ronald da silva Muniz</t>
  </si>
  <si>
    <t>Pouso alegre</t>
  </si>
  <si>
    <t>+55(035) 21007355</t>
  </si>
  <si>
    <t>regulatorios.registro@grupocimed.com.br</t>
  </si>
  <si>
    <t>Cimed Industria Sociedade Anonima</t>
  </si>
  <si>
    <t>07/28/2022</t>
  </si>
  <si>
    <t>U1111-1278-9783</t>
  </si>
  <si>
    <t>Flavia Alvim SantAnna Addor</t>
  </si>
  <si>
    <t>flavia@medcinonline.com.br</t>
  </si>
  <si>
    <t>Effects of an acupuncture protocol associated with multicomponent physical exercise on chronic low back pain and functional independence in the elderly: a randomized controlled clinical trial</t>
  </si>
  <si>
    <t>U1111-1277-9861</t>
  </si>
  <si>
    <t>Elderly</t>
  </si>
  <si>
    <t>UNOCHAPECO</t>
  </si>
  <si>
    <t>Chapeco</t>
  </si>
  <si>
    <t>+55(49) 3321-8000</t>
  </si>
  <si>
    <t>gii.zoletti@unochapeco.edu.br</t>
  </si>
  <si>
    <t>Universidade Comunitaria da Regiao de Chapeco - UNOCHAPECO</t>
  </si>
  <si>
    <t>Carotid-Body modulation through Meditation in stage-I Hypertensive subjects: study protocol of a randomized and controlled study</t>
  </si>
  <si>
    <t>U1111-1278-3400</t>
  </si>
  <si>
    <t>Essential hypertension (primary)</t>
  </si>
  <si>
    <t>Unspecified cardiovascular disease</t>
  </si>
  <si>
    <t>Paulo de Tarso Guerrero Muller</t>
  </si>
  <si>
    <t>+55 (67) 992910441</t>
  </si>
  <si>
    <t>paulo.muller@ufms.br</t>
  </si>
  <si>
    <t>Electromyographic evaluations of the masseter temporal and orbicularis oris muscles associated with the bite force test and quality of life (oral health impact profile) and perception questionnaires before during and after the rehabilitation of patients with complete dentures</t>
  </si>
  <si>
    <t>U1111-1276-3967</t>
  </si>
  <si>
    <t>Clóvis Lamartine de Moraes Melo Neto</t>
  </si>
  <si>
    <t>55 18 36363291</t>
  </si>
  <si>
    <t>lamartineclovis@gmail.com</t>
  </si>
  <si>
    <t>Universidade Estadual Paulista Júlio de Mesquita Filho - Faculdade de Odontologia de Araçatuba</t>
  </si>
  <si>
    <t>Clinical evaluation and applicability of posterior tibial nerve transcutaneous electrical stimulation for the treatment of postoperative constipation in children and adolescents with Anorectal Malformation or Hirschsprung Disease</t>
  </si>
  <si>
    <t>07/27/2022</t>
  </si>
  <si>
    <t>U1111-1279-8273</t>
  </si>
  <si>
    <t>Digestive System Abnormalities</t>
  </si>
  <si>
    <t>Pedro Luiz Toledo de Arruda Lourenção</t>
  </si>
  <si>
    <t>+55(14)38801703</t>
  </si>
  <si>
    <t>pedro.lourecao@unesp.br</t>
  </si>
  <si>
    <t>Faculdade de Medicina de Botucatu - Universidade Estadual Paulista</t>
  </si>
  <si>
    <t>Innovative technologies applied to tuberculosis and HIV surveillance</t>
  </si>
  <si>
    <t>07/26/2022</t>
  </si>
  <si>
    <t>Tuberculosis</t>
  </si>
  <si>
    <t>Mariana Araújo</t>
  </si>
  <si>
    <t>+55 27 3335-7287</t>
  </si>
  <si>
    <t>marianapsaraujo@gmail.com</t>
  </si>
  <si>
    <t>Assessment of sleep quality in athletes of Functional Fitness</t>
  </si>
  <si>
    <t>Athletic Performance</t>
  </si>
  <si>
    <t>Luís Fernando Deresz</t>
  </si>
  <si>
    <t>Governador Valadares</t>
  </si>
  <si>
    <t>33 9 84064664</t>
  </si>
  <si>
    <t>lfderesz@gmail.com</t>
  </si>
  <si>
    <t>Sleep disorders</t>
  </si>
  <si>
    <t>Comparison of the Effects of two types of intervention Pilates Method and Coordinative Motor Circuits on variables of motor and cognitive behavior in senior citizens in the São Francisco Valley region: a randomized clinical trial</t>
  </si>
  <si>
    <t>U1111-1268-4700</t>
  </si>
  <si>
    <t>cognition</t>
  </si>
  <si>
    <t>Fernando de Aguiar Lemos</t>
  </si>
  <si>
    <t>fernando.aguiar@univasf.edu.br</t>
  </si>
  <si>
    <t>Analysis of the salivary microbiome of critically ill patients and its relationship with nutritional status and antibiotic resistance</t>
  </si>
  <si>
    <t>07/25/2022</t>
  </si>
  <si>
    <t>U1111-1276-6803</t>
  </si>
  <si>
    <t>Paula Sachet</t>
  </si>
  <si>
    <t>Chapecó</t>
  </si>
  <si>
    <t>+55(49)991638474</t>
  </si>
  <si>
    <t>contato@paulasachet.com.br</t>
  </si>
  <si>
    <t>Universidade do Oeste de Santa Catarina</t>
  </si>
  <si>
    <t>Effect of mouthwash with nutritional products containing caffeine on the immunometabolic profile and physical performance</t>
  </si>
  <si>
    <t>U1111-1275-4623</t>
  </si>
  <si>
    <t>Performance Tests</t>
  </si>
  <si>
    <t>Patrícia Cristina Barreto Lobo</t>
  </si>
  <si>
    <t>Afghanistan</t>
  </si>
  <si>
    <t>patriciacristina.nutri@gmail.com</t>
  </si>
  <si>
    <t>Faculdade de Nutrição</t>
  </si>
  <si>
    <t>Unsupported Upper Limb Exercise test modification and assessment of psychometric properties in individuals with Chronic Respiratory Diseases and Post Covid 19</t>
  </si>
  <si>
    <t>07/22/2022</t>
  </si>
  <si>
    <t>U1111-1278-5993</t>
  </si>
  <si>
    <t>Respiratory diseases</t>
  </si>
  <si>
    <t>Chronic obstructive pulmonary disease</t>
  </si>
  <si>
    <t>Bronchiectasis</t>
  </si>
  <si>
    <t>Marcelo  Velloso</t>
  </si>
  <si>
    <t>marcello.vel@gmail.com</t>
  </si>
  <si>
    <t>Escola de Educação Física,Fisioterapia e Terapia Ocupacional da Universidade Federal de Minas Gerais</t>
  </si>
  <si>
    <t>Effects of the pilates method with floor activation pelvic and Perineal exercises in the treatment of Dysfunctions of the pelvic floor in postpartum women: clinical test randomized</t>
  </si>
  <si>
    <t>U1111-1279-7686</t>
  </si>
  <si>
    <t>Pelvic floor disorders</t>
  </si>
  <si>
    <t>Puerperium</t>
  </si>
  <si>
    <t>Larissa de deus rodrigues</t>
  </si>
  <si>
    <t>russas</t>
  </si>
  <si>
    <t>+55 (88) 9 88028088</t>
  </si>
  <si>
    <t>larissadeus@alu.uern.br</t>
  </si>
  <si>
    <t>Integrated actions to prevent post-intensive care syndrome and better use of health resources</t>
  </si>
  <si>
    <t>07/21/2022</t>
  </si>
  <si>
    <t>U1111-1279-6059</t>
  </si>
  <si>
    <t>Post intensive care syndrome. Rehabilitation</t>
  </si>
  <si>
    <t>Critical Illness Polyneuropathy</t>
  </si>
  <si>
    <t>Carolina Coimbra Marinho</t>
  </si>
  <si>
    <t>+55(031)99527-2482</t>
  </si>
  <si>
    <t>cmarinho@ufmg.br</t>
  </si>
  <si>
    <t>Hospital das Clínicas - UFMG</t>
  </si>
  <si>
    <t>Functionality in critical post-COVID patients</t>
  </si>
  <si>
    <t>U1111-1279-1982</t>
  </si>
  <si>
    <t>Muscle weakness</t>
  </si>
  <si>
    <t>Intensive Care Units</t>
  </si>
  <si>
    <t>Marcia Souza Volpe</t>
  </si>
  <si>
    <t>+55 (13) 3512-2700</t>
  </si>
  <si>
    <t>marcia.volpe@unifesp.br</t>
  </si>
  <si>
    <t>Comparative Study of Different Techniques for the treatment of periimplantitis disease</t>
  </si>
  <si>
    <t>U1111-1191-5278</t>
  </si>
  <si>
    <t>Periodontal disease,not otherwise specified</t>
  </si>
  <si>
    <t>presence of dental root and mandibular implants</t>
  </si>
  <si>
    <t>Guilherme Bianchine Moura</t>
  </si>
  <si>
    <t>gbmodonto@gmail.com</t>
  </si>
  <si>
    <t>Effect of Proprioceptive Training on Tinnitus Muscle Strength and Functional Capacity in Individuals with Acute Post-COVID-19 Sequelae: Randomized Clinical Trial</t>
  </si>
  <si>
    <t>Coronavirus,as a cause of diseases classified in other chapters</t>
  </si>
  <si>
    <t>Maria das Graças Rodrigues de Araújo</t>
  </si>
  <si>
    <t>55(81)2126-8939</t>
  </si>
  <si>
    <t>mgrodriguesaraujo@hotmail.com</t>
  </si>
  <si>
    <t>Impact of a telemedicine exercise program on kinetic-functional ability pain and kinesiophobia in women with chronic lumbar pain: a quasi experimental study</t>
  </si>
  <si>
    <t>07/20/2022</t>
  </si>
  <si>
    <t>U1111-1279-8777</t>
  </si>
  <si>
    <t>Elizabeth Barichello</t>
  </si>
  <si>
    <t>55 34 991740297</t>
  </si>
  <si>
    <t>lizabarichello@hotmail.com</t>
  </si>
  <si>
    <t>Nurses training for early clinical deterioration assessment and management</t>
  </si>
  <si>
    <t>U1111-1276-3488</t>
  </si>
  <si>
    <t>Clinical Deterioration</t>
  </si>
  <si>
    <t>Nurses</t>
  </si>
  <si>
    <t>Antonio Gonçalves de Oliveira Filho</t>
  </si>
  <si>
    <t>+55(19)35218008</t>
  </si>
  <si>
    <t>shc@hc.unicamp.br</t>
  </si>
  <si>
    <t>Hospital de Clínicas da UNICAMP</t>
  </si>
  <si>
    <t>Implementation and integration of clinical pharmacy services into healthcare systems</t>
  </si>
  <si>
    <t>U1111-1273-2238</t>
  </si>
  <si>
    <t>Genival Araujo dos Santos Júnior</t>
  </si>
  <si>
    <t>Alegre</t>
  </si>
  <si>
    <t>farm.genival@gmail.com</t>
  </si>
  <si>
    <t>Efficacy of toothbrushes with different head sizes in removing biofilm and evaluating supragingival inflammatory parameters: Randomized Clinical Trial</t>
  </si>
  <si>
    <t>U1111-1279-7942</t>
  </si>
  <si>
    <t>Gengivitis</t>
  </si>
  <si>
    <t>Roberto Zimmer</t>
  </si>
  <si>
    <t>+55(51)999804545</t>
  </si>
  <si>
    <t>beto.zimmer@hotmail.com</t>
  </si>
  <si>
    <t>Stimulating Excluded Loop before Ileostomy Closure</t>
  </si>
  <si>
    <t>07/19/2022</t>
  </si>
  <si>
    <t>U1111-1280-3971</t>
  </si>
  <si>
    <t>Colorectal Neoplasms</t>
  </si>
  <si>
    <t>Colonic Diseases</t>
  </si>
  <si>
    <t>Francisco Tustumi</t>
  </si>
  <si>
    <t>+55(11) 2151-2063</t>
  </si>
  <si>
    <t>franciscotustumi@gmail.com</t>
  </si>
  <si>
    <t>Sociedade Beneficente Israelita Brasileira Hospital Albert Einstein</t>
  </si>
  <si>
    <t>Acute effects of the application of the foam roller on dorsiflexion and squat performance in extreme conditioning program practitioners: randomized clinical trials</t>
  </si>
  <si>
    <t>Athletes</t>
  </si>
  <si>
    <t>Comitê de Ética e Pesquisa</t>
  </si>
  <si>
    <t>Divinópolis</t>
  </si>
  <si>
    <t>cep.divinopolis@uemg.br</t>
  </si>
  <si>
    <t>Universidade do Estado de Minas Gerais</t>
  </si>
  <si>
    <t>Graded exposure-based approach compared with a strengthening exercises and manual therapy in patients with chronic shoulder pain: a randomized controlled trial with economic evaluation</t>
  </si>
  <si>
    <t>U1111-1275-1950</t>
  </si>
  <si>
    <t>shoulder pain</t>
  </si>
  <si>
    <t>Anamaria Siriani de Oliveira</t>
  </si>
  <si>
    <t>+55 16 33154415</t>
  </si>
  <si>
    <t>siriani@fmrp.usp.br</t>
  </si>
  <si>
    <t>Faculdade de Medicina de Ribeirão Preto - USP</t>
  </si>
  <si>
    <t>The effect of Mobile Phone System on the control of Hypertension: a randomized clinical trial</t>
  </si>
  <si>
    <t>06/18/2019</t>
  </si>
  <si>
    <t>U1111-1234-3366</t>
  </si>
  <si>
    <t>Cardiovascular diseases</t>
  </si>
  <si>
    <t>Angela Maria Geraldo Pierin</t>
  </si>
  <si>
    <t>pierin@usp.br</t>
  </si>
  <si>
    <t>Escola de Enfermagem USP</t>
  </si>
  <si>
    <t>A phase II single-arm clinical trial to evaluate the feasibility and efficacy of neoadjuvant anastrozole in luminal low proliferative index breast cancer patients at TNM stages II and III</t>
  </si>
  <si>
    <t>07/18/2022</t>
  </si>
  <si>
    <t>U1111-1275-1903</t>
  </si>
  <si>
    <t>Malignant neoplasm of breast</t>
  </si>
  <si>
    <t>carcinoma</t>
  </si>
  <si>
    <t>Carlos Eduardo Paiva</t>
  </si>
  <si>
    <t>Barretos</t>
  </si>
  <si>
    <t>+55(17)33216000</t>
  </si>
  <si>
    <t>caredupai@gmail.com</t>
  </si>
  <si>
    <t>Hospital de Câncer de Barretos</t>
  </si>
  <si>
    <t>Effects of adopting oral dental care without the use of antiseptics compared to oral hygiene with chlorhexidine on the occurrence of nosocomial pneumonia in patients admitted to an intensive care unit: a pilot randomized clinical trial</t>
  </si>
  <si>
    <t>U1111-1277-7397</t>
  </si>
  <si>
    <t>Hospital Acquired Pneumonia</t>
  </si>
  <si>
    <t>Bruno Valle Pinheiro</t>
  </si>
  <si>
    <t>bvallepinheiro@gmail.com</t>
  </si>
  <si>
    <t>Effect of photobiomodulation on trapezius myofascial pain: a randomized controlled trial</t>
  </si>
  <si>
    <t>U1111-1278-0452</t>
  </si>
  <si>
    <t>Other muscle disorders</t>
  </si>
  <si>
    <t>+55(87)999524985</t>
  </si>
  <si>
    <t>valeria.mayaly@gmail.com</t>
  </si>
  <si>
    <t>Soft tissue reconstruction using polypropylene prosthesis: randomized clinical trial</t>
  </si>
  <si>
    <t>07/15/2022</t>
  </si>
  <si>
    <t>U1111-1276-6985</t>
  </si>
  <si>
    <t>Surgical Wound</t>
  </si>
  <si>
    <t>Degloving Injuries</t>
  </si>
  <si>
    <t>Fabio Luiz Mendonça martins</t>
  </si>
  <si>
    <t>+55 (38) 3532-1240 e 3532-1200 Ramal 124</t>
  </si>
  <si>
    <t>cep.secretaria@ufvjm.edu.br</t>
  </si>
  <si>
    <t>Universidade Federal dos Vales do jequitinhonha e Mucuri</t>
  </si>
  <si>
    <t>Investigation of the impact of the vibrating platform on the static balance of healthy older adults</t>
  </si>
  <si>
    <t>Gustavo Christofoletti</t>
  </si>
  <si>
    <t>+55(67)996385040</t>
  </si>
  <si>
    <t>g.christofoletti@ufms.br</t>
  </si>
  <si>
    <t>Effect of Dicrostachys glomerata extract on body weight and cardiometabolic markers in postmenopausal women: A Randomized Double-Blind Placebo-Controlled Clinical Trial</t>
  </si>
  <si>
    <t>menopause</t>
  </si>
  <si>
    <t>Heloisa Sobreiro Selistre de Araújo</t>
  </si>
  <si>
    <t>+55(16)33518327</t>
  </si>
  <si>
    <t>hsaraujo@ufscar.br</t>
  </si>
  <si>
    <t>Anesthetic Efficacy of the Vestibular Infiltrative Technique versus Inferior Alveolar Nerve Block on Pain for Extraction of primary mandibular molars with 2% Lidocaine: randomized clinical trial</t>
  </si>
  <si>
    <t>U1111-1279-1676</t>
  </si>
  <si>
    <t>Toothache</t>
  </si>
  <si>
    <t>Diseases of pulp and periapical tissues</t>
  </si>
  <si>
    <t>Mariane Cardoso</t>
  </si>
  <si>
    <t>+55(48)37219000</t>
  </si>
  <si>
    <t>mariane_cardoso@hotmail.com</t>
  </si>
  <si>
    <t>Effects of an exercise program on static and dynamic stability in elderly</t>
  </si>
  <si>
    <t>U1111-1272-8087</t>
  </si>
  <si>
    <t>Marcos Paulo Gonçalves dos Santos</t>
  </si>
  <si>
    <t>+55 (21) 38829720</t>
  </si>
  <si>
    <t>marcospaulofisioterapeuta@gmail.com</t>
  </si>
  <si>
    <t>Centro Universitário Augusto Motta</t>
  </si>
  <si>
    <t>Exercise-Mediated appetite suppression</t>
  </si>
  <si>
    <t>07/14/2022</t>
  </si>
  <si>
    <t>U1111-1279-9971</t>
  </si>
  <si>
    <t>Oral and Digestive System Physiological Phenomena</t>
  </si>
  <si>
    <t>Fabricio Eduardo Rossi</t>
  </si>
  <si>
    <t>+55 (86) 3215-5525</t>
  </si>
  <si>
    <t>fabriciorossi@ufpi.edu.br</t>
  </si>
  <si>
    <t>Efficacy and adverse effects of in-office whitening by varying the number and time of application</t>
  </si>
  <si>
    <t>U1111-1277-3457</t>
  </si>
  <si>
    <t>Knee rehabilitation after meniscectomy: The influence of electromyographic biofeedback in a physiotherapy program</t>
  </si>
  <si>
    <t>U1111-1279-7039</t>
  </si>
  <si>
    <t>Arthroscopic meniscectomy</t>
  </si>
  <si>
    <t>Meniscal tear</t>
  </si>
  <si>
    <t>Manuel Barbosa de Almeida</t>
  </si>
  <si>
    <t>Belas</t>
  </si>
  <si>
    <t>Portugal</t>
  </si>
  <si>
    <t>m.jvsb.almeida@gmail.com</t>
  </si>
  <si>
    <t>Escola Superior de Saúde do Alcoitão</t>
  </si>
  <si>
    <t>Effect of a coactivation training program on functional capacity and gait biomechanical parameters in older people</t>
  </si>
  <si>
    <t>07/13/2022</t>
  </si>
  <si>
    <t>U1111-1279-4670</t>
  </si>
  <si>
    <t>Musculoskeletal Physiological Phenomena</t>
  </si>
  <si>
    <t>Escola de Educação Física e Esporte de RIbeirão Preto</t>
  </si>
  <si>
    <t>+55 16 3315 0359</t>
  </si>
  <si>
    <t>marinamvillalba@usp.br</t>
  </si>
  <si>
    <t>Effectiveness of in-office dental bleaching using 35% hydrogen peroxide with different application tips: randomized double-blind clinical trial</t>
  </si>
  <si>
    <t>U1111-1270-3211</t>
  </si>
  <si>
    <t>Dentin Sensitivity</t>
  </si>
  <si>
    <t>Esthetics Dental</t>
  </si>
  <si>
    <t>+55 42 3220-3740</t>
  </si>
  <si>
    <t>aloguercio@hotmail.com</t>
  </si>
  <si>
    <t>Effect of Electroacupuncture and Wii therapy on functional performance and inflammatory parameters in elderly with knee osteoarthritis</t>
  </si>
  <si>
    <t>U1111-1272-3253</t>
  </si>
  <si>
    <t>knee osteoarthritis</t>
  </si>
  <si>
    <t>Osteoarthritis</t>
  </si>
  <si>
    <t>Luiz Fernando Xavier</t>
  </si>
  <si>
    <t>Paraguaçu</t>
  </si>
  <si>
    <t>luizfernandofisio@yahoo.com</t>
  </si>
  <si>
    <t>Effects of Traditional Chinese Acupuncture and Laser Acupuncture on cervical pain non-specific chronic: randomized controlled clinical trial</t>
  </si>
  <si>
    <t>U1111-1264-2322</t>
  </si>
  <si>
    <t>Cervical pain</t>
  </si>
  <si>
    <t>Rafaela Peron Cardoso</t>
  </si>
  <si>
    <t>+55 16 3351-8341</t>
  </si>
  <si>
    <t>rafaelaperoncardoso@gmail.com</t>
  </si>
  <si>
    <t>LED and Exercises to reduce the area of Venous Ulcers: controlled and randomized clinical trial</t>
  </si>
  <si>
    <t>U1111-1275-7040</t>
  </si>
  <si>
    <t>Varicose ulcer</t>
  </si>
  <si>
    <t>Venous insufficiency</t>
  </si>
  <si>
    <t>Rafaela Pedrosa</t>
  </si>
  <si>
    <t>+55 (83) 3216-7183</t>
  </si>
  <si>
    <t>rafaela_pedrosa@yahoo.com.br</t>
  </si>
  <si>
    <t>Effects of Transcranial Direct Current Stimulation (tDCS) associated with balance training in individuals with Parkinsons disease: randomized clinical trial</t>
  </si>
  <si>
    <t>U1111-1278-9519</t>
  </si>
  <si>
    <t>Renato Campos Freire Jr</t>
  </si>
  <si>
    <t>+55(16)982337330</t>
  </si>
  <si>
    <t>renatocfjunior@ufam.edu.br</t>
  </si>
  <si>
    <t>U1111-1275-0204</t>
  </si>
  <si>
    <t>Vitamin D Deficiency</t>
  </si>
  <si>
    <t>Luis Henrique Santos Canani</t>
  </si>
  <si>
    <t>lcanani@hcpa.edu.br</t>
  </si>
  <si>
    <t>Action on hydrating gel with microencapsulated menthol on thirst: a randomized clinical study</t>
  </si>
  <si>
    <t>U1111-1266-1515</t>
  </si>
  <si>
    <t>Dehydration</t>
  </si>
  <si>
    <t>Robertha Pickina Juvencio Silva</t>
  </si>
  <si>
    <t>roberthapickina@hotmail.com</t>
  </si>
  <si>
    <t>Anterior Open Bite Treatment with Fixed Tongue Educator: a randomized clinical trial</t>
  </si>
  <si>
    <t>U1111-1273-3812</t>
  </si>
  <si>
    <t>stomatognathic diseases</t>
  </si>
  <si>
    <t>Danielle Tupinambá Emmi</t>
  </si>
  <si>
    <t>+55 (91) 3201-7916</t>
  </si>
  <si>
    <t>direcao.fo@ufpa.br</t>
  </si>
  <si>
    <t>Transcranial Direct Current Stimulation (tDCS) on the motor cortex: effect on anxiety and depression symptoms and the interplay with the inflammatory profile of pacients suffering from chronic pain since diagnosed with rheumatoid arthritis</t>
  </si>
  <si>
    <t>U1111-1276-7683</t>
  </si>
  <si>
    <t>Rheumatoid arthritis</t>
  </si>
  <si>
    <t>Guilherme Peixoto Tinoco Arêas</t>
  </si>
  <si>
    <t>+55(92)993560935</t>
  </si>
  <si>
    <t>guilhermepta@ufam.edu.br</t>
  </si>
  <si>
    <t>Evaluation of Familias Fortes Program s the Effectiveness and Implementation Process on preventing drug use and strengthening family relationships (Strengthening Families Program - SFP 10-14)</t>
  </si>
  <si>
    <t>Zila van der Meer Sanchez</t>
  </si>
  <si>
    <t>+55(11) 5576-4848 VoIP 2197</t>
  </si>
  <si>
    <t>zila.sanchez@gmail.com</t>
  </si>
  <si>
    <t>Universidade Federal de São Paulo - UNIFESP</t>
  </si>
  <si>
    <t>Mental,behavioural disorders</t>
  </si>
  <si>
    <t>Balance Training in hemiparetic patients through Virtual Rehabilitation</t>
  </si>
  <si>
    <t>Ischemic stroke</t>
  </si>
  <si>
    <t>Gilton Fernando Souza Júnior</t>
  </si>
  <si>
    <t>+55(16) 3362-2111</t>
  </si>
  <si>
    <t>giltonfjunior@hotmail.com</t>
  </si>
  <si>
    <t>Centro Universitário Central Paulista</t>
  </si>
  <si>
    <t>Prospective Randomized Multicenter Clinical Trial of a Light-based Heat and Compression under Direct Visualization Novel System (iLUX) for the Treatment of Dry Eye and Meibomian Gland Dysfunction</t>
  </si>
  <si>
    <t>Blepharitis</t>
  </si>
  <si>
    <t>Dry Eye Syndromes</t>
  </si>
  <si>
    <t>Vanessa Favero Demeda</t>
  </si>
  <si>
    <t>vanessa.favero@gmail.com</t>
  </si>
  <si>
    <t>Clínica Oftalmológica Pereira Gomes</t>
  </si>
  <si>
    <t>Impact of the pre-sporting program for hipppotherapy on posture strength balance and electrical activity in individuals with intellectual disabilities</t>
  </si>
  <si>
    <t>Intellectual Disabilities</t>
  </si>
  <si>
    <t>Developmental disability</t>
  </si>
  <si>
    <t>Ana Paula Espindula</t>
  </si>
  <si>
    <t>uberaba</t>
  </si>
  <si>
    <t>55 (34) 3318-5001</t>
  </si>
  <si>
    <t>anapaulaespindula@yahoo.com.br</t>
  </si>
  <si>
    <t>Impact of daily enunciation of energy deficit on ICU heat supply: a pragmatic trial</t>
  </si>
  <si>
    <t>U1111-1267-2411</t>
  </si>
  <si>
    <t>Comitê de Ética e Pesquisa HGF/SUS</t>
  </si>
  <si>
    <t>cephgf.ce@gmail.com</t>
  </si>
  <si>
    <t>Hospital Geral de Fortaleza</t>
  </si>
  <si>
    <t>Effects of Colchicine in the prevention of Post-pericardiotomy syndrome pain control and occurrence of Atrial Fibrillation in the postoperative period of Cardiac Surgery</t>
  </si>
  <si>
    <t>U1111-1254-6704</t>
  </si>
  <si>
    <t>Bárbara Swarowsky Tabach</t>
  </si>
  <si>
    <t>+55(51)985185421</t>
  </si>
  <si>
    <t>barbaraswa@hotmail.com</t>
  </si>
  <si>
    <t>Universidade de Santa Cruz do Sul</t>
  </si>
  <si>
    <t>Evaluation of biomarkers and gene expression profile related to peripheral peripheral microvascular reserve in patients with sepsis</t>
  </si>
  <si>
    <t>oximetry</t>
  </si>
  <si>
    <t>Ana Carolina de Miranda</t>
  </si>
  <si>
    <t>+55 (41) 3360-1800</t>
  </si>
  <si>
    <t>miranda.anacarolina@gmail.com</t>
  </si>
  <si>
    <t>Complexo hospital de Clínicas da Universidade Federal do Paraná</t>
  </si>
  <si>
    <t>The influence of the dermotonia technique on gestational edema</t>
  </si>
  <si>
    <t>U1111-1277-9172</t>
  </si>
  <si>
    <t>Gestational edema</t>
  </si>
  <si>
    <t>Luana Rocha Paulo</t>
  </si>
  <si>
    <t>luana.r.p@hotmail.com</t>
  </si>
  <si>
    <t>Randomized double blind clinical trial comparing treatment with papain gel 2% and 10% in patients with lower limb ulcers</t>
  </si>
  <si>
    <t>U1111-1276-4299</t>
  </si>
  <si>
    <t>Karina Chamma Di Piero</t>
  </si>
  <si>
    <t>comeip@hucff.ufrj.br</t>
  </si>
  <si>
    <t>Hospital Universitário Clementino Fraga Filho da Universidade Federal do Rio de Janeiro</t>
  </si>
  <si>
    <t>Modified thoracoabdominal nerve block by perichondral approach (M-TAPA) guided by Ultrasonography in patients undergoing Laparoscopic Sleeve Gastroplasty: a prospective study</t>
  </si>
  <si>
    <t>U1111-1277-1967</t>
  </si>
  <si>
    <t>Comitê de Ética em Pesquisa do Hospital São Domingos</t>
  </si>
  <si>
    <t>55 98 3216-8107</t>
  </si>
  <si>
    <t>cep@hospitalsaodomingos.com.br</t>
  </si>
  <si>
    <t>Effects of a food and nutritional education program on food consumption nutritionaal status and cardiometabolic parameters in family members of overweight and obesity children in the municipality of Vitória de Santo Antão</t>
  </si>
  <si>
    <t>+55 (81) 2126.8000 / Fax: (81) 2126.8029</t>
  </si>
  <si>
    <t>faleconosco@ufpe.br</t>
  </si>
  <si>
    <t>Vitamin D Supplementation in Women with Breast Cancer Undergoing Neoadjuvant Chemotherapy: Randomized Double-Blind Placebo-Controlled Clinical Trial</t>
  </si>
  <si>
    <t>U1111-1245-9028</t>
  </si>
  <si>
    <t>Malignant neoplasms (tumors) of the breast</t>
  </si>
  <si>
    <t>Natália Bronzatto Medolago</t>
  </si>
  <si>
    <t>orpc.upeclin.fmb@unesp.br</t>
  </si>
  <si>
    <t>Universidade Estadual Paulista - Unesp</t>
  </si>
  <si>
    <t>Effects of a home-based exercise program on mental health for college students during the COVID-19 pandemic: a controlled trial</t>
  </si>
  <si>
    <t>U1111-1279-4550</t>
  </si>
  <si>
    <t>Mental Disorders</t>
  </si>
  <si>
    <t>Iane de Paiva Novais</t>
  </si>
  <si>
    <t>+55 (73) 991022749</t>
  </si>
  <si>
    <t>iane.paiva@uesb.edu.br</t>
  </si>
  <si>
    <t>Effects of transcranial direct current stimulation combined with treadmill training on gait in people with Parkinsons disease: a randomized clinical trial</t>
  </si>
  <si>
    <t>U1111-1277-3248</t>
  </si>
  <si>
    <t>Universidade Estadual Paulista,Instituto de Biociências,campus de Rio Claro</t>
  </si>
  <si>
    <t>The effects of Radiofrequency in patients with Fibromyalgia: a randomized controlled trial</t>
  </si>
  <si>
    <t>U1111-1275-5703</t>
  </si>
  <si>
    <t>Cias Unimed Vitóra</t>
  </si>
  <si>
    <t>cep@unimedvx.com.br</t>
  </si>
  <si>
    <t>Instituto de Neurologia,Neurocirurgia e Comportamento</t>
  </si>
  <si>
    <t>Bi-hemispheric tDCS as an adjuvant in the treatment of people who stutter: a randomized double-blind preliminary trial</t>
  </si>
  <si>
    <t>U1111-1279-1712</t>
  </si>
  <si>
    <t>Stuttering</t>
  </si>
  <si>
    <t>Disorders of the Nervous System</t>
  </si>
  <si>
    <t>Fabio Viegas Caixeta</t>
  </si>
  <si>
    <t>fvcaixeta@unb.br</t>
  </si>
  <si>
    <t>Laboratório de Neurociência e Comportamento da Universidade de Brasília</t>
  </si>
  <si>
    <t>Telerehabilitation as a therapeutic option in patients undergoing surgery for breast cancer treatment</t>
  </si>
  <si>
    <t>06/30/2022</t>
  </si>
  <si>
    <t>U1111-1279-6686</t>
  </si>
  <si>
    <t>Exercise Therapy</t>
  </si>
  <si>
    <t>55 (91) 32016750</t>
  </si>
  <si>
    <t>cephujbb@yahoo.com.br</t>
  </si>
  <si>
    <t>Hospital UNiversitário João de Barros Barreto</t>
  </si>
  <si>
    <t>Use of oral anesthesia with and without the aid of needles in patients with inflammation in the dental pulp: a Randomized Clinical Study</t>
  </si>
  <si>
    <t>Pulpitis</t>
  </si>
  <si>
    <t>Centro Universitário do Maranhão (Universidade CEUMA)</t>
  </si>
  <si>
    <t>+55(98)3235-0465</t>
  </si>
  <si>
    <t>rudys.tavarez@ceuma.br</t>
  </si>
  <si>
    <t>Universidade CEUMA (Centro Universitário do Maranhão)</t>
  </si>
  <si>
    <t>Determination of the glycemic index and glycemic load of an ice cream rich in polydextrose. A randomized clinical trial</t>
  </si>
  <si>
    <t>Raquel  Rosa</t>
  </si>
  <si>
    <t>+55(48) 3721-8014</t>
  </si>
  <si>
    <t>raquel.rsta@gmail.com</t>
  </si>
  <si>
    <t>Strategy for the management of Overweight in primary health care</t>
  </si>
  <si>
    <t>06/29/2022</t>
  </si>
  <si>
    <t>U1111-1271-5981</t>
  </si>
  <si>
    <t>Feeding Behavior</t>
  </si>
  <si>
    <t>Ilana Nogueira Bezerra</t>
  </si>
  <si>
    <t>ilana.bezerra@uece.br</t>
  </si>
  <si>
    <t>Clozapine for the treatment of refractory disruptive behaviors in 10-18 years old patients with Autism Spectrum Disorder: an open-label trial</t>
  </si>
  <si>
    <t>Pervasive Developmental Disorders</t>
  </si>
  <si>
    <t>Ana Soledade Graeff Martins</t>
  </si>
  <si>
    <t>anamartins@hcpa.edu.br</t>
  </si>
  <si>
    <t>Bisphenol-A release and biocompatibility of orthodontic adhesive system used for spur bonding in patients with anterior open bite: In vivo study</t>
  </si>
  <si>
    <t>U1111-1240-5312</t>
  </si>
  <si>
    <t>Gabriel Antonio dos Anjos Tou</t>
  </si>
  <si>
    <t>55(031)984095480</t>
  </si>
  <si>
    <t>gabrieltou@hotmail.com</t>
  </si>
  <si>
    <t>Effect of Brazil nut supplementation (Bertholletia excelsa H.B.K.) as a source of selenium on oxidative stress markers inflammatory cytokines and their relationship with Pro198Leu polymorphism in the glutathione peroxidase 1 gene in patients with rheumatoid arthritis</t>
  </si>
  <si>
    <t>06/28/2022</t>
  </si>
  <si>
    <t>U1111-1277-2827</t>
  </si>
  <si>
    <t>Autoimmune Diseases</t>
  </si>
  <si>
    <t>Silvia Maria Franciscato Cozzolino</t>
  </si>
  <si>
    <t>smfcozzo@usp.br</t>
  </si>
  <si>
    <t>Physiotherapy in newborn hospitalized in the neonatal icu</t>
  </si>
  <si>
    <t>U1111-1271-8896</t>
  </si>
  <si>
    <t>Infant,Newborn</t>
  </si>
  <si>
    <t>Hospital de Clínicas da Universidade Federal do Paraná</t>
  </si>
  <si>
    <t>+55(41)3360-1800</t>
  </si>
  <si>
    <t>unicom@hc.ufpr.br</t>
  </si>
  <si>
    <t>Complexo Hospital de Clínicas da Universidade Federal do Paraná</t>
  </si>
  <si>
    <t>Anesthetic effect of 4% and 2% alkalized Articaine for infiltrative anesthesia in mandibular molars</t>
  </si>
  <si>
    <t>44376621.5.0000.5418</t>
  </si>
  <si>
    <t>Facial pain</t>
  </si>
  <si>
    <t>Francisco Carlos Groppo</t>
  </si>
  <si>
    <t>+55 19 2106-5310</t>
  </si>
  <si>
    <t>fcgroppo@unicamp.br</t>
  </si>
  <si>
    <t>Faculdade de Odontologia de Piracicaba- Universidade Estadual de Campinas</t>
  </si>
  <si>
    <t>Creatine Supplementation Safety for Olders</t>
  </si>
  <si>
    <t>U1111-1275-0328</t>
  </si>
  <si>
    <t>Heathy Aging</t>
  </si>
  <si>
    <t>Marco Antonio Machado dos Santos</t>
  </si>
  <si>
    <t>Itaperuna</t>
  </si>
  <si>
    <t>+55(22)28244000</t>
  </si>
  <si>
    <t>marcomachado1@gmail.com</t>
  </si>
  <si>
    <t>Universidade Iguaçu Campus V</t>
  </si>
  <si>
    <t>Different training volumes in the elderly: effects on muscle function and cardiovascular</t>
  </si>
  <si>
    <t>U1111-1277-7120</t>
  </si>
  <si>
    <t>sedentary behavior</t>
  </si>
  <si>
    <t>behavior</t>
  </si>
  <si>
    <t>Henrique França Rodrigues</t>
  </si>
  <si>
    <t>professorhenriquefr@hotmail.com</t>
  </si>
  <si>
    <t>Universidade Federal do Estado de São Paulo</t>
  </si>
  <si>
    <t>Effects of calcium use to evaluate efficacy and safety in the treatment of pregnant women with gestational hypertension: randomized clinical trial</t>
  </si>
  <si>
    <t>U1111-1221-4052</t>
  </si>
  <si>
    <t>Pregnancy-Induced Hypertension</t>
  </si>
  <si>
    <t>Janine Schirmer</t>
  </si>
  <si>
    <t>schirmer.jane@gmail.com</t>
  </si>
  <si>
    <t>Comparison of the effects of two suspension training protocols on pain and skeletal muscle function of individuals with chronic low back pain</t>
  </si>
  <si>
    <t>06/27/2022</t>
  </si>
  <si>
    <t>Chronic low back pain</t>
  </si>
  <si>
    <t>Ana Carolina Brandt de Macedo</t>
  </si>
  <si>
    <t>ana.macedo@ufpr.br</t>
  </si>
  <si>
    <t>Evaluation of the effect of Rosemary (Rosmarinus Officinalis) in the reduction of Common Mental Disorders in workers in the prison system and in persons deprived of their liberty</t>
  </si>
  <si>
    <t>06/24/2022</t>
  </si>
  <si>
    <t>Neurotic Disorders</t>
  </si>
  <si>
    <t>Anxiety Disorders</t>
  </si>
  <si>
    <t>Comitê Ética Pesquisa</t>
  </si>
  <si>
    <t>+55(55)3332-0301</t>
  </si>
  <si>
    <t>cep@unijui.edu.br</t>
  </si>
  <si>
    <t>Universidade Regional do Noroeste do Estado do Rio Grande do Sul</t>
  </si>
  <si>
    <t>Effect of IOP reduction on peripapillary vascular density in eyes with optic disc drusen</t>
  </si>
  <si>
    <t>Optic Dosc</t>
  </si>
  <si>
    <t>Optic Nerve</t>
  </si>
  <si>
    <t>Comitê de Ética em Pesquisa</t>
  </si>
  <si>
    <t>cephob@hobr.com.br</t>
  </si>
  <si>
    <t>Hospital Oftalmológico de Brasília</t>
  </si>
  <si>
    <t>The effect of Laser Auriculotherapy for the treatment of Temporomandibular Dysfunction: randomized clinical trial</t>
  </si>
  <si>
    <t>U1111-1276-5762</t>
  </si>
  <si>
    <t>+55 35 3701-1805</t>
  </si>
  <si>
    <t>ppgcr@unifal-mg.edu.br</t>
  </si>
  <si>
    <t>The immediate influence of chiropractic joint manipulation on the upper cervical spine and its relationship with the free throw performance in basketball</t>
  </si>
  <si>
    <t>U1111-1279-5364</t>
  </si>
  <si>
    <t>Basketball</t>
  </si>
  <si>
    <t>Isaac Welson Gau Gomes</t>
  </si>
  <si>
    <t>Campo Limpo Paulista</t>
  </si>
  <si>
    <t>+55 (11) 94841-7932</t>
  </si>
  <si>
    <t>isaacwell@hotmail.com</t>
  </si>
  <si>
    <t>Universidade Anhembi Morumbi</t>
  </si>
  <si>
    <t>Assessment of cutaneous and genital mucosa acceptability of a topical product under normal conditions of use</t>
  </si>
  <si>
    <t>06/23/2022</t>
  </si>
  <si>
    <t>U1111-1278-9743</t>
  </si>
  <si>
    <t>Female urogenital diseases</t>
  </si>
  <si>
    <t>Other specified non-inflammatory disorders of the vagina</t>
  </si>
  <si>
    <t>Allergisa Pesquisa Dermato-cosmética Ltda</t>
  </si>
  <si>
    <t>+55(19)3517-6830</t>
  </si>
  <si>
    <t>cep_investiga@grupoinvestiga.com.br</t>
  </si>
  <si>
    <t>Helianto Farmacêutica Ltda</t>
  </si>
  <si>
    <t>Use of Pentoxyphylline and Tocopherol prior to Tooth Extractions in Oncological patients submitted to treatment with Agents Bone Modifiers</t>
  </si>
  <si>
    <t>U1111-1277-9445</t>
  </si>
  <si>
    <t>Osteonecrosis</t>
  </si>
  <si>
    <t>Instituto de Medicina Integral Prof. Fernando Figueira</t>
  </si>
  <si>
    <t>comitedeetica@imip.org.br</t>
  </si>
  <si>
    <t>Instituto de Medicina Integral Professor Fernando Figueira - IMIP</t>
  </si>
  <si>
    <t>Efficacy potential of a behavioral intervention to promote adherence to oral antidiabetic drugs</t>
  </si>
  <si>
    <t>U1111-1278-7008</t>
  </si>
  <si>
    <t>Danilo Donizetti Trevisan</t>
  </si>
  <si>
    <t>+55 37 36904496</t>
  </si>
  <si>
    <t>ddtrevisan@ufsj.edu.br</t>
  </si>
  <si>
    <t>Universidade Federal de São João del Rei</t>
  </si>
  <si>
    <t>Comparison of the incidence of arterial hypotension between propofol in target controlled infusion and bolus injection during induction of general anesthesia in young adults and non-cardiac surgeries - Randomized clinical trial</t>
  </si>
  <si>
    <t>U1111-1259-7587</t>
  </si>
  <si>
    <t>Hypotension</t>
  </si>
  <si>
    <t>Adverse effects of anesthetics and therapeutic gases</t>
  </si>
  <si>
    <t>Dentoskeletal effects of Open Bite treatment with DAVIT (Dual Action Vertical Intra-arch Technique)</t>
  </si>
  <si>
    <t>U1111-1278-9801</t>
  </si>
  <si>
    <t>Sérgio Estelita Cavalcante Barros</t>
  </si>
  <si>
    <t>+55 (51) 3308-5201</t>
  </si>
  <si>
    <t>sergioestelita@yahoo.com.br</t>
  </si>
  <si>
    <t>Faculdade de Odontologia da Universidade Federal do Rio Grande do Sul</t>
  </si>
  <si>
    <t>Aromatherapy in the face of anxiety and stress in the general population due to social isolation caused by the Covid-19 pandemic</t>
  </si>
  <si>
    <t>U1111-1278-7377</t>
  </si>
  <si>
    <t>anxiety disorders</t>
  </si>
  <si>
    <t>Comitê de Ética em Pesquisa da  Universidade de Franca</t>
  </si>
  <si>
    <t>cepe@unifran.edu.br</t>
  </si>
  <si>
    <t>Universidade de Franca</t>
  </si>
  <si>
    <t>Influence of aquatic exercise on functionality pain and postural balance in amputees: a randomized controlled clinical trial</t>
  </si>
  <si>
    <t>06/22/2022</t>
  </si>
  <si>
    <t>Acquired absence of unspecified member</t>
  </si>
  <si>
    <t>Thomaz Nogueira Burke</t>
  </si>
  <si>
    <t>+55(67) 992428888</t>
  </si>
  <si>
    <t>thomaz.burke@ufms.br</t>
  </si>
  <si>
    <t>Fundação Universidade Federal de Mato Grosso do Sul</t>
  </si>
  <si>
    <t>Efficacy of Surgically Assisted Rapid Maxillary Expansion (SARME) with technique in two (2S) and three (3S) segments: randomized clinical trial</t>
  </si>
  <si>
    <t>U1111-1277-7793</t>
  </si>
  <si>
    <t>Anomalies of the relationship between the dental arches</t>
  </si>
  <si>
    <t>Maxillofacial Abnormalities</t>
  </si>
  <si>
    <t>Max Domingues Pereira</t>
  </si>
  <si>
    <t>55 (11) 5576.4848 - Ramal: 3054</t>
  </si>
  <si>
    <t>maxdominguespereira@gmail.com</t>
  </si>
  <si>
    <t>Effect of Temporal Deception on the metabolism of semi-professional cyclists</t>
  </si>
  <si>
    <t>06/21/2022</t>
  </si>
  <si>
    <t>U1111-1273-7457</t>
  </si>
  <si>
    <t>Physiological Adaptation</t>
  </si>
  <si>
    <t>Comparative analysis of Burning Mouth Syndrome Treatment using Low Power Laser (LTTP) and Transcutaneous Electrical Nerve Stimulation System: a randomized clinical trial</t>
  </si>
  <si>
    <t>03/30/2022</t>
  </si>
  <si>
    <t>U1111-1274-3207</t>
  </si>
  <si>
    <t>Programa de Pós-Graduação em Ciências Odontológicas (PPGCO)</t>
  </si>
  <si>
    <t>+55(84) 3215-4138</t>
  </si>
  <si>
    <t>ppgco.ufrn@gmail.com</t>
  </si>
  <si>
    <t>Study of the effect of Aerobic Physical Training on cardiorespiratory and metabolic parameters in individuals affected by Covid-19</t>
  </si>
  <si>
    <t>U1111-1276-5344</t>
  </si>
  <si>
    <t>Unspecified cardiopulmonary disease</t>
  </si>
  <si>
    <t>Effect of Stimulation of the Auricular Branch of the Vagus Nerve on Fibromyalgia</t>
  </si>
  <si>
    <t>Número do UNT: U1111-1259-2836</t>
  </si>
  <si>
    <t>Other soft tissue disorders,not elsewhere classified - fibromyalgia</t>
  </si>
  <si>
    <t>Marcos Lisboa Neves</t>
  </si>
  <si>
    <t>+55(48)98818-9596</t>
  </si>
  <si>
    <t>marcoslisboaneves@gmail.com</t>
  </si>
  <si>
    <t>Prevalence of ophthalmologic alterations in patients with systemic lupus erythematosus</t>
  </si>
  <si>
    <t>06/20/2022</t>
  </si>
  <si>
    <t>U1111-1277-5760</t>
  </si>
  <si>
    <t>Autoimmune diseases</t>
  </si>
  <si>
    <t>Eneida Machado Alves</t>
  </si>
  <si>
    <t>eneidamachadoalves@gmail.com</t>
  </si>
  <si>
    <t>Servicos Medicos de Oftalmologia - SEMOF</t>
  </si>
  <si>
    <t>Electromyography versus Ultrasound: Effectiveness in guiding the application of Botulinum Toxin in Cervical Dystonias</t>
  </si>
  <si>
    <t>Abnormal head movements</t>
  </si>
  <si>
    <t>Flávio Henrique De Rezende Costa</t>
  </si>
  <si>
    <t>fhrc76@gmail.com</t>
  </si>
  <si>
    <t>Impact of manual costal stabilization on diaphragmatic excursion fraction of diaphragmatic shortening and peripheral oxygen saturation in premature newborns</t>
  </si>
  <si>
    <t>10/29/2020</t>
  </si>
  <si>
    <t>U1111-1258-3989</t>
  </si>
  <si>
    <t>Intensive Care Units,Neonatal</t>
  </si>
  <si>
    <t>Marimar Goretti Andreazza</t>
  </si>
  <si>
    <t>marimar.andreazza@gmail.com</t>
  </si>
  <si>
    <t>Clinical outcomes of lower extremity amputees of vascular origin admitted to the hospital environment: randomized clinical trial</t>
  </si>
  <si>
    <t>06/15/2022</t>
  </si>
  <si>
    <t>U1111-1278-7286</t>
  </si>
  <si>
    <t>Gesilani Honorio</t>
  </si>
  <si>
    <t>gesilani@hotmail.com</t>
  </si>
  <si>
    <t>A phase 4 single blind randomised controlled trial to assess the immunogenicity safety and reactogenicity of a third heterologous full or fractional booster dose Covid-19 vaccine in previously vaccinated adults</t>
  </si>
  <si>
    <t>06/14/2022</t>
  </si>
  <si>
    <t>U1111-1277-7210</t>
  </si>
  <si>
    <t>Eveline Pipolo Milan</t>
  </si>
  <si>
    <t>+55 84 2226-0373</t>
  </si>
  <si>
    <t>evepipolo@gmail.com</t>
  </si>
  <si>
    <t>University of Oxford</t>
  </si>
  <si>
    <t>Evaluation of the effect of glycemic control on acute systemic inflammation using oral Metformin during Periodontal Treatment in non-Diabetic patients. Pilot randomized clinical trial</t>
  </si>
  <si>
    <t>U1111-1276-1942</t>
  </si>
  <si>
    <t>Luciana Satie Okajima</t>
  </si>
  <si>
    <t>+55(19)32113600</t>
  </si>
  <si>
    <t>luciana.okajima@slmandic.edu.br</t>
  </si>
  <si>
    <t>Centro de Pós-Graduação São Leopoldo Mandic/Faculdade de Odontologia</t>
  </si>
  <si>
    <t>Virtual reality and kinesiotherapy for improving balance and postural adjustments in patients with knee osteoarthritis: a randomized clinical trial</t>
  </si>
  <si>
    <t>U1111-1270-5091</t>
  </si>
  <si>
    <t>postural balance</t>
  </si>
  <si>
    <t>Bianca Callegari</t>
  </si>
  <si>
    <t>+55(91)982210054</t>
  </si>
  <si>
    <t>callegari@ufpa.br</t>
  </si>
  <si>
    <t>Constipation and Fecal Incontinence: Phase I - Profile of patients complaining of constipation and fecal incontinence Phase II - Elaboration and implementation of a physiotherapeutic treatment protocol in patients with constipation complaints</t>
  </si>
  <si>
    <t>U1111-1275-3447</t>
  </si>
  <si>
    <t>Débora Gomes Brandão</t>
  </si>
  <si>
    <t>+55(11) 2661-7025</t>
  </si>
  <si>
    <t>debora.brandao.g@gmail.com</t>
  </si>
  <si>
    <t>Hospital das Clínicas - Faculdade de Medicina</t>
  </si>
  <si>
    <t>Effect of Training Protocols on Chronic Pain and Physical Function in Older People witjh Osteoarthritis</t>
  </si>
  <si>
    <t>U1111-1279-1964</t>
  </si>
  <si>
    <t>Knee osteoarthritis,chronic pain</t>
  </si>
  <si>
    <t>Joint pain</t>
  </si>
  <si>
    <t>Carla de Lima Krieger</t>
  </si>
  <si>
    <t>Valinhos</t>
  </si>
  <si>
    <t>carlamkrieger@gmail.com</t>
  </si>
  <si>
    <t>Clinical evaluation of the lip repositioning technique using polyester thread for gummy smile treatment</t>
  </si>
  <si>
    <t>U1111-1277-0298</t>
  </si>
  <si>
    <t>Smiling</t>
  </si>
  <si>
    <t>Renata Oliveira Ribeiro Horn</t>
  </si>
  <si>
    <t>renadont@hotmail.com</t>
  </si>
  <si>
    <t>São Leopoldo Mandic</t>
  </si>
  <si>
    <t>Determination of the glycemic index and glycemic response of foods and their effect on appetite and food intake in eutrophic and euglycemic individuals</t>
  </si>
  <si>
    <t>U1111-1266-7996</t>
  </si>
  <si>
    <t>Nélia Pinheiro Mendes</t>
  </si>
  <si>
    <t>+55(31)3612-5227</t>
  </si>
  <si>
    <t>neliamendes.nut@gmail.com</t>
  </si>
  <si>
    <t>Clinical Evaluation of Clearfil S3 Bond Universal Quick applied in different techniques in non-carious cervical lesions</t>
  </si>
  <si>
    <t>U1111-1276-2968</t>
  </si>
  <si>
    <t>Dentin hypersensitivity,root caries</t>
  </si>
  <si>
    <t>Centro Universitário do Maranhão - UNICEUMA</t>
  </si>
  <si>
    <t>São Luíz</t>
  </si>
  <si>
    <t>cep@ceuma.br</t>
  </si>
  <si>
    <t>Centro Universitário de Maranhão - UNICEUMA</t>
  </si>
  <si>
    <t>Identification of Candida spp. in users of removable dentures by low-cost molecular methods</t>
  </si>
  <si>
    <t>U111112738171</t>
  </si>
  <si>
    <t>Denture stomatitis</t>
  </si>
  <si>
    <t>Stomatitis</t>
  </si>
  <si>
    <t>Ewerton Garcia De Oliveira Mima</t>
  </si>
  <si>
    <t>Araraquara</t>
  </si>
  <si>
    <t>ewerton.mima@unesp.br</t>
  </si>
  <si>
    <t>Universidade Estadual Paulista Julio Mesquita Filho</t>
  </si>
  <si>
    <t>Influence of actn3 and ppar alpha gene polymorphisms on recovery from oxidative stress muscle wasting and post-exercise physical performance in response to beetroot juice supplementation</t>
  </si>
  <si>
    <t>U1111-1278-5700</t>
  </si>
  <si>
    <t>Oxidative stress</t>
  </si>
  <si>
    <t>Physical Performance</t>
  </si>
  <si>
    <t>+55(83) 8875-4675 / 3216-7030</t>
  </si>
  <si>
    <t>Impact of different clinical criteria in the evaluation of caries lesions around restorations in primary teeth: a randomized clinical trial</t>
  </si>
  <si>
    <t>U1111-1276-5641</t>
  </si>
  <si>
    <t>Laura Regina Pontes</t>
  </si>
  <si>
    <t>+55(11)983678669</t>
  </si>
  <si>
    <t>laura.pontes@usp.br</t>
  </si>
  <si>
    <t>Surgical treatment of Dupuytrens disease: A Randomized clinical trial comparing techniques of partial fasciectomy by Bruner-type surgical access versus zetaplasty</t>
  </si>
  <si>
    <t>Palmar fascial fibromatosis (Dupuytren)</t>
  </si>
  <si>
    <t>Fibroblastic disorders</t>
  </si>
  <si>
    <t>Renan Gonçalves Leão</t>
  </si>
  <si>
    <t>+55 11 98763-2329</t>
  </si>
  <si>
    <t>renangleao@gmail.com</t>
  </si>
  <si>
    <t>Development of a new measure to predict difficult airway obtained by ultrasound: cutaneous-epiglottic distance. observational study</t>
  </si>
  <si>
    <t>U1111-1275-1120</t>
  </si>
  <si>
    <t>anesthesia</t>
  </si>
  <si>
    <t>Luis Henrique Cangiani</t>
  </si>
  <si>
    <t>+55 19 37895386</t>
  </si>
  <si>
    <t>lh.cangiani@unesp.br</t>
  </si>
  <si>
    <t>Universidade Estadual Paulista - UNESP</t>
  </si>
  <si>
    <t>Teaching pediatric cardiac critical care online: a pilot study</t>
  </si>
  <si>
    <t>U1111-1271-6955</t>
  </si>
  <si>
    <t>Congenital Heart Disease</t>
  </si>
  <si>
    <t>Cardiovascular abnormalities</t>
  </si>
  <si>
    <t>Carlos Roberto Ribeiro de Carvalho</t>
  </si>
  <si>
    <t>carlos.carvalho@hc.fm.usp.br</t>
  </si>
  <si>
    <t>Instituto do coração da Faculdade de Medicina da Universidade de São Paulo</t>
  </si>
  <si>
    <t>Dental emergency remote screening in children using questionnaire - before and after study nested to randomized clinical trial</t>
  </si>
  <si>
    <t>U1111-1277-6161</t>
  </si>
  <si>
    <t>Pediatric Dentistry</t>
  </si>
  <si>
    <t>Ana Paula Dornellas da Silva</t>
  </si>
  <si>
    <t>Carangola</t>
  </si>
  <si>
    <t>55 32 98473- 2719</t>
  </si>
  <si>
    <t>anapauladornellas@usp.br</t>
  </si>
  <si>
    <t>FOUSP - Faculdade de Odontologia da Universidade de São Paulo</t>
  </si>
  <si>
    <t>Are there correlations between the amount of creatine in the diet and short-term visuospatial memory in the elderly? The observational study</t>
  </si>
  <si>
    <t>U1111-1274-6865</t>
  </si>
  <si>
    <t>Effect of Complex Decongestive Therapy on immune response parameters in individuals with lymphedema</t>
  </si>
  <si>
    <t>U1111-1276-8895</t>
  </si>
  <si>
    <t>Lymphedema</t>
  </si>
  <si>
    <t>Lymphatic Abnormalities</t>
  </si>
  <si>
    <t>Barbara Cristina Pedrosa</t>
  </si>
  <si>
    <t>+55 (81) 987269180</t>
  </si>
  <si>
    <t>barbaracristinaa@hotmail.com</t>
  </si>
  <si>
    <t>Effects of sliding cupping therapy on pain intensity fatigue perception and muscular performance after a 10km run</t>
  </si>
  <si>
    <t>01/28/2022</t>
  </si>
  <si>
    <t>U1111-1273-2705</t>
  </si>
  <si>
    <t>Musculoskeletal physiological phenomena</t>
  </si>
  <si>
    <t>Caio Alano de Almeida Lins</t>
  </si>
  <si>
    <t>caiouzl@hotmail.com</t>
  </si>
  <si>
    <t>Universidade Federal do Rio Grande do Norte - Faculdade de Ciências da Saúde do Trairí</t>
  </si>
  <si>
    <t>Analysis of Syringe Identification Pattern for Drug Administration during Anesthesia in Brazil and its association with medication errors in the perioperative period</t>
  </si>
  <si>
    <t>1111-1269-2642</t>
  </si>
  <si>
    <t>Aline Yuri Chibana</t>
  </si>
  <si>
    <t>+55 11 21895116</t>
  </si>
  <si>
    <t>alineychibana@gmail.com</t>
  </si>
  <si>
    <t>Departamento de Anestesiologia Faculdade de Medicina de Botucatu - UNESP</t>
  </si>
  <si>
    <t>Continued use of Lipid Emulsion with extra virgin Olive Oil Intradialytic to decrease the inflammatory state in Chronic Kidney patients</t>
  </si>
  <si>
    <t>05/31/2022</t>
  </si>
  <si>
    <t>U1111-1270-0582</t>
  </si>
  <si>
    <t>Kidney Failure,Chronic</t>
  </si>
  <si>
    <t>Eliane Roseli Winkelmann</t>
  </si>
  <si>
    <t>elianew@unijui.edu.br</t>
  </si>
  <si>
    <t>Universidade Regional do Noroeste do Estado do Rio Grande do Sul - UNIJUI</t>
  </si>
  <si>
    <t>Relationship between motor skill and language post-stroke and use of neuromodulation associated with peripheral therapies to improve movement manual function and language</t>
  </si>
  <si>
    <t>U1111-1274-4001</t>
  </si>
  <si>
    <t>Hemiplegia</t>
  </si>
  <si>
    <t>Priscila Lima dos Santos</t>
  </si>
  <si>
    <t>Lagarto</t>
  </si>
  <si>
    <t>plimabio@gmail.com</t>
  </si>
  <si>
    <t>Recovery of womens pelvic floor in the postpartum: a question of quality of life</t>
  </si>
  <si>
    <t>U1111-1271-4991</t>
  </si>
  <si>
    <t>Pelvic Floor Disorders</t>
  </si>
  <si>
    <t>Quality of Life</t>
  </si>
  <si>
    <t>João Irineu Resende Miranda</t>
  </si>
  <si>
    <t>+55(42) 3220-3153</t>
  </si>
  <si>
    <t>prog.cienciassociaisaplicadas@gmail.com</t>
  </si>
  <si>
    <t>Evaluation of the possible benefit of the effect of Lavandula angustifolia on satisfaction with childbirth and postpartum in women treated at the maternity of regional hospital from São José - SC</t>
  </si>
  <si>
    <t>05/30/2022</t>
  </si>
  <si>
    <t>labor pain</t>
  </si>
  <si>
    <t>Anna Paula Piovezan</t>
  </si>
  <si>
    <t>+55(48)999382690</t>
  </si>
  <si>
    <t>anna.piovezan@unisul.br</t>
  </si>
  <si>
    <t>Extraoral Infra-red Photobiomodulation in the postoperative period of lower third molar extraction</t>
  </si>
  <si>
    <t>05/29/2022</t>
  </si>
  <si>
    <t>U1111-1263-6867</t>
  </si>
  <si>
    <t>Impacted Tooth</t>
  </si>
  <si>
    <t>Maria Cristina Zindel Deboni</t>
  </si>
  <si>
    <t>+55(11)3091-7832</t>
  </si>
  <si>
    <t>mczdebon@usp.br</t>
  </si>
  <si>
    <t>Faculdade de Odontologia da Universidade de São Paulo</t>
  </si>
  <si>
    <t>Usability evaluation of the rapid SARS-CoV-2 antigen detection self-test (COVISTIX/COVIMARK) by lay subjects</t>
  </si>
  <si>
    <t>05/27/2022</t>
  </si>
  <si>
    <t>U1111-1274-2829</t>
  </si>
  <si>
    <t>Corona virus infection of unspecified location</t>
  </si>
  <si>
    <t>Ananda Marilia Dias de Quadros Campos</t>
  </si>
  <si>
    <t>Paulínia</t>
  </si>
  <si>
    <t>ananda.campos@synovahealth.com</t>
  </si>
  <si>
    <t>Synova Pesquisa Científica Ltda</t>
  </si>
  <si>
    <t>Clinical evaluation of a monochromatic composite resin</t>
  </si>
  <si>
    <t>05/26/2022</t>
  </si>
  <si>
    <t>U1111-1277-1564</t>
  </si>
  <si>
    <t>Efficacy of Auriculotherapy to reduce Anxiety in Primary Health Care professionals</t>
  </si>
  <si>
    <t>U1111-1278-0481</t>
  </si>
  <si>
    <t>Anny Caroline Santos Almeida</t>
  </si>
  <si>
    <t>campo do brito</t>
  </si>
  <si>
    <t>+(55) 079 998486056</t>
  </si>
  <si>
    <t>annycaroline.ufs@gmail.com</t>
  </si>
  <si>
    <t>Effects of empathy training on levels of burden in caregivers of older people</t>
  </si>
  <si>
    <t>05/24/2022</t>
  </si>
  <si>
    <t>U1111-1275-4109</t>
  </si>
  <si>
    <t>Caregiver Burden</t>
  </si>
  <si>
    <t>Occupational Stress</t>
  </si>
  <si>
    <t>Ana Cristina Juvenal da Cruz</t>
  </si>
  <si>
    <t>anacjcruz@gmail.com</t>
  </si>
  <si>
    <t>Effect of Buspirone Hydrochloride on the frequency of Bruxism as a somatic manifestation of Anxiety: randomized double-blind placebo-controlled clinical trial</t>
  </si>
  <si>
    <t>U1111-1277-3877</t>
  </si>
  <si>
    <t>Characterization of normality curves of non-invasive intracranial pressure in adult and elderly individuals</t>
  </si>
  <si>
    <t>U1111-1266-8006</t>
  </si>
  <si>
    <t>Physiological Phenomena of the Nervous System</t>
  </si>
  <si>
    <t>Healthy people</t>
  </si>
  <si>
    <t>Thiago Luiz Russo</t>
  </si>
  <si>
    <t>+55(16)33519578</t>
  </si>
  <si>
    <t>russo@ufscar.br</t>
  </si>
  <si>
    <t>Effects of Omega-3 Supplementation associated or not with High-intensity Physical Training on anthropometric physiological biochemical and molecular parameters in patients with Metabolic Syndrome</t>
  </si>
  <si>
    <t>U1111-1271-4344</t>
  </si>
  <si>
    <t>inflammation</t>
  </si>
  <si>
    <t>Claudio Teodoro de Souza</t>
  </si>
  <si>
    <t>+55 32 2102-3848</t>
  </si>
  <si>
    <t>claudio.t.souza@ufjf.edu.br</t>
  </si>
  <si>
    <t>Evaluating the effectiveness of a Brief Intervention for Post-traumatic stress disorder associated with childbirth/birth: a clinical randomized controlled trial</t>
  </si>
  <si>
    <t>05/23/2022</t>
  </si>
  <si>
    <t>U1111-1276-7013</t>
  </si>
  <si>
    <t>Stress Disorders Post-Traumatic</t>
  </si>
  <si>
    <t>Flávia de Lima Osório</t>
  </si>
  <si>
    <t>flaliosorio@gmail.com</t>
  </si>
  <si>
    <t>Faculdade de Medicina de Ribeirão Preto da Universidade de São Paulo</t>
  </si>
  <si>
    <t>Open-label pilot randomized trial evaluating the effect of withdrawing renin-angiotensin-system inhibitors and neprilisin inhibitors and maintaining Carvedilol in Heart Failure with recovered ejection fraction</t>
  </si>
  <si>
    <t>05/20/2022</t>
  </si>
  <si>
    <t>U1111-1276-4678</t>
  </si>
  <si>
    <t>Left-side heart failure</t>
  </si>
  <si>
    <t>Heart Failure</t>
  </si>
  <si>
    <t>Deborah de Sá Pereira Belfort</t>
  </si>
  <si>
    <t>debbelfort@gmail.com</t>
  </si>
  <si>
    <t>Instituto do Coração do Hospital das Clínicas da Faculdade de Medicina da Universidade de São Paulo</t>
  </si>
  <si>
    <t>Effectiveness of Bach Flower therapy on hope and health-related quality of life of patients with Advanced Cancer: randomized clinical trial</t>
  </si>
  <si>
    <t>05/19/2022</t>
  </si>
  <si>
    <t>U1111-1276-1725</t>
  </si>
  <si>
    <t>Neoplasm Metastasis</t>
  </si>
  <si>
    <t>Malignant neoplasm</t>
  </si>
  <si>
    <t>Universidade Federal do Paraná Programa de Pós-Graduação em Enfermagem (PPGENF)</t>
  </si>
  <si>
    <t>ppgenf@ufpr.br</t>
  </si>
  <si>
    <t>Endodontic Treatment management in oncologic patients</t>
  </si>
  <si>
    <t>05/18/2022</t>
  </si>
  <si>
    <t>U1111-1274-1633</t>
  </si>
  <si>
    <t>Dental Pulp Necrosis</t>
  </si>
  <si>
    <t>Periapical Diseases</t>
  </si>
  <si>
    <t>Maria Kaline Romeiro Teodoro</t>
  </si>
  <si>
    <t>+55 81 998309450</t>
  </si>
  <si>
    <t>kaline_rote@hotmail.com</t>
  </si>
  <si>
    <t>Universidade do Grande Rio</t>
  </si>
  <si>
    <t>Clinical Treatment of Ectopic Pregnancy - Response to the intravenous administration of Methotrexate</t>
  </si>
  <si>
    <t>U1111-1276-6044</t>
  </si>
  <si>
    <t>Tubal Pregnancy</t>
  </si>
  <si>
    <t>Pregnancy Complications</t>
  </si>
  <si>
    <t>Rafael Frederico Bruns</t>
  </si>
  <si>
    <t>rafaelbruns@gmail.com</t>
  </si>
  <si>
    <t>Comparative analysis of corneal endothelial cell loss among Diabetic patients undergoing Conventional Phacoemulsification and Femtosecond Laser-Assisted Cataract Surgery</t>
  </si>
  <si>
    <t>05/17/2022</t>
  </si>
  <si>
    <t>U1111-1277-6020</t>
  </si>
  <si>
    <t>Cataract</t>
  </si>
  <si>
    <t>Pre-existing Diabetes Mellitus,unspecified</t>
  </si>
  <si>
    <t>João Carlos Gonçalves Cruz</t>
  </si>
  <si>
    <t>joaocgc@gmail.com</t>
  </si>
  <si>
    <t>Hospital Oftalmológico Visão Laser</t>
  </si>
  <si>
    <t>The Klivo Intervention Program protocol: management of type 2 diabetes mellitus through a digital platform</t>
  </si>
  <si>
    <t>U1111-1274-9773</t>
  </si>
  <si>
    <t>Non-specific diabetes mellitus – without complications</t>
  </si>
  <si>
    <t>Non-specific diabetes mellitus</t>
  </si>
  <si>
    <t>Camila Maciel Oliveira</t>
  </si>
  <si>
    <t>+55 (11) 5507-2497</t>
  </si>
  <si>
    <t>camila.maciel@klivo.com</t>
  </si>
  <si>
    <t>Núcleo de Pesquisa Klivo</t>
  </si>
  <si>
    <t>Modulation of the inflammatory profile in Cancer patients supplemented with Leucine</t>
  </si>
  <si>
    <t>05/16/2022</t>
  </si>
  <si>
    <t>U1111-1274-8201</t>
  </si>
  <si>
    <t>Body composition</t>
  </si>
  <si>
    <t>Head and neck cancer</t>
  </si>
  <si>
    <t>Márcia Fábia Andrade Santos</t>
  </si>
  <si>
    <t>+55 11 94622-9119</t>
  </si>
  <si>
    <t>marcia.andrade@usp.br</t>
  </si>
  <si>
    <t>Neuroimmunoendocrine effects of core stabilization training in women with chronic non-specific lumbar pain: randomized controlled clinical trial</t>
  </si>
  <si>
    <t>05/13/2022</t>
  </si>
  <si>
    <t>U1111-1276-9588</t>
  </si>
  <si>
    <t>back pain</t>
  </si>
  <si>
    <t>Poliana  de Jesus Santos</t>
  </si>
  <si>
    <t>São Cristóvão</t>
  </si>
  <si>
    <t>+55 (79) 99878-9989</t>
  </si>
  <si>
    <t>polianasantos.28@hotmail.com</t>
  </si>
  <si>
    <t>Follow-up and rehabilitation of post-Covid patients</t>
  </si>
  <si>
    <t>U1111-1269-9451</t>
  </si>
  <si>
    <t>Communicable Diseases</t>
  </si>
  <si>
    <t>Physical Therapy Modalities</t>
  </si>
  <si>
    <t>Impact of a digital game on physical activity and eating habits in adolescents</t>
  </si>
  <si>
    <t>U1111-1276-4996</t>
  </si>
  <si>
    <t>Feeding behavior</t>
  </si>
  <si>
    <t>Sedentary bahavior</t>
  </si>
  <si>
    <t>Eduarda Valim Pereira</t>
  </si>
  <si>
    <t>Criciúma</t>
  </si>
  <si>
    <t>+55 (48) 996713065</t>
  </si>
  <si>
    <t>eduardavalim@hotmail.com</t>
  </si>
  <si>
    <t>Universidade do Extremo Sul Catarinense - UNESC</t>
  </si>
  <si>
    <t>Pilot study to verify the safety and efficacy of Doxycycline in the treatment of levodopa-induced dyskinesias in patients with Parkinsons disease</t>
  </si>
  <si>
    <t>U1111-1276-3256</t>
  </si>
  <si>
    <t>Drug induced chorea</t>
  </si>
  <si>
    <t>Parkinson`s disease</t>
  </si>
  <si>
    <t>Vitor Tumas</t>
  </si>
  <si>
    <t>+55 16 36022436</t>
  </si>
  <si>
    <t>tumasv@fmrp.usp.br</t>
  </si>
  <si>
    <t>Hospital das Clínicas da Faculdade de Medicina de Ribeirão Preto da Universidade de São Paulo</t>
  </si>
  <si>
    <t>Clinical evaluation of Different Forms of Heating in the performance of a bulk-fill thermoviscous composite resin in the restoration of non-carious cervical lesions</t>
  </si>
  <si>
    <t>U1111-1267-4473</t>
  </si>
  <si>
    <t>Implementation of the Integrative Pediatrics Unit at the Children and Adolescents Institute (ICr) of the Hospital das Clínicas of the Faculty of Medicine of the University of São Paulo (HC-FMUSP)</t>
  </si>
  <si>
    <t>U1111-1272-5876</t>
  </si>
  <si>
    <t>Vicente Odone Filho</t>
  </si>
  <si>
    <t>+55(11)2661-8500</t>
  </si>
  <si>
    <t>odone@uol.com.br</t>
  </si>
  <si>
    <t>Influence of low-level laser therapy on inflammatory parameters satisfaction with facial aesthetics and quality of life in patients undergoing partial removal of the buccal extension of the cheek fat pad: a randomized double-blind placebo-controlled split-face clinical trial</t>
  </si>
  <si>
    <t>U1111-1277-7287</t>
  </si>
  <si>
    <t>Cheek</t>
  </si>
  <si>
    <t>Face</t>
  </si>
  <si>
    <t>Edson Luiz Cetira Filho</t>
  </si>
  <si>
    <t>edson.cetira@hotmail.com</t>
  </si>
  <si>
    <t>Video containing physical exercise sessions to improve the physical activity level of healthy adults</t>
  </si>
  <si>
    <t>U1111-1276-4469</t>
  </si>
  <si>
    <t>Adult health</t>
  </si>
  <si>
    <t>Adult</t>
  </si>
  <si>
    <t>Jeane Maria Moura Costa</t>
  </si>
  <si>
    <t>Rio Branco</t>
  </si>
  <si>
    <t>+55 (068) 992442950</t>
  </si>
  <si>
    <t>jeufac@gmail.com</t>
  </si>
  <si>
    <t>Universidade Federal do Acre</t>
  </si>
  <si>
    <t>Evaluation of the effectiveness of Brazilian Cardioprotective Alimentation in reducing Blood Pressure and its associated risk factors in hypertensive users of BHU in Salvador/Bahia: a randomized clinical trial</t>
  </si>
  <si>
    <t>U1111-1269-0826</t>
  </si>
  <si>
    <t>Lana Mércia Santiago de Souza</t>
  </si>
  <si>
    <t>+55(71)991519172</t>
  </si>
  <si>
    <t>lmssouza@uneb.br</t>
  </si>
  <si>
    <t>Universidade do Estado da Bahia</t>
  </si>
  <si>
    <t>Photobiomodulation with Led as a new approach to the assessment of healing activity in chronic wounds of patients with diabetes</t>
  </si>
  <si>
    <t>U1111-1273-5570</t>
  </si>
  <si>
    <t>Insulin-dependent diabetes mellitus</t>
  </si>
  <si>
    <t>wounds and injuries</t>
  </si>
  <si>
    <t>Thabata Coaglio Lucas</t>
  </si>
  <si>
    <t>+55(38)999972336</t>
  </si>
  <si>
    <t>thabataclucas@gmail.com</t>
  </si>
  <si>
    <t>Effects of Vestibular Sensory Stimulation through Balanced Net Positioning in late Preterm Infants on neuromotor development compared to Conventional Therapy</t>
  </si>
  <si>
    <t>Kelly Savana Minaré Baldo Sucupira</t>
  </si>
  <si>
    <t>+55 (34) 988192649</t>
  </si>
  <si>
    <t>kellyminare@gmail.com</t>
  </si>
  <si>
    <t>Universidade Federal do Triangulo Mineiro</t>
  </si>
  <si>
    <t>Homeopathy as an adjuvant treatment for patients with COVID-19 - HU/UFSC</t>
  </si>
  <si>
    <t>U1111-1278-0274</t>
  </si>
  <si>
    <t>Pneumonia</t>
  </si>
  <si>
    <t>Novel Coronavirus Pneumonia 2019-2020</t>
  </si>
  <si>
    <t>Lúcio José Botelho</t>
  </si>
  <si>
    <t>+55(48) 3721 9388</t>
  </si>
  <si>
    <t>lucio.botelho@ufsc.br</t>
  </si>
  <si>
    <t>Evaluation of the effectiveness of fatty acid supplementation omega 3 in patients whith lipodystrophic syndrome secondary to antiretroviral therapy. Relationship whith phase angle</t>
  </si>
  <si>
    <t>1111-1268-948</t>
  </si>
  <si>
    <t>Lipodystrophy not elsewhere classified</t>
  </si>
  <si>
    <t>Chapter IV Endocrine,nutritional and metabolic diseases</t>
  </si>
  <si>
    <t>Núcleo de Medicina Tropical</t>
  </si>
  <si>
    <t>cepbel@ufpa.br</t>
  </si>
  <si>
    <t>Núcleo de Medina Tropical-UFPA</t>
  </si>
  <si>
    <t>Effects of osteopathic intervention in transition duration from enteral nutrition to oral feeding in infants admitted to a pediatric ICU - Randomized and controlled study</t>
  </si>
  <si>
    <t>U1111-1276-7668</t>
  </si>
  <si>
    <t>Deglutition disorders</t>
  </si>
  <si>
    <t>Intensive Care Units,Pediatric</t>
  </si>
  <si>
    <t>Amanda Adorno da Cunha</t>
  </si>
  <si>
    <t>mandacunha@gmail.com</t>
  </si>
  <si>
    <t>Hospital de Clinica da UNICAMP</t>
  </si>
  <si>
    <t>Music as Nursing Care to Reduce Distress in Women with Breast Cancer in Antineoplastic Chemotherapy: Randomized Clinical Trial</t>
  </si>
  <si>
    <t>U1111-1276-7592</t>
  </si>
  <si>
    <t>Drug Therapy</t>
  </si>
  <si>
    <t>Marcela Maria de Melo Perdigão</t>
  </si>
  <si>
    <t>+55(85)997338793</t>
  </si>
  <si>
    <t>marcela.perdigao@aluno.uece.br</t>
  </si>
  <si>
    <t>Comparative study of radiofrequency ablation of Barretts esophagus with dysplasia in patients previously submitted or not to surgical treatment of gastroesophageal reflux disease</t>
  </si>
  <si>
    <t>U1111-1227-8476</t>
  </si>
  <si>
    <t>Barretts esophagus</t>
  </si>
  <si>
    <t>Esophagus Disease</t>
  </si>
  <si>
    <t>Sergio Barbosa Marques</t>
  </si>
  <si>
    <t>+55 11 2661-6221</t>
  </si>
  <si>
    <t>sergiobmarques@gmail.com</t>
  </si>
  <si>
    <t>Efficacy of Music in Pain Relief during the femoral arterial introductor withdrawal after Cardiac Catheterism: randomized clinical trial</t>
  </si>
  <si>
    <t>U1111-1276-0842</t>
  </si>
  <si>
    <t>Nova Parnamirim,Parnamirim</t>
  </si>
  <si>
    <t>Dance movement therapy contributions to the health and quality of life of elderly people at risk of functional decline</t>
  </si>
  <si>
    <t>U1111-1276-6141</t>
  </si>
  <si>
    <t>helath of the elderly</t>
  </si>
  <si>
    <t>Raquel Arigony Corrêa SantAnna Prates</t>
  </si>
  <si>
    <t>Cruz Alta</t>
  </si>
  <si>
    <t>raquel.prates@sou.unijui.edu.br</t>
  </si>
  <si>
    <t>Universidade de Cruz Alta</t>
  </si>
  <si>
    <t>Single-session associative protocol in the treatment of dentin hypersensitivity: a randomized blinded clinical trial</t>
  </si>
  <si>
    <t>01/25/2021</t>
  </si>
  <si>
    <t>U1111-1261-5685</t>
  </si>
  <si>
    <t>Veridiana Camilotti</t>
  </si>
  <si>
    <t>+55 45 991352205</t>
  </si>
  <si>
    <t>vericamilotti@hotmail.com</t>
  </si>
  <si>
    <t>Universidade Estadual do Oeste do Paraná - UNIOESTE</t>
  </si>
  <si>
    <t>Redox State Immunometabolism and Meta-inflammation in Obesity: Gene Expression and Responses to High-Intensity Interval Training</t>
  </si>
  <si>
    <t>U1111-1273-0128</t>
  </si>
  <si>
    <t>Inflammation,Gene Expression,Oxidative Stress,Lipid Metabolism,Insulin Resistance</t>
  </si>
  <si>
    <t>Daniela Delwing de Lima</t>
  </si>
  <si>
    <t>+55(47)3461 9000</t>
  </si>
  <si>
    <t>danidelwing@hotmail.com</t>
  </si>
  <si>
    <t>Universidade da Região de Joinville</t>
  </si>
  <si>
    <t>Impact of Natalizumab use in patients with Multiple Sclerosis</t>
  </si>
  <si>
    <t>U1111-1276-9486</t>
  </si>
  <si>
    <t>Quality of life</t>
  </si>
  <si>
    <t>Multiple Sclerosis</t>
  </si>
  <si>
    <t>Erica Freire de Vasconcelos Pereira</t>
  </si>
  <si>
    <t>Faculdade de Ciências Farmacêuticas Alimentos e Nutrição - UFMS</t>
  </si>
  <si>
    <t>Assessment of Photodynamic Therapy with LED on pain limitation of mandibular moviments and quality of life in patients with Temporomandibular Joint Dysfunction: a double-blind randomized and controlled clinical study</t>
  </si>
  <si>
    <t>04/28/2022</t>
  </si>
  <si>
    <t>U1111-1276-3628</t>
  </si>
  <si>
    <t>Douglas Magno Guimaraes</t>
  </si>
  <si>
    <t>douglas_guima@hotmail.com</t>
  </si>
  <si>
    <t>Centro Universitário do Pará</t>
  </si>
  <si>
    <t>Osteopathic Treatment in Insomnia in Menopausal Women: Randomized Clinical Trial</t>
  </si>
  <si>
    <t>Escuela de Osteopatía de Madrid</t>
  </si>
  <si>
    <t>+55 (31) 3789-3255</t>
  </si>
  <si>
    <t>secretaria@osteopatiamadrid.com.br</t>
  </si>
  <si>
    <t>Escuela de Osteopatia de Madrid Brasil</t>
  </si>
  <si>
    <t>Analysis the effectiveness and additional treatment period of different wear times in at-home dental bleaching: a randomized clinical split-mouth trial</t>
  </si>
  <si>
    <t>U1111-1275-7861</t>
  </si>
  <si>
    <t>Stained teeth</t>
  </si>
  <si>
    <t>Caio Cesar Pavani</t>
  </si>
  <si>
    <t>caiopavani_ata@hotmail.com</t>
  </si>
  <si>
    <t>Faculdade de Odontologia de Araçatuba</t>
  </si>
  <si>
    <t>Effects of Osteopathic Manipulative Treatment versus Talocrural Automobilization on Ankle Mobility and Functionality in Athletes</t>
  </si>
  <si>
    <t>U1111-1275-5154</t>
  </si>
  <si>
    <t>Joint Range of Motion</t>
  </si>
  <si>
    <t>Athletic Injuries</t>
  </si>
  <si>
    <t>julio zago guglielmin</t>
  </si>
  <si>
    <t>brasília</t>
  </si>
  <si>
    <t>juliozagofisio@hotmail.com</t>
  </si>
  <si>
    <t>Faculdade de Ceilândia</t>
  </si>
  <si>
    <t>Whole Body Vibration Stimulus training on clinical functional and Redox Status in women with Fibromyalgia</t>
  </si>
  <si>
    <t>Ana Cristina Rodrigues Lacerda</t>
  </si>
  <si>
    <t>lacerdaacr@gmail.com</t>
  </si>
  <si>
    <t>Pelvic floor muscle training associated with the use of pessaries in the treatment of pelvic organ prolapse: Randomized clinical trial</t>
  </si>
  <si>
    <t>U1111-1276-2062</t>
  </si>
  <si>
    <t>Pelvic organ prolapse</t>
  </si>
  <si>
    <t>Angela Ferreira Silva</t>
  </si>
  <si>
    <t>angelafesi@yahoo.com.br</t>
  </si>
  <si>
    <t>Impact of a nutritional intervention based on Mindful Eating on the eating behavior of overweight and obese individuals in an academic community</t>
  </si>
  <si>
    <t>04/27/2022</t>
  </si>
  <si>
    <t>Maria Fernanda Souza Moreira</t>
  </si>
  <si>
    <t>+55(51)991589900</t>
  </si>
  <si>
    <t>fernanda.souza@ufcspa.edu.br</t>
  </si>
  <si>
    <t>Effect of different concentrations of sodium hypochlorite on postoperative pain and success rate of endodontic treatment of necrotic mandibular molars</t>
  </si>
  <si>
    <t>Pulp necrosis</t>
  </si>
  <si>
    <t>Pulp and periapical diseases</t>
  </si>
  <si>
    <t>Filipe Colombo Vitali</t>
  </si>
  <si>
    <t>+55(48)3721-5840</t>
  </si>
  <si>
    <t>filipevitali@hotmail.com</t>
  </si>
  <si>
    <t>Effect of the use of guarana powder (Paullinia cupana) on the modulation of brain-derived neurotrophic factor and depressive symptoms in young adults</t>
  </si>
  <si>
    <t>U1111-1249-2601</t>
  </si>
  <si>
    <t>depressive symptoms</t>
  </si>
  <si>
    <t>Elizabeth Aparecida Ferraz da Silva Torres</t>
  </si>
  <si>
    <t>+55(11)3061-7857</t>
  </si>
  <si>
    <t>eatorres@usp.br</t>
  </si>
  <si>
    <t>Faculdade de Saúde Pública da Universidade de São Paulo - FSP/USP</t>
  </si>
  <si>
    <t>Randomized triple-blind controlled study to evaluate the efficacy of intra-articular infiltration of microfragmented aspirate of autologous adipose tissue compared to intra-articular infiltration of corticosteroids in the treatment of knee osteoarthritis</t>
  </si>
  <si>
    <t>U1111-1272-3114</t>
  </si>
  <si>
    <t>Knee osteoarthritis</t>
  </si>
  <si>
    <t>Gonarthrosis (knee arthrosis)</t>
  </si>
  <si>
    <t>Bruno Butturi Varone</t>
  </si>
  <si>
    <t>+55(011)972253360</t>
  </si>
  <si>
    <t>brunobutturivarone@yahoo.com.br</t>
  </si>
  <si>
    <t>Instituto de Ortopedia e Traumatologia de Universidade de São Paulo</t>
  </si>
  <si>
    <t>Acute and chronic effects of different intensities of aerobic exercise on the psychological aspects of the elderly</t>
  </si>
  <si>
    <t>U1111-1273-8666</t>
  </si>
  <si>
    <t>Rafael Cunha Laux</t>
  </si>
  <si>
    <t>+55(49)988490784</t>
  </si>
  <si>
    <t>rafael-laux@hotmail.com</t>
  </si>
  <si>
    <t>Universidade Comunitária da Região de Chapecó</t>
  </si>
  <si>
    <t>Immediate effect of osteopatic manipulative treatment on pulmonary sequel in patients post COVID 19 - Controlled randomized clinical trial</t>
  </si>
  <si>
    <t>U1111-1275-2884</t>
  </si>
  <si>
    <t>Ana Paula Cochar</t>
  </si>
  <si>
    <t>+55 011-983638410</t>
  </si>
  <si>
    <t>anacochar@hotmail.com</t>
  </si>
  <si>
    <t>Escola de Osteopatia de Madrid - Brasil Ltda. (EOM - Brasil)</t>
  </si>
  <si>
    <t>Effect of Botulinum Toxin Type A on neuromuscular plasticity in individuals with spasticity post-Stroke</t>
  </si>
  <si>
    <t>U1111-1275-7085</t>
  </si>
  <si>
    <t>Caroline Pietta Dias</t>
  </si>
  <si>
    <t>carolpieta@yahoo.com.br</t>
  </si>
  <si>
    <t>Laboratório de Pesquisa do Exercício,Universidade Federal do Rio Grande do Sul</t>
  </si>
  <si>
    <t>The effect of multiprofissional program interventions in biopsychosocial parameters in people with Obesity after COVID-19</t>
  </si>
  <si>
    <t>U1111-1277-3394</t>
  </si>
  <si>
    <t>Patient care Team</t>
  </si>
  <si>
    <t>Ana Flávia  Sordi</t>
  </si>
  <si>
    <t>ana.sordi@unicesumar.edu.br</t>
  </si>
  <si>
    <t>Univesidade cesumar de Maringá</t>
  </si>
  <si>
    <t>Effect of Tai Chi Chuan practice on stress anxiety and self-perception of happiness</t>
  </si>
  <si>
    <t>04/26/2022</t>
  </si>
  <si>
    <t>U1111-1276-1787</t>
  </si>
  <si>
    <t>Hypertension,Psychological Stress</t>
  </si>
  <si>
    <t>Laís Renata Almeida Cezário Santos</t>
  </si>
  <si>
    <t>laysrenata.almeida@gmail.com</t>
  </si>
  <si>
    <t>Faculdade de Odontologia de Piracicaba - Universidade de Campinas (FOP-UNICAMP)</t>
  </si>
  <si>
    <t>Effect of acupuncture on muscle fatigue</t>
  </si>
  <si>
    <t>03/29/2022</t>
  </si>
  <si>
    <t>U1111-1273-1223</t>
  </si>
  <si>
    <t>Muscle fatigue</t>
  </si>
  <si>
    <t>Andreia Maria Silva Vilela Terra</t>
  </si>
  <si>
    <t>Lisboa</t>
  </si>
  <si>
    <t>+351 214 149 100</t>
  </si>
  <si>
    <t>andreiamarias96@gmail.com</t>
  </si>
  <si>
    <t>Faculdade Motricidade Humana</t>
  </si>
  <si>
    <t>Transcranial Direct Current Stimulation in pain control in patients with Rheumatoid Arthritis: a randomized placebo-controlled double-blind phase II clinical trial</t>
  </si>
  <si>
    <t>04/25/2022</t>
  </si>
  <si>
    <t>U1111-1266-8068</t>
  </si>
  <si>
    <t>Arthritis,Rheumatoid</t>
  </si>
  <si>
    <t>Antonio Luiz Boechat</t>
  </si>
  <si>
    <t>+55(92)8473-0577</t>
  </si>
  <si>
    <t>antonioluiz.boechat@gmail.com</t>
  </si>
  <si>
    <t>Effects of Water-Based Exercises and Nutritional Guidance on Body Composition and Functionality of Older Women with Knee Osteoarthritis</t>
  </si>
  <si>
    <t>U1111-1270-1624</t>
  </si>
  <si>
    <t>Older women with knee osteoarthritis</t>
  </si>
  <si>
    <t>Paulo Cesar Barauce Bento</t>
  </si>
  <si>
    <t>+55(41)33611799</t>
  </si>
  <si>
    <t>p.bento063@gmail.com</t>
  </si>
  <si>
    <t>Evaluation of the expression of inflammatory cytokines in the gingival crevicular fluid of patients with Covid-19. Pilot Study</t>
  </si>
  <si>
    <t>U111112766628</t>
  </si>
  <si>
    <t>Patricia Oehlmeyer Nassar</t>
  </si>
  <si>
    <t>ponassar@yahoo.com</t>
  </si>
  <si>
    <t>Clinical Trial: Accelerated Recovery Protocol in Patients Undergoing Bariatric Surgery. Randomized Comparative Study Between Usual Acceleration Protocols and the One Currently Used in the Institution (SAMSURP)</t>
  </si>
  <si>
    <t>04/20/2022</t>
  </si>
  <si>
    <t>unspecified obesity</t>
  </si>
  <si>
    <t>Marcos Paulo Gouveia de Oliveira</t>
  </si>
  <si>
    <t>são paulo</t>
  </si>
  <si>
    <t>marcosmed97@gmail.com</t>
  </si>
  <si>
    <t>Casa de Saúde Santa Marcelina</t>
  </si>
  <si>
    <t>Acromioclavicular joint pain: Intra-articular Corticosteroid Injection versus Neurolysis of the acromial branches of the suprascapular and lateral pectoral nerves with 5% Phenol</t>
  </si>
  <si>
    <t>U1111-1277-3928</t>
  </si>
  <si>
    <t>Shoulder Pain</t>
  </si>
  <si>
    <t>Acromioclavicular Joint</t>
  </si>
  <si>
    <t>Gilson Carone Neto</t>
  </si>
  <si>
    <t>gilsoncarone@hotmail.com</t>
  </si>
  <si>
    <t>Hospital do Servidor Público Estadual de São Paulo</t>
  </si>
  <si>
    <t>Postoperative analgesia in cardiac surgery: Comparison between Erector spinae plane block and intravenous morphine</t>
  </si>
  <si>
    <t>Anesthesia and Analgesia</t>
  </si>
  <si>
    <t>Rafael Almeida Vidal</t>
  </si>
  <si>
    <t>+55(19) 3343-8600</t>
  </si>
  <si>
    <t>ra.vidal@yahoo.com.br</t>
  </si>
  <si>
    <t>Hospital Pontifícia Universidade Católica de Campinas (PUC-CAMPINAS)</t>
  </si>
  <si>
    <t>Could sensorimotor cortical excitability be modulated by simulated jaw function activity and hyperalgesia induced by intramuscular NGF administration</t>
  </si>
  <si>
    <t>U1111-1277-3260</t>
  </si>
  <si>
    <t>Noéli Boscato</t>
  </si>
  <si>
    <t>+55(53)999530000</t>
  </si>
  <si>
    <t>noeliboscato@gmail.com</t>
  </si>
  <si>
    <t>Evaluation of the anesthetic efficacy level of the WALANT for carpal tunnel syndrome surgery in an outpatient setting</t>
  </si>
  <si>
    <t>U1111-1275-9147</t>
  </si>
  <si>
    <t>Carpal tunnel syndrome</t>
  </si>
  <si>
    <t>other mononeuropathies of the upper limbs</t>
  </si>
  <si>
    <t>Kássio Rodrigues De Macêdo</t>
  </si>
  <si>
    <t>kassiomedmacedo@hotmail.com</t>
  </si>
  <si>
    <t>Forrotherapy: Effect of a protocol adapted from a functional training through dance on the quality of life and the physical-functional aspects of the elderly in the community: randomized clinical trial</t>
  </si>
  <si>
    <t>04/19/2022</t>
  </si>
  <si>
    <t>U11111-274-8269</t>
  </si>
  <si>
    <t>Physical Fitness</t>
  </si>
  <si>
    <t>Felipe Lima Rebêlo</t>
  </si>
  <si>
    <t>feliperebelo_fisio@yahoo.com.br</t>
  </si>
  <si>
    <t>Universidade Estadual de Ciências da Saúde de Alagoas</t>
  </si>
  <si>
    <t>Use of Modulen® in patients with Inflammatory Bowel Disease</t>
  </si>
  <si>
    <t>U1111-1275-9245</t>
  </si>
  <si>
    <t>Other non-infectious gastroenteritis and colitis</t>
  </si>
  <si>
    <t>Cyrla Zaltman</t>
  </si>
  <si>
    <t>+55 21 98877-3787</t>
  </si>
  <si>
    <t>c.zaltman@gmail.com</t>
  </si>
  <si>
    <t>Effect of storytelling on learning about the history and institutionalization of the Unified Health System: a randomized controlled study</t>
  </si>
  <si>
    <t>pneumonia</t>
  </si>
  <si>
    <t>Comitê de Ética em Pesquisa Universidade Federal do Piauí CEP UFPI</t>
  </si>
  <si>
    <t>+55 (86) 3237-2332</t>
  </si>
  <si>
    <t>cep.ufpi@ufpi.edu.br</t>
  </si>
  <si>
    <t>Efficacy of the Treatment Summary and Survivorship Care Plan (TSSCP-S): experimental study</t>
  </si>
  <si>
    <t>U1111-1257-3560</t>
  </si>
  <si>
    <t>Medical Oncology</t>
  </si>
  <si>
    <t>Edvane Birelo Lopes De Domenico</t>
  </si>
  <si>
    <t>+55(11)50842793</t>
  </si>
  <si>
    <t>domenico.edvane@unifesp.br</t>
  </si>
  <si>
    <t>Universidade Federal de São Paulo/Escola Paulista de Enfermagem</t>
  </si>
  <si>
    <t>The Additional Effect of Percutaneous Microelectrolysis in patients with rotator cuff Tendinopathy : a controlled randomized clinical trial</t>
  </si>
  <si>
    <t>U1111-1276-1852</t>
  </si>
  <si>
    <t>musculoskeletal diseases</t>
  </si>
  <si>
    <t>Geraldo Carvalho Magalhães</t>
  </si>
  <si>
    <t>+55 (71) 99941-4420</t>
  </si>
  <si>
    <t>geraldo_magalhaes2000@yahoo.com.br</t>
  </si>
  <si>
    <t>Hospital Universitário Alcides Carneiro</t>
  </si>
  <si>
    <t>Reiki application in skin injuries / burns and thermography as evaluation method: a randomized clinical study</t>
  </si>
  <si>
    <t>U1111-1275-9500</t>
  </si>
  <si>
    <t>Marcio Rossato Badke</t>
  </si>
  <si>
    <t>marciobadke@gmail.com</t>
  </si>
  <si>
    <t>Trials on the costs of medication reconciliation in pediatrics at a high-complexity public hospital</t>
  </si>
  <si>
    <t>Fernanda Valenca Feitosa</t>
  </si>
  <si>
    <t>fernandavf94@gmail.com</t>
  </si>
  <si>
    <t>Applicability of the comfort-behavior scale as predictor of weaning in pediatric patients: randomized clinical trial</t>
  </si>
  <si>
    <t>Número de teste universal (UTN): U1111-1276-4863</t>
  </si>
  <si>
    <t>Ventilator weaning</t>
  </si>
  <si>
    <t>Jose Roberto Sostena Neto</t>
  </si>
  <si>
    <t>nettosostena@gmail.com</t>
  </si>
  <si>
    <t>Universidade Federal de Alfenas - UNIFAL MG</t>
  </si>
  <si>
    <t>Comparison of the accuracy of the result generated by Clincheck® with the actual result in the Invisalign ® through two treatment protocols</t>
  </si>
  <si>
    <t>U1111-1274-6760</t>
  </si>
  <si>
    <t>Orthodontic Appliances Removable</t>
  </si>
  <si>
    <t>Soraia Macari Macari</t>
  </si>
  <si>
    <t>(31) 34092431</t>
  </si>
  <si>
    <t>soraiamacari@gmail.com</t>
  </si>
  <si>
    <t>Influence of smoking on oral health related to quality of life associated with the degree of dependence</t>
  </si>
  <si>
    <t>U1111-1276-3136</t>
  </si>
  <si>
    <t>Comitê de Ética e Pesquisa CEP</t>
  </si>
  <si>
    <t>+55 (22)2528-7168</t>
  </si>
  <si>
    <t>ceppunf@gmail.com</t>
  </si>
  <si>
    <t>Evaluation of Homeopathic Treatment of Positive Covid-19 Symptomatic Patients in Relation to Physical and Mental Symptoms: Randomized Clinical Trial</t>
  </si>
  <si>
    <t>04/13/2022</t>
  </si>
  <si>
    <t>U111-1276-1615</t>
  </si>
  <si>
    <t>Coronavirus infection</t>
  </si>
  <si>
    <t>Karina Pavão Patrício</t>
  </si>
  <si>
    <t>karina.pavao@unesp.br</t>
  </si>
  <si>
    <t>Faculdade de Medicina - Universidade do Estado de São Paulo (Unesp) - Campus Botucatu</t>
  </si>
  <si>
    <t>Evaluation of Osteopathic Manipulative Treatment in the chronic musculoskeletal manifestations of Chikungunya Fever: A randomized clinical trial</t>
  </si>
  <si>
    <t>U1111-1273-5326</t>
  </si>
  <si>
    <t>chikungunya</t>
  </si>
  <si>
    <t>Ambulatório de Reumatologia Hospital das clínicas Universidade Federal de Pernambuco</t>
  </si>
  <si>
    <t>+55(81)998294795</t>
  </si>
  <si>
    <t>lectenorio@me.com</t>
  </si>
  <si>
    <t>Effects of telecare focusing on chewing and swallowing functions on orofacial myofascial pain</t>
  </si>
  <si>
    <t>Temporomandibular joint</t>
  </si>
  <si>
    <t>Mariana Souza Amaral</t>
  </si>
  <si>
    <t>+55 31 999413039</t>
  </si>
  <si>
    <t>marianaamaralfono@gmail.com</t>
  </si>
  <si>
    <t>Universidade Federal de Minas Gerais - UFMG</t>
  </si>
  <si>
    <t>A clinical trial to evaluate the safety of the investigational product denture fixing cream without flavor evaluating the acceptability in the oral mucosa and perceived efficacy under normal conditions of use</t>
  </si>
  <si>
    <t>U1111-1277-0628</t>
  </si>
  <si>
    <t>CIMED INDUSTRIA S.A</t>
  </si>
  <si>
    <t>Clinical treatment with vacuotherapy associated with low power laser in patients with tininitus</t>
  </si>
  <si>
    <t>U1111-1267-9380</t>
  </si>
  <si>
    <t>Deafness</t>
  </si>
  <si>
    <t>Vanderlei Salvador Bagnato</t>
  </si>
  <si>
    <t>vander@ifsc.usp.br</t>
  </si>
  <si>
    <t>Instituto de Física de São Carlos - Universidade de São Paulo</t>
  </si>
  <si>
    <t>Interindividual responsiveness of blood pressure to the increase in the volume intensity and duration of aerobic training in hypertensive patients</t>
  </si>
  <si>
    <t>Complications of heart disease and ill-defined heart disease</t>
  </si>
  <si>
    <t>Marina Ferreira</t>
  </si>
  <si>
    <t>+55 19 3521-6625</t>
  </si>
  <si>
    <t>marina.lvferreira@gmail.com</t>
  </si>
  <si>
    <t>Faculdade de Educação Física - Unicamp</t>
  </si>
  <si>
    <t>Perception of individuals with Parkinson´s Disease about social isolation and strategies of prevention monitoring and treatment through Telehealth to face the COVID-19 pandemic</t>
  </si>
  <si>
    <t>U1111-1275-4469</t>
  </si>
  <si>
    <t>+55 (43) 9979-2828</t>
  </si>
  <si>
    <t>What is the profile of patients candidating for Hemotransfusion after a Total Knee Arthroplasty?</t>
  </si>
  <si>
    <t>Acute post-hemorrhagic anemia</t>
  </si>
  <si>
    <t>Douglas Mello Pavão</t>
  </si>
  <si>
    <t>drdouglaspavao@gmail.com</t>
  </si>
  <si>
    <t>Instituto Nacional de Traumatologia e Ortopedia INTO</t>
  </si>
  <si>
    <t>Additional Classical Ballet exercise protocol to urogynecological treatment to improve body posture and voiding dysfunction in a child: a case report</t>
  </si>
  <si>
    <t>U1111-1275-8098</t>
  </si>
  <si>
    <t>Aline Fernandes Nascimento</t>
  </si>
  <si>
    <t>Boqueirão</t>
  </si>
  <si>
    <t>alinefernandes.300100@gmail.com</t>
  </si>
  <si>
    <t>Universidade Santa Cecília</t>
  </si>
  <si>
    <t>Use of an Application as a Management and Professional Communication tool and use of a Serious Game through non-Immersive Virtual Reality in the Initial Phase of Rehabilitation after Stroke</t>
  </si>
  <si>
    <t>U1111-1275-4294</t>
  </si>
  <si>
    <t>Cerebrovascular Disorders</t>
  </si>
  <si>
    <t>Alexandre Simões</t>
  </si>
  <si>
    <t>asdias@hcpa.edu.br</t>
  </si>
  <si>
    <t>Efficacy and effectiveness of a Health Education Program regarding the practice physical activity and food consumption in schoolchildren in a southern Brazilian county: a controlled community trial</t>
  </si>
  <si>
    <t>U1111-1274-5060</t>
  </si>
  <si>
    <t>Life Style</t>
  </si>
  <si>
    <t>Samuel Carvalho Dumith</t>
  </si>
  <si>
    <t>Rio Grande</t>
  </si>
  <si>
    <t>scdumith@yahoo.com.br</t>
  </si>
  <si>
    <t>Universidade Federal do Rio Grande</t>
  </si>
  <si>
    <t>Clinical evaluation of At-home Bleaching in patients of different age groups</t>
  </si>
  <si>
    <t>U1111-1274-9424</t>
  </si>
  <si>
    <t>Tooth Bleaching</t>
  </si>
  <si>
    <t>Propesp Universidade Estadual de Ponta Grossa</t>
  </si>
  <si>
    <t>propespsecretaria@uepg.br</t>
  </si>
  <si>
    <t>Feasibility and safety of muscle assessment by FES-Cycling</t>
  </si>
  <si>
    <t>U1111-1276-0323</t>
  </si>
  <si>
    <t>Critical Illness</t>
  </si>
  <si>
    <t>Thainá de Gomes Figueiredo</t>
  </si>
  <si>
    <t>Jaboatão dos Guararapes</t>
  </si>
  <si>
    <t>*55(31) 81 98803-4222</t>
  </si>
  <si>
    <t>thaina.gfigueiredo@upe.br</t>
  </si>
  <si>
    <t>Pronto-Socorro Cardiológico de Pernambuco</t>
  </si>
  <si>
    <t>Changes on performance body composition and biochemical parameters in young adults after acute and chronic pre-workout supplementation</t>
  </si>
  <si>
    <t>U1111-1275-6792</t>
  </si>
  <si>
    <t>Comite de Ética em Pesquisa</t>
  </si>
  <si>
    <t>+55(86) 3237-2332</t>
  </si>
  <si>
    <t>Effects of OzoneTherapy in the Treatment of Localized Abdominal Fat</t>
  </si>
  <si>
    <t>U1111-1267-9699</t>
  </si>
  <si>
    <t>localized adiposity</t>
  </si>
  <si>
    <t>adiposity</t>
  </si>
  <si>
    <t>Lélia Maria Guedes Queiroz</t>
  </si>
  <si>
    <t>+55(084)32153135</t>
  </si>
  <si>
    <t>lmgqueiroz@hotmail.com</t>
  </si>
  <si>
    <t>Caffeine supplementation: ergogenic resource or placebo effect?</t>
  </si>
  <si>
    <t>U1111-1275-5385</t>
  </si>
  <si>
    <t>Carrier State</t>
  </si>
  <si>
    <t>CBD/THC solution as a pharmacological strategy for patients with fibromyalgia: single-center double-blind randomized placebo controlled clinical trial protocol (FibroCann)</t>
  </si>
  <si>
    <t>02/23/2022</t>
  </si>
  <si>
    <t>U1111-1274-2988</t>
  </si>
  <si>
    <t>3F Clinical Trials LTDA</t>
  </si>
  <si>
    <t>Foz do Iguaçu</t>
  </si>
  <si>
    <t>+55 (45) 3031-2262</t>
  </si>
  <si>
    <t>contato@3fclinicaltrials.com</t>
  </si>
  <si>
    <t>fg brasil ltda</t>
  </si>
  <si>
    <t>Use of anti-inflammatory eye drops after selective laser trabeculoplasty: a randomized clinical trial</t>
  </si>
  <si>
    <t>another glaucoma</t>
  </si>
  <si>
    <t>Laura Oltramari</t>
  </si>
  <si>
    <t>+55 (51) 999669403</t>
  </si>
  <si>
    <t>lalaoltramari@hotmail.com</t>
  </si>
  <si>
    <t>Transcranial Direct Current Stimulation for pain and functionality in patients undergoing Hemodialysis</t>
  </si>
  <si>
    <t>U1111-1275-3919</t>
  </si>
  <si>
    <t>Speech therapy intervention program with semi-occluded vocal tract exercise in subjects with cleft lip and palate: randomized clinical trial</t>
  </si>
  <si>
    <t>U1111-1274-6988</t>
  </si>
  <si>
    <t>Congenital Abnormalities</t>
  </si>
  <si>
    <t>Maria Cristina Almeida Cardoso</t>
  </si>
  <si>
    <t>51 3303-9000</t>
  </si>
  <si>
    <t>mccardoso@ufcspa.edu.br</t>
  </si>
  <si>
    <t>Universidade Federal de Ciências da Saúde de Porto Alegre - UFCSPA</t>
  </si>
  <si>
    <t>Motor-cognitive dual task associated with anodic Transcranial Direct Current Stimulation in children with Spastic Cerebral Palsy: controlled randomized and double bling clinical trial</t>
  </si>
  <si>
    <t>Gait Disorders,Neurologic</t>
  </si>
  <si>
    <t>Luanda André Collange</t>
  </si>
  <si>
    <t>luandacollange@hotmail.com</t>
  </si>
  <si>
    <t>Centro de Neuroestimulação Pediátrica</t>
  </si>
  <si>
    <t>Development and evaluation of a mobile application for self-management of functionality in patients with low back pain</t>
  </si>
  <si>
    <t>U1111-1274-9584</t>
  </si>
  <si>
    <t>Sciatic Neuropathy</t>
  </si>
  <si>
    <t>Mindfulness-based cognitive therapy and Depression resistant to treatment: a randomized controlled trial</t>
  </si>
  <si>
    <t>03/31/2022</t>
  </si>
  <si>
    <t>U1111-1262-8705</t>
  </si>
  <si>
    <t>Recurrent Depressive Disorder</t>
  </si>
  <si>
    <t>Laboratório de Pesquisa em Avaliação Psicológica UFCSPA</t>
  </si>
  <si>
    <t>compg@ufcspa.edu.br</t>
  </si>
  <si>
    <t>Effect of auricular acupuncture on anxiety in pregnant women in primary health care: randomized clinical trial</t>
  </si>
  <si>
    <t>Caroline de Castro  Moura</t>
  </si>
  <si>
    <t>+55(31)3612-5504</t>
  </si>
  <si>
    <t>carol_castro_m@hotmail.com</t>
  </si>
  <si>
    <t>Dose-response of clustered photobiomodulation on neuromuscular functional variables and post-exercise recovery: a randomized clinical trial</t>
  </si>
  <si>
    <t>U1111-1275-0600</t>
  </si>
  <si>
    <t>Muscle Skeletal</t>
  </si>
  <si>
    <t>Alberito Rodrigo Carvalho</t>
  </si>
  <si>
    <t>+55(45)32203157</t>
  </si>
  <si>
    <t>alberitorodrigo@gmail.com</t>
  </si>
  <si>
    <t>Effectiveness of electroacupuncture and laseracupuncture in the health of post-covid-19 patients: randomized clinical trial</t>
  </si>
  <si>
    <t>U1111-1273-6941</t>
  </si>
  <si>
    <t>Depressão</t>
  </si>
  <si>
    <t>Total Lung Capacity</t>
  </si>
  <si>
    <t>Drielly Lima Valle Fôlha Salvador</t>
  </si>
  <si>
    <t>Paranavaí</t>
  </si>
  <si>
    <t>enfdriellyvalle@gmail.com</t>
  </si>
  <si>
    <t>Effect of the Application of Low and Medium Frequency Currents on vocal quality pain and electrical activity of the cervical muscles</t>
  </si>
  <si>
    <t>U1111-1276-0681</t>
  </si>
  <si>
    <t>Dysphonia</t>
  </si>
  <si>
    <t>Cristiane Rodrigues Pedroni</t>
  </si>
  <si>
    <t>Marília</t>
  </si>
  <si>
    <t>cristiane.pedroni@unesp.br</t>
  </si>
  <si>
    <t>Universidade Estadual Paulista</t>
  </si>
  <si>
    <t>Dance as an adjuvant therapy in the rehabilitation of patients with Parkinsons disease: clinical and methodological trials</t>
  </si>
  <si>
    <t>U1111-1275-6679</t>
  </si>
  <si>
    <t>Instituto de Ciências da Saúde Universidade Federal do Pará</t>
  </si>
  <si>
    <t>+55 (91) 3201-6862</t>
  </si>
  <si>
    <t>cepccs@ufpa.br</t>
  </si>
  <si>
    <t>U1111-1275-7182</t>
  </si>
  <si>
    <t>Effects of a post-Covid-19 cardiopulmonary rehabilitation protocol: a clinical trial</t>
  </si>
  <si>
    <t>U1111-1276-0337</t>
  </si>
  <si>
    <t>Coronavirus infection of unspecified location</t>
  </si>
  <si>
    <t>Eduardo Eriko Tenório de França</t>
  </si>
  <si>
    <t>(+55) 81988775859</t>
  </si>
  <si>
    <t>edueriko@hotmail.com</t>
  </si>
  <si>
    <t>Evaluation of Masticatory Capacity Maximum Bite Force Salivary Flow Quality of Life and Nutritional Status of elderly people submitted to different rehabilitations</t>
  </si>
  <si>
    <t>U1111-1274-3326</t>
  </si>
  <si>
    <t>Mastication</t>
  </si>
  <si>
    <t>João Neudenir Arioli Filho</t>
  </si>
  <si>
    <t>joao.arioli@unesp.br</t>
  </si>
  <si>
    <t>Randomized controlled clinical trial on cutting peripherally inserted central catheters</t>
  </si>
  <si>
    <t>U1111-1275-3379</t>
  </si>
  <si>
    <t>Neonatology</t>
  </si>
  <si>
    <t>Central venous catheters</t>
  </si>
  <si>
    <t>Clélia Mozara Giacomozzi</t>
  </si>
  <si>
    <t>mozarazz@yahoo.com.br</t>
  </si>
  <si>
    <t>Technological innovations and integrative and complementary therapies in obstetric care</t>
  </si>
  <si>
    <t>01/13/2022</t>
  </si>
  <si>
    <t>U1111-1276-2431</t>
  </si>
  <si>
    <t>Marcela Yasmin Ferreira Santos</t>
  </si>
  <si>
    <t>marcelayferreira@gmail.com</t>
  </si>
  <si>
    <t>Photobiomodulation and sensory-motor exercises program in women with knee osteoarthritis</t>
  </si>
  <si>
    <t>Knee gonarthrosis</t>
  </si>
  <si>
    <t>Patrícia Gabrielli Vassão Alves</t>
  </si>
  <si>
    <t>+55(13)38783823</t>
  </si>
  <si>
    <t>patriciavassao@gmail.com</t>
  </si>
  <si>
    <t>Follow up of outpatients with heart failure with reduced ejection fraction via WhatsApp during the COVID-19 pandemic</t>
  </si>
  <si>
    <t>U1111-1276-1451</t>
  </si>
  <si>
    <t>Igor Santos Schonhofen</t>
  </si>
  <si>
    <t>igorschon@hotmail.com</t>
  </si>
  <si>
    <t>Hospital Geral Roberto Santos</t>
  </si>
  <si>
    <t>Immediate and medium-term effect of photobiomodulation on vocal fatigue in professionals of the voice</t>
  </si>
  <si>
    <t>U1111-1273-2265</t>
  </si>
  <si>
    <t>Fadigue</t>
  </si>
  <si>
    <t>Renata  Azevedo</t>
  </si>
  <si>
    <t>+55(11) 5571-1062</t>
  </si>
  <si>
    <t>renata.r.azevedo@uol.com</t>
  </si>
  <si>
    <t>Metabolomic profile of frail and pre-frail elderly women and its chronic response to exercise: a randomized clinical trial</t>
  </si>
  <si>
    <t>U1111-1265-1504</t>
  </si>
  <si>
    <t>Senility</t>
  </si>
  <si>
    <t>Frailty Sindrome</t>
  </si>
  <si>
    <t>Davi Alves De Santana</t>
  </si>
  <si>
    <t>das.unicamp@gmail.com</t>
  </si>
  <si>
    <t>Faculdade de Educação Física da Unicamp</t>
  </si>
  <si>
    <t>Analysis of volatile sulfur compounds in individuals with medication-related osteonecrosis of jaws</t>
  </si>
  <si>
    <t>03/27/2022</t>
  </si>
  <si>
    <t>U1111-1267-1833</t>
  </si>
  <si>
    <t>Medication related osteonecrosis of the Jaw</t>
  </si>
  <si>
    <t>Photobiomodulation Therapy associated with L-Glutamine and Hyaluronic Acid for the Prevention and Treatment of Oral Mucositis in patients with Head and Neck Cancer undergoing Chemoradiation Therapy: Randomized Controlled Clinical Trial</t>
  </si>
  <si>
    <t>U1111-1273-7837</t>
  </si>
  <si>
    <t>Instituto Ensino em Pesquisa - IEP</t>
  </si>
  <si>
    <t>+55(62)3243-7000</t>
  </si>
  <si>
    <t>ensinoepesquisa@accg.org.br</t>
  </si>
  <si>
    <t>Hospital de Câncer Araújo Jorge - Associação de Combate ao Câncer em Goiás</t>
  </si>
  <si>
    <t>Analysis of dental pain and pulp status in teeth with non-carious cervical lesions and dental hypersensitivity- clinical radiographic and tomographic diagnosis</t>
  </si>
  <si>
    <t>U1111 1257 0434</t>
  </si>
  <si>
    <t>Dental pulp,tomography</t>
  </si>
  <si>
    <t>Dental pulp</t>
  </si>
  <si>
    <t>Gisele Rodrigues da Silva</t>
  </si>
  <si>
    <t>+55 34 3225 8106</t>
  </si>
  <si>
    <t>giselerosilva@yahoo.com.br</t>
  </si>
  <si>
    <t>Assessment of the response to oral desensitization in patients with milk allergy</t>
  </si>
  <si>
    <t>03/26/2022</t>
  </si>
  <si>
    <t>U1111-1274-2021</t>
  </si>
  <si>
    <t>milk allergy</t>
  </si>
  <si>
    <t>juliana Guimaraes de Mendonça</t>
  </si>
  <si>
    <t>+55(11) 2661-0000</t>
  </si>
  <si>
    <t>juguima90@gmail.com</t>
  </si>
  <si>
    <t>Effects of instability resistance training for falls prevention in community-dwelling older adults with probable cognitive impairment: A randomized clinical trial</t>
  </si>
  <si>
    <t>03/25/2022</t>
  </si>
  <si>
    <t>U1111-1274-3812</t>
  </si>
  <si>
    <t>cognitive dysfunction</t>
  </si>
  <si>
    <t>Mariana Ferreira de Souza</t>
  </si>
  <si>
    <t>(87) 99902-0242</t>
  </si>
  <si>
    <t>mariana.ferreirasouza@univasf.edu.br</t>
  </si>
  <si>
    <t>Universidade Federal do Vale do São Francisco - UNIVASF</t>
  </si>
  <si>
    <t>Antimicrobial effectiveness of denture cleaning protocols for hospitalized patients: randomized clinical trial</t>
  </si>
  <si>
    <t>U1111-1247-9433</t>
  </si>
  <si>
    <t>Hospitalization</t>
  </si>
  <si>
    <t>Edentulous Upper Jaw</t>
  </si>
  <si>
    <t>Karin Hermana Neppelenbroek</t>
  </si>
  <si>
    <t>khnepp@yahoo.com.br</t>
  </si>
  <si>
    <t>Effect of physical therapy intervention to prevent abdominal diastasis in pregnant women: randomized controlled clinical trial</t>
  </si>
  <si>
    <t>09/20/2021</t>
  </si>
  <si>
    <t>U1111-1266-9146</t>
  </si>
  <si>
    <t>Diastasis,Muscle</t>
  </si>
  <si>
    <t>Vanessa Santos Pereira Baldon</t>
  </si>
  <si>
    <t>+55 34 3218-2943</t>
  </si>
  <si>
    <t>vanessabaldon@ufu.br</t>
  </si>
  <si>
    <t>Faculdade de Educação Física e Fisioterapia da Universidade Federal de Uberlândia</t>
  </si>
  <si>
    <t>Negotiability of the mesiopalatal canal in maxillary molars using a Rotary or Reciprocating System: Randomized Clinical Trial</t>
  </si>
  <si>
    <t>U1111-1275-3734</t>
  </si>
  <si>
    <t>Dental pulp necrosis</t>
  </si>
  <si>
    <t>pulpitis</t>
  </si>
  <si>
    <t>Nadia de Souza Ferreira</t>
  </si>
  <si>
    <t>nadia.ferreira@ufpel.edu.br</t>
  </si>
  <si>
    <t>Opioid-free Anesthesia for Laparoscopic Gastroplasty: is there a benefit?</t>
  </si>
  <si>
    <t>U1111-1274-1208</t>
  </si>
  <si>
    <t>Postoperative pain</t>
  </si>
  <si>
    <t>Postoperative complications</t>
  </si>
  <si>
    <t>Juliana Thomaz Menck</t>
  </si>
  <si>
    <t>+55(41)995520009</t>
  </si>
  <si>
    <t>juliana_menck@hotmail.com</t>
  </si>
  <si>
    <t>Investigation of the effect of Gut Dysbiosis on histone post-translational modifications in neutrophils</t>
  </si>
  <si>
    <t>03/24/2022</t>
  </si>
  <si>
    <t>U1111-1273-1832</t>
  </si>
  <si>
    <t>Comitê de Ética em Pesquisa da Unicamp</t>
  </si>
  <si>
    <t>+55(19)35218936</t>
  </si>
  <si>
    <t>cep@fcm.unicamp.br</t>
  </si>
  <si>
    <t>Universidade Estadual de Campinas - UNICAMP</t>
  </si>
  <si>
    <t>Evaluation of a New Device for Horizontal Bidirecional Bone Augmentation in maxila: a clinical and tomographic analysis</t>
  </si>
  <si>
    <t>U1111-1274-6612</t>
  </si>
  <si>
    <t>Alveolar bone resorption</t>
  </si>
  <si>
    <t>Bone Transplantation</t>
  </si>
  <si>
    <t>Marcelo Henrique Napimoga</t>
  </si>
  <si>
    <t>marcelo.napimoga@gmail.com</t>
  </si>
  <si>
    <t>Faculdade São Leopoldo Mandic</t>
  </si>
  <si>
    <t>Osteosynthesis of three or four parts proximal humeral fractures in elderly with angular stability plate with or without synthetic bone substitute augmentation: randomized clinical trial</t>
  </si>
  <si>
    <t>07/26/2021</t>
  </si>
  <si>
    <t>Proximal Humeral Fractures</t>
  </si>
  <si>
    <t>Proximal umeral fractures,internal fracture fixation,bone substitutes,calcium sulfate,randomized controlled trial</t>
  </si>
  <si>
    <t>Antonio Carlos Tenor Junior</t>
  </si>
  <si>
    <t>actenorjr@hotmail.com</t>
  </si>
  <si>
    <t>Instituto de Assistência Médica ao Servidor Público Estadual - IAMSPE</t>
  </si>
  <si>
    <t>Effect of long-term of using wrist orthosis on muscle coordination of the upper extremity of individuals with Carpal tunnel syndrome</t>
  </si>
  <si>
    <t>02/19/2020</t>
  </si>
  <si>
    <t>U1111-1248-2576</t>
  </si>
  <si>
    <t>Carpal Tunnel Syndrome</t>
  </si>
  <si>
    <t>Universidade Federal de São Paulo Campus Baixada Santista</t>
  </si>
  <si>
    <t>ppg.idcienciasdasaude@unifesp.br</t>
  </si>
  <si>
    <t>Photobiomodulation in foot ulcer tissue repair Diabetic: Randomized clinical trial</t>
  </si>
  <si>
    <t>03/23/2022</t>
  </si>
  <si>
    <t>diabetic foot</t>
  </si>
  <si>
    <t>Hospital universitário da Universidade Federal do Maranhão  / HU - UFMA</t>
  </si>
  <si>
    <t>São Luis</t>
  </si>
  <si>
    <t>+55(98)2109-1250</t>
  </si>
  <si>
    <t>cep@huufma.br</t>
  </si>
  <si>
    <t>Use of probiotics in asymptomatic bacterial vaginosis</t>
  </si>
  <si>
    <t>03/22/2022</t>
  </si>
  <si>
    <t>U1111-1274-2105</t>
  </si>
  <si>
    <t>Bacterial vaginosis</t>
  </si>
  <si>
    <t>Vaginitis</t>
  </si>
  <si>
    <t>Leila Cristina Soares Brollo</t>
  </si>
  <si>
    <t>lcs1507@yahoo.com.br</t>
  </si>
  <si>
    <t>Hospital Universitário Pedro Ernesto</t>
  </si>
  <si>
    <t>Multimedia Strategy for the acquisition of knowledge and reducing Anxiety of caregivers of children and adolescents in chemotherapy: randomized clinical trial</t>
  </si>
  <si>
    <t>U1111-1272-6963</t>
  </si>
  <si>
    <t>Health Education</t>
  </si>
  <si>
    <t>Daniele Vieira Dantas</t>
  </si>
  <si>
    <t>daniele00@hotmail.com</t>
  </si>
  <si>
    <t>Evaluation of the Impact of Telemedicine Use on Clinical Care Indicators in Pediatric Intensive Care Units: Cluster Randomized Controlled Trial</t>
  </si>
  <si>
    <t>Sepsis,unspecified organism</t>
  </si>
  <si>
    <t>Felipe Cezar Cabral</t>
  </si>
  <si>
    <t>+55 (51) 99771-8676</t>
  </si>
  <si>
    <t>felipe.cabral@hmv.org.br</t>
  </si>
  <si>
    <t>Hospital Moinhos de Vento</t>
  </si>
  <si>
    <t>Use of blue light emitting diode in the treatment of recurrent vulvovaginal candidiasis</t>
  </si>
  <si>
    <t>03/21/2022</t>
  </si>
  <si>
    <t>U1111-1275-1179</t>
  </si>
  <si>
    <t>Vaginitis,vulvitis and vulvovaginitis in diseases classified elsewhere</t>
  </si>
  <si>
    <t>Janete Vettorazzi</t>
  </si>
  <si>
    <t>55 051 33085232</t>
  </si>
  <si>
    <t>jvettorazzi@hcpa.edu.br</t>
  </si>
  <si>
    <t>Clinical evaluation of the addition of antifungals to temporary resilient liner in the denture stomatitis treatment</t>
  </si>
  <si>
    <t>U1111-1248-8972</t>
  </si>
  <si>
    <t>Oral Candidiasis</t>
  </si>
  <si>
    <t>Clinical evaluation of a thermoviscous bulk-fill composite restorations in non-carious cervical lesions</t>
  </si>
  <si>
    <t>U1111-1267-5255</t>
  </si>
  <si>
    <t>MICHAEL WILLIAN FAVORETO</t>
  </si>
  <si>
    <t>+55(42)32203740</t>
  </si>
  <si>
    <t>michaelfavoreto@hotmail.com</t>
  </si>
  <si>
    <t>Consumption of organic and conventional food: Randomized Clinical Trial</t>
  </si>
  <si>
    <t>03/20/2022</t>
  </si>
  <si>
    <t>U1111-1232-5349</t>
  </si>
  <si>
    <t>biomarkers</t>
  </si>
  <si>
    <t>Júlia Oliveira Penteado</t>
  </si>
  <si>
    <t>julia-penteado@hotmail.com</t>
  </si>
  <si>
    <t>Inspiratory muscle training in functionality and swallowing in individuals with stroke</t>
  </si>
  <si>
    <t>U1111-1272-5356</t>
  </si>
  <si>
    <t>Jorge Luis Motta dos Anjos</t>
  </si>
  <si>
    <t>jorgelmanjos@hotmail.com</t>
  </si>
  <si>
    <t>Development of a risk model for perioperative respiratory complications in children undergoing to non-cardiac surgeries</t>
  </si>
  <si>
    <t>U1111-1274-8584</t>
  </si>
  <si>
    <t>Isabela Spido Sirtoli</t>
  </si>
  <si>
    <t>+55 51 99242 7642</t>
  </si>
  <si>
    <t>isabelasirtoli@gmail.com</t>
  </si>
  <si>
    <t>Effects of an optimized respiratory and motor care protocol in patients with Amyotrophic Lateral Sclerosis: randomized controlled clinical trial</t>
  </si>
  <si>
    <t>U1111-1254-9204</t>
  </si>
  <si>
    <t>Amyotrophic Lateral Sclerosis,muscle fatigue</t>
  </si>
  <si>
    <t>Ana Raquel Rodrigues Lindquist</t>
  </si>
  <si>
    <t>+55 (84) 3342-2015</t>
  </si>
  <si>
    <t>raquellindquist@ufrn.edu.br</t>
  </si>
  <si>
    <t>Effect of extracorporeal shockwave therapy on knee flexion in individuals with spastic cerebral palsy: pilot study</t>
  </si>
  <si>
    <t>03/17/2022</t>
  </si>
  <si>
    <t>Electric Stimulation Therapy</t>
  </si>
  <si>
    <t>Comparative study of the treatment of pelvic organ prolapse with an internal or external pessary</t>
  </si>
  <si>
    <t>U1111-1275-6306</t>
  </si>
  <si>
    <t>Uterine Prolapse</t>
  </si>
  <si>
    <t>Pelvic OrgansProlapse</t>
  </si>
  <si>
    <t>Renato Sugahara Hosoume</t>
  </si>
  <si>
    <t>renatohosoume@gmail.com</t>
  </si>
  <si>
    <t>University of São Paulo</t>
  </si>
  <si>
    <t>Association between Somatosensory Tinnitus TMJ Bruxism Headache and psychosocial aspects</t>
  </si>
  <si>
    <t>03/16/2022</t>
  </si>
  <si>
    <t>U1111-1271-8395</t>
  </si>
  <si>
    <t>Tinnitus</t>
  </si>
  <si>
    <t>Ear Diseases</t>
  </si>
  <si>
    <t>Thaís Spisila</t>
  </si>
  <si>
    <t>thais.spisila@gmail.com</t>
  </si>
  <si>
    <t>Effects of two different exercise protocols for treating women with temporomandibular disorders: a randomized controlled trial</t>
  </si>
  <si>
    <t>03/15/2022</t>
  </si>
  <si>
    <t>U1111-1273-8751</t>
  </si>
  <si>
    <t>facial pain</t>
  </si>
  <si>
    <t>Luiz Felipe Tavares</t>
  </si>
  <si>
    <t>felipeetav@gmail.com</t>
  </si>
  <si>
    <t>Brain Biomarkers as Response Predictors to Selective Serotonin Reuptake Inhibitors in Obsessive-Compulsive Disorder: development of a paradigm towards personalized medicine</t>
  </si>
  <si>
    <t>U1111-1274-1201</t>
  </si>
  <si>
    <t>Obsessive-Compulsive Disorder</t>
  </si>
  <si>
    <t>Roseli Gedanke Shavitt</t>
  </si>
  <si>
    <t>protoc.brics@gmail.com</t>
  </si>
  <si>
    <t>Instituto de Psiquiatria</t>
  </si>
  <si>
    <t>Root coverage of isolated miller class III gingival recessions in the mandible. Randomized controlled clinical trial</t>
  </si>
  <si>
    <t>U1111-1271-5669</t>
  </si>
  <si>
    <t>gingival recession</t>
  </si>
  <si>
    <t>Thiago Marchi Martins</t>
  </si>
  <si>
    <t>+55(053)32602801</t>
  </si>
  <si>
    <t>thiagoperio@yahoo.com.br</t>
  </si>
  <si>
    <t>Clinical and biological outcomes of tramadol pharmacological adjunct therapy for Major Depressive Disorder</t>
  </si>
  <si>
    <t>U1111-1229-8598</t>
  </si>
  <si>
    <t>Severe depressive episode without psychotic symptoms</t>
  </si>
  <si>
    <t>Andre Campiolo Boin</t>
  </si>
  <si>
    <t>andre.c.boin@gmail.com</t>
  </si>
  <si>
    <t>Hospital das Clínicas de Ribeirão Preto</t>
  </si>
  <si>
    <t>Müller – Lyer Illusory Visual Perception in Patients with Surgical Strabismus</t>
  </si>
  <si>
    <t>U1111-1275-3625</t>
  </si>
  <si>
    <t>convergente strabismus,divergent strabismus,visual perception</t>
  </si>
  <si>
    <t>Eye diseases</t>
  </si>
  <si>
    <t>Juliana Tessari Dias Rohr</t>
  </si>
  <si>
    <t>julianarohr@yahoo.com.br</t>
  </si>
  <si>
    <t>Oxyhemodynamic biochemical glycemic thermographic and echocardiographic aspects of septic patients: predictive factors and impact of rewarming and bed bath</t>
  </si>
  <si>
    <t>U1111-1261-7845</t>
  </si>
  <si>
    <t>Dalmo Machado</t>
  </si>
  <si>
    <t>dalmomachado@id.uff.br</t>
  </si>
  <si>
    <t>Programa de Pós-Graduação em Ciências Cardiovasculares - Universidade Federal Fluminense</t>
  </si>
  <si>
    <t>Effectiveness of early sensory-motor stimulation in neuropsychomotor development of premature newborns: randomized clinical trials</t>
  </si>
  <si>
    <t>03/14/2022</t>
  </si>
  <si>
    <t>U1111-1275-5634</t>
  </si>
  <si>
    <t>Other preterm newborns</t>
  </si>
  <si>
    <t>Child Development</t>
  </si>
  <si>
    <t>Victoria Escobar</t>
  </si>
  <si>
    <t>+55(43)33712490</t>
  </si>
  <si>
    <t>escobar.vic@gmail.com</t>
  </si>
  <si>
    <t>Programa de Pós-Graduação em Ciências da Reabilitação - UEL/UNOPAR</t>
  </si>
  <si>
    <t>Anxiety and depression in patients with frozen shoulder. A cross-sectional analysis associated with functional correlation</t>
  </si>
  <si>
    <t>(31) 99567-0554</t>
  </si>
  <si>
    <t>Hospital Ortopédico de Belo Horizonte</t>
  </si>
  <si>
    <t>Translation Cultural Adaptation and the Effects of the World Health Organizations iSupport for the Brazilian Context</t>
  </si>
  <si>
    <t>U1111-1272-3776</t>
  </si>
  <si>
    <t>Aline Cristina Martins Gratão</t>
  </si>
  <si>
    <t>+55 16 3351-8380</t>
  </si>
  <si>
    <t>alinegratao@ufscar.br</t>
  </si>
  <si>
    <t>Centro de Ciências Biológicas e da Saúde da Universidade Federal de São Carlos</t>
  </si>
  <si>
    <t>Randomized double-blind clinical trial comparing Atazanavir + Ritonavir + Doxycycline versus Atazanavir + Ritonavir in patients with laboratory or clinical diagnosis for Covid-19 in the state of Pernambuco and Alagoas – Brazil</t>
  </si>
  <si>
    <t>U 1111-1273-9009</t>
  </si>
  <si>
    <t>Viremia</t>
  </si>
  <si>
    <t>Kledoaldo Oliveira Lima</t>
  </si>
  <si>
    <t>55(81)999766012</t>
  </si>
  <si>
    <t>kledoaldo@gmail.com</t>
  </si>
  <si>
    <t>Hospital das Clínicas da Universidade Federal de Pernambuco</t>
  </si>
  <si>
    <t>Assessment of Sedentary Behavior Physical Activity Level Depressive Symptoms and Gait in People with Multiple Sclerosis</t>
  </si>
  <si>
    <t>03/13/2022</t>
  </si>
  <si>
    <t>U1111-1274-5210</t>
  </si>
  <si>
    <t>Autoimmune Diseases of the Nervous System</t>
  </si>
  <si>
    <t>Eduarda Faria Abrahao Machado</t>
  </si>
  <si>
    <t>brasilia</t>
  </si>
  <si>
    <t>dudafef02@yahoo.com.br</t>
  </si>
  <si>
    <t>Universidade de Brasilia</t>
  </si>
  <si>
    <t>Migraine attacks triggered by ingestion of watermelon (Citrullus lanatus): A source of citrulline activating the L-arginine-nitric oxide pathway</t>
  </si>
  <si>
    <t>U1111-1274-5981</t>
  </si>
  <si>
    <t>Migraine</t>
  </si>
  <si>
    <t>Natália Rebeca Alves Araújo</t>
  </si>
  <si>
    <t>+55 863237-2332</t>
  </si>
  <si>
    <t>nataliarebeca2607@gmail.com</t>
  </si>
  <si>
    <t>Federal University of Piauí</t>
  </si>
  <si>
    <t>Laser Acupuncture in the Treatment of Chronic Pain in the Cervical and Lumbar Regions - Randomized Clinical Trial</t>
  </si>
  <si>
    <t>U1111-1269-0747</t>
  </si>
  <si>
    <t>Rehabilitation</t>
  </si>
  <si>
    <t>Natália de Sousa Esteves Vieira</t>
  </si>
  <si>
    <t>Itapetininga</t>
  </si>
  <si>
    <t>+55(015) 997152512</t>
  </si>
  <si>
    <t>natsousa2@hotmail.com</t>
  </si>
  <si>
    <t>Universidade Federal de Alfenas,UNIFAL-MG</t>
  </si>
  <si>
    <t>Alternative therapies for the control of anxiety pain edema trismus and surgical disconfort in patients undergoing third molar surgery</t>
  </si>
  <si>
    <t>+55(41) 3360-4053</t>
  </si>
  <si>
    <t>coord.odontologia@ufpr.br</t>
  </si>
  <si>
    <t>Short-term effects of dry needling and electropuncture in myofascial trigger points of the superior trapezius muscle: randomized controlled study</t>
  </si>
  <si>
    <t>Mariana Almeida Lourenço</t>
  </si>
  <si>
    <t>+55(14)981196170</t>
  </si>
  <si>
    <t>maalmeida1@terra.com.br</t>
  </si>
  <si>
    <t>Effects of Resistance Training Periodisation on the Rehabilitations of athletes submitted to Anterior Cruciate Ligament: A randomized controlled trial</t>
  </si>
  <si>
    <t>U1111-1272-8055</t>
  </si>
  <si>
    <t>Sprain of anterior cruciate ligament of knee</t>
  </si>
  <si>
    <t>Knee,anterior cruciate ligament,injury</t>
  </si>
  <si>
    <t>Diulian Muniz Medeiros</t>
  </si>
  <si>
    <t>diulian.medeiros@yahoo.com</t>
  </si>
  <si>
    <t>Efficacy of auriculotherapy in improving sleep quality in people living with HIV: a randomized clinical trial</t>
  </si>
  <si>
    <t>HIV</t>
  </si>
  <si>
    <t>Acquired Immunodeficiency Syndrome</t>
  </si>
  <si>
    <t>Ane Kelly Lima Ramalho</t>
  </si>
  <si>
    <t>anekellylr@gmail.com</t>
  </si>
  <si>
    <t>A phase 2 randomized double blind placebo-controlled multicentre study to evaluate the safety and tolerability of Pentosan Polysulfate Sodium in treating subjects with Mucopolysaccharidosis (MPS) type VI (Maroteaux-Lamy Syndrome)</t>
  </si>
  <si>
    <t>11/22/2021</t>
  </si>
  <si>
    <t>Disorders of glycosaminoglycan metabolism</t>
  </si>
  <si>
    <t>Camila Zakir</t>
  </si>
  <si>
    <t>+55 11 2972-9500</t>
  </si>
  <si>
    <t>czakir@ctifacts.com</t>
  </si>
  <si>
    <t>Paradigm Biopharmaceuticals Ltd</t>
  </si>
  <si>
    <t>Evaluation of Bone Repair After Periapical Surgeries Using Leukocyte Platelet-Rich Fibrin (L PRF) and Blood Clot: A Double-Blind Clinical Trial</t>
  </si>
  <si>
    <t>Radicular Cyst</t>
  </si>
  <si>
    <t>Gil Guilherme Gasparello</t>
  </si>
  <si>
    <t>41) 3271-1555</t>
  </si>
  <si>
    <t>gilguilhermeg@hotmail.com</t>
  </si>
  <si>
    <t>Effect of calcium silicate-based sealer and epoxic resin-based sealer on post-operative pain in endodontics: a randomized clinical trial</t>
  </si>
  <si>
    <t>U1111-1274-6692</t>
  </si>
  <si>
    <t>Emílio Carlos Sponchiado Junior</t>
  </si>
  <si>
    <t>+55(92)33054908</t>
  </si>
  <si>
    <t>spemilio@ufam.edu.br</t>
  </si>
  <si>
    <t>Comparison of ultrasound with computed tomography to measure skeletal muscle mass in critically ill patients: Prospective study protocol</t>
  </si>
  <si>
    <t>U1111-1274-0298</t>
  </si>
  <si>
    <t>Leandro Moreira Peres</t>
  </si>
  <si>
    <t>+55(16)36022439</t>
  </si>
  <si>
    <t>lmperes@hcrp.usp.br</t>
  </si>
  <si>
    <t>Hospital das Clinicas da Faculdade de Medicina de Ribeirão Preto da USP</t>
  </si>
  <si>
    <t>Effect of a Dual Task training in Virtual Reality on physical-functional and cognitive aspects in the elderly: a randomized clinical trial</t>
  </si>
  <si>
    <t>U1111-273-9092</t>
  </si>
  <si>
    <t>+55(082)3215-5062</t>
  </si>
  <si>
    <t>Centro Universitário CESMAC (Centro de Estudos Superiores de Maceió)</t>
  </si>
  <si>
    <t>Clinical study of the application of Photobiomodulation in treatment of Dysgeusia in post-COVID-19 patients</t>
  </si>
  <si>
    <t>U111112752726</t>
  </si>
  <si>
    <t>Smell and taste disorders</t>
  </si>
  <si>
    <t>Carlos Eduardo Fontana</t>
  </si>
  <si>
    <t>+55 (19) 997306703</t>
  </si>
  <si>
    <t>carlos.fontana@puc-campinas.edu.br</t>
  </si>
  <si>
    <t>Development and validation of a instrument to evaluate Temporomandibular Dysfunctions for use in epidemiological surveys</t>
  </si>
  <si>
    <t>U1111-1273-9129</t>
  </si>
  <si>
    <t>Temporomandibular Joint Dysfunction Syndrome</t>
  </si>
  <si>
    <t>Raul Elton Araújo Borges</t>
  </si>
  <si>
    <t>raullelton@hotmail.com</t>
  </si>
  <si>
    <t>Departamento de Odontologia,Universidade Federal do Rio Grande do Norte</t>
  </si>
  <si>
    <t>Double-blind randomized controlled study on the effect of Sacubitril/Valsartan in the prevention of cardiotoxicity in high-risk patients undergoing chemotherapy with anthracyclines</t>
  </si>
  <si>
    <t>U1111-1274-1961</t>
  </si>
  <si>
    <t>Heart Diseases</t>
  </si>
  <si>
    <t>Elaine Lagonegro</t>
  </si>
  <si>
    <t>55 11 2661-4158</t>
  </si>
  <si>
    <t>gestaodeprojetos@incor.usp.br</t>
  </si>
  <si>
    <t>Instituto do Coração (INCOR) - Faculdade de Medicina da Universidade de São Paulo (FMUSP)</t>
  </si>
  <si>
    <t>Effect of Virtual Reality on Central Stabilization of sedentary young adults: randomized clinical trial</t>
  </si>
  <si>
    <t>U1111-1273-8071</t>
  </si>
  <si>
    <t>Sedentary behavior,muscle strength,young adult,virtual reality exposure therapy,physical therapy modalities</t>
  </si>
  <si>
    <t>Impact of Prebiotic Polydextrose as an Adjunct in the Treatment of Periodontitis and Modulation of Subgingival and Intestinal Microbiomes</t>
  </si>
  <si>
    <t>U1111-1275-4072</t>
  </si>
  <si>
    <t>Flávia Aparecida Chaves Furlaneto</t>
  </si>
  <si>
    <t>+55 (16) 3602-4140</t>
  </si>
  <si>
    <t>flafurlaneto@hotmail.com</t>
  </si>
  <si>
    <t>Use of Multifrequency Bioimpedance in determining the status of hydration and its impact on intermediate outcomes in peritoneal dialysis</t>
  </si>
  <si>
    <t>U1111-1274-9995</t>
  </si>
  <si>
    <t>Other dialysis</t>
  </si>
  <si>
    <t>Chronic renal failure</t>
  </si>
  <si>
    <t>Fabiana Lourenço Costa</t>
  </si>
  <si>
    <t>+55(14)997321841</t>
  </si>
  <si>
    <t>fl.costa@unesp.br</t>
  </si>
  <si>
    <t>Faculdade de Medicina de Botucatu - Universidade Estadual Paulista Júlio de Mesquita Filho</t>
  </si>
  <si>
    <t>Effects of multicomponent training on functional capacity quality of life and mental health in institutionalized elderly survivors of Covid-19</t>
  </si>
  <si>
    <t>Frailty</t>
  </si>
  <si>
    <t>Functional Residual Capacity</t>
  </si>
  <si>
    <t>+55 51 984484400</t>
  </si>
  <si>
    <t>Universidade Federal do Rio Grande do Sul- UFRGS</t>
  </si>
  <si>
    <t>Multicenter phase I/IIa study of mesenchymal stromal cells for the treatment of patients with SARS-CoV-2 pneumonia</t>
  </si>
  <si>
    <t>U1111-1267-1200</t>
  </si>
  <si>
    <t>Penumonia viral</t>
  </si>
  <si>
    <t>Paulo Slud Brofman</t>
  </si>
  <si>
    <t>paulo.brofman@pucpr.br</t>
  </si>
  <si>
    <t>Protocols for the treatment of Dentinal Hypersensitivity with Low-level Laser and Potassium Nitrate in a risk group: a longitudinal clinical study</t>
  </si>
  <si>
    <t>U1111-1273-4113</t>
  </si>
  <si>
    <t>Ana Cecilia Correa Aranha</t>
  </si>
  <si>
    <t>+ 55 11 3091 7843</t>
  </si>
  <si>
    <t>acca@usp.br</t>
  </si>
  <si>
    <t>Influence of manual therapy techniques on autonomic cardiovascular modulation and cerebral blood flow compared to placebo in young healthy subjects</t>
  </si>
  <si>
    <t>U1111-1188-0973</t>
  </si>
  <si>
    <t>Autonomic Nervous System Diseases</t>
  </si>
  <si>
    <t>Mylena Maria Salgueiro Santana</t>
  </si>
  <si>
    <t>ftmylenasantana@gmail.com</t>
  </si>
  <si>
    <t>The incidence of hearing and vestibular changes in people with fibromyalgia</t>
  </si>
  <si>
    <t>02/18/2022</t>
  </si>
  <si>
    <t>U1111-1273-7524</t>
  </si>
  <si>
    <t>Centro Universitário Aparício Carvalho - FIMCA</t>
  </si>
  <si>
    <t>Porto Velho</t>
  </si>
  <si>
    <t>heyfernandes@hotmail.com</t>
  </si>
  <si>
    <t>Centro Universitário Aparício Carvalho</t>
  </si>
  <si>
    <t>Evaluation of the effectiveness of the Low-powered Laser in reducing Pain Trissum and Edema after lower third molar Extraction: a randomized clinical trial</t>
  </si>
  <si>
    <t>U1111-1274-0379</t>
  </si>
  <si>
    <t>Teeth included</t>
  </si>
  <si>
    <t>People in contact with health services in other circumstances</t>
  </si>
  <si>
    <t>Carlos Eduardo Nogueira Nunes</t>
  </si>
  <si>
    <t>Sobral</t>
  </si>
  <si>
    <t>caduunogueiraa@gmail.com</t>
  </si>
  <si>
    <t>Universidade Federal do Ceará - Campus Sobral (UFC)</t>
  </si>
  <si>
    <t>Effectiveness of a Protocol Involving Deep Transverse Massage in the Treatment of Patellofemoral Pain Syndrome: Randomized Clinical Trial</t>
  </si>
  <si>
    <t>Ingrid Andrade Dias</t>
  </si>
  <si>
    <t>+55(83)986503566</t>
  </si>
  <si>
    <t>Ingrid_nanda@outlook.com</t>
  </si>
  <si>
    <t>Faculdades Nova Esperança</t>
  </si>
  <si>
    <t>Effect of PRF as adjunctive therapy to scaling and root planing in the treatment of periodontitis</t>
  </si>
  <si>
    <t>U1111-1272-7059</t>
  </si>
  <si>
    <t>Periodontal Pocket</t>
  </si>
  <si>
    <t>Periodontics</t>
  </si>
  <si>
    <t>Priscilla Barbosa Ferreira Soares</t>
  </si>
  <si>
    <t>+55(034) 99770088</t>
  </si>
  <si>
    <t>pbfsoares@yahoo.com.br</t>
  </si>
  <si>
    <t>Faculdade de Odontologia - Universidade Federal de Uberlândia</t>
  </si>
  <si>
    <t>Effect of Manual Hyperinsuflation Maneuver Associated with Peep valve on pulmonary compliance in post-operative of congenital cardiopathy</t>
  </si>
  <si>
    <t>Respiratory Mechanics</t>
  </si>
  <si>
    <t>Ana Paula de Carvalho Panzeri Carlotti</t>
  </si>
  <si>
    <t>apcarlotti@fmrp.usp.br</t>
  </si>
  <si>
    <t>Departamento de Puericultura e Pediatria</t>
  </si>
  <si>
    <t>Telemonitoring in the rehabilitation of post-COVID-19 patients</t>
  </si>
  <si>
    <t>02/27/2022</t>
  </si>
  <si>
    <t>U1111-1271-7379</t>
  </si>
  <si>
    <t>Dyspnea</t>
  </si>
  <si>
    <t>Rafael Inácio Barbosa</t>
  </si>
  <si>
    <t>+ 55 (48) 99688-7711</t>
  </si>
  <si>
    <t>rafael.barbosa@ufsc.br</t>
  </si>
  <si>
    <t>Comparative study of the analgesic effectiveness of the uso of Adjuvantes in Peripheral Nerve Blocks to minimize Rebound Pain in patients submitted to Shoulder Surgery</t>
  </si>
  <si>
    <t>02/25/2022</t>
  </si>
  <si>
    <t>U1111-1273-8406</t>
  </si>
  <si>
    <t>Layana Vieira Nobre</t>
  </si>
  <si>
    <t>+55 (16) 982309653</t>
  </si>
  <si>
    <t>layana.vieira@yahoo.com.br</t>
  </si>
  <si>
    <t>Hospital Universitário do Cajuru - Pontifícia Universidade Católica do Paraná</t>
  </si>
  <si>
    <t>Effects of an online program including mindfulness exercise therapy and patient education compared to online exercise therapy and patient education for people with Patellofemoral Pain: Randomized Clinical Trial</t>
  </si>
  <si>
    <t>U1111-1274-1425</t>
  </si>
  <si>
    <t>Patellofemoral pain syndrome,Patellofemoral disorder</t>
  </si>
  <si>
    <t>Disease of the musculoskeletal system and connect tissue</t>
  </si>
  <si>
    <t>Liliam Barbuglio Del Priore</t>
  </si>
  <si>
    <t>PRESIDENTE PRUDENTE</t>
  </si>
  <si>
    <t>lidelpriori@gmail.com</t>
  </si>
  <si>
    <t>Universidade Estadual Paulista Júlio de Mesquita Filho Campus Presidente Prudente</t>
  </si>
  <si>
    <t>Clinical study of the effectiveness of antimicrobial photodynamic therapy mediated by curcumin and low intensity laser therapy as coadjuvants in the treatment of patients with oral mucositis</t>
  </si>
  <si>
    <t>neoplasms</t>
  </si>
  <si>
    <t>Fabrício Freire de Melo</t>
  </si>
  <si>
    <t>Vitória da Conquista</t>
  </si>
  <si>
    <t>+55(77)3429 - 2719</t>
  </si>
  <si>
    <t>freiremelo@yahoo.com.br</t>
  </si>
  <si>
    <t>A Mindfulness-based program to improve the quality of life sleep and fatigue of children and adolescents undergoing cancer treatment</t>
  </si>
  <si>
    <t>U1111-1271-4412</t>
  </si>
  <si>
    <t>Non-specified reaction to severe stress</t>
  </si>
  <si>
    <t>Reactions to severe stress and adaptation disorders</t>
  </si>
  <si>
    <t>Paula Lage Pasqualucci</t>
  </si>
  <si>
    <t>+55(11)26618962</t>
  </si>
  <si>
    <t>paula.pasqualucci@hc.fm.usp.br</t>
  </si>
  <si>
    <t>University of Sao Paulo</t>
  </si>
  <si>
    <t>Effectiveness of an aerobic exercise protocol associated with photobiomodulation with progressive dosing in the pain level and quality of life related to the health of women with fibromyalgia</t>
  </si>
  <si>
    <t>U1111-1266-3285</t>
  </si>
  <si>
    <t>Fybromialgia</t>
  </si>
  <si>
    <t>Reumatologia</t>
  </si>
  <si>
    <t>Ana Claudia Muniz Renno</t>
  </si>
  <si>
    <t>+55(13)3878-3700</t>
  </si>
  <si>
    <t>acmr_ft@yahoo.com.br</t>
  </si>
  <si>
    <t>Eficácia da estimulação elétrica neuromuscular no tratamento da discinese escapular: ensaio clínico randomizado</t>
  </si>
  <si>
    <t>Escola de Enfermagem Nova Esperança</t>
  </si>
  <si>
    <t>+55 (83)2106-4790</t>
  </si>
  <si>
    <t>cep@facene.com.br</t>
  </si>
  <si>
    <t>Faculdade De Enfermagem Nova Esperança</t>
  </si>
  <si>
    <t>The use of Low Power Laser in pain relief reducing edema and screening of perineal laceration in the immediate post birth</t>
  </si>
  <si>
    <t>02/24/2022</t>
  </si>
  <si>
    <t>U1111-1273-5518</t>
  </si>
  <si>
    <t>Low-Level Light Therapy</t>
  </si>
  <si>
    <t>Adna Rocha Maia</t>
  </si>
  <si>
    <t>adnamaia@hotmail.com</t>
  </si>
  <si>
    <t>Secretaria Municipal de Saúde de Rio Branco</t>
  </si>
  <si>
    <t>Effects of adding transcutaneous electrical nerve stimulation (TENS) during a walking program for individuals with chronic low back pain: blinded randomized clinical trial</t>
  </si>
  <si>
    <t>U1111-1274-5779</t>
  </si>
  <si>
    <t>Rinaldo Roberto de Jesus Guirro</t>
  </si>
  <si>
    <t>+55(16) 33154584 ou 4585</t>
  </si>
  <si>
    <t>rguirro@fmrp.usp.br</t>
  </si>
  <si>
    <t>Alveolar recruitment with peep titling in the immediate post-operative of cardiac surgery reduces pulmonary complications and is it able to optimize the functional capacity of patients in hospital discharge? A randomized controlled clinical trial</t>
  </si>
  <si>
    <t>U1111-1270-2771</t>
  </si>
  <si>
    <t>Positive End Expiratory Pressure</t>
  </si>
  <si>
    <t>cep-hupe@uerj.br</t>
  </si>
  <si>
    <t>Hospital Universitário Pedro Ernesto (HUPE)</t>
  </si>
  <si>
    <t>Assessing the effectiveness and toxicity associated with conditioning protocol for autologous stem cell transplantation in lymphoma cases: Lomustine used in association with etoposide and cyclophosphamide</t>
  </si>
  <si>
    <t>U1111-1274-0212</t>
  </si>
  <si>
    <t>Hodgkins Lymphoma,Nonhodgkins Lymphoma,lymphoma disease</t>
  </si>
  <si>
    <t>Abrahão Elias Hallack Neto</t>
  </si>
  <si>
    <t>abrahallack@uol.com.br</t>
  </si>
  <si>
    <t>Optimizing the body-mind interaction through combining Functional Exercises and Mindfulness: effects on physical and cognitive function of Seniors with Motoric Cognitive Risk Syndrome</t>
  </si>
  <si>
    <t>02/22/2022</t>
  </si>
  <si>
    <t>U1111-1274-3695</t>
  </si>
  <si>
    <t>Rodrigo Cappato de Araújo</t>
  </si>
  <si>
    <t>rodrigo.cappato@upe.br</t>
  </si>
  <si>
    <t>Universidade de Pernambuco - UPE (Campus Petrolina)</t>
  </si>
  <si>
    <t>Chronic effects of a physical exercise intervention prior to hemodialysis sessions on Motor Performance Cognition and Quality of Life outcomes: a Randomized Clinical Trial</t>
  </si>
  <si>
    <t>U1111 - 1272-4275</t>
  </si>
  <si>
    <t>Maristela  Böhlke</t>
  </si>
  <si>
    <t>+55(53)999833667</t>
  </si>
  <si>
    <t>maristela.bohlke@ucpel.edu.br</t>
  </si>
  <si>
    <t>Universidade Católica de Pelotas</t>
  </si>
  <si>
    <t>Effects of Physical Training on functional clinical and psychosocial outcomes of adults and elderly post-infection by Covid-19: Covid19 and Rehabilitation Study (CORE-Study)</t>
  </si>
  <si>
    <t>Severe acute respiratory syndrome (SARS)</t>
  </si>
  <si>
    <t>rsdrodrigo@hotmail.com</t>
  </si>
  <si>
    <t>Evaluation of the humoral response to the ChAdOx1-nCov19 (AstraZeneca-Oxford/Fiocruz) and Coronavac (Butantan) vaccines against COVID-19 in Brazil: a prospective and retrospective cohort</t>
  </si>
  <si>
    <t>U1111-1271-7312</t>
  </si>
  <si>
    <t>Andre Daher</t>
  </si>
  <si>
    <t>+5521 2598-4242</t>
  </si>
  <si>
    <t>andre.daher@fiocruz.br</t>
  </si>
  <si>
    <t>Fundação Oswaldo Cruz</t>
  </si>
  <si>
    <t>Extracorporeal schok wave therapy on breast cancer-related lymphdema</t>
  </si>
  <si>
    <t>Breast-cancer related lymphedema</t>
  </si>
  <si>
    <t>Laura Ferreira Rezende</t>
  </si>
  <si>
    <t>São João da Boa Vista</t>
  </si>
  <si>
    <t>rezendelaura@hotmail.com</t>
  </si>
  <si>
    <t>Centro Universitário das Faculdades Associadas de Ensino - FAE</t>
  </si>
  <si>
    <t>Cannabidiol in Patients with Chronic Heart Failure: a prospective randomized double-blind controlled trial</t>
  </si>
  <si>
    <t>02/21/2022</t>
  </si>
  <si>
    <t>Left-side Heart Failure</t>
  </si>
  <si>
    <t>Amanda Paula Pedroso</t>
  </si>
  <si>
    <t>55 11 2661-4030</t>
  </si>
  <si>
    <t>amandapedroso.incor@gmail.com</t>
  </si>
  <si>
    <t>Stromal Vascular Fraction in the Treatment of SARS-Cov-2 (COVID19) Serious Respiratory Diseases</t>
  </si>
  <si>
    <t>Severe Acute Respiratory Syndrome</t>
  </si>
  <si>
    <t>SARS Virus</t>
  </si>
  <si>
    <t>Lydia Masako Ferreira</t>
  </si>
  <si>
    <t>55(11)5576-4848 ramal 3053,3052 ou 3054</t>
  </si>
  <si>
    <t>lydiamferreira@gmail.com</t>
  </si>
  <si>
    <t>Escola Paulista de Medicina /Universidade Federal de São Paulo (EPM/Unifesp)</t>
  </si>
  <si>
    <t>Efficacy of the use of oral N-acetylcysteine in the treatment of facial melasma in women: A randomized double-blind placebo-controlled clinical trial</t>
  </si>
  <si>
    <t>U1111-1266-3079</t>
  </si>
  <si>
    <t>Skin and connective tissue diseases</t>
  </si>
  <si>
    <t>Helio Amante Miot</t>
  </si>
  <si>
    <t>Faculdade de Medicina de Botucatu (FMB Unesp)</t>
  </si>
  <si>
    <t>Efficacy and safety evaluation of Favipiravir for treatment of COVID-19: an adaptive multicentre double-blind randomised placebo-controlled clinical trial</t>
  </si>
  <si>
    <t>09/29/2021</t>
  </si>
  <si>
    <t>U1111-1274-5868</t>
  </si>
  <si>
    <t>Corona virus infection</t>
  </si>
  <si>
    <t>Coronavirus,as a cause of diseases classified under other chapters</t>
  </si>
  <si>
    <t>Jayme Tadeu Fernandes</t>
  </si>
  <si>
    <t>jayme.fernandes@fiocruz.br</t>
  </si>
  <si>
    <t>Cryosurgery with liquid nitrogen versus trichloroacetic acid or its association in the treatment of anogenital warts on the penis: a randomized controlled trial</t>
  </si>
  <si>
    <t>U1111-1274-6164</t>
  </si>
  <si>
    <t>Papillomavirus Infections</t>
  </si>
  <si>
    <t>Eccentric utilization rate and muscle microinjuries</t>
  </si>
  <si>
    <t>U1111-1273-6508</t>
  </si>
  <si>
    <t>Multicenter adaptive and single-blind clinical trial to assess the predictive value of the rapid diagnostic test for detecting SARS-CoV-2 through breath analysis</t>
  </si>
  <si>
    <t>U1111-1274-6491</t>
  </si>
  <si>
    <t>Coronavirus Infection</t>
  </si>
  <si>
    <t>Andréa Saud Martinez</t>
  </si>
  <si>
    <t>+55 11 5093-1986</t>
  </si>
  <si>
    <t>amartinez@atlantisclinical.com</t>
  </si>
  <si>
    <t>Shock wave and Chronic Low Back Pain</t>
  </si>
  <si>
    <t>Analysis of physiological markers of bone remodeling muscle strength functional autonomy self-esteem and self-image in elderly undergoing adapted Taekwondo</t>
  </si>
  <si>
    <t>U1111-1273-2914</t>
  </si>
  <si>
    <t>Bone remodeling</t>
  </si>
  <si>
    <t>martial arts</t>
  </si>
  <si>
    <t>Diego Gama Linhares</t>
  </si>
  <si>
    <t>Campos dos Goytacazes</t>
  </si>
  <si>
    <t>diegamalin@hotmail.com</t>
  </si>
  <si>
    <t>Universidade Estácio de Sá</t>
  </si>
  <si>
    <t>Evaluation of Photobiomodulation associated or not with Photodynamic Therapy in the treatment of Oral Mucositis in patients with Cancer of Mouth and Oropharynx - Double-Blind Randomized Clinical Trial</t>
  </si>
  <si>
    <t>U1111-1272-2230</t>
  </si>
  <si>
    <t>Oral Ulcer</t>
  </si>
  <si>
    <t>Adriele Freitas Neiva Lessa</t>
  </si>
  <si>
    <t>+55 (32) 99108-8786</t>
  </si>
  <si>
    <t>drineiva@hotmail.com</t>
  </si>
  <si>
    <t>Hospital do Câncer de Muriaé</t>
  </si>
  <si>
    <t>Impact of anti-androgen therapy on body composition strength and quality of life in prostate cancer patients</t>
  </si>
  <si>
    <t>U1111-1272-4035</t>
  </si>
  <si>
    <t>Prostate cancer patients</t>
  </si>
  <si>
    <t>Prostate cancer</t>
  </si>
  <si>
    <t>Larissa Lazzarini Furlan</t>
  </si>
  <si>
    <t>São José do Rio Preto</t>
  </si>
  <si>
    <t>larissa.lfurlan@gmail.com</t>
  </si>
  <si>
    <t>Faculdade de Medicina de São José do Rio Preto - FAMERP</t>
  </si>
  <si>
    <t>Antiplaque Efficacy Evaluation from Oil Pulling: Double-Blind Randomized Clinical Trial</t>
  </si>
  <si>
    <t>U1111-1272-1714</t>
  </si>
  <si>
    <t>Jéssica Gomes Alcoforado de Melo</t>
  </si>
  <si>
    <t>+55(81)99816-9443</t>
  </si>
  <si>
    <t>gameloj@gmail.com</t>
  </si>
  <si>
    <t>Faculdade de Integração do Sertão</t>
  </si>
  <si>
    <t>Effects of an intervention protocol using virtual reality in children and young people with Sensorimotor Alterations</t>
  </si>
  <si>
    <t>Specific motor development disorder</t>
  </si>
  <si>
    <t>Evaluation of the antioxidant potential of Rosmarinus officinalis in women submitted to radiofrequency</t>
  </si>
  <si>
    <t>U1111-1274-6255</t>
  </si>
  <si>
    <t>Oxidative Stress</t>
  </si>
  <si>
    <t>+55(55)33320200</t>
  </si>
  <si>
    <t>unijui@unijui.edu.br</t>
  </si>
  <si>
    <t>Tummy time intervention in the neuromotor development of preterm newborns - randomized clinical trial</t>
  </si>
  <si>
    <t>02/15/2022</t>
  </si>
  <si>
    <t>U1111-1274-0137</t>
  </si>
  <si>
    <t>Premature,Low Birth Weight,Motor Skills Disorders,Early Intervention</t>
  </si>
  <si>
    <t>silvana.alves@ufrn.br</t>
  </si>
  <si>
    <t>Guided and conventional surgery for implant placement: clinical radiographic microbiological imunoenzimatic and patient-centered evaluation</t>
  </si>
  <si>
    <t>Fully Edentulous patients</t>
  </si>
  <si>
    <t>Mônica Grazieli Correa</t>
  </si>
  <si>
    <t>SÃO PAULO</t>
  </si>
  <si>
    <t>55(11) 98644-4851</t>
  </si>
  <si>
    <t>monica.grazieli@hotmail.com</t>
  </si>
  <si>
    <t>Evaluation of the influence of the saline solution temperature on the level of pain and comfort in patients with Chronic Wounds</t>
  </si>
  <si>
    <t>02/16/2022</t>
  </si>
  <si>
    <t>Ulcer of lower limbs not elsewhere classified</t>
  </si>
  <si>
    <t>Hélio Galdino Júnior</t>
  </si>
  <si>
    <t>helio_junior@ufg.br</t>
  </si>
  <si>
    <t>Faculdade de Enfermagem da Universidade Federal de Goiás</t>
  </si>
  <si>
    <t>Gut microbiota food consumption and metabolic profile of severely obese individuals undergoing bariatric surgery</t>
  </si>
  <si>
    <t>U1111-1272-8535</t>
  </si>
  <si>
    <t>Eliane Lopes Rosado</t>
  </si>
  <si>
    <t>+55 (21) 98105-4499</t>
  </si>
  <si>
    <t>elianerosado@nutricao.ufrj.br</t>
  </si>
  <si>
    <t>Parasacral transcutaneous electrical stimulation in the treatment of overactive bladder</t>
  </si>
  <si>
    <t>U1111-1247-2712</t>
  </si>
  <si>
    <t>Urinary Bladder,Overactive</t>
  </si>
  <si>
    <t>Lidyanne Ilidia da Silva de Paula</t>
  </si>
  <si>
    <t>lidyanne.ilidia@hotmail.com</t>
  </si>
  <si>
    <t>Effects of the Percussive Massage Gun on clinical and biomechanical outcomes in athletes: a randomized controlled trial</t>
  </si>
  <si>
    <t>U1111-1273-7381</t>
  </si>
  <si>
    <t>athletes</t>
  </si>
  <si>
    <t>Massage</t>
  </si>
  <si>
    <t>Departamento de Fisioterapia da Universidade Federal do Ceará (UFC)</t>
  </si>
  <si>
    <t>+55(085)33668091</t>
  </si>
  <si>
    <t>defisio@ufc.br</t>
  </si>
  <si>
    <t>Effectiveness of educational actions for intensive care nurses on transfer of care</t>
  </si>
  <si>
    <t>U1111-1273-8239</t>
  </si>
  <si>
    <t>Fernanda De Souza Ignácio Gonçalves</t>
  </si>
  <si>
    <t>fernandaignacio@live.com</t>
  </si>
  <si>
    <t>Faculdade de Enfermagem - Universidade do Estado do Rio de Janeiro</t>
  </si>
  <si>
    <t>Evaluation of the effect of aqueous propolis extract on gingival tissue healing in smile correction surgery</t>
  </si>
  <si>
    <t>U1111-1272-1752</t>
  </si>
  <si>
    <t>Gingivia,Would healing,Gingiva</t>
  </si>
  <si>
    <t>Treatment of patients with sequelae of COVID-19 using acupuncture - a pilot study</t>
  </si>
  <si>
    <t>U1111-1274-4824</t>
  </si>
  <si>
    <t>Luciana Aikawa</t>
  </si>
  <si>
    <t>+55(11)33977867</t>
  </si>
  <si>
    <t>luaikawa@gmail.com</t>
  </si>
  <si>
    <t>Hospital do Servidor Público Municipal</t>
  </si>
  <si>
    <t>Use of de Hammock position as a Sensory stimulus for Sleep in Pre-term newborns interned in a Neonatal unit</t>
  </si>
  <si>
    <t>U1111-1273-1711</t>
  </si>
  <si>
    <t>Roberta  Costa</t>
  </si>
  <si>
    <t>roberta.costa@ufsc.br</t>
  </si>
  <si>
    <t>Evaluation of the effects of Foley ad Misoprostol association on the induction of labor</t>
  </si>
  <si>
    <t>Late pregnancy</t>
  </si>
  <si>
    <t>Lia Karina Volpato</t>
  </si>
  <si>
    <t>Sao Jose</t>
  </si>
  <si>
    <t>+55(48)988230272</t>
  </si>
  <si>
    <t>liakarina@hotmail.com</t>
  </si>
  <si>
    <t>Empresa Brasileira de Serviços Hospitalares (Ebserh)</t>
  </si>
  <si>
    <t>The COVID-19 pandemic and the development of a 3D videolaryngoscope for a University hospital</t>
  </si>
  <si>
    <t>U1111-1269-4081</t>
  </si>
  <si>
    <t>asthma</t>
  </si>
  <si>
    <t>Andréa Jorge Silva</t>
  </si>
  <si>
    <t>+55(21) 26299090</t>
  </si>
  <si>
    <t>zajsjpac@gmail.com</t>
  </si>
  <si>
    <t>Hospital Universitário Antônio Pedro - Universidade Federal Fluminense</t>
  </si>
  <si>
    <t>Prostatic Artery Embolization vs Open Prostatectomy: comparative analysis in patients with LUTS secondary to BPH and prostates&gt; 80ml</t>
  </si>
  <si>
    <t>U1111-1250-6616</t>
  </si>
  <si>
    <t>Benign Prostatic Hyperplasia</t>
  </si>
  <si>
    <t>Bruno Rodrigues Lebani</t>
  </si>
  <si>
    <t>brlebani@gmail.com</t>
  </si>
  <si>
    <t>Disciplina de Urologia da Escola Paulista de Medicina da Universidade Federal de São Paulo</t>
  </si>
  <si>
    <t>Postoperative analgesia in Implant Dentistry</t>
  </si>
  <si>
    <t>U1111-1273-3413</t>
  </si>
  <si>
    <t>postoperative pain</t>
  </si>
  <si>
    <t>Patricia Weidlich</t>
  </si>
  <si>
    <t>+55 51 992887959</t>
  </si>
  <si>
    <t>patricia.weidlich@ufrgs.br</t>
  </si>
  <si>
    <t>Effects of an intervention addressing kinetic chain factors in athletes with Patellar Tendinopathy</t>
  </si>
  <si>
    <t>U1111-1240-8631</t>
  </si>
  <si>
    <t>Patellar tendinitis</t>
  </si>
  <si>
    <t>Rodrigo Scattone da Silva</t>
  </si>
  <si>
    <t>+55(84)32912411</t>
  </si>
  <si>
    <t>r.scattone@outlook.com</t>
  </si>
  <si>
    <t>Evaluation of the healing process in alveolus of patients diagnosed with head and neck cancer</t>
  </si>
  <si>
    <t>55(34) 99770088</t>
  </si>
  <si>
    <t>Assessment of the degree of muscle injury and impairment of quadriceps motor function with the use of an optimized tourniquet in Total Knee Arthroplasty</t>
  </si>
  <si>
    <t>U1111-1266-0962</t>
  </si>
  <si>
    <t>Petrópolis</t>
  </si>
  <si>
    <t>Evaluation of the effectiveness of Dolutegravir in HTLV-1 infection: a pilot open randomized and controlled study</t>
  </si>
  <si>
    <t>U1111-1273-6053</t>
  </si>
  <si>
    <t>Human T-lymphotropic virus 1</t>
  </si>
  <si>
    <t>Viruses</t>
  </si>
  <si>
    <t>Fundação Bahiana de Infectologia - FBAI</t>
  </si>
  <si>
    <t>https://fbai.com.br/</t>
  </si>
  <si>
    <t>Fundação Bahiana de Infectologia - FBAL</t>
  </si>
  <si>
    <t>Three-dimensional evaluation of biological effects on the craniofacial complex of surgically assisted rapid maxillary expansion (SARME) and mini-implants (MARPE) in adults</t>
  </si>
  <si>
    <t>U1111-1267-9221</t>
  </si>
  <si>
    <t>dentofacial anomalies</t>
  </si>
  <si>
    <t>Other congenital malformations of the bones of the skull and face</t>
  </si>
  <si>
    <t>João Batista Paiva</t>
  </si>
  <si>
    <t>jbpaiva@usp.br</t>
  </si>
  <si>
    <t>Faculdade de Odontologia Universidade de São Paulo</t>
  </si>
  <si>
    <t>Oral or intravenous tranexamic acid to improve visual clarity in the intraoperative period of patients undergoing arthroscopic repair of rotator cuff tears in the shoulder</t>
  </si>
  <si>
    <t>Shoulder rotator cuff tendon trauma</t>
  </si>
  <si>
    <t>Tendon and muscle injury of the shoulder and arm</t>
  </si>
  <si>
    <t>Plinio Cunha Leal</t>
  </si>
  <si>
    <t>55 98 3216-8100</t>
  </si>
  <si>
    <t>The effect of caffeine on Chronic Fatigue Syndrome caused by COVID-19</t>
  </si>
  <si>
    <t>Chronic Fatigue Syndrome</t>
  </si>
  <si>
    <t>Liziane Rosa Cardoso</t>
  </si>
  <si>
    <t>Torres</t>
  </si>
  <si>
    <t>lizianecardoso.r@gmail.com</t>
  </si>
  <si>
    <t>Implementation of a training program directed to oncology resident physicians to support cancer pain management in a reference hospital</t>
  </si>
  <si>
    <t>U1111-1272-0251</t>
  </si>
  <si>
    <t>Cancer Pain</t>
  </si>
  <si>
    <t>+55(17)33216600</t>
  </si>
  <si>
    <t>pesquisa@hcancerbarretos.com.br</t>
  </si>
  <si>
    <t>Evaluation of different treatments for periodontal diseease in obese and diabetic individuals - Clinical Trial</t>
  </si>
  <si>
    <t>Thayná Nathally Petry de Paula</t>
  </si>
  <si>
    <t>thaynapaula@gmail.com</t>
  </si>
  <si>
    <t>Functional performance in modified Constraint-Induced Therapy in environments real and virtual in patients with cerebrovascular accident: Follow up</t>
  </si>
  <si>
    <t>U1111-1257-3690</t>
  </si>
  <si>
    <t>Willian Severino da Silva</t>
  </si>
  <si>
    <t>Taboão da Serra</t>
  </si>
  <si>
    <t>willian.severino.silva@gmail.com</t>
  </si>
  <si>
    <t>Physiological and sensory effects of Cardiopulmonary Rehabilitation based on Physical Exercises in patients post hospital discharge by Covid-19</t>
  </si>
  <si>
    <t>malaise,fatigue</t>
  </si>
  <si>
    <t>Aline Soares De Souza</t>
  </si>
  <si>
    <t>Barueri</t>
  </si>
  <si>
    <t>55-011-981274881</t>
  </si>
  <si>
    <t>soares.alinesouza@gmail.com</t>
  </si>
  <si>
    <t>Hospital Militar de Área de São Paulo</t>
  </si>
  <si>
    <t>Effect of Anterior Lumbar Quadrattus Block on analgesia and recovery of respiratory muscle strength in the postoperative period of videolaparoscopic cholecystectomies</t>
  </si>
  <si>
    <t>U1111-1272-3309</t>
  </si>
  <si>
    <t>gallbladder calculus without cholecystitis</t>
  </si>
  <si>
    <t>Rossano Alvim Fiorelli</t>
  </si>
  <si>
    <t>Tijuca</t>
  </si>
  <si>
    <t>Universidade Federal do Estado do Rio de Janeiro</t>
  </si>
  <si>
    <t>Educational Technology on Sexually Transmitted Infections for incarcerated women: clinical trial</t>
  </si>
  <si>
    <t>U1111-1273-1824</t>
  </si>
  <si>
    <t>Sexually Transmitted Diseases</t>
  </si>
  <si>
    <t>Isaiane da Silva Carvalho</t>
  </si>
  <si>
    <t>+55 (94) 981965847</t>
  </si>
  <si>
    <t>isaianekarvalho@hotmail.com</t>
  </si>
  <si>
    <t>Increased Palmar Grip Strength and Overflow-Induced Hand Speed Contralateral to Isometric Contraction of the Index Finger in Individuals with Parkinsons</t>
  </si>
  <si>
    <t>U1111-1273-9638</t>
  </si>
  <si>
    <t>Parkinson Disease Secundary</t>
  </si>
  <si>
    <t>Gustavo Henrique de Mello Rosa</t>
  </si>
  <si>
    <t>gustavohenrique@usp.br</t>
  </si>
  <si>
    <t>Validation of a neural network model for detection of disinformation related to fluoride consumption through the psychophysiological reactions of Internet users</t>
  </si>
  <si>
    <t>U1111-1263-8227</t>
  </si>
  <si>
    <t>Thiago Cruvinel</t>
  </si>
  <si>
    <t>+55 (14) 98156-7225</t>
  </si>
  <si>
    <t>thiagocruvinel@fob.usp.br</t>
  </si>
  <si>
    <t>Faculdade de Odontologia de Bauru - USP</t>
  </si>
  <si>
    <t>Usability acceptability and feasibility of a digital intervention to promote healthy lifestyle: a pilot study</t>
  </si>
  <si>
    <t>U1111-1273-4813</t>
  </si>
  <si>
    <t>Smoking</t>
  </si>
  <si>
    <t>Life style</t>
  </si>
  <si>
    <t>Raquel Brandini De Boni</t>
  </si>
  <si>
    <t>raqueldeboni@gmail.com</t>
  </si>
  <si>
    <t>FIOCRUZ</t>
  </si>
  <si>
    <t>Comparison of the effect of the type of Thromboprophylaxis (Mechanical or Pharmacological) on blood loss and postoperative edema in total knee arthroplasty</t>
  </si>
  <si>
    <t>U1111-1230-2697</t>
  </si>
  <si>
    <t>João Alberto Ramos Maradei Pereira</t>
  </si>
  <si>
    <t>+55(91) 98889 0712</t>
  </si>
  <si>
    <t>jamaradei@me.com</t>
  </si>
  <si>
    <t>Evaluation of Photobiomodulation Therapy and Photodynamic Therapy in Postoperative Pain after Endodontic Treatment</t>
  </si>
  <si>
    <t>01/31/2022</t>
  </si>
  <si>
    <t>U1111-1272-3722</t>
  </si>
  <si>
    <t>CEP São Leopoldo Mandic</t>
  </si>
  <si>
    <t>55(19)3518-3601</t>
  </si>
  <si>
    <t>cep@slmandic.edu.br</t>
  </si>
  <si>
    <t>Development of a standardized protocol of neurological manifestations in patients with SARS-CoV-2</t>
  </si>
  <si>
    <t>U1111-1271-0457</t>
  </si>
  <si>
    <t>SARS-CoV-2 infection</t>
  </si>
  <si>
    <t>Gustavo José Luvizutto</t>
  </si>
  <si>
    <t>+55(34)999151611</t>
  </si>
  <si>
    <t>gluvizutto@gmail.com</t>
  </si>
  <si>
    <t>Transcranial Electrostimulation by Current Continuous associated with Virtual Reality in the Treatment of Migraine - Randomized Clincal Trial Explanatory</t>
  </si>
  <si>
    <t>U1111-1273-7749</t>
  </si>
  <si>
    <t>Migranea without Aura</t>
  </si>
  <si>
    <t>Tais Malysz</t>
  </si>
  <si>
    <t>+55(51)33086000</t>
  </si>
  <si>
    <t>taismalysz@yahoo.com.br</t>
  </si>
  <si>
    <t>Preventive intervention in body Image disturbances Eating Disorder and Body Dysmorphia in young adults: a randomized controlled trial in Brazilian Men</t>
  </si>
  <si>
    <t>Feeding and Eating Disorders</t>
  </si>
  <si>
    <t>Pedro Henrique Berbert de Carvalho</t>
  </si>
  <si>
    <t>+55 (33) 3301-1000</t>
  </si>
  <si>
    <t>pedro.berbert@ufjf.br</t>
  </si>
  <si>
    <t>Influence of compensating curve on the masticatory function of complete denture wearers (Randomized clinical trial)</t>
  </si>
  <si>
    <t>U1111-1273-6132</t>
  </si>
  <si>
    <t>Jaw,Edentulous</t>
  </si>
  <si>
    <t>Dental Occlusion</t>
  </si>
  <si>
    <t>Alfonso Sánchez Ayala</t>
  </si>
  <si>
    <t>snzcd@uepg.br</t>
  </si>
  <si>
    <t>Systematization of the reconstruction of skin loss in the leg</t>
  </si>
  <si>
    <t>Bone Fractures</t>
  </si>
  <si>
    <t>Vera Lúcia Santos Alves</t>
  </si>
  <si>
    <t>vera.alves@santacasasp.org.br</t>
  </si>
  <si>
    <t>Evaluation of biomarkers and gene expression profile related to peripheral microvascular reserve in septic patients</t>
  </si>
  <si>
    <t>U1111-1273-4221</t>
  </si>
  <si>
    <t>PROGNOSIS</t>
  </si>
  <si>
    <t>Fernanda do Carmo De Stefani</t>
  </si>
  <si>
    <t>+55(41)999821324</t>
  </si>
  <si>
    <t>fe_destefani@yahoo.com</t>
  </si>
  <si>
    <t>Analysis of heart rate variability and perception of physical effort in children and young people with Down Syndrome submitted to virtual games protocol by home telerehabilitation</t>
  </si>
  <si>
    <t>Renata Martins Rosa</t>
  </si>
  <si>
    <t>renatamrosa@usp.br</t>
  </si>
  <si>
    <t>Osteopathic manipulative treatment in individuals with Anxiety disorders symptoms and the effects over the ANS - A randomized clinical trial</t>
  </si>
  <si>
    <t>U1111-1272-8420</t>
  </si>
  <si>
    <t>Autonomic nervous system disorders</t>
  </si>
  <si>
    <t>Generalized anxiety disorder</t>
  </si>
  <si>
    <t>João Marcos Fachinelli DallOnder</t>
  </si>
  <si>
    <t>Carlos Barbosa</t>
  </si>
  <si>
    <t>joaomarcosonder@gmail.com</t>
  </si>
  <si>
    <t>Use of mobile phone application to promote healthy salt consumption: intervention in adults</t>
  </si>
  <si>
    <t>Milena Sia Perin</t>
  </si>
  <si>
    <t>Artur Nogueira</t>
  </si>
  <si>
    <t>misperin@gmail.com</t>
  </si>
  <si>
    <t>Effect of a remote prenatal educational intervention on empowering pregnant women in labor and birth: a randomized study</t>
  </si>
  <si>
    <t>U1111-1268-7746</t>
  </si>
  <si>
    <t>mestradofensg@upe.pe.gov.br</t>
  </si>
  <si>
    <t>Medilon safety and performance</t>
  </si>
  <si>
    <t>U1111-1272-9206</t>
  </si>
  <si>
    <t>Eyeball disorders</t>
  </si>
  <si>
    <t>Frederico Bicalho Dias da Silva</t>
  </si>
  <si>
    <t>BELO HORIZONTE</t>
  </si>
  <si>
    <t>+55(31)25177777</t>
  </si>
  <si>
    <t>fredericobicalho@hotmail.com</t>
  </si>
  <si>
    <t>Influence of artificial occlusal interferences on masticatory performance in dentate subjects</t>
  </si>
  <si>
    <t>U1111-1273-4314</t>
  </si>
  <si>
    <t>Dental occlusion</t>
  </si>
  <si>
    <t>Analysis of morse taper implants installed at the bone level and 2 mm subcrestally followed by the installation of crowns printed in hybrid resin. clinical controlled randomized study with split-mouth model</t>
  </si>
  <si>
    <t>U1111-1273-1182</t>
  </si>
  <si>
    <t>+55(16)982562421</t>
  </si>
  <si>
    <t>Safety and Immunogenicity of heterologous or homologous booster after complete vaccination against COVID-19</t>
  </si>
  <si>
    <t>12/13/2021</t>
  </si>
  <si>
    <t>U1111-1272-4593</t>
  </si>
  <si>
    <t>Covid19</t>
  </si>
  <si>
    <t>Sergio Assis Jesus</t>
  </si>
  <si>
    <t>sergioassis.livs@gmail.com</t>
  </si>
  <si>
    <t>Comfort and safety of the owner mask in relation to the conventional orofacial mask in post-operative heart surgery patients: a pilot study</t>
  </si>
  <si>
    <t>U1111-1272-9624</t>
  </si>
  <si>
    <t>Dulciane Nunes Paiva</t>
  </si>
  <si>
    <t>+55(51)96667963</t>
  </si>
  <si>
    <t>dulciane@unisc.br</t>
  </si>
  <si>
    <t>Influence of a resistance training program for people with chronic low back pain on parameters associated with functional disability pain and neuromuscular activation</t>
  </si>
  <si>
    <t>U1111-1273-0751</t>
  </si>
  <si>
    <t>Eduardo Borges</t>
  </si>
  <si>
    <t>Sorocaba</t>
  </si>
  <si>
    <t>eduardo.borges2010@uol.com.br</t>
  </si>
  <si>
    <t>Effect of acute caffeine intake on perceptive responses muscle oxygenation and neuromuscular fatigue development during exercise in women with fibromyalgia</t>
  </si>
  <si>
    <t>Julio Cezar Schamne</t>
  </si>
  <si>
    <t>+55(42)99995-6270</t>
  </si>
  <si>
    <t>juliocezarschamne@gmail.com</t>
  </si>
  <si>
    <t>Ethnopharmacological strategy in the management of viral respiratory infections as in COVID-19</t>
  </si>
  <si>
    <t>Caroline Dani</t>
  </si>
  <si>
    <t>+55(51)993436505</t>
  </si>
  <si>
    <t>carolinedani@yahoo.com.br</t>
  </si>
  <si>
    <t>Tele Rehabilitation Program of the Pelvic Floor in Women with Urinary Incontinence After Surgery Radiotherapy and/or Brachytherapy for Gynecological Pelvic Cancer: Randomized and Controlled Clinical Trial</t>
  </si>
  <si>
    <t>01/26/2022</t>
  </si>
  <si>
    <t>Physical Therapy Specialty</t>
  </si>
  <si>
    <t>Tatiana de Bem Fretta</t>
  </si>
  <si>
    <t>+55(48)33311400</t>
  </si>
  <si>
    <t>tatibem@hotmail.com</t>
  </si>
  <si>
    <t>The influence of microsurgery of the nasal septum depressor muscle associated with botulinum toxin in the treatment of gingival smile</t>
  </si>
  <si>
    <t>U1111-1272-7789</t>
  </si>
  <si>
    <t>Excessive gum exposure when smiling</t>
  </si>
  <si>
    <t>Too much gum smiling</t>
  </si>
  <si>
    <t>Hewerlen Freicho Pinheiro</t>
  </si>
  <si>
    <t>hcodontologia@yahoo.com.br</t>
  </si>
  <si>
    <t>Effect of music on pain relief during the bath in the bed of individuals in post-operative heart surgery: clinical trial</t>
  </si>
  <si>
    <t>U1111-1262-8957</t>
  </si>
  <si>
    <t>Comparison between Long term Cardioplegic Solutions in Myocardial protection with Tissue and Laboratory Analysis: Randomized Doubleblind Clinical Trial</t>
  </si>
  <si>
    <t>U1111-1273-2656</t>
  </si>
  <si>
    <t>Kathize Betti Lira</t>
  </si>
  <si>
    <t>kathizelira@hotmail.com</t>
  </si>
  <si>
    <t>Physiological and occupational parameters and level of satisfaction of paraplegic and amputees submitted to labor activity with or without the use of postural elevation equipment (STEVE) : A randomized controlled trial</t>
  </si>
  <si>
    <t>U1111-1270-4865</t>
  </si>
  <si>
    <t>Franciso Fleury Uchoa Santos Júnior</t>
  </si>
  <si>
    <t>drfleury@gmail.com</t>
  </si>
  <si>
    <t>Effect of cardiopulmonary rehabilitation protocol on functionality respiratory muscle e strength perioheral and quality of life in patients recovered from COVID-19: a controlled and randomizes clinical study</t>
  </si>
  <si>
    <t>Virus diseases of unspecified location</t>
  </si>
  <si>
    <t>Lívia Gabriely Melo da Silva Mesquita</t>
  </si>
  <si>
    <t>+55 (81) 999886154</t>
  </si>
  <si>
    <t>ftliviamelo@gmail.com</t>
  </si>
  <si>
    <t>An auditory-visual Stroop test proposal for tinnitus patients evaluation</t>
  </si>
  <si>
    <t>01/25/2022</t>
  </si>
  <si>
    <t>attention</t>
  </si>
  <si>
    <t>Audiology</t>
  </si>
  <si>
    <t>Fátima Cristina Alves Branco-Barreiro</t>
  </si>
  <si>
    <t>fatima@branco.fnd.br</t>
  </si>
  <si>
    <t>Cognitive Behavioral Couple Therapy Combined with Mindfulness</t>
  </si>
  <si>
    <t>Ricardo Silva dos Santos Durães</t>
  </si>
  <si>
    <t>São Bernardo do Campo</t>
  </si>
  <si>
    <t>+55(11)966392654</t>
  </si>
  <si>
    <t>rl.duraes@hotmail.com</t>
  </si>
  <si>
    <t>Determination of Anatomic Diameters in Different Dental Groups - An In Vivo Study</t>
  </si>
  <si>
    <t>Diseases of the pulp and periapical tissues</t>
  </si>
  <si>
    <t>Ricardo Machado</t>
  </si>
  <si>
    <t>Navegantes</t>
  </si>
  <si>
    <t>ricardo.machado.endo@gmail.com</t>
  </si>
  <si>
    <t>The effectiveness of a cognitive stimulation program with multifactorial components on cognition and psychosocial variables in elderly people without dementia and without depression: a randomized controlled trial</t>
  </si>
  <si>
    <t>The site is unavailable</t>
  </si>
  <si>
    <t>Cognitive Aging</t>
  </si>
  <si>
    <t>Thais Bento Lima Silva</t>
  </si>
  <si>
    <t>+55 11 970142504</t>
  </si>
  <si>
    <t>thaisbento@usp.br</t>
  </si>
  <si>
    <t>Escola de Artes,Ciências e Humanidades da Universidade de São Paulo</t>
  </si>
  <si>
    <t>Effect of Transcranial Stimulation by Direct Current Associated With Exercises Proprioceptives in Children and Pre-adolescents with Aquired and Congenital Visual Impairment</t>
  </si>
  <si>
    <t>01/24/2022</t>
  </si>
  <si>
    <t>visually impaired</t>
  </si>
  <si>
    <t>Lorraine Barbosa Cordeiro</t>
  </si>
  <si>
    <t>+55 62 99500-0235</t>
  </si>
  <si>
    <t>fisiolorraine@gmail.com</t>
  </si>
  <si>
    <t>Effects of treatment with oral anticoagulant associated with antibiotic therapy on clinical immunological parameters hospitalization and mortality in patients with suspected Covid-19 infection and positive d-dimer: a randomized clinical trial</t>
  </si>
  <si>
    <t>Articular Mobilization and Ischemic Compression on the Myofascial Trigger Points of Muscle Upper Trapezius in subjects with Rotator Cuff Tendinopathy: randomized clinical trial single- blind</t>
  </si>
  <si>
    <t>08/20/2018</t>
  </si>
  <si>
    <t>U1111-1217-5852</t>
  </si>
  <si>
    <t>Alyssa Conte Silva</t>
  </si>
  <si>
    <t>alyssaconteft@gmail.com</t>
  </si>
  <si>
    <t>Advanced olfactory training in post-COVID patients</t>
  </si>
  <si>
    <t>01/23/2022</t>
  </si>
  <si>
    <t>Disorders of smell and taste</t>
  </si>
  <si>
    <t>Ícaro de Almeida Toledo Pires</t>
  </si>
  <si>
    <t>icaroatp@gmail.com</t>
  </si>
  <si>
    <t>Efficacy of the use of oral melatonin in the treatment of facial melasma in women: a double-blind randomized placebo-controlled clinical trial</t>
  </si>
  <si>
    <t>01/21/2022</t>
  </si>
  <si>
    <t>U1111-1266-3127</t>
  </si>
  <si>
    <t>HELIO AMANTE MIOT</t>
  </si>
  <si>
    <t>Effects of chronic β-alanine supplementation on physical performance and recovery in Crossfit practitioners</t>
  </si>
  <si>
    <t>Jean Carlos Silvestre</t>
  </si>
  <si>
    <t>j.csilvestre@yahoo.com.br</t>
  </si>
  <si>
    <t>Reikis effectiveness for anxiety in the preoperative period of heart surgery: randomized clinical trial</t>
  </si>
  <si>
    <t>Eduardo Tavares Gomes</t>
  </si>
  <si>
    <t>edutgs@hotmail.com</t>
  </si>
  <si>
    <t>Prospective double-blind randomized placebo-controlled clinical study of effects of oral and topical use of collagen hydrolyzate in dermatoporosis</t>
  </si>
  <si>
    <t>cutaneous aging</t>
  </si>
  <si>
    <t>Skin diseases</t>
  </si>
  <si>
    <t>Lilia Guadanhim</t>
  </si>
  <si>
    <t>liliarsg@hotmail.com</t>
  </si>
  <si>
    <t>Effect of exergaming on the quality of life and learning of autism spectrum disorder individuals</t>
  </si>
  <si>
    <t>01/20/2022</t>
  </si>
  <si>
    <t>Autism spectrum disorder,força muscular,equilíbrio postural,exergaming,rehabilitation</t>
  </si>
  <si>
    <t>Virtual Reality Exposure Therapy</t>
  </si>
  <si>
    <t>Ricardo da Silva Alves</t>
  </si>
  <si>
    <t>+55(35)34498772</t>
  </si>
  <si>
    <t>ricardofisio31@gmail.com</t>
  </si>
  <si>
    <t>Diagnostic accuracy of video otoscope in membrane tympanic perforation</t>
  </si>
  <si>
    <t>01/19/2022</t>
  </si>
  <si>
    <t>Tympanic membrane perforation</t>
  </si>
  <si>
    <t>Leonardo Resende de Sousa</t>
  </si>
  <si>
    <t>+55(35)992210836</t>
  </si>
  <si>
    <t>leoresende@usp.br</t>
  </si>
  <si>
    <t>Desmopressin-associated Transcutaneous Parasacral Nerve Stimulation in Monosymptomatic Enuresis: a blinded randomized placebo-controlled clinical trial</t>
  </si>
  <si>
    <t>01/18/2022</t>
  </si>
  <si>
    <t>U1111-1272-5194</t>
  </si>
  <si>
    <t>Monosymptomatic Enuresis</t>
  </si>
  <si>
    <t>Nocturnal Enuresis</t>
  </si>
  <si>
    <t>+55(31)34099647</t>
  </si>
  <si>
    <t>mapq@medicinaufmg.br</t>
  </si>
  <si>
    <t>Non-invasive brain neuromodulation in patients with primary systemic vasculitis: a randomized double-blind sham-controlled clinical trial</t>
  </si>
  <si>
    <t>U1111-1271-6003</t>
  </si>
  <si>
    <t>Takayasus arteritis</t>
  </si>
  <si>
    <t>Alexandre Moura dos Santos</t>
  </si>
  <si>
    <t>alexandrestos@usp.br</t>
  </si>
  <si>
    <t>Monitoring risk of COVID-19 infection in elderly people in home care</t>
  </si>
  <si>
    <t>Patricia Freire de Vasconcelos</t>
  </si>
  <si>
    <t>+55 (85) 994272574</t>
  </si>
  <si>
    <t>Dynamic Registry TARGET Brazil</t>
  </si>
  <si>
    <t>Ischemic cardiomyopathy</t>
  </si>
  <si>
    <t>Elisa Kretzer</t>
  </si>
  <si>
    <t>elisa.kretzer@redeoptimus.com.br</t>
  </si>
  <si>
    <t>The influence of the Pilates method on improving pain and function in elderly with Osteoarthritis of the knee</t>
  </si>
  <si>
    <t>01/17/2022</t>
  </si>
  <si>
    <t>U1111-1273-3389</t>
  </si>
  <si>
    <t>osteoarthritis</t>
  </si>
  <si>
    <t>Gláucia Cristina Antunes Ferraz de Oliveira</t>
  </si>
  <si>
    <t>Praia Grande</t>
  </si>
  <si>
    <t>glau.r.antunes@hotmail.com</t>
  </si>
  <si>
    <t>Controlled and randomised clinical study on the effects of exercise associated with antioxidant supplementation on redox and immuno-metabolic regulation in patients with diabetes renal disease</t>
  </si>
  <si>
    <t>11/30/2021</t>
  </si>
  <si>
    <t>U1111-1271-4833</t>
  </si>
  <si>
    <t>Other chronic renal failure</t>
  </si>
  <si>
    <t>Ricardo Aurino de Pinho</t>
  </si>
  <si>
    <t>+55(48)9167-1313</t>
  </si>
  <si>
    <t>rapinho12@gmail.com/ricardo.pinho@pucpr.br</t>
  </si>
  <si>
    <t>Analysis of Motor Learning of the upper limbs after intervention with Non-Immersive Virtual Reality in individuals after stroke</t>
  </si>
  <si>
    <t>09/18/2020</t>
  </si>
  <si>
    <t>U1111-1250-3959</t>
  </si>
  <si>
    <t>Gabriela Aráujo Caldeira</t>
  </si>
  <si>
    <t>Regente Feijó</t>
  </si>
  <si>
    <t>gabriela.gac54@gmail.com</t>
  </si>
  <si>
    <t>Influence of light intensity on hemodynamic autonomic and circadian rhythm after aerobic exercise performed in the evening</t>
  </si>
  <si>
    <t>Young adult</t>
  </si>
  <si>
    <t>Arterial Pressure</t>
  </si>
  <si>
    <t>Leandro Campos de Brito</t>
  </si>
  <si>
    <t>leandrobrito@usp.br</t>
  </si>
  <si>
    <t>Effects of radiofrequency and microneedling on the quality of life in women with alba stretches</t>
  </si>
  <si>
    <t>aesthetic</t>
  </si>
  <si>
    <t>Julianna Ribeiro do Vale Silva</t>
  </si>
  <si>
    <t>recife</t>
  </si>
  <si>
    <t>ribeirojuhh@gmail.com</t>
  </si>
  <si>
    <t>The shamrock lumbar plexus block associated with spinal anesthesia for hip surgery: a comparison with intrathecal morphine</t>
  </si>
  <si>
    <t>U1111-1273-1736</t>
  </si>
  <si>
    <t>Manipulation,Orthopedic</t>
  </si>
  <si>
    <t>Eloisa Gasparini Saque</t>
  </si>
  <si>
    <t>Balneário Camboriú</t>
  </si>
  <si>
    <t>+55 (41) 996613306</t>
  </si>
  <si>
    <t>elo.gaspa@gmail.com</t>
  </si>
  <si>
    <t>Analysis of laser puncture in the improvement of symptoms of pain fatigue and nausea in children and adolescents with cancer</t>
  </si>
  <si>
    <t>U1111-1271-0418</t>
  </si>
  <si>
    <t>pain</t>
  </si>
  <si>
    <t>Tatiane Regina de Sousa</t>
  </si>
  <si>
    <t>tatianereginafisio@gmail.com</t>
  </si>
  <si>
    <t>COVID-19-vaccinated plasma for treatment of the infection by SARS-CoV-2: a Multicenter Randomized Open-Label Parallel-Group Trial</t>
  </si>
  <si>
    <t>U1111-1273-1454</t>
  </si>
  <si>
    <t>Novel Coronavirus Disease 2019</t>
  </si>
  <si>
    <t>Marcus Herbert Jones</t>
  </si>
  <si>
    <t>+55 (51) 999888524</t>
  </si>
  <si>
    <t>mhjones@pucrs.br</t>
  </si>
  <si>
    <t>Treatment of Deeply infiltrative endometriosis with intravenous methotrexate carried in lipid core nanoparticles (LDE-ddMtx): a prospective pilot study</t>
  </si>
  <si>
    <t>Dyspareunia</t>
  </si>
  <si>
    <t>Roberta Tavares</t>
  </si>
  <si>
    <t>robavila@unicamp.br</t>
  </si>
  <si>
    <t>Children with Developmental Coordinating Disorder: relationships and predictors of motor deficits and the current and longitudinal interventional impact</t>
  </si>
  <si>
    <t>U1111-1264-9496</t>
  </si>
  <si>
    <t>Developmental Disabilities</t>
  </si>
  <si>
    <t>Nadia Cristina Valentini</t>
  </si>
  <si>
    <t>nadiacv@esef.ufrgs.br</t>
  </si>
  <si>
    <t>Effect of Go Wish Cards on the identification of end-of-life wishes of patients with advanced cancer in palliative care: Clinical Trial</t>
  </si>
  <si>
    <t>U1111-1272-0192</t>
  </si>
  <si>
    <t>Hospice Care</t>
  </si>
  <si>
    <t>Bianca Sakamoto Ribeiro Paiva</t>
  </si>
  <si>
    <t>+55 (17) 3321-6600</t>
  </si>
  <si>
    <t>bsrpaiva@gmail.com</t>
  </si>
  <si>
    <t>Evaluation of vaccine coverage for influenza in patients with diabetes at a tertiary center</t>
  </si>
  <si>
    <t>U1111-1270-5536</t>
  </si>
  <si>
    <t>Human Influenza</t>
  </si>
  <si>
    <t>Giulia Limana Guerra</t>
  </si>
  <si>
    <t>giulialimanaguerra@gmail.com</t>
  </si>
  <si>
    <t>Clinical and patient-centered outcomes from the palatal donor area submitted to two forms of protection after free gingival graft removal: a randomized controlled clinical trial</t>
  </si>
  <si>
    <t>palate,hard</t>
  </si>
  <si>
    <t>Patient Care Outcome Assessment</t>
  </si>
  <si>
    <t>Evaluation of primary irritability potential accumulated and skin sensitization of a bandage (090997-01) in controlled and maximized conditions (RIPT)</t>
  </si>
  <si>
    <t>U1111-1269-0842</t>
  </si>
  <si>
    <t>Contact dermatitis</t>
  </si>
  <si>
    <t>hypersensitivity</t>
  </si>
  <si>
    <t>Allergisa Allergisa</t>
  </si>
  <si>
    <t>55 19 3789-8610</t>
  </si>
  <si>
    <t>michele.martins@alsglobal.com</t>
  </si>
  <si>
    <t>Effects of biperiden (muscarinic antagonist) on cocaine/crack dependence</t>
  </si>
  <si>
    <t>U1111-1272-9410</t>
  </si>
  <si>
    <t>Cocaine-related Disorders</t>
  </si>
  <si>
    <t>Substance-Related Disorders</t>
  </si>
  <si>
    <t>Andréia Gomes Bezerra</t>
  </si>
  <si>
    <t>+55 11 2149-0155</t>
  </si>
  <si>
    <t>andreia.gomes@unifesp.br</t>
  </si>
  <si>
    <t>Effects of different intervention models for the treatment of obesity in adolescents</t>
  </si>
  <si>
    <t>1111-1269-1321</t>
  </si>
  <si>
    <t>Adolescents with overweight or obesity</t>
  </si>
  <si>
    <t>Déborah Cristina Marques</t>
  </si>
  <si>
    <t>Deborah.marques@unicesumar.edu.br</t>
  </si>
  <si>
    <t>Impact of hospitalization on nutritional status and the risk of dysphagia in people aged 65 years. Multicentre study NUTRIFAG</t>
  </si>
  <si>
    <t>U1111-1272-0970</t>
  </si>
  <si>
    <t>dysphagia</t>
  </si>
  <si>
    <t>Rafaela Camacho Bejarano</t>
  </si>
  <si>
    <t>Huelva</t>
  </si>
  <si>
    <t>(+34) 630 36 07 40</t>
  </si>
  <si>
    <t>fali.camacho@gmail.com</t>
  </si>
  <si>
    <t>Use of 3D ceramic block graft compared to autogenous block graft for bone augmentation of atrophic maxilla. Split-mouth randomized clinical trial</t>
  </si>
  <si>
    <t>09/14/2021</t>
  </si>
  <si>
    <t>U1111-1272-7773</t>
  </si>
  <si>
    <t>Thais Rojas</t>
  </si>
  <si>
    <t>thais.rojas@plenum.bio</t>
  </si>
  <si>
    <t>Effect of the application of the thoracoabdominal rebalancing method (RTA) in moderate premature infants: Randomized Clinical Trial</t>
  </si>
  <si>
    <t>12/30/2021</t>
  </si>
  <si>
    <t>Premature</t>
  </si>
  <si>
    <t>Jaqueline Lomônaco Lemos</t>
  </si>
  <si>
    <t>Itajubá</t>
  </si>
  <si>
    <t>+55(35)99230-3561</t>
  </si>
  <si>
    <t>jaquelinelomonaco@hotmail.com</t>
  </si>
  <si>
    <t>Epidemiology and oral disease-modifying therapies for Multiple Sclerosis</t>
  </si>
  <si>
    <t>12/29/2021</t>
  </si>
  <si>
    <t>Multiple Sclerosis Relapsing-Remitting</t>
  </si>
  <si>
    <t>multiple sclerosis</t>
  </si>
  <si>
    <t>Cristiane Munaretto Ferreira</t>
  </si>
  <si>
    <t>cristianemunaretto@gmail.com</t>
  </si>
  <si>
    <t>Assessment of the physical and functional capacity of burnt subjects at hospital discharge and follow-up outpatient return</t>
  </si>
  <si>
    <t>Leandro Cruz Mantoani</t>
  </si>
  <si>
    <t>leandromantoani@yahoo.com.br</t>
  </si>
  <si>
    <t>A portable device for photodynamic Therapy to improve treatment reducing the time under treatment at the hospital</t>
  </si>
  <si>
    <t>basal cell carcinoma</t>
  </si>
  <si>
    <t>skin neoplasms</t>
  </si>
  <si>
    <t>Ana Gabriela Salvio</t>
  </si>
  <si>
    <t>Jau</t>
  </si>
  <si>
    <t>+55 (014) 36021200</t>
  </si>
  <si>
    <t>gasalvio@hotmail.com</t>
  </si>
  <si>
    <t>Hospital Amaral Carvalho</t>
  </si>
  <si>
    <t>Pulmonary function analysis and autonomic nervous system in patients with Cerebrovascular Accident sequelae</t>
  </si>
  <si>
    <t>12/28/2021</t>
  </si>
  <si>
    <t>U1111-1267-2284</t>
  </si>
  <si>
    <t>heart variability</t>
  </si>
  <si>
    <t>Marilita Falangola Accioly</t>
  </si>
  <si>
    <t>+55(34)991493902</t>
  </si>
  <si>
    <t>marilitafisio@gmail.com</t>
  </si>
  <si>
    <t>Effects of the Pilates method on balance gait falls and IGF-1 related to activities of daily living in elderly women</t>
  </si>
  <si>
    <t>12/23/2021</t>
  </si>
  <si>
    <t>U1111-1257-5315</t>
  </si>
  <si>
    <t>Health of the Elderly</t>
  </si>
  <si>
    <t>Juliana Brandão Castro</t>
  </si>
  <si>
    <t>Rio De Janeiro</t>
  </si>
  <si>
    <t>+55(21)997794460</t>
  </si>
  <si>
    <t>julianabrandaoflp@hotmail.com</t>
  </si>
  <si>
    <t>Impact of perioperative fluid therapy on glycemia of patients with Diabetes Mellitus – Ringers Lactate Solution versus Normal Saline Solution: prospective randomized and controlled clinical trial</t>
  </si>
  <si>
    <t>12/22/2021</t>
  </si>
  <si>
    <t>U1111-1272-2307</t>
  </si>
  <si>
    <t>Diabetes Mellitus type 2</t>
  </si>
  <si>
    <t>Santa Genoveva Complexo Hospitalar</t>
  </si>
  <si>
    <t>+55(34)3277-9000</t>
  </si>
  <si>
    <t>Comparative prospective and randomized clinical study of guided regeneration with Polydioxanone membrane (PDO) in dental alveoli after extraction: volumetric analysis</t>
  </si>
  <si>
    <t>12/15/2021</t>
  </si>
  <si>
    <t>U1111-1272-7737</t>
  </si>
  <si>
    <t>Other disorders of teeth and their supporting structures</t>
  </si>
  <si>
    <t>Eduardo Hochuli Vieira</t>
  </si>
  <si>
    <t>Ararquara</t>
  </si>
  <si>
    <t>+55(16)33016385</t>
  </si>
  <si>
    <t>eduardo.hochuli@unesp.br</t>
  </si>
  <si>
    <t>Effect of the Inciting Self the Care intervention on family caregivers of patients linked to a home care program: a randomized study</t>
  </si>
  <si>
    <t>Life Change Events</t>
  </si>
  <si>
    <t>Stefanie Griebeler Oliveira</t>
  </si>
  <si>
    <t>stefaniegriebeleroliveira@gmail.com</t>
  </si>
  <si>
    <t>Brazilian nuts study</t>
  </si>
  <si>
    <t>02/27/2020</t>
  </si>
  <si>
    <t>U1111-1236-1647</t>
  </si>
  <si>
    <t>Josefina Bressan</t>
  </si>
  <si>
    <t>+55 (31) 3899-3388</t>
  </si>
  <si>
    <t>jbrm@ufv.br</t>
  </si>
  <si>
    <t>Intervenções farmacêuticas sobre a complexidade da farmacoterapia em Idosos com doenças de risco cardiovascular: um ensaio clínico randomizado controlado</t>
  </si>
  <si>
    <t>12/21/2021</t>
  </si>
  <si>
    <t>U1111-1272-7383</t>
  </si>
  <si>
    <t>Systemic Arterial Hypertension</t>
  </si>
  <si>
    <t>Vanessa Alves da Conceição</t>
  </si>
  <si>
    <t>vanessaalvesconceicao@gmail.com</t>
  </si>
  <si>
    <t>Impacting: Innovations in Placental Metabolism and Association with Antioxidants and Nutrients in Gestational Diabetes and Obesity</t>
  </si>
  <si>
    <t>U1111-1214-0678</t>
  </si>
  <si>
    <t>Tatiana El Bacha Porto</t>
  </si>
  <si>
    <t>+55(21)99766-7997</t>
  </si>
  <si>
    <t>tatiana@nutricao.ufrj.br</t>
  </si>
  <si>
    <t>Use of photobiomodulation and chamomile in the treatment of oral mucositis in children and adolescents with cancer: a randomized clinical trial</t>
  </si>
  <si>
    <t>Stomatitis,Oral mucositis</t>
  </si>
  <si>
    <t>Elizabeth Louisy Marques Soares da Silva</t>
  </si>
  <si>
    <t>+55 (81) 2126-8836</t>
  </si>
  <si>
    <t>beth_louisy@hotmail.com</t>
  </si>
  <si>
    <t>Effects of different exercise models with and without blood flow restriction on strength muscle mass functionality and pain perception in patients with knee osteoarthritis</t>
  </si>
  <si>
    <t>Tamiris Barbosa de Melo</t>
  </si>
  <si>
    <t>tamirisbmelo@gmail.com</t>
  </si>
  <si>
    <t>Effectiveness of Biofeedback and Therapeutic Exercise on fatigue pain and mandibular function in subjects with Awake Bruxism: randomized clinical trial</t>
  </si>
  <si>
    <t>Wake-sleep cycle disorders</t>
  </si>
  <si>
    <t>Ana Paula de Lima Ferreira</t>
  </si>
  <si>
    <t>apllima@yahoo.com.br</t>
  </si>
  <si>
    <t>Effects of physical therapy intervention and health education in the preparation for childbirth of Brazilian pregnant women</t>
  </si>
  <si>
    <t>12/16/2021</t>
  </si>
  <si>
    <t>woman health</t>
  </si>
  <si>
    <t>Glaucia Diniz Esmeraldo</t>
  </si>
  <si>
    <t>dinizglauciafisioterapia@ufu.br</t>
  </si>
  <si>
    <t>Influência da equoterapia sem equilíbrio postural na marcha e na comunicação em crianças com Paralisia Cerebral ou com Síndrome de Down</t>
  </si>
  <si>
    <t>U1111-1270-4098</t>
  </si>
  <si>
    <t>Paresis</t>
  </si>
  <si>
    <t>Leandra Aparecida Leal</t>
  </si>
  <si>
    <t>+55 64 9 96099975</t>
  </si>
  <si>
    <t>leandraapleal17@gmail.com</t>
  </si>
  <si>
    <t>Use of Ginger (Zingiber Officinale) in the management of chemotherapy-induced nausea and vomiting in patients with cervical Cancer undergoing antineoplastic treatment: a randomized clinical trial</t>
  </si>
  <si>
    <t>Stomach Diseases</t>
  </si>
  <si>
    <t>Renata Lima Pessoa</t>
  </si>
  <si>
    <t>renata.pessoa@liga.org.br</t>
  </si>
  <si>
    <t>Nutritional intervention to control Systemic Arterial Hypertension in Primary Health Care</t>
  </si>
  <si>
    <t>U1111-1268-3944</t>
  </si>
  <si>
    <t>Essential (primary) hypertension</t>
  </si>
  <si>
    <t>Escola de Nutrição</t>
  </si>
  <si>
    <t>Ouro Preto</t>
  </si>
  <si>
    <t>diretoria.enut@ufop.edu.br</t>
  </si>
  <si>
    <t>Color evaluation of different aesthetic orthodontic ligatures submitted to mouthwashes with and without alcohol</t>
  </si>
  <si>
    <t>U1111-1272-4546</t>
  </si>
  <si>
    <t>mouthwashes</t>
  </si>
  <si>
    <t>Ana Paula Terossi Godoi</t>
  </si>
  <si>
    <t>Pirassununga</t>
  </si>
  <si>
    <t>ana.godoi@usp.br</t>
  </si>
  <si>
    <t>Sulamerican study for the treatment of patients with non-metastatic ewing family tumors</t>
  </si>
  <si>
    <t>06/26/2018</t>
  </si>
  <si>
    <t>U1111-1208-1762</t>
  </si>
  <si>
    <t>Ewings sarcoma</t>
  </si>
  <si>
    <t>Julie Cerutti</t>
  </si>
  <si>
    <t>PORTO ALEGRE</t>
  </si>
  <si>
    <t>+55 (51) 33318704</t>
  </si>
  <si>
    <t>pesquisaoncoped@ici-rs.org.br</t>
  </si>
  <si>
    <t>Instituto do Câncer Infantil</t>
  </si>
  <si>
    <t>Exercise-Induced Hypoalgesia in Acute/Subacute Whiplash Associated Disorders: a randomized controlled trial</t>
  </si>
  <si>
    <t>U1111-1265-4262</t>
  </si>
  <si>
    <t>Whiplash Injuries</t>
  </si>
  <si>
    <t>Whiplash Associated Disorders</t>
  </si>
  <si>
    <t>Neck injury</t>
  </si>
  <si>
    <t>Ernesto Anarte-Lazo</t>
  </si>
  <si>
    <t>Seville</t>
  </si>
  <si>
    <t>anartelazo.ernesto@gmail.com</t>
  </si>
  <si>
    <t>Evaluation of the relationship between physical activity and periodontal condition before and after non-surgical periodontal therapy</t>
  </si>
  <si>
    <t>04/24/2020</t>
  </si>
  <si>
    <t>A04529652920</t>
  </si>
  <si>
    <t>João Paulo Steffens</t>
  </si>
  <si>
    <t>+55(41)33604134</t>
  </si>
  <si>
    <t>joaopaulosteffens@hotmail.com</t>
  </si>
  <si>
    <t>Effectiveness of in-office dental bleaching in adolescents using 6% hydrogen peroxide with different application tips: randomized double-blind clinical trial</t>
  </si>
  <si>
    <t>12/14/2021</t>
  </si>
  <si>
    <t>Biological behavioral and sociocultural analysis in adults and elderly individuals who practice physical exercises</t>
  </si>
  <si>
    <t>U1111-1236-3676</t>
  </si>
  <si>
    <t>Clademir de Quadros</t>
  </si>
  <si>
    <t>+55 55 3220-9362</t>
  </si>
  <si>
    <t>cep.ufsm@gmail.com</t>
  </si>
  <si>
    <t>Rehabilitation after Covid-19: Implementation and evaluation of a rehabilitation and case monitoring program</t>
  </si>
  <si>
    <t>Virus Desease</t>
  </si>
  <si>
    <t>Departamento de Fisioterapia</t>
  </si>
  <si>
    <t>depto.fisioterapia.ccbs@setor.uepb.edu.br</t>
  </si>
  <si>
    <t>Nem method to assess the functional capacity in people with chronic obstructive pulmonary disease</t>
  </si>
  <si>
    <t>chronic obstructive pulmonary disease</t>
  </si>
  <si>
    <t>Marcelo Velloso</t>
  </si>
  <si>
    <t>mvelloso@eeffto.ufmg.br</t>
  </si>
  <si>
    <t>Importance of continuous pulse oximetry monitoring during the six-minute walk test in predicting clinical outcomes and safety in patients with chronic respiratory diseases</t>
  </si>
  <si>
    <t>Pulmonary Hypertension</t>
  </si>
  <si>
    <t>The Impact of Transcranial Photobiomodulation on Adult Mild Cognitive Impairment: A Double-Blind Randomized Controlled Trial</t>
  </si>
  <si>
    <t>U1111-1270-7271</t>
  </si>
  <si>
    <t>Mild Cognitive Impairment</t>
  </si>
  <si>
    <t>Daniel Fernandes Martins</t>
  </si>
  <si>
    <t>+55(048)999185021</t>
  </si>
  <si>
    <t>danielmartinsfisio@hotmail.com</t>
  </si>
  <si>
    <t>Rehabilitation and monitoring of the effects of the clinical evolution of patients infected with the new Corona virus 2019 (sars-cov-2) associated with non-transmissible chronic diseases submitted to a supervised physical exercise program: immunological factors cardiorespiratory function microbiota and quality of life</t>
  </si>
  <si>
    <t>Paulo Roberto Cavalcanti Carvalho</t>
  </si>
  <si>
    <t>paulo.robertocarvalho@ufpe.br</t>
  </si>
  <si>
    <t>Joint ultrasound in patients with rheumatoid arthritis: development of an evaluation score using small medium and large joints</t>
  </si>
  <si>
    <t>Rita Nely Vilar Furtado</t>
  </si>
  <si>
    <t>+551155764848 Ramal 3071</t>
  </si>
  <si>
    <t>rvfurtado@hotmail.com</t>
  </si>
  <si>
    <t>Sulamerican study for the treatment of patients with Tumors of the Ewing Metastatic Family</t>
  </si>
  <si>
    <t>06/19/2018</t>
  </si>
  <si>
    <t>U1111-1208-1791</t>
  </si>
  <si>
    <t>Rehabilitation Program of Pelvic Floor Post-Surgery and Radiotherapy for Gynecological Pelvic Cancer: Randomized and Controlled Clinical Trial</t>
  </si>
  <si>
    <t>Analysis of foraminal patency attainment rates by undergraduate students - An in vivo Study</t>
  </si>
  <si>
    <t>Pulpitis,Pulp Abscess,Polyp,Acute Pulpitis,Chronic Pulpitis (hyperplastic) (ulcerative),Suppurative Pulpitis</t>
  </si>
  <si>
    <t>Other diseases of the pulp and periapical tissues and those not specified</t>
  </si>
  <si>
    <t>Acute neuroimunoendocrin effects of high and low volume core training in women with unspecific chronic low back pain: a crossover study</t>
  </si>
  <si>
    <t>Poliana de Jesus Santos</t>
  </si>
  <si>
    <t>Effectiveness of an educational video to guide parents and caregivers of children in clean intermittent catheterization: a randomized clinical trial</t>
  </si>
  <si>
    <t>U1111-1272-4638</t>
  </si>
  <si>
    <t>Intermittent urethral catheterization</t>
  </si>
  <si>
    <t>Marília Brito de Lima</t>
  </si>
  <si>
    <t>+55 85 991684698</t>
  </si>
  <si>
    <t>marilia_delima@hotmail.com</t>
  </si>
  <si>
    <t>Efficacy of a Home Exercise Protocol for preventing Falls in elderly people living in the rural area of the city of Rio Grande RS: a randomized clinical trial</t>
  </si>
  <si>
    <t>U1111-1269-0989</t>
  </si>
  <si>
    <t>Rodrigo Dalke Meucci</t>
  </si>
  <si>
    <t>rodrigodalke@gmail.com</t>
  </si>
  <si>
    <t>Dermal tolerability and systemic toxicity of antimicrobial gel for topical use</t>
  </si>
  <si>
    <t>Toxicity</t>
  </si>
  <si>
    <t>Thaís Honório Lins Bernardo</t>
  </si>
  <si>
    <t>thais.bernardo@eenf.ufal.br</t>
  </si>
  <si>
    <t>Effects of auriculotherapy on musculoskeletal disorders in elementary school teachers</t>
  </si>
  <si>
    <t>U1111-1272-0526</t>
  </si>
  <si>
    <t>Tiago Veloso Neves</t>
  </si>
  <si>
    <t>Palmas</t>
  </si>
  <si>
    <t>+55(63)992220598</t>
  </si>
  <si>
    <t>nevestv@gmail.com</t>
  </si>
  <si>
    <t>Effect of a non-pharmacological intervention on pain and anxiety related to the administration of influenza vaccine in adults: a randomized clinical trial</t>
  </si>
  <si>
    <t>U1111-1272-2032</t>
  </si>
  <si>
    <t>Vaccination</t>
  </si>
  <si>
    <t>Nursing</t>
  </si>
  <si>
    <t>Luciene Muniz Braga Daskaleas</t>
  </si>
  <si>
    <t>+55(31)986513362</t>
  </si>
  <si>
    <t>luciene.muniz@ufv.br</t>
  </si>
  <si>
    <t>Comparison Between 3D Kinematic Bikefitting and Traditional Bicycle Adjustment Recommendations: A Double-Blind Randomized Controlled Trial</t>
  </si>
  <si>
    <t>U1111-1269-1997</t>
  </si>
  <si>
    <t>Overexertion from strenuous movement or load</t>
  </si>
  <si>
    <t>Robson Dias Scoz</t>
  </si>
  <si>
    <t>55-11-30031189</t>
  </si>
  <si>
    <t>robsonscoz@icloud.com</t>
  </si>
  <si>
    <t>Universidade Cidade de Sao Paulo</t>
  </si>
  <si>
    <t>Adaptive prospective Randomized 2_session crossover treatment Double_blind with crossover two-arms study in tinnitus loudness perception due to positive emotion induction with anodal HD-tdcs on left DLPFC</t>
  </si>
  <si>
    <t>U1111-1236-5441</t>
  </si>
  <si>
    <t>Iman Ghodratitoostani</t>
  </si>
  <si>
    <t>sao carlos</t>
  </si>
  <si>
    <t>(16) 3373-9655</t>
  </si>
  <si>
    <t>iman.ghodrati@usp.br</t>
  </si>
  <si>
    <t>Institute of Mathematics and Computer Sciences,Neurocognitive Engineering Lab</t>
  </si>
  <si>
    <t>Functional capacity of older people before and after the practice of physical activity performed through mobile phone exercise applications with and without therapeutic supervision</t>
  </si>
  <si>
    <t>Andre Issao Kunitake</t>
  </si>
  <si>
    <t>55 (11) 97148-4616</t>
  </si>
  <si>
    <t>issaokun@gmail.com</t>
  </si>
  <si>
    <t>The role of intimacy in the psychotherapeutic treatment of complex post-traumatic stress disorder</t>
  </si>
  <si>
    <t>Reaction to severe stress,and adjustment disorders</t>
  </si>
  <si>
    <t>Silvia Sztamfater</t>
  </si>
  <si>
    <t>+55(11)26616988</t>
  </si>
  <si>
    <t>silvia.sztamfater@hc.fm.usp.br</t>
  </si>
  <si>
    <t>Evaluation of gynecological and dermatological acceptability of health products under normal conditions of use_Ave02.2021</t>
  </si>
  <si>
    <t>Cassiano Carlos Escudeiro</t>
  </si>
  <si>
    <t>+55 011 4087-0092</t>
  </si>
  <si>
    <t>Analysis of the effect of dietary guidance that facilitates sleep in women undergoing breast cancer treatment</t>
  </si>
  <si>
    <t>Nutrition</t>
  </si>
  <si>
    <t>Sleep disorder</t>
  </si>
  <si>
    <t>Henriqueta Vieira van Keulen</t>
  </si>
  <si>
    <t>+55(32) 2102-3911</t>
  </si>
  <si>
    <t>ketakeulen@gmail.com</t>
  </si>
  <si>
    <t>Brain Connectivity and Neuroprogression. Multimodal MRI approach in victims of sexual abuse (adolescents and adults) with Post Traumatic Stress Disorder</t>
  </si>
  <si>
    <t>U1111-1211-0810</t>
  </si>
  <si>
    <t>Post-traumatic stress disorder</t>
  </si>
  <si>
    <t>Ana Carolina Coelho Milani</t>
  </si>
  <si>
    <t>+55 11 50899200</t>
  </si>
  <si>
    <t>carol_milani@yahoo.com.br</t>
  </si>
  <si>
    <t>Effect of resveratrol combined on Exercise program on health-related outcomes of breast cancer survivors: randomized double-blind clinical trial</t>
  </si>
  <si>
    <t>U1111-1221-5068</t>
  </si>
  <si>
    <t>Fabricio Oliveira Souto</t>
  </si>
  <si>
    <t>soutofo@gmail.com</t>
  </si>
  <si>
    <t>Pleural empyema in children admitted to the Icu: Clinical trial comparing fibrinolysis and videosurgery</t>
  </si>
  <si>
    <t>U1111-1270-6576</t>
  </si>
  <si>
    <t>Child</t>
  </si>
  <si>
    <t>Empyema,Pleural</t>
  </si>
  <si>
    <t>Felippe Flausino Soares</t>
  </si>
  <si>
    <t>+55(48)999497777</t>
  </si>
  <si>
    <t>felippeflausino@gmail.com</t>
  </si>
  <si>
    <t>Effect of tomato (Lycopersicon esculentum) supplementation on oxidative stress markers and cardiovascular function in patients with chronic kidney disease treated by hemodialysis</t>
  </si>
  <si>
    <t>U1111-1272-3895</t>
  </si>
  <si>
    <t>Chronic kidney failure unspecified</t>
  </si>
  <si>
    <t>Chronic kidney disease</t>
  </si>
  <si>
    <t>+55(14)38801609</t>
  </si>
  <si>
    <t>cep.fmb@unesp.br</t>
  </si>
  <si>
    <t>Evaluation of the effects of audiovisual stimulation associated with a nutritional intervention on clinical symptoms neurodegenerative biomarkers and cerebral activity in individuals with depression: a controlled clinical trial</t>
  </si>
  <si>
    <t>Depressive Disorder Major</t>
  </si>
  <si>
    <t>Benefits of Non-Invasive Ventilation immediately after extubation in the Postoperative period of Cardiac Surgery</t>
  </si>
  <si>
    <t>U1111-1265-2194</t>
  </si>
  <si>
    <t>André Luiz Lisboa Cordeiro</t>
  </si>
  <si>
    <t>+55 75 998226086</t>
  </si>
  <si>
    <t>andrelisboacordeiro@gmail.com</t>
  </si>
  <si>
    <t>Therapy by biophysical agents on breast engagement in infants</t>
  </si>
  <si>
    <t>U1111-1272-3199</t>
  </si>
  <si>
    <t>womens health</t>
  </si>
  <si>
    <t>Luís Eduardo Maggi</t>
  </si>
  <si>
    <t>+55(21)985305250</t>
  </si>
  <si>
    <t>luis.maggi@ufac.br</t>
  </si>
  <si>
    <t>Effect of Methylene Blue on hemodynamic and metabolic response in Septic Shock patients</t>
  </si>
  <si>
    <t>U1111-1269-6177</t>
  </si>
  <si>
    <t>Unspecified septicemia,Septic shock</t>
  </si>
  <si>
    <t>Unspecified shock</t>
  </si>
  <si>
    <t>Fabio Luis Silva</t>
  </si>
  <si>
    <t>fabiols10@usp.br</t>
  </si>
  <si>
    <t>Impact of Immunosenescence in the Outcome of COVID-19</t>
  </si>
  <si>
    <t>COVID-19 with virus identification</t>
  </si>
  <si>
    <t>Gabriela Silveira Nunes</t>
  </si>
  <si>
    <t>gabrielanunes84@gmail.com</t>
  </si>
  <si>
    <t>Analysis of the Acute Effects of the Application of Systemic Acupuncture on Physical and Muscular Performance Parameters in active young practitioners</t>
  </si>
  <si>
    <t>U1111-1271-8807</t>
  </si>
  <si>
    <t>Patrick Maciel Ferreira</t>
  </si>
  <si>
    <t>Baependi</t>
  </si>
  <si>
    <t>patrickpipa@icloud.com</t>
  </si>
  <si>
    <t>Evaluation of different trans-operative protocols of local anesthesia and post-operative protocols of antibiotic and lasertherapy in third molar extraction surgeries. A randomized controllled trial</t>
  </si>
  <si>
    <t>U1111-1269-7450</t>
  </si>
  <si>
    <t>Impacted or semi impacted third molar</t>
  </si>
  <si>
    <t>Wound healing</t>
  </si>
  <si>
    <t>Effect of green tea and hyaluronic acid gel on the healing of post-extraction sites of third molars a split-mouth randomized controlled trial</t>
  </si>
  <si>
    <t>U1111-1269-7482</t>
  </si>
  <si>
    <t>Imparcted or semi-impacted third molar</t>
  </si>
  <si>
    <t>Cicatrização</t>
  </si>
  <si>
    <t>Clinical and pathological response rates to Neoadjuvant Hormone Therapy and Chemotherapy in patients with Luminal subtype breast tumors: a randomized open-label non-inferiority trial</t>
  </si>
  <si>
    <t>BREAST CANCER</t>
  </si>
  <si>
    <t>Invasive Breast Cancer</t>
  </si>
  <si>
    <t>Maria Carolina Gouveia</t>
  </si>
  <si>
    <t>+55(81)988116422</t>
  </si>
  <si>
    <t>carolinaggoliveira@gmail.com</t>
  </si>
  <si>
    <t>Effectiveness of Physical Exercise on quality of life mental health and continuity of chemotherapy cycles in individuals with Cancer undergoing intervention through telemedicine: a randomized clinical study</t>
  </si>
  <si>
    <t>Mental health</t>
  </si>
  <si>
    <t>Daniela Tanajura Caldeira</t>
  </si>
  <si>
    <t>+55 (18) 996477300</t>
  </si>
  <si>
    <t>danitcaldeira@gmail.com</t>
  </si>
  <si>
    <t>Evaluation of the improvement rate of Nasal Obstruction by the NOSE Scale in patients submitted to Poly(ε-caprolactone) Absorbable Nasal Implant (PCL)</t>
  </si>
  <si>
    <t>U1111-1272-2346</t>
  </si>
  <si>
    <t>Other nose and sinus disorders</t>
  </si>
  <si>
    <t>Anderson Augusto Merkle</t>
  </si>
  <si>
    <t>+55 47 999712669</t>
  </si>
  <si>
    <t>aamerkle@yahoo.com</t>
  </si>
  <si>
    <t>Are dance therapy and the solo Pilates method effective in the physical and psychological aspects of patients undergoing treatment and post-treatment of head and neck cancer? A randomized clinical trial</t>
  </si>
  <si>
    <t>Adriana Coutinho de Azevedo de Guimarães</t>
  </si>
  <si>
    <t>+55 (48) 999811607</t>
  </si>
  <si>
    <t>adriana.guimaraes@udesc.br</t>
  </si>
  <si>
    <t>The Influence of Osteopathic Manipulative Treatment in Patients with Fibromyalgia Syndrome. A Randomized Controlled Clinical Trial</t>
  </si>
  <si>
    <t>U1111-1269-4487</t>
  </si>
  <si>
    <t>Osteopathic manipulation</t>
  </si>
  <si>
    <t>Douglas Nogueira Santos</t>
  </si>
  <si>
    <t>douglasnogsan@hotmail.com</t>
  </si>
  <si>
    <t>Development and validation of a quality of life questionnaire related to symptoms of gastroesophageal reflux disease (QQV-GERD)</t>
  </si>
  <si>
    <t>Gastroesophageal reflux</t>
  </si>
  <si>
    <t>Peptic Esophagitis</t>
  </si>
  <si>
    <t>Andrea de Oliveira Batista</t>
  </si>
  <si>
    <t>andreabatista@usp.br</t>
  </si>
  <si>
    <t>Impact of a Cardiovascular Rehabilitation program about Physical Capacity Lung Function Quality of Life Sleep and Mental Health of patients in Covid-19 recovery</t>
  </si>
  <si>
    <t>The disease caused by SARS-COV-2 the new coronavirus discovered in 2019</t>
  </si>
  <si>
    <t>Maria do Socorro Brasileiro Santos</t>
  </si>
  <si>
    <t>+55 83 32167212</t>
  </si>
  <si>
    <t>sbrasileiro@yahoo.com.br</t>
  </si>
  <si>
    <t>Afferent Effects of Articulatory Technique for increased Mobility of the Rib Cage in Autonomic Function in Hypertensive Patients acute and follow up after 1 week</t>
  </si>
  <si>
    <t>U1111-1256-6708</t>
  </si>
  <si>
    <t>Arterial hypertension,Rib cage</t>
  </si>
  <si>
    <t>Rib cage</t>
  </si>
  <si>
    <t>Glaucia Vieira Noronha</t>
  </si>
  <si>
    <t>Ponta Porã</t>
  </si>
  <si>
    <t>appaloma@gmail.com</t>
  </si>
  <si>
    <t>Bright light influence on vasodilation induced by dynamic handgrip exercise</t>
  </si>
  <si>
    <t>U1111-1271-3295</t>
  </si>
  <si>
    <t>Transcranial Direct Current Stimulation on cognitive performance of healthy older adults</t>
  </si>
  <si>
    <t>Old Age Assistance</t>
  </si>
  <si>
    <t>Non-invasive tidal volume estimation by electrical impedance</t>
  </si>
  <si>
    <t>Hypoventilation</t>
  </si>
  <si>
    <t>Universities</t>
  </si>
  <si>
    <t>Marcelo Britto Passos Amato</t>
  </si>
  <si>
    <t>+55(11)30617361</t>
  </si>
  <si>
    <t>marcelo.amato@fm.usp.br</t>
  </si>
  <si>
    <t>Effects of a physical activity program through a teleservice with an educational program on overload depression stress and quality of life of caregivers of people with Amyotrophic Lateral Sclerosis: Randomized Controlled Clinical Trial</t>
  </si>
  <si>
    <t>Caregivers,Caregiver Burden,Quality of life,Occupational Stress,Amyotrophic lateral sclerosis</t>
  </si>
  <si>
    <t>EMILIA MARCIA GOMES DE SOUZA E SILVA</t>
  </si>
  <si>
    <t>Parnamirim</t>
  </si>
  <si>
    <t>emilia.marciagss@hotmail.com</t>
  </si>
  <si>
    <t>Evaluation of quality of life pain and trismus after lower third molar extraction using different oral dexamethasone protocols</t>
  </si>
  <si>
    <t>Pathological conditions signs and symptoms</t>
  </si>
  <si>
    <t>Thais Pimentel de Sa Bahia</t>
  </si>
  <si>
    <t>pimentelthais@outlook.com</t>
  </si>
  <si>
    <t>Effect of different strategies Periescapular Muscles Resistance Training associated with Core Training on pain function and performance of subjects with Shoulder Impact Syndrome and Scapular Dyskinesis</t>
  </si>
  <si>
    <t>U1111-1271-2845</t>
  </si>
  <si>
    <t>Pain,Shoulder Pain,Scapular,Abdominal Muscles</t>
  </si>
  <si>
    <t>Rodrigo Cappato Araújo</t>
  </si>
  <si>
    <t>Petrolina - PE</t>
  </si>
  <si>
    <t>Use of xenogenic softi-tissue substitutes in the treatment of gingival recessions</t>
  </si>
  <si>
    <t>U1111-1270-0997</t>
  </si>
  <si>
    <t>Evaluation of tidal volume in spontaneous ventilation by electric impedance tomography in eupneic newborns</t>
  </si>
  <si>
    <t>Walusa Assad Gonçalves Ferri</t>
  </si>
  <si>
    <t>+55(16)39636631</t>
  </si>
  <si>
    <t>walusa@fmrp.usp.br</t>
  </si>
  <si>
    <t>Individualized Sports Mouthguards: Evaluation of Muscle Effects and Sports Performance in Children</t>
  </si>
  <si>
    <t>Stomatognathic System</t>
  </si>
  <si>
    <t>Yuri Jivago Silva Ribeiro</t>
  </si>
  <si>
    <t>Ribeirao Preto</t>
  </si>
  <si>
    <t>+55(98)982565357</t>
  </si>
  <si>
    <t>yurijivago2@gmail.com</t>
  </si>
  <si>
    <t>Incidence of temporomandibular disorder symptoms with the use of orthodontic aligners</t>
  </si>
  <si>
    <t>11/29/2021</t>
  </si>
  <si>
    <t>U1111-1268-4400</t>
  </si>
  <si>
    <t>Ana Luiza Corrêa Silva</t>
  </si>
  <si>
    <t>BELEM</t>
  </si>
  <si>
    <t>+55 91984954605</t>
  </si>
  <si>
    <t>correa_analuiza@yahoo.com.br</t>
  </si>
  <si>
    <t>Effects of using osteopathic manipulative techniques applied to patients with gastroesophageal reflux disease (GERD)</t>
  </si>
  <si>
    <t>quality of life</t>
  </si>
  <si>
    <t>gastroesophageal reflux disease</t>
  </si>
  <si>
    <t>Larisse Dunke Pereira</t>
  </si>
  <si>
    <t>Imbuia</t>
  </si>
  <si>
    <t>+55(47)984419437</t>
  </si>
  <si>
    <t>larissedunke@hotmail.com</t>
  </si>
  <si>
    <t>Assessment of left ventricular function using Myocardial Strain in cardiac surgery</t>
  </si>
  <si>
    <t>Intraoperative Complications</t>
  </si>
  <si>
    <t>Hospital São José</t>
  </si>
  <si>
    <t>eticaepesquisa@hsjose.com.br</t>
  </si>
  <si>
    <t>Effect of the cashew nut and its oil on cardiometabolic genetic and intestinal microbiota risk markers in individuals at excess of weight</t>
  </si>
  <si>
    <t>11/25/2021</t>
  </si>
  <si>
    <t>Nutritional Sciences</t>
  </si>
  <si>
    <t>Talitha Silva Meneguelli</t>
  </si>
  <si>
    <t>talithasilvameneguelli@gmail.com</t>
  </si>
  <si>
    <t>Orthobiologics therapy for back pain</t>
  </si>
  <si>
    <t>11/24/2021</t>
  </si>
  <si>
    <t>U1111-1249-9017</t>
  </si>
  <si>
    <t>Markus Bredemeier</t>
  </si>
  <si>
    <t>Porto AQlegre</t>
  </si>
  <si>
    <t>+55 51 33572493</t>
  </si>
  <si>
    <t>markbred@terra.com.br</t>
  </si>
  <si>
    <t>Comparative study between fosfomycin and ciprofloxacin in transrectal prostate biopsy prophylaxis</t>
  </si>
  <si>
    <t>11/23/2021</t>
  </si>
  <si>
    <t>U1111-1269-8059</t>
  </si>
  <si>
    <t>prostatite</t>
  </si>
  <si>
    <t>urinary infections</t>
  </si>
  <si>
    <t>Eduardo  Gomes</t>
  </si>
  <si>
    <t>Toledo</t>
  </si>
  <si>
    <t>+55 (45) 8815-6057</t>
  </si>
  <si>
    <t>eduardoverrigomes@outlook.com</t>
  </si>
  <si>
    <t>Heart rate variability in Hypertensive patients</t>
  </si>
  <si>
    <t>U1111-1270-0046</t>
  </si>
  <si>
    <t>Abnormal blood pressure value without diagnosis</t>
  </si>
  <si>
    <t>Secundary hypertension</t>
  </si>
  <si>
    <t>Comitê de Ética da Faculdade de Medicina do ABC  Fundação ABC</t>
  </si>
  <si>
    <t>Analysis of a desensitizing protocol for external tooth whitening: a randomized blinded clinical study</t>
  </si>
  <si>
    <t>U1111-1268-8634</t>
  </si>
  <si>
    <t>Tooth sensitivity induced by external tooth whitening</t>
  </si>
  <si>
    <t>CEP  UNIOESTE</t>
  </si>
  <si>
    <t>cep.prppg@unioeste.br</t>
  </si>
  <si>
    <t>Study of the clinical efficacy and safety of pharmaceutical formulations containing Acmella oleracea (L.) R.K. Jansen (Asteraceae) extract in patients with erectile dysfunction or premature ejaculation</t>
  </si>
  <si>
    <t>Sexual dysfunction</t>
  </si>
  <si>
    <t>LECILDO LIRA BATISTA</t>
  </si>
  <si>
    <t>MACAPÁ</t>
  </si>
  <si>
    <t>lecildolira@unifap.br</t>
  </si>
  <si>
    <t>Evaluation of genetic alterations oxidative stress and gene expression in patients with Amyotrophic Lateral Sclerosis (ALS)</t>
  </si>
  <si>
    <t>09/30/2021</t>
  </si>
  <si>
    <t>Amyotrophic lateral sclerosis</t>
  </si>
  <si>
    <t>Blood Specimen Collection</t>
  </si>
  <si>
    <t>Mariana Gobbo Braz</t>
  </si>
  <si>
    <t>mgbraz@hotmail.com</t>
  </si>
  <si>
    <t>Evaluation of the quality of life of coffee growers in Poço Fundo-MG with the SF-36 instrument during the covid-19 pandemic</t>
  </si>
  <si>
    <t>11/19/2021</t>
  </si>
  <si>
    <t>Roberta de Oliveira e Silva</t>
  </si>
  <si>
    <t>Poço Fundo</t>
  </si>
  <si>
    <t>+55(35)99936-2355</t>
  </si>
  <si>
    <t>robs1006oliveira@gmail.com</t>
  </si>
  <si>
    <t>Effects of Dry Needling on Myofascial Trigger Points on the Sensory-Motor System of Subjects with Chronic Ankle Instability</t>
  </si>
  <si>
    <t>U1111-1271-4427</t>
  </si>
  <si>
    <t>Joint Instability</t>
  </si>
  <si>
    <t>Angela Barros Silva</t>
  </si>
  <si>
    <t>joão pessoa</t>
  </si>
  <si>
    <t>angelabarrosfisio@outlook.com</t>
  </si>
  <si>
    <t>Effectiveness of an intervention on the management of occupational stress in military firefighters: randomized clinical trial</t>
  </si>
  <si>
    <t>09/23/2020</t>
  </si>
  <si>
    <t>U1111-1255-8529</t>
  </si>
  <si>
    <t>Marli Aparecida Reis Coimbra</t>
  </si>
  <si>
    <t>marli.apr.coimbra@gmail.com</t>
  </si>
  <si>
    <t>Universidade Fedral do Triângulo Mineiro</t>
  </si>
  <si>
    <t>High Intensity Training (HIIT) applied to high athletes income with and without leucine supplementation: implications for performance</t>
  </si>
  <si>
    <t>Athletic performance</t>
  </si>
  <si>
    <t>Gisele de Melo Rodrigues</t>
  </si>
  <si>
    <t>+55 34 3225-8628</t>
  </si>
  <si>
    <t>ppcsa@famed.ufu.br</t>
  </si>
  <si>
    <t>Effects of cell therapy with mesenchymal stem cells from adipose tissue and platelet-rich plasma in the treatment of osteoartrite that was not responsive to drug treatment</t>
  </si>
  <si>
    <t>11/16/2021</t>
  </si>
  <si>
    <t>Cell- and Tissue-Based Therapy</t>
  </si>
  <si>
    <t>Rodrigo Juliano Oliveira</t>
  </si>
  <si>
    <t>55 67 984346510</t>
  </si>
  <si>
    <t>rodrigo.olveira@ufms.br</t>
  </si>
  <si>
    <t>Use of postural insole associated with strengthening the hip muscles in the treatment of dynamic knee valgus dysfunction in amateur athletes: randomized clinical trial</t>
  </si>
  <si>
    <t>foot pronation</t>
  </si>
  <si>
    <t>Internal knee disorders</t>
  </si>
  <si>
    <t>Heber Alves de Sousa Mendes</t>
  </si>
  <si>
    <t>+55(83)991359956</t>
  </si>
  <si>
    <t>hebercrato@gmail.com</t>
  </si>
  <si>
    <t>Analysis of the effectiveness of aquatic physiotherapy on cognitive processes in healthy elderly</t>
  </si>
  <si>
    <t>Renata Terra de Oliveira</t>
  </si>
  <si>
    <t>reoliveira_terra@hotmail.com</t>
  </si>
  <si>
    <t>Acute glycemic response after adding different foods to breakfast of Type 2 Diabetics</t>
  </si>
  <si>
    <t>U1111-1271-5865</t>
  </si>
  <si>
    <t>Fernanda Duarte Moreira</t>
  </si>
  <si>
    <t>+55(61)999740608</t>
  </si>
  <si>
    <t>fernanda.idd@gmail.com</t>
  </si>
  <si>
    <t>Evaluation of deqi sensation between acupuncture-experienced and non-acupuncture-experienced</t>
  </si>
  <si>
    <t>Acupuncture</t>
  </si>
  <si>
    <t>Maria da Luz Rosário de Sousa</t>
  </si>
  <si>
    <t>+55 19 2106-5260</t>
  </si>
  <si>
    <t>luzsousa@unicamp.br</t>
  </si>
  <si>
    <t>Use of platelet rich plasma and hyaluronic acid in rotator cuff injuries</t>
  </si>
  <si>
    <t>U1111-1267-7964</t>
  </si>
  <si>
    <t>Comparison of Copper Intrauterine Device Insertion Methods in the immediate postpartum</t>
  </si>
  <si>
    <t>Contraception</t>
  </si>
  <si>
    <t>Anticoncepção</t>
  </si>
  <si>
    <t>Thuany Bento Herculano</t>
  </si>
  <si>
    <t>thuany_herc@hotmail.com</t>
  </si>
  <si>
    <t>Effect of different food education programs on knowledge in Nutrition nutritional status and food consumption of the elderly: a randomized field trial</t>
  </si>
  <si>
    <t>U1111-1269-6893</t>
  </si>
  <si>
    <t>Adriana da Silva Lockmann</t>
  </si>
  <si>
    <t>adrilockmann@gmail.com</t>
  </si>
  <si>
    <t>Determination of alcoholemia after consumption of optimized food in a randomized controlled crossover clinical trial in healthy individuals</t>
  </si>
  <si>
    <t>Mental and behavioral disorders due to alcohol use - acute intoxication</t>
  </si>
  <si>
    <t>Charise Dallazem Bertol</t>
  </si>
  <si>
    <t>charise@upf.br</t>
  </si>
  <si>
    <t>Influence of peripheral muscle strength on early ambulation of critically ill patients</t>
  </si>
  <si>
    <t>Myocardial revascularization</t>
  </si>
  <si>
    <t>Thoracic Surgery</t>
  </si>
  <si>
    <t>Preventive intervention in body image disturbances Eating Disorders and Muscle Dysmorphia of Brazilian young adults: a randomized controlled trial in Male Sexual Minorities</t>
  </si>
  <si>
    <t>Vulvar Acuminate Condyloma treatment: comparing surgical techniques using Diodo laser and Electrocaterization</t>
  </si>
  <si>
    <t>U1111-1267-7232</t>
  </si>
  <si>
    <t>Alphapapillomavirus</t>
  </si>
  <si>
    <t>Comitê Ética e pesquisa UFRJ Maternidade Escola</t>
  </si>
  <si>
    <t>cep@me.ufrj.br</t>
  </si>
  <si>
    <t>Treatment of obstructive sleep apnea in the elderly with low-cost intraoral appliance: a multicentric study</t>
  </si>
  <si>
    <t>Sleep Apnea,Obstructive</t>
  </si>
  <si>
    <t>Vania Regina Camargo Fontanella</t>
  </si>
  <si>
    <t>Taquara</t>
  </si>
  <si>
    <t>vaniafontanella@terra.com.br</t>
  </si>
  <si>
    <t>The effects of using Virtual Reality as an adjunct to the Early Mobilization of critical patients</t>
  </si>
  <si>
    <t>U1111-1256-5628</t>
  </si>
  <si>
    <t>Universidade Estadual de Ponta Grossa - UEPG</t>
  </si>
  <si>
    <t>coep@uepg.br</t>
  </si>
  <si>
    <t>Influence of polymorphisms on the sod3 pparα and actn3 genes on oxidative stress dna methilation and performance in corridors supplemented with red grape juice</t>
  </si>
  <si>
    <t>Running,Athletes,Exercise,Genetics,Nutritional Supplementation</t>
  </si>
  <si>
    <t>Nutritional Supplementation</t>
  </si>
  <si>
    <t>Evaluation of Intravascular Blood Irradiation with Laser (ILIB) and Photobiomodulation in the prevention and treatment of Salivary Hypoflow in Oncological Patients</t>
  </si>
  <si>
    <t>Xerostomia</t>
  </si>
  <si>
    <t>Roberta Mariano de Carvalho e Silva</t>
  </si>
  <si>
    <t>rmcarvalho012@gmail.com</t>
  </si>
  <si>
    <t>The effectiveness of instrumental myofascial release to muscle recovery in submission athletes: controlled randomized study</t>
  </si>
  <si>
    <t>Gracielle Vieira Ramos</t>
  </si>
  <si>
    <t>graciellevieiraramos@gmail.com</t>
  </si>
  <si>
    <t>A phase IIb double blind and randomized controlled study to evaluate the efficacy and safety of the Ivermectin in patients with Serious Acute Respiratory Syndrome during the Covid-19 pandemic</t>
  </si>
  <si>
    <t>05/20/2020</t>
  </si>
  <si>
    <t>U1111-1250-6724</t>
  </si>
  <si>
    <t>Severe acute respiratory syndrome SARS</t>
  </si>
  <si>
    <t>Suzana Margareth Lobo</t>
  </si>
  <si>
    <t>suzanaalobo@gmail.com</t>
  </si>
  <si>
    <t>Neuromuscular electrical stimulation in the prevention of pressure ulcer in the posterior region of the pelvis of ICU patients: a randomized controlled trial of efficacy and safety</t>
  </si>
  <si>
    <t>07/20/2018</t>
  </si>
  <si>
    <t>U1111-1216-0865</t>
  </si>
  <si>
    <t>Miriam Viviane Baron</t>
  </si>
  <si>
    <t>+55 051 999618820</t>
  </si>
  <si>
    <t>miriamvbaron@yahoo.com.br</t>
  </si>
  <si>
    <t>Pontifícia Universidade Católica do Rio Grande do Sul</t>
  </si>
  <si>
    <t>Evaluation of nail physiology in elderly women supplemented with hydrolyzed oral collagen: a randomized double-blind placebo-controlled clinical trial</t>
  </si>
  <si>
    <t>A89585186934</t>
  </si>
  <si>
    <t>Collagen. Nails. Elderly</t>
  </si>
  <si>
    <t>Collagen</t>
  </si>
  <si>
    <t>hmiot@gmail.com</t>
  </si>
  <si>
    <t>Technology as a means of intervention for the practice of physical exercise: clinical trial randomized with community elderly</t>
  </si>
  <si>
    <t>Karla Helena Coelho Vilaça e Silva</t>
  </si>
  <si>
    <t>+55(61)981181173</t>
  </si>
  <si>
    <t>kavilaca@yahoo.com.br</t>
  </si>
  <si>
    <t>Effects of multicomponent exercise and vitamin D and calcium supplementation on musculoskeletal function and risk of falls in older women with osteoporosis: randomized controlled clinical trial (VITADEX study)</t>
  </si>
  <si>
    <t>Accidental Falls</t>
  </si>
  <si>
    <t>Anna Raquel Silveira Gomes</t>
  </si>
  <si>
    <t>+55 (41) 99681 0664</t>
  </si>
  <si>
    <t>annaraquelsg@gmail.com</t>
  </si>
  <si>
    <t>Implementation of Immersive Virtual Reality in individuals hospitalized in service emergency hospital</t>
  </si>
  <si>
    <t>U1111-1271-2952</t>
  </si>
  <si>
    <t>Physical Therapy Department,Hospital</t>
  </si>
  <si>
    <t>Francis Lopes Pacagnelli</t>
  </si>
  <si>
    <t>55 18 98802-9656</t>
  </si>
  <si>
    <t>francispacagnelli@unoeste.br</t>
  </si>
  <si>
    <t>The quality of life of women with Osteoarthritis using Arnica gel (Lychnophora pinaster Mart)</t>
  </si>
  <si>
    <t>Sheyla Camylie Paiva</t>
  </si>
  <si>
    <t>+55(86)988269246</t>
  </si>
  <si>
    <t>sheylacamylie16@gmail.com</t>
  </si>
  <si>
    <t>Study of the pharmacokinetic profile in a multiple dose scheme for the drug Benznidazole in patients with Chronic Chagas Disease Indeterminate Form – Relationship with demographic profiles and adverse events and implications for future trials for combination therapy of Chagas Disease</t>
  </si>
  <si>
    <t>Chagas Disease</t>
  </si>
  <si>
    <t>Roberto Magalhaes Saraiva</t>
  </si>
  <si>
    <t>roberto.saraiva@ini.fiocruz.br</t>
  </si>
  <si>
    <t>Histomorphometric evaluation of different graft associations for maxillary sinus elevation in antral cavities</t>
  </si>
  <si>
    <t>Bone resorption</t>
  </si>
  <si>
    <t>other maxillary sinus conditions</t>
  </si>
  <si>
    <t>Elizabeth F. Martinez</t>
  </si>
  <si>
    <t>+55 11 996252801</t>
  </si>
  <si>
    <t>elizabeth.martinez@slmandic.edu.br</t>
  </si>
  <si>
    <t>Effects of an exercise protocol with the aid of a peanut ball during labor without analgesia: a randomized clinical trial</t>
  </si>
  <si>
    <t>Complementary Therapies</t>
  </si>
  <si>
    <t>Chalana Duarte de Sena Fraga</t>
  </si>
  <si>
    <t>Juazeiro</t>
  </si>
  <si>
    <t>+55 (74)98816-3870</t>
  </si>
  <si>
    <t>chalanaduarte@gmail.com</t>
  </si>
  <si>
    <t>Possible Effects of an Osteopathic Manipulative Treatment Session on mobility balance and gait in patients with Parkinsons Disease</t>
  </si>
  <si>
    <t>Instituto de Neurologia Deolindo Couto</t>
  </si>
  <si>
    <t>direcao@indc.ufrj.br</t>
  </si>
  <si>
    <t>Kirschner wires as an alternative to cannulated screws for hallux valgus correction using the minimally invasive chevron-Akin technique: a randomized clinical trial</t>
  </si>
  <si>
    <t>Acquired deformities of the fingers and toes</t>
  </si>
  <si>
    <t>Bunion</t>
  </si>
  <si>
    <t>+55 (91) 98889-0712</t>
  </si>
  <si>
    <t>jamaradei@ufpa.br</t>
  </si>
  <si>
    <t>Evaluation of the auriculotherapy effectiveness associated with standard treatment for patients with Diabetes Mellitus type II: Pragmatic randomized double-blind multicenter clinical trial</t>
  </si>
  <si>
    <t>Ear acupuncture</t>
  </si>
  <si>
    <t>Morgana Duarte da Silva</t>
  </si>
  <si>
    <t>+55(48)999560610</t>
  </si>
  <si>
    <t>morgana.silva@ufsc.br</t>
  </si>
  <si>
    <t>Minimally invasive eyebrow elevation for the treatment of mild to moderate brow tail ptosis</t>
  </si>
  <si>
    <t>blepharochalasis</t>
  </si>
  <si>
    <t>eyelids</t>
  </si>
  <si>
    <t>adriana nogueira</t>
  </si>
  <si>
    <t>55 81 21219117</t>
  </si>
  <si>
    <t>atendimento@fundacaosantaluzia.org.br</t>
  </si>
  <si>
    <t>Polydioxanone threads in the treatment of facial melasma: a proof of concept study</t>
  </si>
  <si>
    <t>+55 14 38134727</t>
  </si>
  <si>
    <t>Comparasion between Fentanyl and Ketamine in the intra-operative sedation of children submitted to orthopedic procedures in upper limb</t>
  </si>
  <si>
    <t>Felipe Oliveira Marques</t>
  </si>
  <si>
    <t>+55(85)996730941</t>
  </si>
  <si>
    <t>felipeufc@gmail.com</t>
  </si>
  <si>
    <t>Evaluation of the effectiveness of an individual mindfulness-based cognitive therapy (MBCT) protocol for patients with resistant depression: a randomized clinical trial</t>
  </si>
  <si>
    <t>U1111-1261-9635</t>
  </si>
  <si>
    <t>Depressive Disorder</t>
  </si>
  <si>
    <t>mindfulness</t>
  </si>
  <si>
    <t>Michele Ferreira Rodrigues</t>
  </si>
  <si>
    <t>+55 21 985846966</t>
  </si>
  <si>
    <t>michelefrodrigues@gmail.com</t>
  </si>
  <si>
    <t>The impact of transdermal Testosterone Nanoemulsion on lipid profile in women with Hypoactive Sexual Desire: A double-blind randomized controlled study</t>
  </si>
  <si>
    <t>U1111-1241-2133</t>
  </si>
  <si>
    <t>Sexual Dysfunctions,Psychological</t>
  </si>
  <si>
    <t>Natasha Ferreira Teixeira Meletti</t>
  </si>
  <si>
    <t>+55(21)992094555</t>
  </si>
  <si>
    <t>natashameletti@yahoo.com.br</t>
  </si>
  <si>
    <t>Heavy Menstrual Bleeding Control with Two Levonorgestrel Intrauterine Systems: A Double-Blind Randomized Clinical Trial</t>
  </si>
  <si>
    <t>Menorrhagia</t>
  </si>
  <si>
    <t>Menstruation disturbances</t>
  </si>
  <si>
    <t>Luis Bahamondes</t>
  </si>
  <si>
    <t>drluisbahamondes@hotmail.com</t>
  </si>
  <si>
    <t>Acute effects and reproducibility of circuit resistance training session on energy expenditure appetite and energy intake in patients with stroke sequelae</t>
  </si>
  <si>
    <t>Appetite</t>
  </si>
  <si>
    <t>Tatiana Rodrigues dos Santos</t>
  </si>
  <si>
    <t>tatirod.santos@gmail.com</t>
  </si>
  <si>
    <t>Effects of Low-level Laser Therapy on the performance of the gluteus medius muscle</t>
  </si>
  <si>
    <t>U1111-1242-5938</t>
  </si>
  <si>
    <t>Effects of low-carbohydrate diets in the treatment of chronic non-communicable diseases</t>
  </si>
  <si>
    <t>Comitê de Ética em Pesquisa – CEP-UFMG</t>
  </si>
  <si>
    <t>+55 3134094592</t>
  </si>
  <si>
    <t>coep@prpq.ufmg.br</t>
  </si>
  <si>
    <t>Evaluation Of The Primary And Accumulated Dermal Irritation Potential And Sensitization Of An Investigational Product - ID27568</t>
  </si>
  <si>
    <t>C-03932345762</t>
  </si>
  <si>
    <t>Disturbances of skin sensation</t>
  </si>
  <si>
    <t>Improved sanitation interventions to prevent urban leptospirosis transmission</t>
  </si>
  <si>
    <t>10/31/2021</t>
  </si>
  <si>
    <t>Leptospirosis</t>
  </si>
  <si>
    <t>Isabela Cardoso de Matos Pinto</t>
  </si>
  <si>
    <t>isabelacmp@gmail.com</t>
  </si>
  <si>
    <t>Osteopathic Treatment in Patients with Temporomandibular Disorder</t>
  </si>
  <si>
    <t>10/30/2021</t>
  </si>
  <si>
    <t>Manipulative Osteopathic Treatment</t>
  </si>
  <si>
    <t>.Aparecido Domingues Vieira</t>
  </si>
  <si>
    <t>Sumaré</t>
  </si>
  <si>
    <t>aparecido196@hotmail.com</t>
  </si>
  <si>
    <t>Clinical trial of individualized homeopathic medicine in Covid-19 epidemic treatment and prevention: efficacy and safety evaluation</t>
  </si>
  <si>
    <t>10/28/2021</t>
  </si>
  <si>
    <t>Pneumonia,viral</t>
  </si>
  <si>
    <t>Marco Aurélio Vinhosa Bastos Jr</t>
  </si>
  <si>
    <t>+55 67 99962-3181</t>
  </si>
  <si>
    <t>marco.vinhosa@ufms.br</t>
  </si>
  <si>
    <t>Hemodynamic effects of osteopathic manipulative treatment on lower limbs of type II diabetics</t>
  </si>
  <si>
    <t>U1111-1269-4683</t>
  </si>
  <si>
    <t>Autonomic Nervous System</t>
  </si>
  <si>
    <t>Insulin-dependent diabetes- with unspecified complications</t>
  </si>
  <si>
    <t>Hamilton Mendes de Souza</t>
  </si>
  <si>
    <t>+55 62 9685-3008</t>
  </si>
  <si>
    <t>hamilfisio@gmail.com</t>
  </si>
  <si>
    <t>Evaluation of motor learning in young adults using a device mobile</t>
  </si>
  <si>
    <t>10/27/2021</t>
  </si>
  <si>
    <t>Ana Karolina Aparecida Silva</t>
  </si>
  <si>
    <t>Guaranésia</t>
  </si>
  <si>
    <t>ana-karol-silva@hotmail.com</t>
  </si>
  <si>
    <t>Evaluation of patient satisfaction submitted to at-home bleaching with different types of bleaching trays: randomized single-blind clinical trial</t>
  </si>
  <si>
    <t>U1111-1269-8723</t>
  </si>
  <si>
    <t>Gingiva</t>
  </si>
  <si>
    <t>Evaluation of dental sensitivity in at-home bleaching with 4% hydrogen peroxide - randomized clinical trial</t>
  </si>
  <si>
    <t>Alessandra Reis</t>
  </si>
  <si>
    <t>+55 042 32203741</t>
  </si>
  <si>
    <t>The influence of a mobile application in the evaluation of bacterial plate index and gengival bleeding index in childrens</t>
  </si>
  <si>
    <t>U1111-12287215</t>
  </si>
  <si>
    <t>Centro Universitário Herminio Ometto</t>
  </si>
  <si>
    <t>Araras</t>
  </si>
  <si>
    <t>comiteetica@uniararas.br</t>
  </si>
  <si>
    <t>Centro Universitário Hermínio Ometto</t>
  </si>
  <si>
    <t>Music in the relief of pain and anxiety during Intraviteral Injection: a randomized clinical trial</t>
  </si>
  <si>
    <t>U1111-1267-8462</t>
  </si>
  <si>
    <t>Acute pain</t>
  </si>
  <si>
    <t>Intravitreal Injections</t>
  </si>
  <si>
    <t>Caíque Jordan Nunes Ribeiro</t>
  </si>
  <si>
    <t>+55(79)36322079</t>
  </si>
  <si>
    <t>caiquejordan@academico.ufs.br</t>
  </si>
  <si>
    <t>The impacts of the Covid-19 pandemic on patients affected in moderate and severe forms - an observational study with an emphasis on the presence of Pain</t>
  </si>
  <si>
    <t>10/25/2021</t>
  </si>
  <si>
    <t>Intractable chronic pain,other chronic pain</t>
  </si>
  <si>
    <t>Guilherme Antonio Moreira de Barros</t>
  </si>
  <si>
    <t>+55 14 3880-1411</t>
  </si>
  <si>
    <t>guilherme.am.barros@unesp.br</t>
  </si>
  <si>
    <t>Effect of transcranial electric stimulation in unilateral spatial neglect after Stroke</t>
  </si>
  <si>
    <t>U1111-1180-7859</t>
  </si>
  <si>
    <t>Stroke,hemiplegia</t>
  </si>
  <si>
    <t>Rodrigo Bazan</t>
  </si>
  <si>
    <t>+55(14)981157727</t>
  </si>
  <si>
    <t>bazan.r@terra.com.br</t>
  </si>
  <si>
    <t>Digital psychosocial intervention for older adults with depression</t>
  </si>
  <si>
    <t>10/22/2021</t>
  </si>
  <si>
    <t>Mental and behavioural disorders</t>
  </si>
  <si>
    <t>Marcia Scazufca</t>
  </si>
  <si>
    <t>scazufca@usp.br</t>
  </si>
  <si>
    <t>Effects of photobiomodulation therapy on metabolic hemodynamic and ventilatory variables in type 2 Diabetes Mellitus</t>
  </si>
  <si>
    <t>U1111-1220-6424</t>
  </si>
  <si>
    <t>Phototherapy</t>
  </si>
  <si>
    <t>Stephanie Nogueira Linares</t>
  </si>
  <si>
    <t>+55(17)981329090</t>
  </si>
  <si>
    <t>ste_linares@hotmail.com</t>
  </si>
  <si>
    <t>Faculdade de Ciências e Tecnologia</t>
  </si>
  <si>
    <t>Impact of implementing a Nutritional Protocol that Mimics Fasting in Breast Cancer patients treated by SUS: a proposal on reducing side effects quality of life progression metastasis and tumor sensitization</t>
  </si>
  <si>
    <t>10/21/2021</t>
  </si>
  <si>
    <t>Francisco Leonardo Torres Leal</t>
  </si>
  <si>
    <t>+55(86) 9 9939-3785</t>
  </si>
  <si>
    <t>torresthe@gmail.com</t>
  </si>
  <si>
    <t>Analysis of the effects of progressive neuromuscular training on pain and neuromuscular performance in elderly women with knee osteoarthritis: clinical randomized controlled trial</t>
  </si>
  <si>
    <t>10/20/2021</t>
  </si>
  <si>
    <t>U1111-1268-8596</t>
  </si>
  <si>
    <t>Ruri Miranda Machado</t>
  </si>
  <si>
    <t>+55 (74) 988542072</t>
  </si>
  <si>
    <t>ruryifba@outlook.com</t>
  </si>
  <si>
    <t>Treatment of multiple gingival recessions with volume-stable collagen matrix impregnated by platelet aggregates: a split-mouth randomized clinical trial</t>
  </si>
  <si>
    <t>Gingival recession</t>
  </si>
  <si>
    <t>Periodontal Attachment Loss</t>
  </si>
  <si>
    <t>Cesar  Benfatti</t>
  </si>
  <si>
    <t>+55 48 9922-9961</t>
  </si>
  <si>
    <t>Acupuncture and acutone for stress reduction in nursing professionals: pilot study</t>
  </si>
  <si>
    <t>Vladimir Araujo da Silva</t>
  </si>
  <si>
    <t>Curitibanos</t>
  </si>
  <si>
    <t>vladimir.araujo@ufsc.br</t>
  </si>
  <si>
    <t>Microdermabrasion Effectiveness Evaluation associated with Vitamin C in Melasma lightening and reduction: a pilot study</t>
  </si>
  <si>
    <t>Melanosis</t>
  </si>
  <si>
    <t>Mila Ferrer Araujo</t>
  </si>
  <si>
    <t>milaferrer.la@gmail.com</t>
  </si>
  <si>
    <t>Assessment of pain ease of insertion and clinical performance of three types of intrauterine devices (copper Mirena® and Kyleena®) in adolescents: partially blind randomized study</t>
  </si>
  <si>
    <t>Adolescent,insertion of intrauterine device</t>
  </si>
  <si>
    <t>Luis Guillermo Bahamondes</t>
  </si>
  <si>
    <t>drluibahamondes@hotmail.com</t>
  </si>
  <si>
    <t>Auriculotherapy in the management of Anxiety symptoms in people living with HIV: randomized clinical trial</t>
  </si>
  <si>
    <t>Odaleia de Oliveira Farias</t>
  </si>
  <si>
    <t>odaleia@alu.ufc.br</t>
  </si>
  <si>
    <t>The impact of dual task training on cognition and risk of falls in older adults</t>
  </si>
  <si>
    <t>10/14/2021</t>
  </si>
  <si>
    <t>+55 (67) 996385040</t>
  </si>
  <si>
    <t>Evaluation of the dietary inflammatory index histopathology of visceral adipose tissue and metabolic profile of adults with obesity undergoing Bariatric and Metabolic surgery</t>
  </si>
  <si>
    <t>U1111-1268-0018</t>
  </si>
  <si>
    <t>Raquel Munhoz Mônico</t>
  </si>
  <si>
    <t>raquel.munhoz@unifesp.br</t>
  </si>
  <si>
    <t>Effect of Clareon-toric intraocular lens position on post-operative refraction</t>
  </si>
  <si>
    <t>U1111-1267-6885</t>
  </si>
  <si>
    <t>Heitor de Heitor Duarte</t>
  </si>
  <si>
    <t>+55 16 981003523</t>
  </si>
  <si>
    <t>heitorhduarte@gmail.com</t>
  </si>
  <si>
    <t>Simulation in anesthesiology</t>
  </si>
  <si>
    <t>Anesthesia,general: adverse effects</t>
  </si>
  <si>
    <t>Joilson M Santos</t>
  </si>
  <si>
    <t>anestesia.dcir@unifesp.br</t>
  </si>
  <si>
    <t>A study to evaluate the use of eSight magnifying glasses in adults with Low Vision</t>
  </si>
  <si>
    <t>subnormal vision</t>
  </si>
  <si>
    <t>Larissa Bastos</t>
  </si>
  <si>
    <t>SAO PAULO</t>
  </si>
  <si>
    <t>larissa.bastos@institutodavisao.org.br</t>
  </si>
  <si>
    <t>Adherence and permanence to a physical exercise program by teleorientation in community-dwelling elderly</t>
  </si>
  <si>
    <t>10/13/2021</t>
  </si>
  <si>
    <t>elderly</t>
  </si>
  <si>
    <t>Conventional percutaneous nephrolithotomy with flexible antegrade nephroscopy vs. Endoscopic Combined Intrarenal Surgery (ECIRS): a prospective randomized study</t>
  </si>
  <si>
    <t>U1111-1270-4008</t>
  </si>
  <si>
    <t>Kidney Calculi</t>
  </si>
  <si>
    <t>Doenças Urológicas</t>
  </si>
  <si>
    <t>Anderson Bruno Pellanda</t>
  </si>
  <si>
    <t>pellanda.anderson@gmail.com</t>
  </si>
  <si>
    <t>Intervention to implement continuous care monitoring for people living with HIV / AIDS</t>
  </si>
  <si>
    <t>Immune system diseases</t>
  </si>
  <si>
    <t>Artur Kalichman</t>
  </si>
  <si>
    <t>artur@crt.saude.sp.gov.br</t>
  </si>
  <si>
    <t>Phototherapy in Burns reepitization: randomized and controlled clinical trials</t>
  </si>
  <si>
    <t>U1111-1270-0415</t>
  </si>
  <si>
    <t>+55 83 9 93148319</t>
  </si>
  <si>
    <t>Evaluation of the effectiveness of an ionic silver impregnated dressing on a burn victim</t>
  </si>
  <si>
    <t>Occlusive Dressings</t>
  </si>
  <si>
    <t>Juliano Baron Almeida</t>
  </si>
  <si>
    <t>riberao preto</t>
  </si>
  <si>
    <t>julianoalmeida87@gmail.com</t>
  </si>
  <si>
    <t>Faculdade de medicina de Ribeirão Preto</t>
  </si>
  <si>
    <t>Effects of Physical Exercise on physical and psychological health of Elderly</t>
  </si>
  <si>
    <t>Alexandro Andrade</t>
  </si>
  <si>
    <t>rua Pascoal Simone,n 358</t>
  </si>
  <si>
    <t>+55 (48) 3664-8677</t>
  </si>
  <si>
    <t>alexandro.andrade.phd@gmail.com</t>
  </si>
  <si>
    <t>Effects of Supervised Resistance Training on Muscle Strength Metabolic Control Quality of Life and its relation with Irisin in Postmenopausal Type 2 Diabetic women</t>
  </si>
  <si>
    <t>Thyago Bruno de Lira dos Santos</t>
  </si>
  <si>
    <t>thyago.lira@upe.br</t>
  </si>
  <si>
    <t>Comparison between robot-assisted video laparoscopic Rives-Stoppa techniques in ventral incisional hernia repair in cancer patients: a prospective and randomized study</t>
  </si>
  <si>
    <t>Incisional hernia,Hernia,Herniorrhaphy,</t>
  </si>
  <si>
    <t>Hernia</t>
  </si>
  <si>
    <t>FRANCISCO TUSTUMI</t>
  </si>
  <si>
    <t>Effect of respiratory physiotherapy on the thoracoabdominal synchrony of premature newborn - controlled clinical trial</t>
  </si>
  <si>
    <t>Adriele de Morais Nunes</t>
  </si>
  <si>
    <t>CAMPINA GRANDE</t>
  </si>
  <si>
    <t>+55 083993608809</t>
  </si>
  <si>
    <t>adrielemnunes@gmail.com</t>
  </si>
  <si>
    <t>Autogenous Mesenchymal Stem Cell Culture-Derived Signalling Molecules as Enhancers of Bone Formation in Bone Grafting</t>
  </si>
  <si>
    <t>Eduardo Rolim Teixeira</t>
  </si>
  <si>
    <t>eduardo.teixeira@pucrs.br</t>
  </si>
  <si>
    <t>Effectiveness of Bach Flower Therapy in reducing Stress of nursing workers</t>
  </si>
  <si>
    <t>Psychological Stress</t>
  </si>
  <si>
    <t>Fabiana Goncalves Seki Gava</t>
  </si>
  <si>
    <t>55 11 97319-5110</t>
  </si>
  <si>
    <t>fabianagsgava@usp.br</t>
  </si>
  <si>
    <t>The Effects of audiovisual neurostimulation on Pain quality of life brain activity and inflammatory biochemical markers in women with Fibromyalgia: a randomized clinical trial</t>
  </si>
  <si>
    <t>other pain chronic</t>
  </si>
  <si>
    <t>Influence of the quantity of body mass involved in the exercise on the performance of executive functions</t>
  </si>
  <si>
    <t>Unspecified dementia in Alzheimers disease</t>
  </si>
  <si>
    <t>Marcos Jose Morais</t>
  </si>
  <si>
    <t>Jataí</t>
  </si>
  <si>
    <t>+55 (64) 98414 7879</t>
  </si>
  <si>
    <t>marcos.morais@discente.ufg.br</t>
  </si>
  <si>
    <t>Effect of respiratory physiotherapy in patients with pulmonary diseases due to non-tuberculous mycobacteria</t>
  </si>
  <si>
    <t>Lung diseases caused by non-tuberculous mycobacteria</t>
  </si>
  <si>
    <t>Lung Diseases</t>
  </si>
  <si>
    <t>Laura Olinto Dossena</t>
  </si>
  <si>
    <t>+55 51 998777121</t>
  </si>
  <si>
    <t>laura-dossena@saude.rs.gov.br</t>
  </si>
  <si>
    <t>The effectiveness of home based physical training on variables related to health and functional capacity of the elderly</t>
  </si>
  <si>
    <t>Mobility Limitation</t>
  </si>
  <si>
    <t>Marcela Rodrigues de Castro</t>
  </si>
  <si>
    <t>marcelarodriguescastro@hotmail.com</t>
  </si>
  <si>
    <t>Effects of weight training walking and high intensity interval training on body composition anthropometric measures lipid profile quality of life and other outcomes in sedentary women with overweight or obesity</t>
  </si>
  <si>
    <t>Edson Zangiacomi Martinez</t>
  </si>
  <si>
    <t>+55(16)98169.9517</t>
  </si>
  <si>
    <t>edson@fmrp.usp.br</t>
  </si>
  <si>
    <t>Postoperative pain assessment after root canal sealing with the new bioceramic bc sealer Hi-flow: A prospective randomized clinical trial</t>
  </si>
  <si>
    <t>Pulp and periapical tissue diseases</t>
  </si>
  <si>
    <t>Chronic apical periodontitis</t>
  </si>
  <si>
    <t>CRISTIANE DA SILVA GOMES BEZERRA</t>
  </si>
  <si>
    <t>Cabo Frio</t>
  </si>
  <si>
    <t>gscristiane@yahoo.com.br</t>
  </si>
  <si>
    <t>Use of self-management strategies combined with multicomponent training to mitigate the effects of social distance from COVID-19 on capacity physical capacity mental health and quality of life in the older adults - A blind randomized and controlled clinical trial</t>
  </si>
  <si>
    <t>06/17/2021</t>
  </si>
  <si>
    <t>U111112543688</t>
  </si>
  <si>
    <t>Problems with style life</t>
  </si>
  <si>
    <t>Anielle Cristhine de Medeiros Takahashi</t>
  </si>
  <si>
    <t>+55 (16) 33518448</t>
  </si>
  <si>
    <t>anielle@ufscar.br</t>
  </si>
  <si>
    <t>Effects of different methods to treat myofascial trigger points: randomized controlled trial</t>
  </si>
  <si>
    <t>+55 14 34021300</t>
  </si>
  <si>
    <t>Effect of chemical agents containing green tea and hyaluronic acid in dentifrice and mouthwash formulations on periodontal and peri-implant clinical parameters. A Randomized Controlled clinical trials</t>
  </si>
  <si>
    <t>Infiltrating resin applies to mask Incisive molar hypomineralization injuries with different degrees of severity</t>
  </si>
  <si>
    <t>Ana Maria Spohr</t>
  </si>
  <si>
    <t>+55(51)99995.0465</t>
  </si>
  <si>
    <t>ana.spohr@pucrs.br</t>
  </si>
  <si>
    <t>Evaluation of a meditation program on stress symptoms among undergraduate students: a randomised clinical trial</t>
  </si>
  <si>
    <t>Stress,anxiety</t>
  </si>
  <si>
    <t>Pablo Coutinho Malheiros</t>
  </si>
  <si>
    <t>malheiros.acp@gmail.com</t>
  </si>
  <si>
    <t>Effects of Aquatic High-intensity Interval Training on cardiovascular risk physical conditioning and motor function</t>
  </si>
  <si>
    <t>U1111-1269-0328</t>
  </si>
  <si>
    <t>High-Intensity Interval Training</t>
  </si>
  <si>
    <t>Fenômenos Fisiológicos Musculoesqueléticos e Neurais</t>
  </si>
  <si>
    <t>Rayne Borges Torres Sette</t>
  </si>
  <si>
    <t>Patos</t>
  </si>
  <si>
    <t>raynebt@yahoo.com.br</t>
  </si>
  <si>
    <t>The role of interleukin 17 and 10 (IL-17 IL-10) in adult female acne associated or not with risk factors for metabolic syndrome and modification after treatment: randomized and comparative clinical study</t>
  </si>
  <si>
    <t>acne</t>
  </si>
  <si>
    <t>Acne</t>
  </si>
  <si>
    <t>Diogo Pazzini Bomfim</t>
  </si>
  <si>
    <t>pazzini.bomfim@unifesp.br</t>
  </si>
  <si>
    <t>Evaluation of Photobiomodulation for pain reduction after third molar extractions</t>
  </si>
  <si>
    <t>Centro de Pesquisa Clínica São Lucas</t>
  </si>
  <si>
    <t>+55(19)33438600</t>
  </si>
  <si>
    <t>centrodepesquisa@hospitaldapuc-campinas.com.br</t>
  </si>
  <si>
    <t>Flow incentive inspirometer training in patients in the postoperative period of Cardiac Surgery: what is the best load prescription</t>
  </si>
  <si>
    <t>U1111-1255-0846</t>
  </si>
  <si>
    <t>Thoracic surgery</t>
  </si>
  <si>
    <t>Physiotherapy</t>
  </si>
  <si>
    <t>Effect of timing of beetroot juice ingestion on magnitude and duration of post-exercise hypotension in hypertensive patients</t>
  </si>
  <si>
    <t>U1111-1267-8510</t>
  </si>
  <si>
    <t>Comitê de ética em pesquisa</t>
  </si>
  <si>
    <t>eticaccs@ccs.ufpb.br</t>
  </si>
  <si>
    <t>The use of music to reduce parental stress in premature babies hospitalized</t>
  </si>
  <si>
    <t>Infant Premature</t>
  </si>
  <si>
    <t>Milena Torres Guilhem Lago</t>
  </si>
  <si>
    <t>milena_mtg@hotmail.com</t>
  </si>
  <si>
    <t>Pyelonephritis impacts on organic anion transporters (OAT) 1 and 3 activity in pregnant women: a quantitative system pharmacology approach</t>
  </si>
  <si>
    <t>U1111-1238-7680</t>
  </si>
  <si>
    <t>Pyelonephritis</t>
  </si>
  <si>
    <t>Pharmacokinetics</t>
  </si>
  <si>
    <t>Jhohann Richard de Lima Benzi</t>
  </si>
  <si>
    <t>RIBEIRÃO PRETO</t>
  </si>
  <si>
    <t>jhohann_benzi@yahoo.com</t>
  </si>
  <si>
    <t>Immediate Effect of Two Manual Therapy Techniques on Limiting Ankle Dorsiflexion: A Randomized Controlled and Blind Clinical Trial</t>
  </si>
  <si>
    <t>A29737970802</t>
  </si>
  <si>
    <t>Lilian Ramiro Felicio</t>
  </si>
  <si>
    <t>+55(34)32182938</t>
  </si>
  <si>
    <t>lilianrf@uol.com.br</t>
  </si>
  <si>
    <t>Faculdade de Educação Física e Fisioterapia - FAEFI/UFU</t>
  </si>
  <si>
    <t>Assessment of sociodemographic clinical and functional variables of children and adolescents in a Neuro Multiprofessional Intensive Therapy program</t>
  </si>
  <si>
    <t>Spinal Muscular Atrophy Type III</t>
  </si>
  <si>
    <t>neurodegenerative diseases</t>
  </si>
  <si>
    <t>Eduarda Pereira Carvalho</t>
  </si>
  <si>
    <t>eduardacarvalho761@gmail.com</t>
  </si>
  <si>
    <t>Effectiveness of different concentrations of potassium nitrate on dental sensitivity at whitening: Randomized Clinical Trial</t>
  </si>
  <si>
    <t>U1111-1247-1182</t>
  </si>
  <si>
    <t>tooth sensitivity</t>
  </si>
  <si>
    <t>Chemically-induced disorders</t>
  </si>
  <si>
    <t>Evaluation of the Effect of Cupping Therapy in the Analgesia process</t>
  </si>
  <si>
    <t>Additional effect of diadynamic currents in a strengthening program muscle in patients with knee arthrosis. Blind randomized clinical trial</t>
  </si>
  <si>
    <t>Resistance Training</t>
  </si>
  <si>
    <t>Electric Stimulation</t>
  </si>
  <si>
    <t>Marco Aurélio Gabanela Schiavon</t>
  </si>
  <si>
    <t>LINS</t>
  </si>
  <si>
    <t>gabanela@hotmail.com</t>
  </si>
  <si>
    <t>Effect of a chlorhexidine controlled release system for plaque control and gingivitis - randomized clinical trial</t>
  </si>
  <si>
    <t>U1111-1218-7442</t>
  </si>
  <si>
    <t>Drug Liberation</t>
  </si>
  <si>
    <t>Esdras Campos França</t>
  </si>
  <si>
    <t>esdrasodonto@gmail.com</t>
  </si>
  <si>
    <t>Effects of High-Intensity Functional Training conducted at home via web classes and face-to-face training on cardiometabolic risk factors in sedentary women over 50 years old</t>
  </si>
  <si>
    <t>Ronaldo Germano Driemeier</t>
  </si>
  <si>
    <t>Francisco Beltrão</t>
  </si>
  <si>
    <t>55 46 99917 2970</t>
  </si>
  <si>
    <t>treinarefuncional@gmail.com</t>
  </si>
  <si>
    <t>Effectiveness of educational technology on breast cancer prevention for healthcare professionals: pragmatic randomized clinical trial</t>
  </si>
  <si>
    <t>Imperatriz</t>
  </si>
  <si>
    <t>+55(99)3529-6062</t>
  </si>
  <si>
    <t>ppgst.ccsst@ufma.br</t>
  </si>
  <si>
    <t>Endovenous Laser treatment combined with Sclerosing Foam in treating Varicose Veins</t>
  </si>
  <si>
    <t>Varicose veins of lower extremities</t>
  </si>
  <si>
    <t>REAC technology protocols in Post-Covid-19 Syndrome (PC-19-S): Randomized Clinical Study</t>
  </si>
  <si>
    <t>05/14/2021</t>
  </si>
  <si>
    <t>U1111-1270-1305</t>
  </si>
  <si>
    <t>Ana Rita Pinheiro Barcessat</t>
  </si>
  <si>
    <t>Macapá</t>
  </si>
  <si>
    <t>ritabarcessat@gmail.com</t>
  </si>
  <si>
    <t>Implant of the Inovare® Transfemoral Transcatheter Valve Feasibility and Verification of Safety and Efficacy Clinical Trial</t>
  </si>
  <si>
    <t>02/17/2020</t>
  </si>
  <si>
    <t>U1111-1245-7367</t>
  </si>
  <si>
    <t>aortic valve stenosis</t>
  </si>
  <si>
    <t>Glaucia Basso Frazzato</t>
  </si>
  <si>
    <t>+55(17)21367005</t>
  </si>
  <si>
    <t>glaucia.basso@braile.com.br</t>
  </si>
  <si>
    <t>Braile Biomédica</t>
  </si>
  <si>
    <t>Ozone therapy associated with body lymphatic drainage for the treatment of gynoid lipodystrophy</t>
  </si>
  <si>
    <t>Cellulite,edema</t>
  </si>
  <si>
    <t>Cellulite</t>
  </si>
  <si>
    <t>Silene Bazi Ribeiro</t>
  </si>
  <si>
    <t>caxias do sul</t>
  </si>
  <si>
    <t>+55 54 999514735</t>
  </si>
  <si>
    <t>silene@tonederm.com.br</t>
  </si>
  <si>
    <t>Development and implementation of a multidisciplinary health monitoring program for patients with Obstructive Sleep Apnea undergoing CPAP (Continuous Positive Pressure) in Lavras-MG</t>
  </si>
  <si>
    <t>Obstructive Sleep Apnea (OSA)</t>
  </si>
  <si>
    <t>Species of non-pathogenic LACTOCOCCUS found in DAIRY PRODUCTS,responsible for the sourness of MILK and the production of LACTIC ACID</t>
  </si>
  <si>
    <t>Lídia Lopes Pereira</t>
  </si>
  <si>
    <t>Lavras</t>
  </si>
  <si>
    <t>lidia.pereira@estudante.ufla.br</t>
  </si>
  <si>
    <t>MIO vs ORIF in the treatment of displaced fractures of the clavicle shaft: a randomized multicentric pragmatic clinical trial</t>
  </si>
  <si>
    <t>U1111-1257-8953</t>
  </si>
  <si>
    <t>Adriano Fernando Mendes Jr</t>
  </si>
  <si>
    <t>adrianofmjr@yahoo.com.br</t>
  </si>
  <si>
    <t>Effectiveness of educational video on the perception of elderly people about the risk of falling: a randomized controlled trial</t>
  </si>
  <si>
    <t>01/27/2020</t>
  </si>
  <si>
    <t>U1111-1246-9886</t>
  </si>
  <si>
    <t>Disorders of environmental origin</t>
  </si>
  <si>
    <t>Guilherme Guarino de Moura Sá</t>
  </si>
  <si>
    <t>guilherme_mourasa@hotmail.com</t>
  </si>
  <si>
    <t>Alcohol dependence: longitudinal study about relapse prevention using polyunsaturated fatty acids (PUFAs)</t>
  </si>
  <si>
    <t>U1111-1269-3822</t>
  </si>
  <si>
    <t>Binge drinking</t>
  </si>
  <si>
    <t>Alcohol-Related Disorders</t>
  </si>
  <si>
    <t>Effect of low intensity resistance training with partial blood flow Restriction on upper limb muscle strength in the elderly</t>
  </si>
  <si>
    <t>U1111-1269-0207</t>
  </si>
  <si>
    <t>Effectiveness of a protocol for the deprescription of clonazepam use in the elderly: single-arm intervention trial</t>
  </si>
  <si>
    <t>U1111-1217-3500</t>
  </si>
  <si>
    <t>Comitê de Ética em Pesquisa Envolvendo Seres Humanos CEPES-CCO</t>
  </si>
  <si>
    <t>Divinopolis</t>
  </si>
  <si>
    <t>(37) 3690-4491</t>
  </si>
  <si>
    <t>cepco@ufsj.edu.br</t>
  </si>
  <si>
    <t>Universidade Federal de São João del-Rei (UFSJ)</t>
  </si>
  <si>
    <t>Influence of digital media in oral health education in the mother-child binomial: A randomized clinical trial</t>
  </si>
  <si>
    <t>Dental caries,dental plaque,oral health education,gingivitis</t>
  </si>
  <si>
    <t>Cárie disease</t>
  </si>
  <si>
    <t>Metabolomomic Investigation of passion fruit intake (Passiflora tenuifila)</t>
  </si>
  <si>
    <t>José Thiago do Carmo Santos</t>
  </si>
  <si>
    <t>Integration between tertiary hospital and basic health units: Project real - redesigning hospital discharge</t>
  </si>
  <si>
    <t>Erika Veruska Paiva Ortolan</t>
  </si>
  <si>
    <t>erika.ortolan@unesp.br</t>
  </si>
  <si>
    <t>Comparative analysis between removable partial dentures with chromium-cobalt and PEEK structures: a randomized and crossover clinical study</t>
  </si>
  <si>
    <t>Jaw,Edentulous,Partially</t>
  </si>
  <si>
    <t>Denture,Complete</t>
  </si>
  <si>
    <t>Daniel Zuluaga Goyeneche</t>
  </si>
  <si>
    <t>16 99 3162247</t>
  </si>
  <si>
    <t>daniel-zuluaga@usp.br</t>
  </si>
  <si>
    <t>Comparison of effectiveness between different Recovery Techniques about Pain Fatigue Biochemical Markers and Function of Crossfit® athletes after a workout: A Randomized Controlled Trial</t>
  </si>
  <si>
    <t>Recovery</t>
  </si>
  <si>
    <t>Pedro Olavo de Paula Lima</t>
  </si>
  <si>
    <t>pedrolima@ufc.br</t>
  </si>
  <si>
    <t>Mechanical biological and microbiological properties of milled or printed dentures: an in vitro and clinical study</t>
  </si>
  <si>
    <t>U1111-1236-7788</t>
  </si>
  <si>
    <t>Edentulism,completely edentulous patient,complete denture wearers</t>
  </si>
  <si>
    <t>Rodrigo Falcão Carvalho Porto de Freitas</t>
  </si>
  <si>
    <t>rodrigo_fcpf@hotmail.com</t>
  </si>
  <si>
    <t>Strength Training and Photobiomodulation</t>
  </si>
  <si>
    <t>Flávio de Castro Magalhães</t>
  </si>
  <si>
    <t>+55 38 998663674</t>
  </si>
  <si>
    <t>flavio.magalhaes@ufvjm.edu.br</t>
  </si>
  <si>
    <t>Analysis of the efficacy of Gastric Air Injection and the Right Lateral Decubitus position in the post-pyloric enteral tube migration: Pilot Study of a Randomized Clinical Trial</t>
  </si>
  <si>
    <t>U1111-1257-7164</t>
  </si>
  <si>
    <t>Gastroparesis. Critical Care. Patients</t>
  </si>
  <si>
    <t>Gastroparesis</t>
  </si>
  <si>
    <t>Seluane Gonçalves Silva</t>
  </si>
  <si>
    <t>seluane@usp.br</t>
  </si>
  <si>
    <t>Randomized open-label and non-inferiority clinical trial to evaluate treatment retention safety and cost-effectiveness of simplified and decentralized HCV treament compared to standard-of-care in the brazilian public health system</t>
  </si>
  <si>
    <t>Hepatitis C</t>
  </si>
  <si>
    <t>Instituto Nacional de Infectologia Evandro Chagas</t>
  </si>
  <si>
    <t>Treatment of Molar-Incisor Hypomineralization and its impact on quality of life: randomized clinical trial</t>
  </si>
  <si>
    <t>U1111-1259-1738</t>
  </si>
  <si>
    <t>Tooth Abnormalities</t>
  </si>
  <si>
    <t>Meire Coelho Ferreira</t>
  </si>
  <si>
    <t>meirecofe@hotmail.com</t>
  </si>
  <si>
    <t>Pulp response to direct capping with polymeric nanoparticles loaded with red propolis from Alagoas</t>
  </si>
  <si>
    <t>U1111-1224-6363</t>
  </si>
  <si>
    <t>dental pulp exposure</t>
  </si>
  <si>
    <t>Isabel Celerino Porto</t>
  </si>
  <si>
    <t>+55(82)99128-0635</t>
  </si>
  <si>
    <t>isabelcmporto@gmail.com</t>
  </si>
  <si>
    <t>Comparison of Health Indicators in Children and Adolescents Performing Traditional Postural Rehabilitation and Virtual Reality</t>
  </si>
  <si>
    <t>U1111-1248-3446</t>
  </si>
  <si>
    <t>Posture</t>
  </si>
  <si>
    <t>Deborah Cristina Gonçalves Luiz Fernani</t>
  </si>
  <si>
    <t>deborah@unoeste.br</t>
  </si>
  <si>
    <t>Effects of Ozonetherapy on Localized Abdominal Fat</t>
  </si>
  <si>
    <t>Adiposity</t>
  </si>
  <si>
    <t>Analysis Of The Effectiveness Of a New Placebo Acupuncture Device In Healthy Individuals: A random study</t>
  </si>
  <si>
    <t>U1111-1259-5927</t>
  </si>
  <si>
    <t>fisio.lagarto@gmail.com</t>
  </si>
  <si>
    <t>Cardiorespiratory Counter-Resistance and Core Training in adults with low back pain</t>
  </si>
  <si>
    <t>09/24/2020</t>
  </si>
  <si>
    <t>Andressa Oliveira Santos</t>
  </si>
  <si>
    <t>professoraoliveira.andressa@gmail.com</t>
  </si>
  <si>
    <t>Gingival irritation during of in-office dental bleaching in adolescents using 6% hydrogen peroxide with and without gingival barrier: randomized double-blind clinical trial</t>
  </si>
  <si>
    <t>U1111-1269-9111</t>
  </si>
  <si>
    <t>Respiratory Muscle Intervention Protocol in Subjects After Covid-19 Infection</t>
  </si>
  <si>
    <t>09/28/2021</t>
  </si>
  <si>
    <t>Tamires Alessa de Mori</t>
  </si>
  <si>
    <t>tamires.mori@live.com</t>
  </si>
  <si>
    <t>BCG revaccination of health care professionals working in the COVID-19 pandemic a preventive strategy to improve innate immune response</t>
  </si>
  <si>
    <t>U1111-1256-3892</t>
  </si>
  <si>
    <t>Ana Paula Junqueira Kipnis</t>
  </si>
  <si>
    <t>ana_kipnis@ufg.br</t>
  </si>
  <si>
    <t>Universidade Federal de Goias</t>
  </si>
  <si>
    <t>Educational innovations to prevent/reduce burden on caregivers</t>
  </si>
  <si>
    <t>Larissa Chaves Pedreira</t>
  </si>
  <si>
    <t>larissa.pedreira@uol.com.br</t>
  </si>
  <si>
    <t>Treatment of moderate to severe cases of the disease caused by the new coronavirus-2019 (COVID-19) with colchicine: a controlled open trial</t>
  </si>
  <si>
    <t>Coronavirus disease 2019 (COVID-19)</t>
  </si>
  <si>
    <t>Colchicine</t>
  </si>
  <si>
    <t>Renê Oliveira</t>
  </si>
  <si>
    <t>rdroliveira@hcrp.usp.br</t>
  </si>
  <si>
    <t>Impacts of spirituality on clinical practice</t>
  </si>
  <si>
    <t>U1111-1244-8424</t>
  </si>
  <si>
    <t>Agnes Claudine Fontes Longuiniere</t>
  </si>
  <si>
    <t>+55(73) 99171-7206</t>
  </si>
  <si>
    <t>agnesfontes@uesb.edu.br</t>
  </si>
  <si>
    <t>The influence of partial removal of the buccal extension of the fat pad from the cheek on the variation of measures and facial parameters satisfaction with facial aesthetics and quality of life: a single-arm clinical trial</t>
  </si>
  <si>
    <t>A+02669843395</t>
  </si>
  <si>
    <t>Burnout in anesthesiology residents during the COVID-19 pandemic -A cross-sectional observational study</t>
  </si>
  <si>
    <t>09/27/2021</t>
  </si>
  <si>
    <t>U1111-1268-1656</t>
  </si>
  <si>
    <t>Comitê de Ética em Pesquisa (CEP) Faculdade de Medicina do ABC FMABC</t>
  </si>
  <si>
    <t>+55 11 49935453</t>
  </si>
  <si>
    <t>Gabapentin as an adjuvant in the management of pain in the postoperative of Anterior Cruciate Ligament surgeries: a double blind randomized and controlled study</t>
  </si>
  <si>
    <t>08/21/2019</t>
  </si>
  <si>
    <t>U1111-1236-6987</t>
  </si>
  <si>
    <t>Ana Paula Bonilauri Ferreira</t>
  </si>
  <si>
    <t>+55 47 30438534</t>
  </si>
  <si>
    <t>apbonilauri@gmail.com</t>
  </si>
  <si>
    <t>Instituto de Ortopedia e Traumatologia de Joinville</t>
  </si>
  <si>
    <t>Clinical study of a formulation containing Phtalox® for the prevention and control of Periodontal Disease</t>
  </si>
  <si>
    <t>09/24/2021</t>
  </si>
  <si>
    <t>U1111-1267-5367</t>
  </si>
  <si>
    <t>Mouthwashes</t>
  </si>
  <si>
    <t>Gingival Hyperplasia</t>
  </si>
  <si>
    <t>Leandro Araújo Fernandes</t>
  </si>
  <si>
    <t>learaujofernandes@gmail.com</t>
  </si>
  <si>
    <t>Clinical and molecular epidemiology of Plasmodium falciparum malaria in the Brazilian Amazon basin: implications for the national malaria control program</t>
  </si>
  <si>
    <t>09/23/2021</t>
  </si>
  <si>
    <t>Malaria due to Plasmodium falciparum</t>
  </si>
  <si>
    <t>José  Moreira</t>
  </si>
  <si>
    <t>+55(21)97035-8843</t>
  </si>
  <si>
    <t>jose.moreira@ini.fiocruz.br</t>
  </si>
  <si>
    <t>Endoscopic Profile and Application of Argon Plasma and / or Metal Clip in patients undergoing Gastric Bypass after Weight Regain</t>
  </si>
  <si>
    <t>09/22/2021</t>
  </si>
  <si>
    <t>U1111-1259-6021</t>
  </si>
  <si>
    <t>Marcela Augusta de Souza Pinhel</t>
  </si>
  <si>
    <t>marcelapinhel@yahoo.com.br</t>
  </si>
  <si>
    <t>Comparison between the effectiveness of the Helmet interface through flow meters versus the mechanical fan for non-invasive ventilation in patients with Covid 19. Controlled and randomized clinical trial</t>
  </si>
  <si>
    <t>Luciana Maria Malosá Sampaio</t>
  </si>
  <si>
    <t>+55 11 33859241</t>
  </si>
  <si>
    <t>lucianamalosa@gmail.com</t>
  </si>
  <si>
    <t>Effects of Reiki therapy on Stress and Resilience among nursing students</t>
  </si>
  <si>
    <t>09/21/2021</t>
  </si>
  <si>
    <t>U1111-1268-3283</t>
  </si>
  <si>
    <t>Therapeutic Touch</t>
  </si>
  <si>
    <t>Paula Midori Castelo Ferrua</t>
  </si>
  <si>
    <t>cep@unifesp.br</t>
  </si>
  <si>
    <t>Vamos active life-improving health program</t>
  </si>
  <si>
    <t>09/20/2019</t>
  </si>
  <si>
    <t>1111-1232-3035</t>
  </si>
  <si>
    <t>hypertension</t>
  </si>
  <si>
    <t>Lisandra Maria Konrad</t>
  </si>
  <si>
    <t>lisandrakonrad@hotmail.com</t>
  </si>
  <si>
    <t>Could physical fitness level modulate innate immune response and prevent Arterial Stiffening and Vascular Dysfunction in COVID-19 patients?A follow-up study for monitoring of Immune Function and Arterial Stifffness</t>
  </si>
  <si>
    <t>COVID 19</t>
  </si>
  <si>
    <t>Fabio Santos Lira</t>
  </si>
  <si>
    <t>fabio.lira@unesp.br</t>
  </si>
  <si>
    <t>Investigating Central Sensitization mechanisms in elderly with Chronic Low Back Pain after an Active Exercise Program</t>
  </si>
  <si>
    <t>U1111-1286-1235</t>
  </si>
  <si>
    <t>Nonspecific dorsalgia</t>
  </si>
  <si>
    <t>Daysiane Malta</t>
  </si>
  <si>
    <t>+55 31 3409 7405</t>
  </si>
  <si>
    <t>dayse_malta@hotmail.com</t>
  </si>
  <si>
    <t>Investigating Central Sensitization mechanisms in elderly people with chronic low back pain after an active exercise program</t>
  </si>
  <si>
    <t>Dorsalgia</t>
  </si>
  <si>
    <t>Larissa Bragança Falcão Marques</t>
  </si>
  <si>
    <t>larissamarques2005@hotmail.com</t>
  </si>
  <si>
    <t>Influence of food and nutritional supplements on exercise-induced hypotension in hypertensive patients</t>
  </si>
  <si>
    <t>U1111-1267-9922</t>
  </si>
  <si>
    <t>Foods</t>
  </si>
  <si>
    <t>Manoel Miranda Neto</t>
  </si>
  <si>
    <t>+55 (83) 999570177</t>
  </si>
  <si>
    <t>manoelverdao@hotmail.com</t>
  </si>
  <si>
    <t>Elaboration and validation of the selection criteria for the treatment of cholelithiasis with choledocholithiasis using the laparoendoscopic technique and on an outpatient basis with cost-effectiveness analysis</t>
  </si>
  <si>
    <t>U1111-1267-9991</t>
  </si>
  <si>
    <t>Choledocholithiasis</t>
  </si>
  <si>
    <t>Digestive System Diseases</t>
  </si>
  <si>
    <t>José Sebastião dos Santos</t>
  </si>
  <si>
    <t>jsdsanto@fmrp.usp.br</t>
  </si>
  <si>
    <t>The effects of transcranial photobiomodulation on clinical conditions and biochemical markers in women with fibromyalgia: a randomized controlled double-blind clinical trial</t>
  </si>
  <si>
    <t>Effect of the Betahistine Dihydrochloride as a treatment for Primary Tinnitus: a randomized clinical trial</t>
  </si>
  <si>
    <t>U1111-1211-6403</t>
  </si>
  <si>
    <t>Otorhinolaryngologic diseases</t>
  </si>
  <si>
    <t>UPECLIN Unidade de Pesquisa Clínica da Faculdade de Medici UNESP</t>
  </si>
  <si>
    <t>secretaria.upeclin@fmb.unesp.br</t>
  </si>
  <si>
    <t>Hospital das Clínicas da Faculdade de Medicina de Botucatu/ UNESP</t>
  </si>
  <si>
    <t>Extracorporeal Shock Wave Therapy Associated With Progressive Exercises In Patients With Rotator Cuff Tendinopathy: A Randomized Placebo Controlled Study</t>
  </si>
  <si>
    <t>U1111-1267-1798</t>
  </si>
  <si>
    <t>Rotator Cuff Injuries</t>
  </si>
  <si>
    <t>Rotator Cuff Syndrom</t>
  </si>
  <si>
    <t>Athilas Braga Menezes</t>
  </si>
  <si>
    <t>athilas.fisio@gmail.com</t>
  </si>
  <si>
    <t>Randomized double-blind controlled phase 2 cross-sectional clinical trial over of neuromodulation associated with classical analgesia versus classical placebo-associated analgesia in cancer patients with moderate to severe pain</t>
  </si>
  <si>
    <t>U1111-1241-2760</t>
  </si>
  <si>
    <t>cronic pain intractable. malignant neoplasm localization unspecified</t>
  </si>
  <si>
    <t>Aline Rocha Lima</t>
  </si>
  <si>
    <t>Santo Andre</t>
  </si>
  <si>
    <t>aline.lima@oncologiador.com.br</t>
  </si>
  <si>
    <t>CEPHO-Centro de Estudos e Pesquisa em Hematologia e Oncologia</t>
  </si>
  <si>
    <t>Effects of tamsulosin on ejaculation</t>
  </si>
  <si>
    <t>A + 29370539808</t>
  </si>
  <si>
    <t>contraception</t>
  </si>
  <si>
    <t>Leonardo Seligra Lopes</t>
  </si>
  <si>
    <t>dr.leonardoseligralopes@yahoo.com.br</t>
  </si>
  <si>
    <t>Evaluation of Erector Spinae Plane Block (ESPB) effectiveness for cesarean section analgesia</t>
  </si>
  <si>
    <t>09/17/2021</t>
  </si>
  <si>
    <t>Rioko Kimico Sakata</t>
  </si>
  <si>
    <t>+55(011)5576-4848,ramal 17006</t>
  </si>
  <si>
    <t>rsakata@gmail.com</t>
  </si>
  <si>
    <t>Effect of zinc supplementation on inflammatory markers in ulcerative colitis</t>
  </si>
  <si>
    <t>Ulcerative Colits</t>
  </si>
  <si>
    <t>Inflammatory Bowel Diseases</t>
  </si>
  <si>
    <t>Nadir do Nascimento Nogueira</t>
  </si>
  <si>
    <t>nadirn@uol.com.br</t>
  </si>
  <si>
    <t>Effect of mobile app on breastfeeding self-efficacy and prevention of breastfeeding complications: a randomized clinical trial</t>
  </si>
  <si>
    <t>Postpartum period,Self-efficacy Breast feeding</t>
  </si>
  <si>
    <t>Mobile Applications</t>
  </si>
  <si>
    <t>JAIZA Sousa Penha</t>
  </si>
  <si>
    <t>SÃO LUÍS</t>
  </si>
  <si>
    <t>jaiza.sousa@discente.ufma.br</t>
  </si>
  <si>
    <t>Evaluation of gynecological and dermatological acceptability of health products under normal conditions of use</t>
  </si>
  <si>
    <t>09/16/2021</t>
  </si>
  <si>
    <t>Gynecological examination</t>
  </si>
  <si>
    <t>Assessment of primary skin irritability accumulation and awareness of a health product (moisturizing cream for Psoriasis) through the Patch Test</t>
  </si>
  <si>
    <t>Randomized controlled clinical trial to evaluate the concept of treatment for atrophied alveolar ridge reconstruction using Collaged Xenogenic Bone Block (CXBB) versus Autogenous Bone Block (ABB) treatment</t>
  </si>
  <si>
    <t>Tooth Loss</t>
  </si>
  <si>
    <t>Atrophy of the alveolar ridge without teeth</t>
  </si>
  <si>
    <t>+55 11 3091-7833</t>
  </si>
  <si>
    <t>The use of Manual Myofascial Release Technique to relieve Acute Pain</t>
  </si>
  <si>
    <t>Other specified muscle disorders</t>
  </si>
  <si>
    <t>Bianca Bastos Cruz</t>
  </si>
  <si>
    <t>55 21 98111-1142</t>
  </si>
  <si>
    <t>babastes.fisio@gmail.com</t>
  </si>
  <si>
    <t>The Efficacy of Elastography in measuring the Rigidity of the fasciae of the lateral and medial gastrocnemius and ischio-tibial muscles of tennis players submitted to the Myofascial Release Technique with Manual Pressure associated with a Deep Sliding</t>
  </si>
  <si>
    <t>Wagner Coelho de Albuquerque Pereira</t>
  </si>
  <si>
    <t>55 21 98633-2158</t>
  </si>
  <si>
    <t>wagner@peb.ufrj.br</t>
  </si>
  <si>
    <t>Intravaginal Electrostimulation associated with Pelvic Floor Muscle training protocol for women with Stress Urinary Incontinence: a randomized controlled trial with economic evaluation</t>
  </si>
  <si>
    <t>11/19/2019</t>
  </si>
  <si>
    <t>U1111-1239-6211</t>
  </si>
  <si>
    <t>stress urinary incontinence</t>
  </si>
  <si>
    <t>BIANCA MANZAN REIS</t>
  </si>
  <si>
    <t>SÃO CARLOS</t>
  </si>
  <si>
    <t>reis.bianca@yahoo.com.br</t>
  </si>
  <si>
    <t>Effects of arginine supplementation and dehydrated beet consumption on endothelial function of individuals with Chronic Obstructive Pulmonary Disease undergoing pulmonary rehabilitation</t>
  </si>
  <si>
    <t>U1111-1266-9504</t>
  </si>
  <si>
    <t>Pulmonary Disease,Chronic Obstructive</t>
  </si>
  <si>
    <t>cienciasdasaude@ufcspa.edu.br</t>
  </si>
  <si>
    <t>A Randomized Patient-Single-Blind Phase IV Clinical Study for Assessing the Safety and Laboratory Immunogenicity Increment after Vaccine Booster with Chadox1-S/NCOV-19 or third dose of Coronavac in previously Vaccinated Elderly subjects</t>
  </si>
  <si>
    <t>09/15/2021</t>
  </si>
  <si>
    <t>COVID-19 Infection</t>
  </si>
  <si>
    <t>Dr. Bruno Andraus Filardi</t>
  </si>
  <si>
    <t>bafilardi@gmail.com</t>
  </si>
  <si>
    <t>Nutrition intervention based on behavior change theories in overweight non-dialysis dependent chronic kidney disease women</t>
  </si>
  <si>
    <t>U1111-1212-9896</t>
  </si>
  <si>
    <t>Chronic kidney disease,obesity</t>
  </si>
  <si>
    <t>Lilian Cuppari</t>
  </si>
  <si>
    <t>lcuppari@uol.com.br</t>
  </si>
  <si>
    <t>Fundação Oswaldo Ramos/Hospital do Rim</t>
  </si>
  <si>
    <t>Chronic effect of the Pilates Method on the morphological neurological and metabolic dimensions of Covid-19 obese people recovered: double blind clinical trial</t>
  </si>
  <si>
    <t>Heleodorio Honarato dos Santos</t>
  </si>
  <si>
    <t>dorioufpb@gmail.com</t>
  </si>
  <si>
    <t>The impact of tele-rehabilitation on motor signs freezing of gait and quality of life of individuals with Parkinsons disease during the social distancing due to pandemic</t>
  </si>
  <si>
    <t>Carla da Silva Batista</t>
  </si>
  <si>
    <t>csilvabatista@usp.br</t>
  </si>
  <si>
    <t>Gingival crevicular fluid cytokine´s and subgingival microbiota from sites with and without Periodontitis in women with and without Breast Cancer</t>
  </si>
  <si>
    <t>CID-10 K05.5 Periodontal disease,CID-10 K053 Chronic periodontitis,CID-10 C50 Malignant breast neoplasm</t>
  </si>
  <si>
    <t>Malignant breast neoplasm</t>
  </si>
  <si>
    <t>Maria da Conceição Machado Gomes</t>
  </si>
  <si>
    <t>55 27998056922</t>
  </si>
  <si>
    <t>falecomaria@gmail.com</t>
  </si>
  <si>
    <t>Interpersonal relationship brief in nursing to equip cocaine users in the management of anxiety: a feasibility study</t>
  </si>
  <si>
    <t>Caroline  Figueira Pereira</t>
  </si>
  <si>
    <t>pereiracf@usp.br</t>
  </si>
  <si>
    <t>Randomized clinical trial on the Impact of nursing reception for women undergoing Diagnostic Hysteroscopy</t>
  </si>
  <si>
    <t>09/13/2021</t>
  </si>
  <si>
    <t>hysteroscopy,pain,user embracement,anxiety</t>
  </si>
  <si>
    <t>User Embracement</t>
  </si>
  <si>
    <t>Belisa Franco de Campos</t>
  </si>
  <si>
    <t>belisafc@hotmail.com</t>
  </si>
  <si>
    <t>Nutritional status of micronutrients in individuals with Morbid Obesity undergoing Roux-and-Y Gastric Bypass Surgery</t>
  </si>
  <si>
    <t>hypercholesterolemia</t>
  </si>
  <si>
    <t>C19874482 hypothyroidism</t>
  </si>
  <si>
    <t>Andrea Ramalho</t>
  </si>
  <si>
    <t>+55 (21) 3938-6603</t>
  </si>
  <si>
    <t>aramalho.rj@gmail.com</t>
  </si>
  <si>
    <t>Epigallocatechin (EGCG) as an immunomodulatory and antineoplastic treatment in elderly patients with AML or high-risk MDS inelegible for high-dose conventional chemotherapy</t>
  </si>
  <si>
    <t>Acute myeloid leukemia / High-risk myelodysplastic syndromes</t>
  </si>
  <si>
    <t>myelodysplastic syndromes</t>
  </si>
  <si>
    <t>Sara T. Olalla Saad</t>
  </si>
  <si>
    <t>+55(019)35218734</t>
  </si>
  <si>
    <t>sara@unicamp.br</t>
  </si>
  <si>
    <t>Influence of prosthesis types on masticatory efficiency and oral health-related quality of life</t>
  </si>
  <si>
    <t>U1111-1244-8732</t>
  </si>
  <si>
    <t>Linda Wang</t>
  </si>
  <si>
    <t>+55(14)32358480</t>
  </si>
  <si>
    <t>wang.linda@usp.br</t>
  </si>
  <si>
    <t>Faculdade de Odontologia de Bauru,Universidade de São Paulo</t>
  </si>
  <si>
    <t>Association of dietary patterns inflammation and intestinal microbiota with subclinical atherosclerosis in children and adolescents with congenital heart disease undergoing cardiac procedure</t>
  </si>
  <si>
    <t>U1111-1260-3208</t>
  </si>
  <si>
    <t>Atherosclerosis</t>
  </si>
  <si>
    <t>Silvia Meyer Cardoso</t>
  </si>
  <si>
    <t>+55 48 30285860</t>
  </si>
  <si>
    <t>silvia.meyercardoso@gmail.com</t>
  </si>
  <si>
    <t>Nutritional Quality Dietary Inflammatory Index Assessment and Body Composition Parameters in Elderly</t>
  </si>
  <si>
    <t>sarcopenia</t>
  </si>
  <si>
    <t>Raquel Munhoz da Silveira Campos</t>
  </si>
  <si>
    <t>+55 (11) 5571-1062,+55 (11) 5539-7162</t>
  </si>
  <si>
    <t>raquelmunhoz@hotmail.com</t>
  </si>
  <si>
    <t>The Brazilian Amazon flora as a natural resource for the development of a platform for choosing new anti-SARS-CoV2 drugs using sensitive point-of-care sensors</t>
  </si>
  <si>
    <t>Pedro Ysmael Cornejo Mujica</t>
  </si>
  <si>
    <t>cep_uft@uft.edu.br</t>
  </si>
  <si>
    <t>A descriptive study of clinical results using Latanoprost 0.005% (Xalatan®) compared to Latanoprost 0.005% (Arulatan®) eye drops in patients with primary open-angle glaucoma or ocular hypertension</t>
  </si>
  <si>
    <t>U1111-1228-9569</t>
  </si>
  <si>
    <t>Glaucoma open angle,Ocular hypertension,Glaucoma suspect</t>
  </si>
  <si>
    <t>Rafael Pereira</t>
  </si>
  <si>
    <t>5511-30164080 R-4110</t>
  </si>
  <si>
    <t>rafaelpesquisaclinica@institutodavisao.org.br</t>
  </si>
  <si>
    <t>IPEPO - Instituto Paulista de Estudos e PEsquisas em Oftalmologia</t>
  </si>
  <si>
    <t>Effect of Transcranial Direct Current Stimulation (tDCS) on Resistance to Biceps Muscle Brachial Fatigue in the Elderly: study protocol for a randomized controlled double-blind clinical trial</t>
  </si>
  <si>
    <t>Transcranial Direct Current Stimulation</t>
  </si>
  <si>
    <t>Bianca Tiriba Gomes</t>
  </si>
  <si>
    <t>biancatgomes@gmail.com</t>
  </si>
  <si>
    <t>Comparison of different approaches - flap designs - in the postoperative of impacted third molar surgery</t>
  </si>
  <si>
    <t>Mandible</t>
  </si>
  <si>
    <t>Adriana Corsetti</t>
  </si>
  <si>
    <t>adri.corsetti@gmail.com</t>
  </si>
  <si>
    <t>Effect of photodynamic therapy on clinical parameters subgingival microbiota composition and salivary levels of IL-6 TNF-alpha RANKL and OPG of patients with chronic periodontitis</t>
  </si>
  <si>
    <t>U1111-1229-8356</t>
  </si>
  <si>
    <t>Chronic periodontitis</t>
  </si>
  <si>
    <t>Marcela Letícia da Silva Azevedo</t>
  </si>
  <si>
    <t>+55 (84) 9 9159-6459</t>
  </si>
  <si>
    <t>marcelaazevodonto@hotmail.com</t>
  </si>
  <si>
    <t>Pós-Graduação em Saúde Coletiva</t>
  </si>
  <si>
    <t>Chronic effects of the Pilates Method on cardiorespiratory and metabolic responses in controlled hypertensive women</t>
  </si>
  <si>
    <t>Alessandra Medeiros</t>
  </si>
  <si>
    <t>a.medeiros@unifesp.br</t>
  </si>
  <si>
    <t>Effect of manual therapy associated with neck muscle exercise program and pain education in patients with migraine – a 3-Armed randomized clinical trial</t>
  </si>
  <si>
    <t>U1111-1254-8143</t>
  </si>
  <si>
    <t>Débora Bevilaqua Grossi</t>
  </si>
  <si>
    <t>+55(16)3315-4413</t>
  </si>
  <si>
    <t>deborabg@fmrp.usp.br</t>
  </si>
  <si>
    <t>Mental health at work: Mindfulness and Self-compassion online to reduce stress and improve the quality of life at work</t>
  </si>
  <si>
    <t>Stress,depression,anxiety,mindfulness,self-compassion,quality of life</t>
  </si>
  <si>
    <t>Stresse</t>
  </si>
  <si>
    <t>RAISSA ESTER MAIA MONTEIRO</t>
  </si>
  <si>
    <t>raissaestermm@gmail.com</t>
  </si>
  <si>
    <t>Influence of the BsmI Polymorphism (rs 1544410) of the VDR gene on the effect of Supplementation with Megadoses of Vitamina D 3 Process Inflammatory and Oxidative Estress Metthylation of the VDR Gene and Bone Mineral Density in patients com Cystic Fibrosis</t>
  </si>
  <si>
    <t>D003550 Cystic Fibrosis</t>
  </si>
  <si>
    <t>Dayanna Marques Queiroz</t>
  </si>
  <si>
    <t>(55) 83 996296511</t>
  </si>
  <si>
    <t>dayannajoyse@hotmail.com</t>
  </si>
  <si>
    <t>Encephalopathy associated with severe sepsis in Pediatrics</t>
  </si>
  <si>
    <t>U1111-1259-7228</t>
  </si>
  <si>
    <t>Other sepsis</t>
  </si>
  <si>
    <t>Arnaldo Prata Barbosa</t>
  </si>
  <si>
    <t>arnaldoprata@globo.com</t>
  </si>
  <si>
    <t>Randomized controlled trial of alternative hepatitis B vaccination schemes and epidemiological study of sexually transmitted infections in an impoverished population in Aparecida de Goiânia: scenario diagnosis and contributions to health policies to address health inequities</t>
  </si>
  <si>
    <t>U1111-1239-6959</t>
  </si>
  <si>
    <t>Virus diseases</t>
  </si>
  <si>
    <t>Sandra Maria Brunini de Souza</t>
  </si>
  <si>
    <t>sandrabrunini@hotmail.com</t>
  </si>
  <si>
    <t>Faculdade de Enfermagem Universidade Federal de Goiás</t>
  </si>
  <si>
    <t>Comparative study of the excretion of orange flavonoids cv. Pera and cv. Moro juices between lean and obese individuals</t>
  </si>
  <si>
    <t>U1111-1216-2468</t>
  </si>
  <si>
    <t>Faculdade de Ciências Farmacêuticas</t>
  </si>
  <si>
    <t>Guided Image Relaxation in cervical cancer patients in radiotherapy and chemotherapy treatment randomized clinical trial</t>
  </si>
  <si>
    <t>U111112421852</t>
  </si>
  <si>
    <t>Uterine Cervical Neoplasms</t>
  </si>
  <si>
    <t>Edenice de Oliveira Santana</t>
  </si>
  <si>
    <t>esanttana42@gmail.com</t>
  </si>
  <si>
    <t>Effect of physical exercise on cardiac pulmonary muscular capacity fatigue quality of life and exercise level in cancer patients who underwent bone marrow transplantation within 100 days</t>
  </si>
  <si>
    <t>exercise</t>
  </si>
  <si>
    <t>Suellen Cristina Roussenq</t>
  </si>
  <si>
    <t>55 048 996731731</t>
  </si>
  <si>
    <t>suca_sc@hotmail.com</t>
  </si>
  <si>
    <t>Investigation of endodontic microbial condition in irratiated patients with cancer</t>
  </si>
  <si>
    <t>Periapical periodontits. Cancer</t>
  </si>
  <si>
    <t>periapical periodontitis</t>
  </si>
  <si>
    <t>Marcia Valera</t>
  </si>
  <si>
    <t>São José dos campos</t>
  </si>
  <si>
    <t>(55) 12 3947 9400</t>
  </si>
  <si>
    <t>marcia.valera@unesp.br</t>
  </si>
  <si>
    <t>Evaluation of Grape Juice treatment on Systemic Inflammation Oxidative Stress Autonomic Neuromodulation and the impacts of these variables on the severity of progression of Covid19 (2019 coronavirus disease) in hospitalized patients</t>
  </si>
  <si>
    <t>U1111-1269-2242</t>
  </si>
  <si>
    <t>teresina</t>
  </si>
  <si>
    <t>Evaluation of the effectiveness of a protocol for Anticoagulated patients in the public health system in the city of Ijuí / RS</t>
  </si>
  <si>
    <t>U1111-1251-8233</t>
  </si>
  <si>
    <t>Evaluation of the effects of 0.12% chlorexidine and blue®m mouthwash in patients with gingivitis</t>
  </si>
  <si>
    <t>Fausto Frizzera Borges Filho</t>
  </si>
  <si>
    <t>faustofrizzera@yahoo.com.br</t>
  </si>
  <si>
    <t>Accuracy assessment between the digital bracket bonding system (CAD/CAM) and conventional systems</t>
  </si>
  <si>
    <t>Direct Bonding Indirect Collage Digital Collage Accuracy</t>
  </si>
  <si>
    <t>Eloisa Peixoto Soares Ueno</t>
  </si>
  <si>
    <t>elosoares@cos.odo.br</t>
  </si>
  <si>
    <t>Autogenous Transplantation of dental pulp from third molars into teeth with Irreversible Pulpitis and Pulp Necrosis</t>
  </si>
  <si>
    <t>Dental Pulp</t>
  </si>
  <si>
    <t>Fabio Roberto Dametto</t>
  </si>
  <si>
    <t>+55 (84) 98871-4246</t>
  </si>
  <si>
    <t>dametto71@hotmail.com</t>
  </si>
  <si>
    <t>Effects of transcranial direct current stimulation associated with manual therapy on the vagus nerve in pain in women with fibromyalgia: a double-blind randomized and controlled clinical trial</t>
  </si>
  <si>
    <t>U1111-1264-9863</t>
  </si>
  <si>
    <t>Fernando Zanela da Silva Arêas</t>
  </si>
  <si>
    <t>Vitória / Brazil</t>
  </si>
  <si>
    <t>fernandozanela@hotmail.com</t>
  </si>
  <si>
    <t>Use of therapeutic elastic tape as an option for speech-language therapy for temporomandibular dysfunction</t>
  </si>
  <si>
    <t>U1111-1253-8752</t>
  </si>
  <si>
    <t>Fabiane Miron Stefani</t>
  </si>
  <si>
    <t>55-48-991776867</t>
  </si>
  <si>
    <t>fabiane.stefani@ufsc.br</t>
  </si>
  <si>
    <t>Impact of a single session of virtual reality-based therapy associated with partial blood flow restriction on hemodynamic autonomic and perception outcomes in elderly women: a randomized crossover trial</t>
  </si>
  <si>
    <t>U1111-1250-6520</t>
  </si>
  <si>
    <t>Virtual Reality</t>
  </si>
  <si>
    <t>Silas de Oliveira Damasceno</t>
  </si>
  <si>
    <t>+55 (18) 99647-7218</t>
  </si>
  <si>
    <t>silas.damasceno10@hotmail.com</t>
  </si>
  <si>
    <t>Comparative study of Selective Laser Trabeculoplasty versus Laser Micropulsed Trabeluloplasty for Intraocular Pressure Control in Patients with Primary Open Angle Glaucoma</t>
  </si>
  <si>
    <t>08/31/2021</t>
  </si>
  <si>
    <t>U1111-1267-2146</t>
  </si>
  <si>
    <t>Glaucoma</t>
  </si>
  <si>
    <t>Eye</t>
  </si>
  <si>
    <t>Roberto Lauande Pimentel</t>
  </si>
  <si>
    <t>+5571 91863005</t>
  </si>
  <si>
    <t>rlauande2003@yahoo.com.br</t>
  </si>
  <si>
    <t>Icodextrin vs. Glucose 2.5% on technique survival of patients undergoing Automated Peritoneal Dialysis of unplanned start: a randomized controlled trial</t>
  </si>
  <si>
    <t>08/30/2021</t>
  </si>
  <si>
    <t>CHRONIC KIDNEY DISEASE STADE 5</t>
  </si>
  <si>
    <t>Evaluation of Metalloproteinases and Oxidants and Antioxidants Factors Related to Skin Aging in Oral Supplementation of Coenzyme Q10 in Elderly Population</t>
  </si>
  <si>
    <t>U1111-1221-4225</t>
  </si>
  <si>
    <t>Marcelle Almeida de Sousa Nogueira</t>
  </si>
  <si>
    <t>dramarcellenogueira@gmail.com</t>
  </si>
  <si>
    <t>Universidade de São Paulo (USP)</t>
  </si>
  <si>
    <t>Pregabalin Antiemetic Effect in Breast Reconstrution Surgery of Patients After Bariatric Surgery. Prospective Randomised and Double-Blind Study</t>
  </si>
  <si>
    <t>U1111-1259-6153</t>
  </si>
  <si>
    <t>Nausea and Vomit</t>
  </si>
  <si>
    <t>CEP HUAP/UFF</t>
  </si>
  <si>
    <t>etica@vm.uff.br</t>
  </si>
  <si>
    <t>Pain Management associated with the application of Carboxytherapy in patients with Cellulite: randomized controlled trial</t>
  </si>
  <si>
    <t>08/25/2021</t>
  </si>
  <si>
    <t>Adria Yared Sadala</t>
  </si>
  <si>
    <t>MANAUS</t>
  </si>
  <si>
    <t>adriasadala@yahoo.com.br</t>
  </si>
  <si>
    <t>Effects of the addition of Transcutaneous Electrical Stimulation to Non-Pharmacological measures of relief during childbirth work: Controlled Randomized Clinical Study</t>
  </si>
  <si>
    <t>03/17/2020</t>
  </si>
  <si>
    <t>U1111-1248-2948</t>
  </si>
  <si>
    <t>Labor,Obstetric,pain</t>
  </si>
  <si>
    <t>Study of the Effectiveness of Preoperative Gabapentin in the Control of Postoperative Pain in Patients Undergoing Inguinal Hernia under Spinal Anesthesia</t>
  </si>
  <si>
    <t>08/24/2021</t>
  </si>
  <si>
    <t>U1111-1252-8325</t>
  </si>
  <si>
    <t>Inguinal hernia</t>
  </si>
  <si>
    <t>Glaucio Boechat Costa</t>
  </si>
  <si>
    <t>gb_costa@me.com</t>
  </si>
  <si>
    <t>Effect of a chitosan-chamomilla microparticle formulation in the prevention of radiation dermatitis: a randomized controlled phase II clinical trial</t>
  </si>
  <si>
    <t>08/26/2019</t>
  </si>
  <si>
    <t>U1111-1232-5650</t>
  </si>
  <si>
    <t>Danielle Cristina Garbuio</t>
  </si>
  <si>
    <t>+55 016 3602-2632</t>
  </si>
  <si>
    <t>dgarbuio@yahoo.com.br</t>
  </si>
  <si>
    <t>Escola de Enfermagem de Ribeirão Preto da Universidade de São Paulo</t>
  </si>
  <si>
    <t>Effect of using low-viscosity resinous infiltrant (Icon®) to prevent carious lesions around orthodontic brackets: a randomized clinical study</t>
  </si>
  <si>
    <t>08/23/2021</t>
  </si>
  <si>
    <t>Tooth desmineralization,Dental Caries,white spot</t>
  </si>
  <si>
    <t>Patricia Pereira Maciel</t>
  </si>
  <si>
    <t>Nazarezinho</t>
  </si>
  <si>
    <t>patriciamaciel.p@hotmail.com</t>
  </si>
  <si>
    <t>Evaluation of the impact of a Problematizing Pedagogical Intervention in the care of Diabetic Patients</t>
  </si>
  <si>
    <t>08/20/2021</t>
  </si>
  <si>
    <t>Layla de Souza Pires Miranda</t>
  </si>
  <si>
    <t>juiz de fora</t>
  </si>
  <si>
    <t>+55 32 988745691</t>
  </si>
  <si>
    <t>laylapires_jf@yahoo.com.br</t>
  </si>
  <si>
    <t>Effect of nursing consultation based on self-supported care on therapeutic adherence of hypertensive patients</t>
  </si>
  <si>
    <t>U1111-1268-8404</t>
  </si>
  <si>
    <t>Arterial hypertension</t>
  </si>
  <si>
    <t>Janaíne Chiara Oliveira Moraes</t>
  </si>
  <si>
    <t>Cajazeiras</t>
  </si>
  <si>
    <t>+55 83 99939-1372</t>
  </si>
  <si>
    <t>janainechiara@hotmail.com</t>
  </si>
  <si>
    <t>Safety practices for physical therapists in the guidance of the elderly: mobile app</t>
  </si>
  <si>
    <t>U1111-1237-0504</t>
  </si>
  <si>
    <t>Senility,Need for personal care assistance,Reduced mobility,Falling unspecified,Difficulty walking not elsewhere classified,Other muscular disorders,Fragile elderly,Musculoskeletal diseases</t>
  </si>
  <si>
    <t>Diba Maria Sebba Tosta de Souza</t>
  </si>
  <si>
    <t>+55(35)34499257</t>
  </si>
  <si>
    <t>dibasouz@uai.com.br</t>
  </si>
  <si>
    <t>Universidade do Vale do Sapucaí - UNIVAS</t>
  </si>
  <si>
    <t>Effect of Topical Application of Arginine-Associated Ibuprofen on Reduction of Dental Sensitivity after Dental Bleaching in the Office</t>
  </si>
  <si>
    <t>01/23/2019</t>
  </si>
  <si>
    <t>U1111-1225-7670</t>
  </si>
  <si>
    <t>Dentin Sensitivity,Dental Bleaching</t>
  </si>
  <si>
    <t>Osnara Maria Mongruel Gomes</t>
  </si>
  <si>
    <t>osnaramgomes@uol.com.br</t>
  </si>
  <si>
    <t>UEPG - Universidade Estadual de Ponta Grossa</t>
  </si>
  <si>
    <t>Analysis of pain control in patients undergoing Pectoral Anesthetic Block (PEC) in Radical Mastectomies with Axillary approach in an Oncology Hospital in Maceió</t>
  </si>
  <si>
    <t>08/19/2021</t>
  </si>
  <si>
    <t>Federal University of Alagoas</t>
  </si>
  <si>
    <t>Maceio</t>
  </si>
  <si>
    <t>(82) 3214-1069</t>
  </si>
  <si>
    <t>secretaria@icbs.ufal.br</t>
  </si>
  <si>
    <t>Evaluation of skin hydration by Corneometry of a health product (skin cream for Psoriasis)Tci01.2021</t>
  </si>
  <si>
    <t>08/17/2021</t>
  </si>
  <si>
    <t>Clinical treatment with Vacuum therapy or Ultrasound combined with Laser for Orofacial Pain (OP) and Temporomandibular Dysfunction (TMD)</t>
  </si>
  <si>
    <t>U1111-1266-6024</t>
  </si>
  <si>
    <t>Patients with temporomandibular disorders</t>
  </si>
  <si>
    <t>sucker therapy</t>
  </si>
  <si>
    <t>Evalluation of the effectiveness of group-based intervention for the management of obesity in users of Primary Care with indication of bariatric surgery</t>
  </si>
  <si>
    <t>Aline C S Lopes</t>
  </si>
  <si>
    <t>alinelopesenf@gmail.com</t>
  </si>
  <si>
    <t>Contraception in women with Sicle Cell Disease: a cohort study</t>
  </si>
  <si>
    <t>03/15/2018</t>
  </si>
  <si>
    <t>U1111-1204-6008</t>
  </si>
  <si>
    <t>Sickle Cell Disease</t>
  </si>
  <si>
    <t>Ariani Impieri  Souza</t>
  </si>
  <si>
    <t>ariani@imip.org.br</t>
  </si>
  <si>
    <t>Effect of smartphone application in the treatment of obesity in adolescents</t>
  </si>
  <si>
    <t>Marcio Correa Mancini</t>
  </si>
  <si>
    <t>marcio.mancini@fm.usp.br</t>
  </si>
  <si>
    <t>Prospective randomized study to assess the safety and efficacy of the treatment of Acute Spinal Cord Injury with Polylaminin injection</t>
  </si>
  <si>
    <t>U1111-1144-5390</t>
  </si>
  <si>
    <t>Karla Menezes</t>
  </si>
  <si>
    <t>karlamenesess@gmail.com</t>
  </si>
  <si>
    <t>Randomized controlled clinical trial on the effect of Hyperbaric Oxygen Therapy (HBO) in non intubated COVID-19 hospitalized patients</t>
  </si>
  <si>
    <t>08/16/2021</t>
  </si>
  <si>
    <t>U1111-1257-0947</t>
  </si>
  <si>
    <t>Severe acute respiratory syndrome</t>
  </si>
  <si>
    <t>Alessandra Rocha Luz</t>
  </si>
  <si>
    <t>alessandrarochaluz@gmail.com</t>
  </si>
  <si>
    <t>Hospital Risoleta Tolentino Neves</t>
  </si>
  <si>
    <t>Tele-care protocol performed by parents involving specific task- environment- participation (STEP protocol) for infants at risk for cerebral palsy- randomized controlled clinical trial</t>
  </si>
  <si>
    <t>U1111-1249-3260</t>
  </si>
  <si>
    <t>Other preterm infants,Extremely low birth weight,Birth asphyxia,unspecified</t>
  </si>
  <si>
    <t>Certain conditions originating in the perinatal period</t>
  </si>
  <si>
    <t>Camila Resende Gâmbaro Lima</t>
  </si>
  <si>
    <t>camillinha_gambaro@hotmail.com</t>
  </si>
  <si>
    <t>Effect of neuromodulation on pain and functional mobility of people infected with HTLV-1 randomized clinical trial</t>
  </si>
  <si>
    <t>08/15/2021</t>
  </si>
  <si>
    <t>HTLV-I Infections</t>
  </si>
  <si>
    <t>KÁTIA NUNES SÁ</t>
  </si>
  <si>
    <t>+55 (24) 98882-5847</t>
  </si>
  <si>
    <t>katia.sa@gmail.com</t>
  </si>
  <si>
    <t>Effects of maternal obesity on the pharmacokinetics of misoprostol during labor induction</t>
  </si>
  <si>
    <t>08/13/2021</t>
  </si>
  <si>
    <t>U1111-1267-6121</t>
  </si>
  <si>
    <t>Labor,Induced</t>
  </si>
  <si>
    <t>Ricardo Cavalli</t>
  </si>
  <si>
    <t>+ 55 (16) 3602-2583</t>
  </si>
  <si>
    <t>rcavalli@fmrp.usp.br</t>
  </si>
  <si>
    <t>Effectiveness of Mckenzie method of mechanical diagnosis and therapy in Brazilian jiu jitsu practicers with Chronic knee Pain</t>
  </si>
  <si>
    <t>U1111-1267-5989</t>
  </si>
  <si>
    <t>Internal Knee Disorders</t>
  </si>
  <si>
    <t>Knee Injuries</t>
  </si>
  <si>
    <t>Douglas Roberto Silva</t>
  </si>
  <si>
    <t>Taubaté</t>
  </si>
  <si>
    <t>+ 55 12 98800 9838</t>
  </si>
  <si>
    <t>44douglas44@gmail.com</t>
  </si>
  <si>
    <t>Electroacupuncture in the treatment of Tinnitus</t>
  </si>
  <si>
    <t>Auditory Perception</t>
  </si>
  <si>
    <t>Marine Raquel Diniz da Rosa</t>
  </si>
  <si>
    <t>mrdrosa@yahoo.com.br</t>
  </si>
  <si>
    <t>Functional Evaluation and Effects of a Physical Rehabilitation Program on Post-Liver Transplant Patients and its Association with Inflammatory Mediators</t>
  </si>
  <si>
    <t>Liver Transplantation</t>
  </si>
  <si>
    <t>Digestive system diseases</t>
  </si>
  <si>
    <t>Clarissa Bentes de Araujo Magalhães</t>
  </si>
  <si>
    <t>+55 85 988868782</t>
  </si>
  <si>
    <t>clarissabentes@yahoo.com.br</t>
  </si>
  <si>
    <t>Clinical Trial for the Assessment of Safety Tolerance and Immune Responses to Vaccine for the Prevention of Leprosy LepVax in Adult Participants</t>
  </si>
  <si>
    <t>Monique Gurgel de Oliveira</t>
  </si>
  <si>
    <t>moniqueguroliveira@gmail.com</t>
  </si>
  <si>
    <t>Tocilizumab role in reducing the complications of COVID patients</t>
  </si>
  <si>
    <t>Pneumonia due to COVID-19</t>
  </si>
  <si>
    <t>Unspecified acute lower respiratory infection</t>
  </si>
  <si>
    <t>Muhammad Amir</t>
  </si>
  <si>
    <t>Peshawr</t>
  </si>
  <si>
    <t>Pakistan</t>
  </si>
  <si>
    <t>mohd_amir80@hotmail.com</t>
  </si>
  <si>
    <t>Mother project: Effect of administering different carbohydrate-rich solutions on gastric emptying in pediatric patients: Randomized controlled trial Subproject I: Ultrasound evaluation of gastric volume in children undergoing upper digestive endoscopy after ingestion of different carbohydrate-enriched solutions compared with fasting pediatric patients: a randomized controlled trialSubproject II: Effects of the administration of different carbohydrate-rich solutions on gastric emptying assessed by upper digestive endoscopy in pediatric patients: Randomized controlled trial</t>
  </si>
  <si>
    <t>11/13/2019</t>
  </si>
  <si>
    <t>U1111-1238-2147</t>
  </si>
  <si>
    <t>Gustavo Rosa de Almeida Lima</t>
  </si>
  <si>
    <t>grdlima@uol.com.br</t>
  </si>
  <si>
    <t>Faculdade de Medicina de Botucatu da Universidade Estadual Júlio de Mesquita Filho</t>
  </si>
  <si>
    <t>Bone preservation of dental alveoli after extraction with autologous dentin Material</t>
  </si>
  <si>
    <t>U1111-12583170</t>
  </si>
  <si>
    <t>bone reabsorbtion</t>
  </si>
  <si>
    <t>Bone Resorption</t>
  </si>
  <si>
    <t>Massiel j Jaquez Batista</t>
  </si>
  <si>
    <t>Santo Domingo</t>
  </si>
  <si>
    <t>Dominican Republic</t>
  </si>
  <si>
    <t>massieljaquez@gmail.com</t>
  </si>
  <si>
    <t>Effect of strategies action planning and coping planning about adherence to oral antidiabetic agents: a randomized clinical trial</t>
  </si>
  <si>
    <t>U1111-1175-5609</t>
  </si>
  <si>
    <t>diabetes mellitus type 2,medication adherence,hypoglycemic agents,stress psychological</t>
  </si>
  <si>
    <t>+55(19)35218836</t>
  </si>
  <si>
    <t>ddtrevisan@gmail.com</t>
  </si>
  <si>
    <t>Faculdade de Enfermagem da Universidade Estadual de Campinas - Unicamp</t>
  </si>
  <si>
    <t>Effect of active oxygen and photodynamic therapy on the periodontal treatment of residual pockets in diabetes mellitus patient: a randomized clinical study</t>
  </si>
  <si>
    <t>U1111-1235-9625</t>
  </si>
  <si>
    <t>Diabettes mellitus type 2,Periodontitis</t>
  </si>
  <si>
    <t>Leticia Helena Theodoro</t>
  </si>
  <si>
    <t>leticia.theodoro@unesp.br</t>
  </si>
  <si>
    <t>Faculdade de Odontologia de Araçatuba - FOA/UNESP</t>
  </si>
  <si>
    <t>Evaluation of educational technology on Spotted fever: randomized clinical trial by cluster</t>
  </si>
  <si>
    <t>U1111-1240-7162</t>
  </si>
  <si>
    <t>Cognitive Knowledge about Spotted Fever</t>
  </si>
  <si>
    <t>Rocky Mountain Spotted Fever</t>
  </si>
  <si>
    <t>Beatriz Rossetti Ferreira</t>
  </si>
  <si>
    <t>(+55) 016-99606-9980</t>
  </si>
  <si>
    <t>brferrei@usp.br</t>
  </si>
  <si>
    <t>Comparative study of the surgical treatment of Irreparable rotator cuff tears by the Augmentation associated with Interposition technique with fascia lata autograft versus Partial repair</t>
  </si>
  <si>
    <t>09/17/2018</t>
  </si>
  <si>
    <t>U1111-1219-3974</t>
  </si>
  <si>
    <t>Fabiano Rebouças Ribeiro</t>
  </si>
  <si>
    <t>fabianoreboucas@globo.com</t>
  </si>
  <si>
    <t>IAMSPE</t>
  </si>
  <si>
    <t>Assessment of body composition and total body water complemented with the aid of bioelectrical impedance in term and preterm newborns</t>
  </si>
  <si>
    <t>neonatal</t>
  </si>
  <si>
    <t>Electric Impedance</t>
  </si>
  <si>
    <t>Alan Araújo Vieira</t>
  </si>
  <si>
    <t>55 21 996143756</t>
  </si>
  <si>
    <t>alanvieira@id.uff.br</t>
  </si>
  <si>
    <t>Effect of Strength Training with Blood Flow Restriction: Physiological Morphological and Neuromuscular Adaptations</t>
  </si>
  <si>
    <t>blood pressure,physiological adaptation,anthropometry</t>
  </si>
  <si>
    <t>blood pressure</t>
  </si>
  <si>
    <t>HIDAYANE GONÇALVES DA SILVA</t>
  </si>
  <si>
    <t>JOÃO PESSOA</t>
  </si>
  <si>
    <t>+55 83 9 9917-0581</t>
  </si>
  <si>
    <t>hiday_50@hotmail.com</t>
  </si>
  <si>
    <t>Randomized clinical trial of Tibial Base Plate Rotation in TKA : Sahin X Akagi</t>
  </si>
  <si>
    <t>Gonarthrosis</t>
  </si>
  <si>
    <t>Rodrigo Pereira da Silva Nunes</t>
  </si>
  <si>
    <t>drrpsnunnes@gmail.com</t>
  </si>
  <si>
    <t>Immediate effects of Elastic Banding on Thoracoabdominal Expandability Vital Capacity and Respiratory Muscle Strength in young adults</t>
  </si>
  <si>
    <t>Respiratory Function Tests</t>
  </si>
  <si>
    <t>Maiara Schvambach</t>
  </si>
  <si>
    <t>maiaraschvambach@gmail.com</t>
  </si>
  <si>
    <t>Effect of rehabilitation with mandibular overdenture on self-perceived health mouthwash masticatory efficiency and maximum bite force in users of complete dentures</t>
  </si>
  <si>
    <t>U1111-1267-0693</t>
  </si>
  <si>
    <t>Assessment of stress levels in children submitted to Surgical Procedures dosed by salivary Cortisol</t>
  </si>
  <si>
    <t>Ketillyn Nayara Macedo Silveira</t>
  </si>
  <si>
    <t>ketymacedo13@gmail.com</t>
  </si>
  <si>
    <t>Effect of low level intensity laser therapy with double wavelength and fibrin-rich plasma on the healing of third molar post-extraction sockets. A split-mouth randomized controlled clinical trial</t>
  </si>
  <si>
    <t>Third molar included</t>
  </si>
  <si>
    <t>Marital infertility treatment related to decreased quantity and quality of sperm</t>
  </si>
  <si>
    <t>U1111-1258-4687</t>
  </si>
  <si>
    <t>oligospermia</t>
  </si>
  <si>
    <t>Male Infertility</t>
  </si>
  <si>
    <t>João Roberto Paladino Junior</t>
  </si>
  <si>
    <t>urologiapaladino@gmail.com</t>
  </si>
  <si>
    <t>Evaluation of the duration of the Spontaneous Breathing Test in the prediction of extubation in preterm newborns</t>
  </si>
  <si>
    <t>U1111-1249-1780</t>
  </si>
  <si>
    <t>Ana Carolina Gusmão DAmorim</t>
  </si>
  <si>
    <t>acarolgusmao@hotmail.com</t>
  </si>
  <si>
    <t>REAL HOSPITAL PORTUGUES DE BENEFICENCIA EM PERNAMBUCO</t>
  </si>
  <si>
    <t>Magnesium Sulfate as adjunvant to Bupivacaine in Supraclavicular Brachial Plexus Block: is it effective? - a randomized double-blind clinical trial</t>
  </si>
  <si>
    <t>Forearm Fracture</t>
  </si>
  <si>
    <t>Natanael Pietroski dos Santos</t>
  </si>
  <si>
    <t>pietroski@gmail.com</t>
  </si>
  <si>
    <t>Effect of Therapeutic Intervention with muscle resistance training balance and gait with visual feedback in elderly women with and without Knee Osteoarthritis: randomized clinical trial</t>
  </si>
  <si>
    <t>Tatiane Silva de Souza</t>
  </si>
  <si>
    <t>55 11 95911 7264</t>
  </si>
  <si>
    <t>tattianesilva1@gmail.com</t>
  </si>
  <si>
    <t>High-definition Transcranial Direct Current Stimulation in Treatment of Neuropathic Pain After Brachial Plexus Injury: A Randomized Pilot Study</t>
  </si>
  <si>
    <t>Neuropathic pain after brachial plexus injury</t>
  </si>
  <si>
    <t>Suellen Marinho Andrade</t>
  </si>
  <si>
    <t>suellenandrade@gmail.com</t>
  </si>
  <si>
    <t>Erector Spinae Plane Block for Post-Operatory Analgesia in Cardiac Surgery: a Randomized Clinical Trial</t>
  </si>
  <si>
    <t>U1111-1252-0184</t>
  </si>
  <si>
    <t>Anesthesia for cardiac surgery,post operative pain</t>
  </si>
  <si>
    <t>Magda Lourenço Fernandes</t>
  </si>
  <si>
    <t>fernandesmagda21@gmail.com</t>
  </si>
  <si>
    <t>Cardiorrespiratory telerabilitation for patients post covid-19 hospitalization in brazil: randomized clinical trial</t>
  </si>
  <si>
    <t>Valéria  Amorim Pires Di Lorenzo</t>
  </si>
  <si>
    <t>vallorenzo@ufscar.br</t>
  </si>
  <si>
    <t>Impact of social distancing measures resulting from the severe acute respiratory syndrome coronavirus 2 (SARS COV-2) pandemic on the mental health sleep quality and dental needs of elderly individuals</t>
  </si>
  <si>
    <t>07/31/2021</t>
  </si>
  <si>
    <t>Coronavirus,Dental care,Mental disorders,Sleep,COVID-19,pandemics</t>
  </si>
  <si>
    <t>Talita Malini Carletti</t>
  </si>
  <si>
    <t>+55 028 99920-8066</t>
  </si>
  <si>
    <t>t164114@dac.unicamp.br</t>
  </si>
  <si>
    <t>Randomized clinical trial for the treatment of moderate to severe cases of COVID-19 with Chloroquine and Colchicine</t>
  </si>
  <si>
    <t>U1111-1255-6304</t>
  </si>
  <si>
    <t>B34.2 - Coronavirus infection,unspecified</t>
  </si>
  <si>
    <t>Renê D. Ribeiro Oliveira</t>
  </si>
  <si>
    <t>Study of genetic polymorphism and activity of angiotensin converting enzymes (Ace1 and Ace2) in Covid-19 patients</t>
  </si>
  <si>
    <t>Surveys and Questionnaires</t>
  </si>
  <si>
    <t>Dulce Elena Casarini</t>
  </si>
  <si>
    <t>decasarini@gmail.com</t>
  </si>
  <si>
    <t>Phase 4 randomized controlled single-blind study to assess the immunogenicity and safety of a third dose of heterologous booster with recombinant covid-19 vaccine (AstraZeneca/Fiocruz) covid-19 mRNA vaccine (Pfizer/Wyeth) or vaccine recombinant covid-19 (Janssen) in subjects previously vaccinated against Covid-19 with two doses of Sinovac/Butantan compared to a third homologous booster dose of adsorbed inactivated covid-19 vaccine (Sinovac/Butantan) in adults</t>
  </si>
  <si>
    <t>07/30/2021</t>
  </si>
  <si>
    <t>IDOR - Instituto DOr de Pesquisa e Ensino</t>
  </si>
  <si>
    <t>Implant / mucus rehabilitation supported in total edentulous patients. Analysis of parameters reported by the patient and the clinical microbiological and osteoimmunoinflammatory impact in peri-implant tissues</t>
  </si>
  <si>
    <t>07/29/2021</t>
  </si>
  <si>
    <t>U1111-1250-8437</t>
  </si>
  <si>
    <t>sub-periosteum dental implants /peri-implant diseases</t>
  </si>
  <si>
    <t>Fernanda vieira ribeiro</t>
  </si>
  <si>
    <t>55-11-55864000</t>
  </si>
  <si>
    <t>ribeirofv@yahoo.com.br</t>
  </si>
  <si>
    <t>UNIP</t>
  </si>
  <si>
    <t>Prevention of acute Pancreatitis after Endoscopic Retrograde Cholangiopancreatography (ERCP) with Indometacin</t>
  </si>
  <si>
    <t>U1111-1259-5410</t>
  </si>
  <si>
    <t>Digestive system</t>
  </si>
  <si>
    <t>Júlio Carlos Pereira Lima</t>
  </si>
  <si>
    <t>jpereiralima@terra.com.br</t>
  </si>
  <si>
    <t>Effects of exercise with blood flow restriction (BFR) associated with photobiomodulation (PBM) on muscle performance inflammation and oxidative stress</t>
  </si>
  <si>
    <t>U1111-1241-9457</t>
  </si>
  <si>
    <t>João Vitor Ferlito</t>
  </si>
  <si>
    <t>Bento Gonçalves</t>
  </si>
  <si>
    <t>joaoferlito@yahoo.com.br</t>
  </si>
  <si>
    <t>Centro Universitário de Bento Gonçalves</t>
  </si>
  <si>
    <t>Prematurity detection using the interaction between light and the newborn skin. The Preemie­-Test validation</t>
  </si>
  <si>
    <t>U1111-1205-0539</t>
  </si>
  <si>
    <t>Zilma Silveira Nogueira Reis</t>
  </si>
  <si>
    <t>zilma.medicina@gmail.com</t>
  </si>
  <si>
    <t>Neck-specific strengthening exercise compared with placebo sham ultrasound in patients with migraine: two-armed parallel-groups randomized controlled trial</t>
  </si>
  <si>
    <t>11/28/2016</t>
  </si>
  <si>
    <t>U1111.1181.3200</t>
  </si>
  <si>
    <t>Migraine disorders,neck pain</t>
  </si>
  <si>
    <t>Effectiveness of Hydrogen Peroxide administration in the form of gargle and nasal spray as an auxiliary treatment for suspected and infected patients with SARS-VOC-2</t>
  </si>
  <si>
    <t>07/29/2020</t>
  </si>
  <si>
    <t>U1111-1254-2210</t>
  </si>
  <si>
    <t>Pedro Henrique Corazza</t>
  </si>
  <si>
    <t>+55 (54) 3316-8395</t>
  </si>
  <si>
    <t>pedrocorazza@yahoo.com.br</t>
  </si>
  <si>
    <t>Programa de Pós-Graduação em Odontologia da Universidade de Passo Fundo</t>
  </si>
  <si>
    <t>Non-inferiority prospective phase III single-center open randomized parallel-group clinical study comparing Carrageenan nasal spray and 0.9% sodium chloride nasal saline in a continuous stream in the prevention of COVID-19</t>
  </si>
  <si>
    <t>07/27/2021</t>
  </si>
  <si>
    <t>Ricardo Neves Godinho</t>
  </si>
  <si>
    <t>+55 31 3339-9000</t>
  </si>
  <si>
    <t>drricardogodinho@gmail.com</t>
  </si>
  <si>
    <t>Influence of the mechanical hyperinflation maneuver on intracranial pressure in critically ill neurological patients: randomized clinical trial</t>
  </si>
  <si>
    <t>Disorder,Neurological</t>
  </si>
  <si>
    <t>Silvia Regina Valderramas</t>
  </si>
  <si>
    <t>svalderramas@uol.com.br</t>
  </si>
  <si>
    <t>Effects of transcranial direct current stimulation (TDCS) on cognition and motor function of individuals with severe head injury in the subacute phase: double-blind randomized controlled trial</t>
  </si>
  <si>
    <t>U1111_1257_9208</t>
  </si>
  <si>
    <t>Traumatic Brain Injury (TBI)</t>
  </si>
  <si>
    <t>Safety open label prospective cross-over active controlled study comparing the CLaCS (Cryo-laser Cryo-Sclerotherapy) technique and polidocanol foam sclerotherapy for the treatment of lower limb small varicose veins</t>
  </si>
  <si>
    <t>lower limb varicose veins</t>
  </si>
  <si>
    <t>Sclerotherapy</t>
  </si>
  <si>
    <t>clinica dra anelise rodrigues</t>
  </si>
  <si>
    <t>cuiaba</t>
  </si>
  <si>
    <t>contato@draanelise.med.br</t>
  </si>
  <si>
    <t>Genicular artery embolization using imipenem/cilastatin versus microsphere for ostheoartritis: a randomized clinical trial</t>
  </si>
  <si>
    <t>07/20/2021</t>
  </si>
  <si>
    <t>gonoarthrosis</t>
  </si>
  <si>
    <t>ostheoarthritis</t>
  </si>
  <si>
    <t>Mateus Picada Correa</t>
  </si>
  <si>
    <t>+55 54 30453340</t>
  </si>
  <si>
    <t>drmateus@invascrs.org</t>
  </si>
  <si>
    <t>Omega-3 and vitamin D supplementation in adults with sickle cell anemia</t>
  </si>
  <si>
    <t>U1111-1220-4661</t>
  </si>
  <si>
    <t>Sickle cell disease</t>
  </si>
  <si>
    <t>Sickle-cell disorders</t>
  </si>
  <si>
    <t>Marta Citelli dos Reis</t>
  </si>
  <si>
    <t>55 21 23340679</t>
  </si>
  <si>
    <t>martacitelli@gmail.com</t>
  </si>
  <si>
    <t>Olfactory Training Effects On Post-Covid-19 Hyposmia: Therapeutic Intervention Impacts In Otorhinolaryngology</t>
  </si>
  <si>
    <t>Coronavirus as a cause of diseases classified in other chapters</t>
  </si>
  <si>
    <t>Olfaction Disorders</t>
  </si>
  <si>
    <t>Marcus Miranda Lessa</t>
  </si>
  <si>
    <t>marcusmlessa@gmail.com</t>
  </si>
  <si>
    <t>Effects of supplementation with Probiotics on improving clinical parameters of individuals with Metabolic Syndrome submitted to Roux-en-Y Gastric Bypass a randomized double-blind study</t>
  </si>
  <si>
    <t>U1111-1243-8020</t>
  </si>
  <si>
    <t>Obesity NE</t>
  </si>
  <si>
    <t>Telma Souza e Silva Gebara</t>
  </si>
  <si>
    <t>nutritel65@gmail.com</t>
  </si>
  <si>
    <t>Effects of synchronous tele-rehabilitation with High Intensity Interval Training in hypertension adults (TeleHIIT Trial)</t>
  </si>
  <si>
    <t>07/19/2021</t>
  </si>
  <si>
    <t>Priscila Valverde de Oliveira Vitorino</t>
  </si>
  <si>
    <t>Anápolise</t>
  </si>
  <si>
    <t>+55 62 99227-9975</t>
  </si>
  <si>
    <t>fisioprivitorino@gmail.com</t>
  </si>
  <si>
    <t>Assessment of Anti-HBV Immunogenicity in chronic Hepatitis C non-cirrhotic carriers after being exposed to two Hepatitis B vaccine regimens</t>
  </si>
  <si>
    <t>07/16/2021</t>
  </si>
  <si>
    <t>chronic hepatitis C</t>
  </si>
  <si>
    <t>Claudia Pinto Marques de Oliveira</t>
  </si>
  <si>
    <t>cpm@usp.br</t>
  </si>
  <si>
    <t>Evaluation of dentoskeletal changes assessed by Cone Beam Computed Tomography and Digital Models after Class II treatment with Infra-Zigomatic Crest Mini Screws: A Prospective Randomized Clinical Trial</t>
  </si>
  <si>
    <t>U1111-1258-6176</t>
  </si>
  <si>
    <t>Angle Class II malocclusion</t>
  </si>
  <si>
    <t>Thais Maria Freire Fernandes</t>
  </si>
  <si>
    <t>thais.poleti@unopar.br</t>
  </si>
  <si>
    <t>Effects of Myofascial Trigger Point Dry Needling Therapy in Patients with Temporomandibular Disorders</t>
  </si>
  <si>
    <t>07/14/2021</t>
  </si>
  <si>
    <t>Craniomandibular Disorders</t>
  </si>
  <si>
    <t>Adair Soares Santos</t>
  </si>
  <si>
    <t>+55(48) 3721-2715</t>
  </si>
  <si>
    <t>adair.santos@ufsc.br</t>
  </si>
  <si>
    <t>Prevention and Remineralization of White Spot Lesions in Orthodontics: Comparison of the Efficacy between Sodium Fluoride Varnish and Titanium Tetrafluoride Varnish (TiF4)</t>
  </si>
  <si>
    <t>U1111-1210-8468</t>
  </si>
  <si>
    <t>Dental carie</t>
  </si>
  <si>
    <t>Samanta Mascarenhas Moraes</t>
  </si>
  <si>
    <t>samantamoraes@usp.br</t>
  </si>
  <si>
    <t>BEM Program (Play Teaches to Change): playing in the daily routine to promote child development</t>
  </si>
  <si>
    <t>07/13/2021</t>
  </si>
  <si>
    <t>U1111-1267-9286</t>
  </si>
  <si>
    <t>Katherine Solís-Cordero</t>
  </si>
  <si>
    <t>+55 (11) 95068-8538</t>
  </si>
  <si>
    <t>katherine.solis22@usp.br</t>
  </si>
  <si>
    <t>Inspiratory Muscle Training in COVID-19 patients after hospital discharge</t>
  </si>
  <si>
    <t>Breathing Exercises</t>
  </si>
  <si>
    <t>Priscila Cristina de Abreu Sperandio</t>
  </si>
  <si>
    <t>+55 11 99541-0394</t>
  </si>
  <si>
    <t>prissperandio@gmail.com</t>
  </si>
  <si>
    <t>Transcutaneous atrial vagal neuromodulation and its safety feasibility and functional assessment in patients with heart failure</t>
  </si>
  <si>
    <t>vagal neuromodulation,disautonomy</t>
  </si>
  <si>
    <t>Disautonomy</t>
  </si>
  <si>
    <t>CEP UFF MEDICINA</t>
  </si>
  <si>
    <t>55+021-26299189</t>
  </si>
  <si>
    <t>etica.ret@id.uff.br</t>
  </si>
  <si>
    <t>Evaluation of the measure of physical activity and exposure to sedentary behavior in preschool children during the Covid-19 pandemic</t>
  </si>
  <si>
    <t>U1111-1267-7805</t>
  </si>
  <si>
    <t>Child Behavior</t>
  </si>
  <si>
    <t>Wagner Elias de Melo Moreira</t>
  </si>
  <si>
    <t>São João del-Rei</t>
  </si>
  <si>
    <t>wagner.moreira@uniptan.edu.br</t>
  </si>
  <si>
    <t>Efficacy and safety of topical 02% Thiamidol versus 4% Hydroquinone in the treatment of facial Melasma in women: a randomized and evaluator blinded clinical trial</t>
  </si>
  <si>
    <t>U1111-1258-9350</t>
  </si>
  <si>
    <t>Evaluation of the Implementation and Effectiveness of the (Dique Filipéia) Physiotherapy Protocol in COVID-19 patients admitted to the Municipal Health Network in the city of João Pessoa</t>
  </si>
  <si>
    <t>Maria do Socorro Brasileiro-Santos</t>
  </si>
  <si>
    <t>+55 83 982027067</t>
  </si>
  <si>
    <t>Effects of auriculotherapy in the control of postoperative pain in patients submitted to erupted third molar exodontia</t>
  </si>
  <si>
    <t>U1111-1262-9727</t>
  </si>
  <si>
    <t>Anne Caroline Gercina</t>
  </si>
  <si>
    <t>+55 19 98538-0857</t>
  </si>
  <si>
    <t>annegerc@gmail.com</t>
  </si>
  <si>
    <t>Effectiveness of the debriefing technique in the simulation of Basic Life Support in adults for competence development</t>
  </si>
  <si>
    <t>U1111-1267-5420</t>
  </si>
  <si>
    <t>Simulation Technique</t>
  </si>
  <si>
    <t>Juliana da Silva Garcia Nascimento</t>
  </si>
  <si>
    <t>55-034998092993</t>
  </si>
  <si>
    <t>mestradounesp28@yahoo.com.br</t>
  </si>
  <si>
    <t>Identification of biomarkers in the saliva of patients with COVID-19 for use in screening: a clinical-laboratory study based on artificial intelligence</t>
  </si>
  <si>
    <t>U1111-1266-9189</t>
  </si>
  <si>
    <t>Marcelo Lupion Poleti</t>
  </si>
  <si>
    <t>+55 43 3354-1500</t>
  </si>
  <si>
    <t>marcelo_poleti@yahoo.com.br</t>
  </si>
  <si>
    <t>Antibodies in Covid-19 therapy: phase IIa clinical study with convalescent plasma and generation of human monoclonal antibodies</t>
  </si>
  <si>
    <t>U1111-1261-2191</t>
  </si>
  <si>
    <t>COVID-19,virus identified</t>
  </si>
  <si>
    <t>André Moraes Nicola</t>
  </si>
  <si>
    <t>+55 61 3107 0075</t>
  </si>
  <si>
    <t>amnicola@unb.br</t>
  </si>
  <si>
    <t>Comparative study of analgesic efficacy safety and acceptability between phosphate codeine in combination with paracetamol and oxycodone hydrochloride after extractions of impacted lower third molars</t>
  </si>
  <si>
    <t>Surgery,Oral</t>
  </si>
  <si>
    <t>Matheus Furtado de Carvalho</t>
  </si>
  <si>
    <t>55(32)988113967</t>
  </si>
  <si>
    <t>dr.matheusfurtado@yahoo.com.br</t>
  </si>
  <si>
    <t>Use of portable devices in the diagnosis of ocular diseases during the COVID-19 pandemic</t>
  </si>
  <si>
    <t>U1111-1267-7151</t>
  </si>
  <si>
    <t>glaucoma</t>
  </si>
  <si>
    <t>Gustavo Mori Gabriel</t>
  </si>
  <si>
    <t>gustavomorigabriel@gmail.com</t>
  </si>
  <si>
    <t>Effects of Brazilian Propolis on Mucositis in patients being treated for Head and Neck Cancer</t>
  </si>
  <si>
    <t>propolis,Bee Bread Bee Glue Bread,Bee Glue,Bee</t>
  </si>
  <si>
    <t>Silvio de Almeida Junior</t>
  </si>
  <si>
    <t>silvioalmeidajr@yahoo.com.br</t>
  </si>
  <si>
    <t>Cranial Osteopathic Treatment in headache patients</t>
  </si>
  <si>
    <t>1111-1254-8796</t>
  </si>
  <si>
    <t>Sibele Camargo Bête</t>
  </si>
  <si>
    <t>Itu</t>
  </si>
  <si>
    <t>sibele.bete@osteopatiamadrid.com.br</t>
  </si>
  <si>
    <t>Evaluation of the effectiveness and cost-effectiveness of two foods drugs enriched with prebiotics in the glycemic control of adults</t>
  </si>
  <si>
    <t>U1111-1267-2821</t>
  </si>
  <si>
    <t>Functional food</t>
  </si>
  <si>
    <t>Márcio Flávio Moura de Araújo</t>
  </si>
  <si>
    <t>+55 085 98628-1982</t>
  </si>
  <si>
    <t>oicam29@gmail.com</t>
  </si>
  <si>
    <t>Covidreab study: pulmonary rehabilitation on physical capacity functional capacity and quality of life in post-covid-19</t>
  </si>
  <si>
    <t>Cardiac Rehabilitation</t>
  </si>
  <si>
    <t>ascom@ufam.edu.br</t>
  </si>
  <si>
    <t>Effect of Transcranial Stimulation by Continuous Current in patients with Post-Traumatic Stress Disorder</t>
  </si>
  <si>
    <t>1111-1267-5102</t>
  </si>
  <si>
    <t>Post-Traumatic Stress Disorders</t>
  </si>
  <si>
    <t>Kathy Aleixo dos Santos Marcolim</t>
  </si>
  <si>
    <t>+55 55 99839007</t>
  </si>
  <si>
    <t>aleixo.kathy@gmail.com</t>
  </si>
  <si>
    <t>Inhaled Nitric Oxide for Treatment of SARS-CoV-2 Infection: An Open-Label Multicenter Parallel Randomized Controlled Trial</t>
  </si>
  <si>
    <t>09/22/2020</t>
  </si>
  <si>
    <t>U1111-1254-0466</t>
  </si>
  <si>
    <t>COVID-19,Nitric Oxide Treatment</t>
  </si>
  <si>
    <t>Marcus Jones</t>
  </si>
  <si>
    <t>PUCRS</t>
  </si>
  <si>
    <t>Treatment of wrist dorsal ganglion cyst. Randomized clinical trial: Simple aspiration versus corticoid infiltration versus hypertonic glucose infiltration</t>
  </si>
  <si>
    <t>06/29/2021</t>
  </si>
  <si>
    <t>U1111-1237-4821</t>
  </si>
  <si>
    <t>Other bursal cyst : The problem to be studied will be the dorsal synovial cyst of the wrist,it will be performed in healthy patients with dorsal arthrosynovial cyst confirmed by ultrasound,and without previous treatment</t>
  </si>
  <si>
    <t>Fernando Araujo Pires</t>
  </si>
  <si>
    <t>+55 11953394404</t>
  </si>
  <si>
    <t>drfernandoapires@gmail.com</t>
  </si>
  <si>
    <t>Efficacy of at-home bleaching technique using the bleaching agent on the buccal and palatal surfaces - randomized clinical trial split-mouth and single-blind</t>
  </si>
  <si>
    <t>Effect of Dexmedetomidine added to Ropivacine on ankle block for postoperative analgesia: randomized clinical trial</t>
  </si>
  <si>
    <t>João Paulo Pedroso</t>
  </si>
  <si>
    <t>drjppedroso@gmail.com</t>
  </si>
  <si>
    <t>A randomized clinical trial about the impact of a Telephone Call on the quality of Bowel Preparation</t>
  </si>
  <si>
    <t>06/28/2021</t>
  </si>
  <si>
    <t>Telephone</t>
  </si>
  <si>
    <t>Maria Thereza Miserani</t>
  </si>
  <si>
    <t>mtmiserani@gmail.com</t>
  </si>
  <si>
    <t>Evaluation of the effectiveness of intervention with text messages to support home isolation of suspected cases of Covid-19 identified in primary care</t>
  </si>
  <si>
    <t>Respiratory system diseases</t>
  </si>
  <si>
    <t>Andressa Suelly Saturnino de Oliveira</t>
  </si>
  <si>
    <t>andressasuelly@unilab.edu.br</t>
  </si>
  <si>
    <t>Double blind controlled clinical study for biological evaluation of Calcium Phosphate and Synthetic Biopolymers</t>
  </si>
  <si>
    <t>U1111-1249-2684</t>
  </si>
  <si>
    <t>tooth extraction</t>
  </si>
  <si>
    <t>Disorder of gingiva and alveolar ridge without teeth without other specification</t>
  </si>
  <si>
    <t>Bruno Alves Paim</t>
  </si>
  <si>
    <t>+55 47 34416147</t>
  </si>
  <si>
    <t>bruno.paim@fgm.ind.br</t>
  </si>
  <si>
    <t>Comparison between the effectiveness of Orienteering and Hiking Modalities in Physical and Cognitive Capacities and in the Quality of Life of independent aged</t>
  </si>
  <si>
    <t>06/25/2021</t>
  </si>
  <si>
    <t>Rafael Reimann Baptista</t>
  </si>
  <si>
    <t>+55 51 99996331</t>
  </si>
  <si>
    <t>rafael.baptista@pucrs.br</t>
  </si>
  <si>
    <t>Use of Breastfeeding and Skin-to-Skin Contact in Pain Relief in Newborns Undergoing Heel Lance: Randomized Clinical Trial</t>
  </si>
  <si>
    <t>05/27/2021</t>
  </si>
  <si>
    <t>Kangaroo-Mother Care Method</t>
  </si>
  <si>
    <t>BRUNA NUNES MAGESTI</t>
  </si>
  <si>
    <t>brunanunesmagesti@yahoo.com.br</t>
  </si>
  <si>
    <t>Educational intervention for adherence of adolescents to vaccination against Human Papilloma Virus</t>
  </si>
  <si>
    <t>06/23/2021</t>
  </si>
  <si>
    <t>U1111-1254-5546</t>
  </si>
  <si>
    <t>Hellen Lívia Oliveira Catunda Ferreira</t>
  </si>
  <si>
    <t>hellen_enfermagem@yahoo.com.br</t>
  </si>
  <si>
    <t>Evaluation of the effectiveness of Pulsed Light in the treatment of Evaporative dry eye</t>
  </si>
  <si>
    <t>06/22/2021</t>
  </si>
  <si>
    <t>U1111-1262-8611</t>
  </si>
  <si>
    <t>Ophthalmology</t>
  </si>
  <si>
    <t>Bernardo Reichert</t>
  </si>
  <si>
    <t>ber.reichert@yahoo.com</t>
  </si>
  <si>
    <t>Immediate effect of crochet on cervical pain and mobility in adult individuals with nonspecific neck pain</t>
  </si>
  <si>
    <t>07/27/2020</t>
  </si>
  <si>
    <t>U1111-1253-0789</t>
  </si>
  <si>
    <t>Gisela Rocha de Siqueira</t>
  </si>
  <si>
    <t>+55(81)21268490</t>
  </si>
  <si>
    <t>giselarsiqueira@gmail.com</t>
  </si>
  <si>
    <t>Effects of Educational Technology on Knowledge Attitude and Practice of child Caregivers with Gastrostomy</t>
  </si>
  <si>
    <t>U1111-1240-9065</t>
  </si>
  <si>
    <t>Gastrostomy</t>
  </si>
  <si>
    <t>Lidiane do Nascimento Rodrigues</t>
  </si>
  <si>
    <t>55 85 988873734</t>
  </si>
  <si>
    <t>lidianerodrigues09@gmail.com</t>
  </si>
  <si>
    <t>Comparative of differents protocols photobiomodulation as prevent of oral mucositis in patients undergoing hematopoietic stem cell transplantation</t>
  </si>
  <si>
    <t>12/17/2019</t>
  </si>
  <si>
    <t>U1111-1239-6271</t>
  </si>
  <si>
    <t>Fábio de Abreu Alves</t>
  </si>
  <si>
    <t>falves@accamargo.org.br</t>
  </si>
  <si>
    <t>A.C. Camargo Cancer Center</t>
  </si>
  <si>
    <t>Ultrasound-guided infiltration of hyaluronic acid versus corticosteroid for the treatment of mortons neuroma: randomized clinical trial</t>
  </si>
  <si>
    <t>05/31/2021</t>
  </si>
  <si>
    <t>Mortons neuroma in the foot</t>
  </si>
  <si>
    <t>Hyaluronic Acid</t>
  </si>
  <si>
    <t>Gabriel Ferraz Ferreira</t>
  </si>
  <si>
    <t>gabriel.ferraz38@yahoo.com.br</t>
  </si>
  <si>
    <t>Percutaneous Chevron-Akin technique for hallux valgus correction: is it necessary to fix the Akin? A randomized clinical trial</t>
  </si>
  <si>
    <t>Application of electrothermalphototerapeutic current in patients with Lumbar Pain</t>
  </si>
  <si>
    <t>11/26/2020</t>
  </si>
  <si>
    <t>U1111-1259-5269</t>
  </si>
  <si>
    <t>musculoeskeletal disease</t>
  </si>
  <si>
    <t>acbrandtmacedo@gmail.com</t>
  </si>
  <si>
    <t>Body composition and Genetic assessments in Overweight adolescents and young people and Obese submitted to different Physical Activity Programs</t>
  </si>
  <si>
    <t>Overweight,Obesity,Polymorphism Single Nucleotide,Adolescent</t>
  </si>
  <si>
    <t>wendell costa bila</t>
  </si>
  <si>
    <t>divinópolis</t>
  </si>
  <si>
    <t>wendellbila1@gmail.com</t>
  </si>
  <si>
    <t>Effects of Yacon flour consumtion (Smallanthus sonchifolius) hypocaloric diet on metabolic changes in Overweight individuals</t>
  </si>
  <si>
    <t>01/31/2018</t>
  </si>
  <si>
    <t>U1111-1208-3853</t>
  </si>
  <si>
    <t>Adriane Moreira Machado</t>
  </si>
  <si>
    <t>adriane_nutricao@hotmail.com</t>
  </si>
  <si>
    <t>Strengthening Bonds: Assessment of the Intervention Program in Parental Practices and Parent-child interactions (Phase 2)</t>
  </si>
  <si>
    <t>U1111-1260-5764</t>
  </si>
  <si>
    <t>Maria Beatriz Linhares</t>
  </si>
  <si>
    <t>16-999942320</t>
  </si>
  <si>
    <t>linhares@fmrp.usp.br</t>
  </si>
  <si>
    <t>Faculdade de Medicina de Ribeirão Preto USP</t>
  </si>
  <si>
    <t>Effects of hormonal treatment on quality of life in women with deep endometriosis</t>
  </si>
  <si>
    <t>06/14/2021</t>
  </si>
  <si>
    <t>Mirtes Dias Souza</t>
  </si>
  <si>
    <t>Mirtes.souza@fcmsantacasasp.edu.br</t>
  </si>
  <si>
    <t>Benefits of the pedicled osteoplastic flap as an access route in mastoidectomies</t>
  </si>
  <si>
    <t>Acoustic impedance tests</t>
  </si>
  <si>
    <t>paula tardim lopes</t>
  </si>
  <si>
    <t>sao paulo</t>
  </si>
  <si>
    <t>paulatardimlopes@gmail.com</t>
  </si>
  <si>
    <t>Use of mesenchymal cells for the treatment of patients with severe acute respiratory syndrome caused by SARS-CoV-2</t>
  </si>
  <si>
    <t>08/31/2020</t>
  </si>
  <si>
    <t>U1111-1254-9819</t>
  </si>
  <si>
    <t>COVID-19-associated acute respiratory distress syndrome</t>
  </si>
  <si>
    <t>Paulo Roberto Brofman</t>
  </si>
  <si>
    <t>Analysis of quality of life before and after septoplasty and turbinectomy</t>
  </si>
  <si>
    <t>U1111-1258-5084</t>
  </si>
  <si>
    <t>Nasal obstruction</t>
  </si>
  <si>
    <t>Nasal Surgical Procedures</t>
  </si>
  <si>
    <t>Paula Ferraz Rodrigues</t>
  </si>
  <si>
    <t>paulalgp@hotmail.com</t>
  </si>
  <si>
    <t>Hospital Universitário da Universidade Federall de Juiz de Fora</t>
  </si>
  <si>
    <t>Comparison between Custodiol® del Nido and modified del Nido in the myocardial protection – CARDIOPLEGIA Trial: a randomized double-blind clinical trial</t>
  </si>
  <si>
    <t>A62931067091</t>
  </si>
  <si>
    <t>Adriana Silveira Almeida</t>
  </si>
  <si>
    <t>adrianasdealmeida@gmail.com</t>
  </si>
  <si>
    <t>Study of the feasibility safety and short-term results of the therapeutic use of cannabidiol (CBD) in the treatment of cocaine dependence in the form of crack</t>
  </si>
  <si>
    <t>U1111-1234-0806</t>
  </si>
  <si>
    <t>Andrea Donatti Gallassi</t>
  </si>
  <si>
    <t>andrea.gallassi@gmail.com</t>
  </si>
  <si>
    <t>Universidade de Brasília,Faculdade de Ceilândia (UNB/FCE)</t>
  </si>
  <si>
    <t>Behavioral and electrophysiological evaluation of Auditory Processing in patients with Type 1 Neurofibromatosis before and after auditory training</t>
  </si>
  <si>
    <t>Neurofibromatosis (non-malignant)</t>
  </si>
  <si>
    <t>Daniela Gil</t>
  </si>
  <si>
    <t>+ 55(11)5576-4531 (VOIP: 2713)</t>
  </si>
  <si>
    <t>dgil@unifesp.br</t>
  </si>
  <si>
    <t>Development of fruit and vegetable based smoothies and evaluation of their effect on the recovery of muscle damage</t>
  </si>
  <si>
    <t>Neural management plus advice to stay active in patients with chronic sciatica</t>
  </si>
  <si>
    <t>U1111-1264-4772</t>
  </si>
  <si>
    <t>Sciatica</t>
  </si>
  <si>
    <t>Arthur de Sá Ferreira</t>
  </si>
  <si>
    <t>arthurde@souunisuam.com.br</t>
  </si>
  <si>
    <t>The epidemiology of S. pneumoniae related community-acquired pneumonia and respiratory syncytial virus in low respiratory tract infection in hospitalized older adults in Brazil</t>
  </si>
  <si>
    <t>Pneumonia due to Streptococcus pneumoniae</t>
  </si>
  <si>
    <t>Thiago Souza</t>
  </si>
  <si>
    <t>Sao José do Rio Preto</t>
  </si>
  <si>
    <t>+55 17 32015054</t>
  </si>
  <si>
    <t>thiagosouza.cip@gmail.com</t>
  </si>
  <si>
    <t>Evaluation of a Computerized Attention Training program to improve academic performance in children with Autism Spectrum Disorder</t>
  </si>
  <si>
    <t>Neurodevelopmental Disorders</t>
  </si>
  <si>
    <t>Mayra Muller Spaniol</t>
  </si>
  <si>
    <t>+55 11 963030427</t>
  </si>
  <si>
    <t>mayramspaniol@gmail.com</t>
  </si>
  <si>
    <t>Psychophysiological effects of magnesium supplementation in women in the fertile period</t>
  </si>
  <si>
    <t>generalized anxiety</t>
  </si>
  <si>
    <t>Bruno Soares Sousa</t>
  </si>
  <si>
    <t>+55 (83) 996248661</t>
  </si>
  <si>
    <t>bssnutri@hotmail.com</t>
  </si>
  <si>
    <t>Effects of Blood Flow Restricted strength training on muscle pain strength and hypertrophy and quality of life in patients with knee Osteoarthritis: A randomized controlled trial</t>
  </si>
  <si>
    <t>U1111-1236-0255</t>
  </si>
  <si>
    <t>Gonarthrosis [knee arthrosis]</t>
  </si>
  <si>
    <t>Fernando Schorr Grossl</t>
  </si>
  <si>
    <t>fernando_grossl@hotmail.com</t>
  </si>
  <si>
    <t>Emotion Management at Covid-19</t>
  </si>
  <si>
    <t>Mariana Nicole Cassola Theobald</t>
  </si>
  <si>
    <t>mnctheo@gmail.com</t>
  </si>
  <si>
    <t>Bioavailability study of two formulations of Primaquine</t>
  </si>
  <si>
    <t>Vivax malaria</t>
  </si>
  <si>
    <t>malaria,vivax</t>
  </si>
  <si>
    <t>Douglas Pinto</t>
  </si>
  <si>
    <t>2598-4242</t>
  </si>
  <si>
    <t>douglas.pinto@fiocruz.br</t>
  </si>
  <si>
    <t>Manual therapy in episodic tension headache in university students</t>
  </si>
  <si>
    <t>Samara Sousa Vasconcelos Gouveia</t>
  </si>
  <si>
    <t>+55 86 999047927</t>
  </si>
  <si>
    <t>samaragouveia@ufpi.edu.br</t>
  </si>
  <si>
    <t>Effectiveness of Pilates method in the treatment of nonspecific chronic low back pain: a randomized controlled trial</t>
  </si>
  <si>
    <t>Individuals with chronic non-specific low back pain</t>
  </si>
  <si>
    <t>Pilates</t>
  </si>
  <si>
    <t>Marilene Mendes dos Santos</t>
  </si>
  <si>
    <t>Poços de Caldas</t>
  </si>
  <si>
    <t>marilenems@hotmail.com.br</t>
  </si>
  <si>
    <t>Effect of Manual Myofascial Release on reducing knee Hyperextension: a comparative study</t>
  </si>
  <si>
    <t>U1111-1258-3922</t>
  </si>
  <si>
    <t>Alessandra Paiva de Castro Vidal</t>
  </si>
  <si>
    <t>+55 27 988861527</t>
  </si>
  <si>
    <t>alessandrapaiva2@yahoo.com.br</t>
  </si>
  <si>
    <t>Painful perception and skin temperature of individuals submitted to phototherapy: randomized controlled clinical trial</t>
  </si>
  <si>
    <t>palloma@ccs.ufpb.br</t>
  </si>
  <si>
    <t>Impact of promestriene on the incidence of intraoperative complications in postmenopausal women undergoing surgical hysteroscopy</t>
  </si>
  <si>
    <t>Vulvar atrophy</t>
  </si>
  <si>
    <t>Isabela Maciel Caetano</t>
  </si>
  <si>
    <t>isabelamcaetano@gmail.com</t>
  </si>
  <si>
    <t>Pulmonary ultrasound as a tool for assessing patients with COVID-19</t>
  </si>
  <si>
    <t>Danielle Maia Holanda Dumaresq</t>
  </si>
  <si>
    <t>danidumaresq@terra.com.br</t>
  </si>
  <si>
    <t>Acute Effect of Blood Flow Restriction Strength Exercise on Blood Pressure in Women with Type 2 Diabetes Mellitus</t>
  </si>
  <si>
    <t>Type II diabetes mellitus</t>
  </si>
  <si>
    <t>Blood pressure</t>
  </si>
  <si>
    <t>Gabriel Rodrigues Neto</t>
  </si>
  <si>
    <t>gabrielrodrigues_1988@hotmail.com</t>
  </si>
  <si>
    <t>Comparison Between Traditional Dressing Negative-Pressure Wound Therapy with Instillation and Conventional Negative-Pressure Wound Therapy in complex wounds: a prospective randomized controlled study</t>
  </si>
  <si>
    <t>Negative-Pressure Wound Therapy</t>
  </si>
  <si>
    <t>Dimas André Milcheski</t>
  </si>
  <si>
    <t>+55 11 981227570</t>
  </si>
  <si>
    <t>drdimasandre@gmail.com</t>
  </si>
  <si>
    <t>Epidemiological and microbiological study of hip and knee infected arthroplasties using the sonication technique</t>
  </si>
  <si>
    <t>U1111-1258-8599</t>
  </si>
  <si>
    <t>Prosthesis-Related Infections</t>
  </si>
  <si>
    <t>Taiana Cunha Ribeiro</t>
  </si>
  <si>
    <t>(+55)11966216446</t>
  </si>
  <si>
    <t>taiana_7@hotmail.com</t>
  </si>
  <si>
    <t>Effect of Vague Nerve Stimulation on inflammation modulation autonomic cardiac and clinical evolution of patients with Covid-19: pilot study</t>
  </si>
  <si>
    <t>Vagus Nerve Stimulation</t>
  </si>
  <si>
    <t>Fernanda Ishida Corrêa</t>
  </si>
  <si>
    <t>fecorrea@uninove.br</t>
  </si>
  <si>
    <t>Safety and efficacy in the treatment of primary open-angle glaucoma with Triplenex compared to isolated medications</t>
  </si>
  <si>
    <t>open angle glaucoma</t>
  </si>
  <si>
    <t>treatment outcome</t>
  </si>
  <si>
    <t>Gustavo Muradas San Martin Reis</t>
  </si>
  <si>
    <t>gustavo_muradas@hotmail.com</t>
  </si>
  <si>
    <t>Evaluation of the impact of bariatric surgery on medication use and quality of life in obese patients</t>
  </si>
  <si>
    <t>Deuzilane Muniz Nunes</t>
  </si>
  <si>
    <t>deuzilane.nunes@univasf.edu.br</t>
  </si>
  <si>
    <t>Therapeutic effect of Balance and Gait Training with flexible minimalist shoes in elderly women with Knee Osteoarthritis: randomized clinical trial</t>
  </si>
  <si>
    <t>Ana Paula Ribeiro</t>
  </si>
  <si>
    <t>55 11 99139-2168</t>
  </si>
  <si>
    <t>anapaulafisioterapia@yahoo.com.br</t>
  </si>
  <si>
    <t>Impact of different implant placement and connections on dental rehabilitation of type 2 diabetics through overdentures: Clinical tomographic microbiological and local biomarker profile evaluation</t>
  </si>
  <si>
    <t>01/29/2020</t>
  </si>
  <si>
    <t>U1111-1239-3638</t>
  </si>
  <si>
    <t>Diabetics type 2</t>
  </si>
  <si>
    <t>Bruna Ghiraldini</t>
  </si>
  <si>
    <t>São Caetano do Sul</t>
  </si>
  <si>
    <t>brunaghiraldini@yahoo.com.br</t>
  </si>
  <si>
    <t>Therapeutic proposal for treatment of hip Tendinopathies</t>
  </si>
  <si>
    <t>U1111-1259-7308</t>
  </si>
  <si>
    <t>tendinopathy</t>
  </si>
  <si>
    <t>Efficacy of surgical analgesia of Costoclavicular block in comparison to Supraclavicular and Axillary blockade guided by ultrasonography for procedures distal to the elbow: A randomized clinical trial</t>
  </si>
  <si>
    <t>10/21/2019</t>
  </si>
  <si>
    <t>U1111-1234-4830</t>
  </si>
  <si>
    <t>Hand Injuries</t>
  </si>
  <si>
    <t>Roberto Araújo Ruzi</t>
  </si>
  <si>
    <t>anestesia@robertoruzi.com.br</t>
  </si>
  <si>
    <t>Hospital das Clínicas da Universidade Federal de Uberlândia</t>
  </si>
  <si>
    <t>Puerperio: mobile technology as an adjunct to follow-up</t>
  </si>
  <si>
    <t>Contraception,Postpartum period</t>
  </si>
  <si>
    <t>Milena Bastos Brito</t>
  </si>
  <si>
    <t>(71) 3276 8200</t>
  </si>
  <si>
    <t>milenabrito@bahiana.edu.br</t>
  </si>
  <si>
    <t>Evaluation of the Sexual Function and Vaginal Microbiota Fractionated Microablative Radiofrequency for the Treatment of Genitourinary Menopause Syndrome</t>
  </si>
  <si>
    <t>Ana Katherine Gonçalves</t>
  </si>
  <si>
    <t>anakatherine_ufrnet@yahoo.com.br</t>
  </si>
  <si>
    <t>Effect of Ischemic Preconditioning on Muscle Damage Induced by Resistance Training</t>
  </si>
  <si>
    <t>Creatine kinase</t>
  </si>
  <si>
    <t>Victor Sabino de Queiros</t>
  </si>
  <si>
    <t>victorsabino97@ufrn.edu.br</t>
  </si>
  <si>
    <t>Comparison of the Acute Effects of Continuous Aerobic Exercise of moderate-intensity associated with Exposure to Unpleasant Stimuli on Anxiety and Anger levels in young women</t>
  </si>
  <si>
    <t>Anger. Anxiety Disorders</t>
  </si>
  <si>
    <t>Claudio Andre Barbosa De Lira</t>
  </si>
  <si>
    <t>claudioandre@ufg.br</t>
  </si>
  <si>
    <t>Comparative study of the effects of aerobic physical training associated with Enalapril Maleate or Losartan on hemodynamic autonomic and morphofunctional cardiovascular parameters in hypertensive subjects</t>
  </si>
  <si>
    <t>09/18/2019</t>
  </si>
  <si>
    <t>U1111-1234-2880</t>
  </si>
  <si>
    <t>Inhalational high molecular weight heparin for the treatment of Sars-CoV-2</t>
  </si>
  <si>
    <t>U1111-1264-8253</t>
  </si>
  <si>
    <t>Heparin</t>
  </si>
  <si>
    <t>Pedro Luciano Mellucci Filho</t>
  </si>
  <si>
    <t>pedro.lmf@hotmail.com</t>
  </si>
  <si>
    <t>Pericapsular nerve group block preceding spinal anesthesia in elderly people with hip fractures</t>
  </si>
  <si>
    <t>hip fracture</t>
  </si>
  <si>
    <t>Evaluation of the effects of two non-pharmacological therapies: Laserpuncture and indirect moxibustion in acupuncture points in the treatment of patients diagnosed with knee osteoarthritis</t>
  </si>
  <si>
    <t>U1111-1265-2620</t>
  </si>
  <si>
    <t>KNEE OSTEOARTHRITS</t>
  </si>
  <si>
    <t>Effect of the application of the kinesio- Taping method in the acute post-operative phase of reconstruction of the anterior cross connection</t>
  </si>
  <si>
    <t>U1111-1258-5542</t>
  </si>
  <si>
    <t>Anterior Cruciate Ligament Reconstruction</t>
  </si>
  <si>
    <t>Juliana Rezende Valladares</t>
  </si>
  <si>
    <t>jujuvalladares@yahoo.com.br</t>
  </si>
  <si>
    <t>Effects of training with Nintendo Wii on tremor functionality of upper members and cognition in patients with Parkinsons Disease</t>
  </si>
  <si>
    <t>Parkinsons disease - C10.228.140.079.862.500</t>
  </si>
  <si>
    <t>Universidade de Brasília Faculdade de Ceilândia</t>
  </si>
  <si>
    <t>61 3107-8418</t>
  </si>
  <si>
    <t>Influence of the Pilates Method on balance parameters in elderly women</t>
  </si>
  <si>
    <t>U1111-1254-5253</t>
  </si>
  <si>
    <t>Postural balance</t>
  </si>
  <si>
    <t>Anna Cláudia Sabino Serra</t>
  </si>
  <si>
    <t>annaserrafisio@gmail.com</t>
  </si>
  <si>
    <t>Effectiveness of a Respiratory Muscle Training Program in the Ability to ExerciseExercise Capacide Subjective Perception of Dyspnea Respiratory and Peripheral muscle strength and Quality of Life in Patients Participating in the Home Oxygen Therapy Program of the Heatlh State Department of the Distrito Federal</t>
  </si>
  <si>
    <t>09/29/2017</t>
  </si>
  <si>
    <t>U1111-1200-0527</t>
  </si>
  <si>
    <t>chronic obstrutive pulmonary disease</t>
  </si>
  <si>
    <t>Vinicius Maldaner da Silva</t>
  </si>
  <si>
    <t>Ceilandia</t>
  </si>
  <si>
    <t>viniciusmaldaner@gmail.com</t>
  </si>
  <si>
    <t>Effect of using a bed bathing video performed in the clinical simulation to assess satisfaction and confidence in learning by undergraduate nursing students</t>
  </si>
  <si>
    <t>Juliana De Lima Lopes</t>
  </si>
  <si>
    <t>juliana.lima@unifesp.br</t>
  </si>
  <si>
    <t>Bone health in Parkinsons Disease: relationship between aspects of bone fragility mobility balance and propensity to fall</t>
  </si>
  <si>
    <t>Parkinsons disease,Postural balance,Exercise therapy</t>
  </si>
  <si>
    <t>Extrapyramidal disorders and movement disorders</t>
  </si>
  <si>
    <t>Carolina Aguiar Moreira</t>
  </si>
  <si>
    <t>55 41 3360-1800</t>
  </si>
  <si>
    <t>carolina.aguiar.moreira@gmail.com</t>
  </si>
  <si>
    <t>Influence of the Ghrelin Gene Polymorphism and meal frequency on body weight loss ghrelin levels gut microbiota and metabolic indicators in women with Obesity</t>
  </si>
  <si>
    <t>Weight Loss</t>
  </si>
  <si>
    <t>Erika Duarte Grangeiro</t>
  </si>
  <si>
    <t>erikawduartegs@gmail.com</t>
  </si>
  <si>
    <t>Impact of the use of the PET tongue scraper on the quality of life of individuals with intraoral halitosis</t>
  </si>
  <si>
    <t>U1111-1263-4418</t>
  </si>
  <si>
    <t>Tongue</t>
  </si>
  <si>
    <t>Mônica Barbosa Leal Macedo</t>
  </si>
  <si>
    <t>+55 79 2105-1700</t>
  </si>
  <si>
    <t>monicablm@yahoo.com.br</t>
  </si>
  <si>
    <t>Occupational stressors in the nursing context: relationship with variables individual and organizational</t>
  </si>
  <si>
    <t>U1111-1264-3646</t>
  </si>
  <si>
    <t>Informações sobre o centro de pesquisa</t>
  </si>
  <si>
    <t>Efficacy of activated carbon-based whitening dentifrices: Randomized clinical study</t>
  </si>
  <si>
    <t>Andrey Gonçalves Emidio</t>
  </si>
  <si>
    <t>andrey.goncalves130@gmail.com</t>
  </si>
  <si>
    <t>Analysis of Heart Rate Variability by the Wavelet method in individuals with Joint Hypermobility submitted to the use of Eicmer</t>
  </si>
  <si>
    <t>Hypermobility syndrome</t>
  </si>
  <si>
    <t>Rodrigo Aléxis Lazo-Osório</t>
  </si>
  <si>
    <t>55 12 3945-1359</t>
  </si>
  <si>
    <t>raosorio@anhembi.br</t>
  </si>
  <si>
    <t>Mindful Eating in the treatment of Obesity - ATENTO study</t>
  </si>
  <si>
    <t>U1111-1207-7666</t>
  </si>
  <si>
    <t>Maria Edna de Melo</t>
  </si>
  <si>
    <t>+55 11 2661-7516</t>
  </si>
  <si>
    <t>medna@usp.br</t>
  </si>
  <si>
    <t>Randomized clinical study of the use of intravitreal injection of Bevacizumab in primary open-angle glaucoma</t>
  </si>
  <si>
    <t>05/30/2021</t>
  </si>
  <si>
    <t>U1111-1254-3371</t>
  </si>
  <si>
    <t>Primary Open Angle Glaucoma (POAG) patients</t>
  </si>
  <si>
    <t>Primary open-angle glaucoma</t>
  </si>
  <si>
    <t>+5571 33511024</t>
  </si>
  <si>
    <t>RR/UNIVISÃO</t>
  </si>
  <si>
    <t>Effectiveness of a Collective Intervention to the management of Obesity</t>
  </si>
  <si>
    <t>05/29/2021</t>
  </si>
  <si>
    <t>A+891.291.056.68</t>
  </si>
  <si>
    <t>Use of L-menthol solution as an esophageal antispasmodic in Upper Digestive Endoscopy: pilot project</t>
  </si>
  <si>
    <t>Esophageal Motility Disorders</t>
  </si>
  <si>
    <t>Epifanio Silvino do Monte Junior</t>
  </si>
  <si>
    <t>+55 84 996099459</t>
  </si>
  <si>
    <t>epifaniosmjr@gmail.com</t>
  </si>
  <si>
    <t>Acute effects on skeletal muscle fascia after myofascial release session with portable electric massager at different frequencies</t>
  </si>
  <si>
    <t>Fascia</t>
  </si>
  <si>
    <t>Fernando Diefenthaeler</t>
  </si>
  <si>
    <t>fdiefenthaeler@gmail.com</t>
  </si>
  <si>
    <t>Effects of the administration of AP1189 a pro resolutive pathways up regulator on lung alterations of COVID-19 patients and impaired oxygenation</t>
  </si>
  <si>
    <t>Mauro Martins Teixeira</t>
  </si>
  <si>
    <t>55-31-999945133</t>
  </si>
  <si>
    <t>mmtex.ufmg@gmail.com</t>
  </si>
  <si>
    <t>Analysis of trunk muscle activity and hip and knee proprioception in women with Femoropatellar Pain</t>
  </si>
  <si>
    <t>Femuropatellar disorders</t>
  </si>
  <si>
    <t>Acute Effect of Exercise on Dynamic Valgus in Women with Patellofemoral Pain: A Randomized Clinical Trial</t>
  </si>
  <si>
    <t>U1111-1249-6859</t>
  </si>
  <si>
    <t>Patellofemoral Pain</t>
  </si>
  <si>
    <t>Igor Maurício Antunes Carvalho</t>
  </si>
  <si>
    <t>icarvalho@gmail.com</t>
  </si>
  <si>
    <t>Centro Universitário Augusto Motta (UNISUAM)</t>
  </si>
  <si>
    <t>Influence of the radiological classification of knee osteoarthritis on the effectiveness of intra-articular injection of hexacetonide triamcinolone</t>
  </si>
  <si>
    <t>05/28/2021</t>
  </si>
  <si>
    <t>Injections,Intra-Articular</t>
  </si>
  <si>
    <t>Puncture Effectiveness with the Modified Seldinger Technique on the peripherally inserted central catheter: randomized clinical trial</t>
  </si>
  <si>
    <t>Critically ill newborns admitted to the Neonatal Intensive Care Unit</t>
  </si>
  <si>
    <t>Central Venous Catheterization</t>
  </si>
  <si>
    <t>Mitzy Tannia Reichembach</t>
  </si>
  <si>
    <t>Effectiveness of the salivary substitute Xerolacer for symptoms relif of radioinduced xerostomia</t>
  </si>
  <si>
    <t>U1111-1260-0509</t>
  </si>
  <si>
    <t>Changes in salivary secretion</t>
  </si>
  <si>
    <t>Camila de Barros Gallo</t>
  </si>
  <si>
    <t>camilabg@usp.br</t>
  </si>
  <si>
    <t>Evaluation of reactogenicity of vaccine in infants tetravalent Goiânia - Go</t>
  </si>
  <si>
    <t>U1111-1181-0531</t>
  </si>
  <si>
    <t>Viruses,Vaccination,Pain measurement,Nursing Education,Child Health</t>
  </si>
  <si>
    <t>Priscilla dos Santos Junqueira Nunes</t>
  </si>
  <si>
    <t>priscillajunqueira12@gmail.com</t>
  </si>
  <si>
    <t>Effects of facilitated containment and winding in pain reduction in premature newborn: cross-clinical trial: cross-clinical trial</t>
  </si>
  <si>
    <t>Hospital de Clínicas de Itajubá</t>
  </si>
  <si>
    <t>+55(35)36297600</t>
  </si>
  <si>
    <t>Preventive photobiomodulation protocol with light-emitting diode (LED) for Oral Mucositis induced by radiotherapy in patients with head and neck cancer: a randomized controlled clinical study</t>
  </si>
  <si>
    <t>Marcelo Gurgel Carlos da Silva</t>
  </si>
  <si>
    <t>eco@icc.org.br</t>
  </si>
  <si>
    <t>Cannabidiol use in women with endometriosis and chronic pelvic pain: a randomized duble-blind clinical trial for evaluation in pan and quality of life</t>
  </si>
  <si>
    <t>Endometriosis,pelvic pain</t>
  </si>
  <si>
    <t>Thaís Marquesi Federico</t>
  </si>
  <si>
    <t>+55 11 99616 2659</t>
  </si>
  <si>
    <t>drathais.ginecologia@gmail.com</t>
  </si>
  <si>
    <t>Assessment of postural balance of the elderly by Baropodometry</t>
  </si>
  <si>
    <t>U 1111-1211-7225</t>
  </si>
  <si>
    <t>Suraya Gomes Novais Shimano</t>
  </si>
  <si>
    <t>suraya.shimano@uftm.edu.br</t>
  </si>
  <si>
    <t>Effectiveness of the Thoracoabdominal rebalancing method in the removal of airway sections and their repercussions in mechanically ventilated preterm infants</t>
  </si>
  <si>
    <t>U1111-1243-7676</t>
  </si>
  <si>
    <t>Preterm infant,intensive Care Units,Neonatal,Respiration Disorders</t>
  </si>
  <si>
    <t>Bruno Henrique Silva de Souza</t>
  </si>
  <si>
    <t>bh.souza@hotmail.com</t>
  </si>
  <si>
    <t>Hypotension prophylaxis with ondansetron for spinal anesthesia in patients undergoing cesarean section: placebo-controlled clinical trial</t>
  </si>
  <si>
    <t>U1111-1239-6329</t>
  </si>
  <si>
    <t>Pregnant women,hypotension prophylaxis during cesarean section</t>
  </si>
  <si>
    <t>Single Birth by Cesarean Section</t>
  </si>
  <si>
    <t>Sérgio Veloso da Silveira Menezes</t>
  </si>
  <si>
    <t>sergiovdsm@gmail.com</t>
  </si>
  <si>
    <t>Hospital das Clínicas</t>
  </si>
  <si>
    <t>Effectiveness of the use of video in reducing the anxiety level and in health education of patients in Myocardial Revasculation Pre-operative: randomized clinical trial</t>
  </si>
  <si>
    <t>+55 84 999367260</t>
  </si>
  <si>
    <t>Study on the Administration of Tranexamic Acid or Placebo on the Rate of Perioperative Bleeding in Adult Patients Undergoing Liver Transplantation</t>
  </si>
  <si>
    <t>U1111-1265-5665</t>
  </si>
  <si>
    <t>Other and unspecified forms of liver cirrhosis</t>
  </si>
  <si>
    <t>Luiz Marcelo Sá Malbouisson</t>
  </si>
  <si>
    <t>malbouisson@gmail.com</t>
  </si>
  <si>
    <t>Comparison of quality of life and symptomatology in patients submitted of cylindrical and dentate ureteral stent. Randomized Clinical Trial</t>
  </si>
  <si>
    <t>U1111-1254-2624</t>
  </si>
  <si>
    <t>nephrolithiasis,nephrolithiasis with ureteral calculi</t>
  </si>
  <si>
    <t>Luiz Alexandre Villares da Costa</t>
  </si>
  <si>
    <t>+55 11 99753-4784</t>
  </si>
  <si>
    <t>drlavc@yahoo.com.br</t>
  </si>
  <si>
    <t>luiz alexandre villares da costa</t>
  </si>
  <si>
    <t>Biochemical Anthropometric and Quality of Life Markers in Elderly Women Undergoing Curcumin Supplementation</t>
  </si>
  <si>
    <t>U1111-1257-4456</t>
  </si>
  <si>
    <t>elderly,diabetes mellitus,dyslipidemia</t>
  </si>
  <si>
    <t>Lívia Guimarães Couto</t>
  </si>
  <si>
    <t>liviacoutonutri@gmail.com</t>
  </si>
  <si>
    <t>Evaluation of JP002 in the treatment of individuals with Hypertension: randomized double-blind placebo-controlled clinical trial</t>
  </si>
  <si>
    <t>U1111-1260-6681</t>
  </si>
  <si>
    <t>Blood Pressure Monitoring,Ambulatory</t>
  </si>
  <si>
    <t>Lucas  Chaves</t>
  </si>
  <si>
    <t>lchaves@gmail.com</t>
  </si>
  <si>
    <t>Mindfulness-complementary intervention in assisting the elderly with depressive symptoms</t>
  </si>
  <si>
    <t>Mindfulness</t>
  </si>
  <si>
    <t>Rosely Almeida Souza</t>
  </si>
  <si>
    <t>almeida.rosely@hotmail.com</t>
  </si>
  <si>
    <t>Effect of Autogenous Mesenquimal Stem Cells on Patients with muscular dysfunction: Hypocontractility</t>
  </si>
  <si>
    <t>Urinary Bladder Underactive</t>
  </si>
  <si>
    <t>Henrique Rodrigues Scherer Coelho</t>
  </si>
  <si>
    <t>henriquercoelho@yahoo.com.br</t>
  </si>
  <si>
    <t>Effectiveness of the pilates method in the treatment of women with Fibromyalgia</t>
  </si>
  <si>
    <t>U1111-1256-0630</t>
  </si>
  <si>
    <t>Anamaria  Jones</t>
  </si>
  <si>
    <t>anamaria.jones@unifesp.br</t>
  </si>
  <si>
    <t>Primary Nocturnal Enuresis in patients with Upper Airway Obstruction</t>
  </si>
  <si>
    <t>Chronic diseases of tonsils and adenoids</t>
  </si>
  <si>
    <t>André Costa Pinto Ribeiro</t>
  </si>
  <si>
    <t>+55 32 99194-7085</t>
  </si>
  <si>
    <t>andrecpribeiro@yahoo.com.br</t>
  </si>
  <si>
    <t>Prevention of carious lesions with resin sealant and resin-modified glass-ionomer cements: randomised controlled clinical trial</t>
  </si>
  <si>
    <t>U1111-1203-7167</t>
  </si>
  <si>
    <t>Ana Carolina Soares Diniz</t>
  </si>
  <si>
    <t>São José de Ribamar</t>
  </si>
  <si>
    <t>+55 (98)982331838</t>
  </si>
  <si>
    <t>carol_diniz5@hotmail.com</t>
  </si>
  <si>
    <t>Universidade Ceuma</t>
  </si>
  <si>
    <t>The comparison between Neuromuscular Approaches in the Hip and in the Ankle and Foot for reducing of the Dynamic Knee Valgus in amateur runners</t>
  </si>
  <si>
    <t>04/22/2020</t>
  </si>
  <si>
    <t>U1111-1250-2763</t>
  </si>
  <si>
    <t>Genu Valgum</t>
  </si>
  <si>
    <t>Matheus Batista Nascimento</t>
  </si>
  <si>
    <t>matheus.bal2@outlook.com</t>
  </si>
  <si>
    <t>Nonsurgical treatment of vertical maxillary excess with mini-implants anchorage</t>
  </si>
  <si>
    <t>03/27/2020</t>
  </si>
  <si>
    <t>U1111-1249-8673</t>
  </si>
  <si>
    <t>Perception expectation results and satisfaction of the Bleaching treatment on vitalized teeth</t>
  </si>
  <si>
    <t>U1111-1265-3164</t>
  </si>
  <si>
    <t>Clinical Trial</t>
  </si>
  <si>
    <t>Luís Felipe Espíndola-Castro</t>
  </si>
  <si>
    <t>Camaragibe</t>
  </si>
  <si>
    <t>luis.espindola@upe.br</t>
  </si>
  <si>
    <t>Comparative study of Healing by second intention in acute traumatic skin injuries in the hand. Calendula officinalis L. Versus Control Group</t>
  </si>
  <si>
    <t>U1111-1258-3953</t>
  </si>
  <si>
    <t>Ana Carla Efing</t>
  </si>
  <si>
    <t>nep@pucpr.br</t>
  </si>
  <si>
    <t>Pontificia Universidade Católica do Paraná</t>
  </si>
  <si>
    <t>Phase IV study to evaluate the safety and immunogenicity of the Covid-19 adserbed (inactivated) vaccine of the Instituto Butantan in immunocompromised hosts</t>
  </si>
  <si>
    <t>05/26/2021</t>
  </si>
  <si>
    <t>Ana Marli Christovam Sartori</t>
  </si>
  <si>
    <t>+55 (11) 999339882</t>
  </si>
  <si>
    <t>anasartori@gmail.com</t>
  </si>
  <si>
    <t>Comparison of the customized TMJ prosthesis with the stock TMJ prosthesis: a prospective study</t>
  </si>
  <si>
    <t>05/25/2021</t>
  </si>
  <si>
    <t>HOSPITAL SÃO JOÃO DE DEUS/FUNDAÇÃO GERALDO CORRÊA</t>
  </si>
  <si>
    <t>cep@cssjd.org.br</t>
  </si>
  <si>
    <t>Pharmacokinetics and placental transfer studies of betamethasone in twin pregnancies</t>
  </si>
  <si>
    <t>U1111-1259-4563</t>
  </si>
  <si>
    <t>Betamethasone,pharmacokinetics,twin pregnancy,placental transfer,preterm labor,Preterm labor with preterm delivery,Pregnancy High-Risk</t>
  </si>
  <si>
    <t>Preterm labor</t>
  </si>
  <si>
    <t>Alessandra Cristina Marcolin</t>
  </si>
  <si>
    <t>dralemar@uol.com.br</t>
  </si>
  <si>
    <t>Effects of a physical exercise program on obesity and overweight in rural schoolchildren</t>
  </si>
  <si>
    <t>Juliana de Lima Lopes</t>
  </si>
  <si>
    <t>+55 (011) 976982117</t>
  </si>
  <si>
    <t>The effect of Transcranial Direct Current Stimulation in the postural adjustments under external perturbation in patients with Parkinsons disease</t>
  </si>
  <si>
    <t>01/21/2020</t>
  </si>
  <si>
    <t>U1111-1244-6375</t>
  </si>
  <si>
    <t>Posture,Motor disorders,Parkinsons disease,Postural Balance</t>
  </si>
  <si>
    <t>Victor Spiandor Beretta</t>
  </si>
  <si>
    <t>victor_beretta@hotmail.com</t>
  </si>
  <si>
    <t>The Effects of Metoprolol on the Hemodynamic and Respiratory response to orotraqueal extubation: prospective randomized double-blinded and placebo-controlled trial</t>
  </si>
  <si>
    <t>05/21/2021</t>
  </si>
  <si>
    <t>U1111-1264-9191</t>
  </si>
  <si>
    <t>Hemodynamic Phenomena</t>
  </si>
  <si>
    <t>Secondary Prevention</t>
  </si>
  <si>
    <t>Fabricio Tavares Mendonça</t>
  </si>
  <si>
    <t>Brasilia</t>
  </si>
  <si>
    <t>fabriciotmendonca@hotmail.com</t>
  </si>
  <si>
    <t>Technological platforms for the diagnosis and control of COVID-19</t>
  </si>
  <si>
    <t>A07649353648</t>
  </si>
  <si>
    <t>Diagnostic Test Approval</t>
  </si>
  <si>
    <t>Luiz Ricardo Goulart Filho</t>
  </si>
  <si>
    <t>lrgoulart@ufu.br</t>
  </si>
  <si>
    <t>Study of effects of Laser on microorganisms and on success of canal treatment</t>
  </si>
  <si>
    <t>Rachel Garcia de Miranda</t>
  </si>
  <si>
    <t>+55 021 988922491</t>
  </si>
  <si>
    <t>miranda.rachel@gmail.com</t>
  </si>
  <si>
    <t>Preliminary Study of Symptoms and Prevalent Medicines of the Viral Respiratory Syndrome Epidemic Genius of the Covid-19 Pandemic in Campo Grande/MS - Use of homeopathy as an Additional Protection Factor</t>
  </si>
  <si>
    <t>05/20/2021</t>
  </si>
  <si>
    <t>Joaquim Dias da Mota Longo</t>
  </si>
  <si>
    <t>joaquim.longo@ufms.br</t>
  </si>
  <si>
    <t>Evaluation of the efficacy of toothpaste with herbal agent for symptom control in patients with desquamative gingivitis</t>
  </si>
  <si>
    <t>05/18/2021</t>
  </si>
  <si>
    <t>U1111-1205-5958</t>
  </si>
  <si>
    <t>Desquamative gingivitis associated with oral lichen planus or mucous membrane pemphigoid</t>
  </si>
  <si>
    <t>Cláudio Mendes Pannuti</t>
  </si>
  <si>
    <t>pannuti@usp.br</t>
  </si>
  <si>
    <t>The impact of Telehealth on caregivers of users of a Home Care Service</t>
  </si>
  <si>
    <t>Wallisen Tadashi Hattori</t>
  </si>
  <si>
    <t>+55 34 32258273</t>
  </si>
  <si>
    <t>wallhattori@gmail.com</t>
  </si>
  <si>
    <t>Clinical evaluation of signs and symptoms of patients submitted to different inflammation control protocols in third molars removal surgery: a randomized controlled double-blind trial</t>
  </si>
  <si>
    <t>05/17/2021</t>
  </si>
  <si>
    <t>Anomalies of tooth position</t>
  </si>
  <si>
    <t>Ricardo Franklin Gondim</t>
  </si>
  <si>
    <t>ricardofgondim@gmail.com</t>
  </si>
  <si>
    <t>Effectiveness of a Flowchart as a Guide for the Clinical Management of Breastfeeding in Premature Newborns</t>
  </si>
  <si>
    <t>U1111-1248-2140</t>
  </si>
  <si>
    <t>Newborns premature</t>
  </si>
  <si>
    <t>Geisa Marcela Perdigão</t>
  </si>
  <si>
    <t>geisaperdigao@hotmail.com</t>
  </si>
  <si>
    <t>Hospital Universitário de Londrina</t>
  </si>
  <si>
    <t>Effects of subcutaneous ketamine on treatment resistant depression</t>
  </si>
  <si>
    <t>Depressive Disorder,Treatment-Resistant</t>
  </si>
  <si>
    <t>Emerson Arcoverde</t>
  </si>
  <si>
    <t>emerson_arcoverde@yahoo.com.br</t>
  </si>
  <si>
    <t>The impact of pharmaceutical care in the context of individualized-centered health care for the safety of pharmacotherapy in hospitalized elderly: a clinical trial</t>
  </si>
  <si>
    <t>Chemically-Induced Disorders</t>
  </si>
  <si>
    <t>Alan Maicon de Oliveira</t>
  </si>
  <si>
    <t>alanoliveira@usp.br</t>
  </si>
  <si>
    <t>Responsibility of functional tests on supervised rehabilitation program and education program in patients with chronic obstructive pulmonary disease</t>
  </si>
  <si>
    <t>12/15/2018</t>
  </si>
  <si>
    <t>U1111-1220-8245</t>
  </si>
  <si>
    <t>chronic obstructive pulmonary disease unspecified</t>
  </si>
  <si>
    <t>MARCELA MARIA  CARVALHO DA SILVA</t>
  </si>
  <si>
    <t>SAO CARLOS</t>
  </si>
  <si>
    <t>marcelacarvalhofisioterapia@yahoo.com.br</t>
  </si>
  <si>
    <t>UFSCAR</t>
  </si>
  <si>
    <t>Brain arteriovenous malformation. Genetic and epigenetic evaluation of nidus and circumjacent brain tissue</t>
  </si>
  <si>
    <t>Feres Eduardo Aparecido Chadad-Neto</t>
  </si>
  <si>
    <t>fereschaddad@hotmail.com</t>
  </si>
  <si>
    <t>Effect of consumption of kombuchas from green and black teas on gut microbiota and metabolic alterations of normal weight and obese individuals</t>
  </si>
  <si>
    <t>U1111-1263-9550</t>
  </si>
  <si>
    <t>Frederico Augusto Ribeiro de Barros</t>
  </si>
  <si>
    <t>+55 31 3612 6803</t>
  </si>
  <si>
    <t>fredbarros@ufv.br</t>
  </si>
  <si>
    <t>Cardiovascular risk quality of life and perceptions of university students in the COVID-19 pandemic and post pandemic</t>
  </si>
  <si>
    <t>Depression. Anxiety. Professional burnout</t>
  </si>
  <si>
    <t>Lin Uen</t>
  </si>
  <si>
    <t>lsuen@id.uff.br</t>
  </si>
  <si>
    <t>Effect of combined therapy of virtual reality and stimulation transcranial direct current stimulation (tDCS) in the balance of trunk and autonomic modulation in people with spinal cord injury</t>
  </si>
  <si>
    <t>U1111-1257-7081</t>
  </si>
  <si>
    <t>Spinal Cord Injuries</t>
  </si>
  <si>
    <t>+55 011 998590188</t>
  </si>
  <si>
    <t>Effect of different treatments on dentin hypersensitivity: evaluation of cytotoxicity and randomized clinical study</t>
  </si>
  <si>
    <t>U1111-1251-1091</t>
  </si>
  <si>
    <t>Fernanda de Souza e Silva Ramos</t>
  </si>
  <si>
    <t>fer_ramos_fer@hotmail.com</t>
  </si>
  <si>
    <t>Universidade Estadual Paulista - FOA</t>
  </si>
  <si>
    <t>Effect of mandibular overdentures on the evolution of the masticatory function of total edentulous patients with bone atrophy</t>
  </si>
  <si>
    <t>U1111-1259-4127</t>
  </si>
  <si>
    <t>Effect of final instrumentation diameter on root canal disinfection postoperative pain and outcome of endodontic treatment: Randomized Clinical Trial</t>
  </si>
  <si>
    <t>Periapical periodontitis</t>
  </si>
  <si>
    <t>Periapical diseases</t>
  </si>
  <si>
    <t>Fernanda Geraldo Pappen</t>
  </si>
  <si>
    <t>55 53 984033599</t>
  </si>
  <si>
    <t>ferpappen@yahoo.com.br</t>
  </si>
  <si>
    <t>The impact of pregnancy and smoking on the periodontal health and subgingival bacterial colonization</t>
  </si>
  <si>
    <t>U1111-1256-7863</t>
  </si>
  <si>
    <t>Julio Cesar Joly</t>
  </si>
  <si>
    <t>+55 19 981149515</t>
  </si>
  <si>
    <t>joly@implanteperio.com.br</t>
  </si>
  <si>
    <t>ALGENIS - Proof-of-concept study to assess the effects of gonatoxins the toxin shellfish (PSP) - NEURO SERUM on objective and objective evaluations subjective effects of chemotherapy-induced peripheral neuropathy</t>
  </si>
  <si>
    <t>U1111-1257-8725</t>
  </si>
  <si>
    <t>Leandro Silva Camara</t>
  </si>
  <si>
    <t>leandro.camara@oncoclinicas.com</t>
  </si>
  <si>
    <t>Mesenchymal stem cells for patients with Acute Respiratory Distress Syndrome and mechanical ventilation caused by COVID-19: a phase I/II study</t>
  </si>
  <si>
    <t>11/19/2020</t>
  </si>
  <si>
    <t>A01224210603</t>
  </si>
  <si>
    <t>Natassia Vieira Serafini</t>
  </si>
  <si>
    <t>natassia.vieira@stemcorp.com.br</t>
  </si>
  <si>
    <t>StemCorp</t>
  </si>
  <si>
    <t>Effects of positioning hammock on the neurodevelopment and clinical outputs of preterm infants: randomized controlled clinical trial</t>
  </si>
  <si>
    <t>05/13/2021</t>
  </si>
  <si>
    <t>U1111-1265-9381</t>
  </si>
  <si>
    <t>Premature birth</t>
  </si>
  <si>
    <t>Geruza Souza Mallmann</t>
  </si>
  <si>
    <t>campo grande</t>
  </si>
  <si>
    <t>+55(67)999098001</t>
  </si>
  <si>
    <t>gsm2001@hotmail.com</t>
  </si>
  <si>
    <t>High frequency and microcurrent efficacy in ulcer healing process: an experimental clinical study</t>
  </si>
  <si>
    <t>U1111-1245-1327</t>
  </si>
  <si>
    <t>pressure injury</t>
  </si>
  <si>
    <t>Kelly Christina Faria</t>
  </si>
  <si>
    <t>Patos de Minas</t>
  </si>
  <si>
    <t>kellyfaria@unipam.edu.br</t>
  </si>
  <si>
    <t>Centro Universitário de Patos de Minas</t>
  </si>
  <si>
    <t>EFEITOS DE DOIS MODELOS DE INTERVENÇÃO ON-LINE EM PARÂMETROS FÍSICOS E DE QUALIDADE DE VIDA DE MULHERES COM EXCESSO DE PESO OU OBESIDADE</t>
  </si>
  <si>
    <t>U1111-1252-0936</t>
  </si>
  <si>
    <t>class I overweight or obesity women</t>
  </si>
  <si>
    <t>Braulio Henrique Magnani Branco</t>
  </si>
  <si>
    <t>braulio.branco@unicesumar.edu.br</t>
  </si>
  <si>
    <t>UNICESUMAR</t>
  </si>
  <si>
    <t>Effectiveness of adding scapular mobilization to a specific exercise program in patients with subacromial impingement syndrome: a simple blind randomized clinical study</t>
  </si>
  <si>
    <t>02/25/2019</t>
  </si>
  <si>
    <t>U1111-1226-2081</t>
  </si>
  <si>
    <t>DIGITAL INTERVENTIONS: Actions to promote health and adhere to treatment for patients undergoing psychiatric follow-up</t>
  </si>
  <si>
    <t>U111112539200</t>
  </si>
  <si>
    <t>Education,Public Health Profissional</t>
  </si>
  <si>
    <t>Sandra Odebrecht Vargas Nunes</t>
  </si>
  <si>
    <t>43-998019111</t>
  </si>
  <si>
    <t>sandranunes@sercomtel.com.br</t>
  </si>
  <si>
    <t>Effects of telereabilitation on pain physical function and intermuscular adipose tissue concentration in patients with knee Osteoarthritis: a randomized controlled trial</t>
  </si>
  <si>
    <t>07/22/2019</t>
  </si>
  <si>
    <t>U1111-1230-9517</t>
  </si>
  <si>
    <t>Jéssica Bianca  Aily</t>
  </si>
  <si>
    <t>+55 (016) 3351-9579</t>
  </si>
  <si>
    <t>je.aily@hotmail.com</t>
  </si>
  <si>
    <t>Effect of sensory motor training with additional sensory information in women with knee osteoarthritis: A randomized blind clinical trial</t>
  </si>
  <si>
    <t>U1111-1230-4508</t>
  </si>
  <si>
    <t>Evaluation of the Spontaneous Breathing Test (TRE) as a predictor of successful extubation of mechanical ventilation in preterm newborns</t>
  </si>
  <si>
    <t>U1111-1206-0678</t>
  </si>
  <si>
    <t>Bronchopulmonary dysplasia originating in the perinatal period</t>
  </si>
  <si>
    <t>Simone Nascimento Santos Ribeiro</t>
  </si>
  <si>
    <t>simonensribeiro@gmail.com</t>
  </si>
  <si>
    <t>Hospital Sofia Feldman</t>
  </si>
  <si>
    <t>Comparison of High Intensity Interval Training versus Circuit Resistance Training on Endothelial Function and Oxygen Uptake Kinects in Heart Failure: a Randomized Clinical Trial</t>
  </si>
  <si>
    <t>05/21/2018</t>
  </si>
  <si>
    <t>U1111-1211-3319</t>
  </si>
  <si>
    <t>Gerson Cipriano Júnior</t>
  </si>
  <si>
    <t>ciprianeft@gmail.com</t>
  </si>
  <si>
    <t>Faculdade de Ceilândia da Universidade de Brasília</t>
  </si>
  <si>
    <t>Therapeutic Pulmonary Telerehabilitation Protocol in patients affected by COVID-19 confined in their homes: Randomized Control Trial</t>
  </si>
  <si>
    <t>U1111-1250-1637</t>
  </si>
  <si>
    <t>Carlos Bernal Utrera</t>
  </si>
  <si>
    <t>Sevilla</t>
  </si>
  <si>
    <t>cbernal495@gmail.com</t>
  </si>
  <si>
    <t>Universidad de Sevilla</t>
  </si>
  <si>
    <t>Effects of metformin on training quality performance and metabolic participation of swimmers</t>
  </si>
  <si>
    <t>Healthy swimmers under the influence of metformin or placebo during a high-intensity interval training</t>
  </si>
  <si>
    <t>Placebos</t>
  </si>
  <si>
    <t>Matheus Silva Norberto</t>
  </si>
  <si>
    <t>(+55) 019 9 99557080</t>
  </si>
  <si>
    <t>matheus.norberto@usp.br</t>
  </si>
  <si>
    <t>Effects of proprioceptive training and high intensity training intervaled in the clinical answers of elderly: randomized clinical trial</t>
  </si>
  <si>
    <t>03/26/2020</t>
  </si>
  <si>
    <t>A05797245655</t>
  </si>
  <si>
    <t>Ludmila Schettino Ribeiro de Paula</t>
  </si>
  <si>
    <t>+55 73 991377447</t>
  </si>
  <si>
    <t>lsrpaula@gmail.com</t>
  </si>
  <si>
    <t>Universidade Estadual do Sudoeste da Bahia</t>
  </si>
  <si>
    <t>Randomized clinical trial whit topical festrogen use testosterone therapy and vaginal dilator in the prevention of vaginal stenosis in women whit cervical carcinoma after radiation therapy</t>
  </si>
  <si>
    <t>U1111-1137-8193</t>
  </si>
  <si>
    <t>Women with cervical cancer after radiation therapy</t>
  </si>
  <si>
    <t>Luiz Francisco Cintra Baccaro</t>
  </si>
  <si>
    <t>+55(19)35219306</t>
  </si>
  <si>
    <t>baccaro@unicamp.br</t>
  </si>
  <si>
    <t>Hospital da Mulher Professor Doutor José Aristodemo Pinotti - Centro de Atenção Integral à Saúde da Mulher / Universidade Estadual de Campinas</t>
  </si>
  <si>
    <t>Effectiveness of a psychoeducation program to reduce barriers and stigmas of patients with breast cancer in relation to palliative care</t>
  </si>
  <si>
    <t>08/18/2020</t>
  </si>
  <si>
    <t>U1111-1250-8684</t>
  </si>
  <si>
    <t>Neoplasms,Breast Neoplasms</t>
  </si>
  <si>
    <t>Fulvio Bergamo Trevizan</t>
  </si>
  <si>
    <t>Potirendaba</t>
  </si>
  <si>
    <t>fulvio.trevizan@hotmail.com</t>
  </si>
  <si>
    <t>Fundação Pio XII</t>
  </si>
  <si>
    <t>Low back pain in patients living in the microregion of Pinheiro-MA: a randomized clinical study comparing a non-invasive therapy (TENS) and a low-cost minimally invasive therapy (Neurolysis with glucose 75%)</t>
  </si>
  <si>
    <t>U1111-1252-5629</t>
  </si>
  <si>
    <t>José Alberto Pereira Pires</t>
  </si>
  <si>
    <t>55 98 92401999</t>
  </si>
  <si>
    <t>medalbertopires@uol.com.br</t>
  </si>
  <si>
    <t>Eletroacupuncure in knee osteoarthritis</t>
  </si>
  <si>
    <t>U1111-1258-7745</t>
  </si>
  <si>
    <t>Other specified arthrosis</t>
  </si>
  <si>
    <t>Comitê de ética em pesquisa da Universidade Brasil</t>
  </si>
  <si>
    <t>comite.etica.sp@universidadebrasil.edu.br</t>
  </si>
  <si>
    <t>Acute effect of mobilization with movement in low back pain patients</t>
  </si>
  <si>
    <t>U1111-1261-1345</t>
  </si>
  <si>
    <t>Nociceptive pain</t>
  </si>
  <si>
    <t>+55 35 3701-1923</t>
  </si>
  <si>
    <t>ricardosilva.22@hotmail.com</t>
  </si>
  <si>
    <t>Clinical and histological analysis of the socket sealing with Bio-Gide® versus Mucograft® of post-extraction sockets filled with Bio-Oss® Collagen: a study in humans</t>
  </si>
  <si>
    <t>U1111-1264-7719</t>
  </si>
  <si>
    <t>Tooth socket</t>
  </si>
  <si>
    <t>Alveolar process</t>
  </si>
  <si>
    <t>Impact of the use of Lactobacillus plantarum on colonization infection by multi-resistant bacteria and the microbiome of patients undergoing Hematopoietic Stem Cell Transplantation</t>
  </si>
  <si>
    <t>Bone Marrow Transplantation,Hematologic Neoplasms</t>
  </si>
  <si>
    <t>Hematologic Neoplasms</t>
  </si>
  <si>
    <t>Bruna Del Guerra de Carvalho Moraes</t>
  </si>
  <si>
    <t>brudelguerra@yahoo.com.br</t>
  </si>
  <si>
    <t>Clinical investigation with Cannabinoid microdoses for the treatment of Alzheimers disease</t>
  </si>
  <si>
    <t>U1111-1258-2058</t>
  </si>
  <si>
    <t>Alzheimers disease</t>
  </si>
  <si>
    <t>Francisney Pinto Nascimento</t>
  </si>
  <si>
    <t>francisney.nascimento@unila.edu.br</t>
  </si>
  <si>
    <t>Universidade Federal da Integração Latino-Americana</t>
  </si>
  <si>
    <t>At-home bleaching using prefilled whitening trays compared with fabricated trays: randomized clinical trial</t>
  </si>
  <si>
    <t>04/13/2018</t>
  </si>
  <si>
    <t>U1111-1197-8340</t>
  </si>
  <si>
    <t>Mottled teeth</t>
  </si>
  <si>
    <t>Alessandra Bühler Borges</t>
  </si>
  <si>
    <t>55(12)39479000</t>
  </si>
  <si>
    <t>alessandra@fosjc.unesp.br</t>
  </si>
  <si>
    <t>Instituto de Ciência e Tecnolgia</t>
  </si>
  <si>
    <t>Histomorphometric and immunohistochemical comparison of bone substitutes in lifting of maxillary sinuses and filling fresh alveoli using Nanosynt and Bio-Oss</t>
  </si>
  <si>
    <t>Effects of Long Jack supplementation on strength in resistance trained man</t>
  </si>
  <si>
    <t>U1111-1259-2466</t>
  </si>
  <si>
    <t>dacaetanog@gmail.com</t>
  </si>
  <si>
    <t>Universidade Federal de São Paulo campus Baixada Santista</t>
  </si>
  <si>
    <t>Transoral fundoplication without incision using the EsophyX Z ® device to control gastroesophageal reflux disease after peroral endoscopic myotomy (POEM) in patients with achalasia: a pilot study</t>
  </si>
  <si>
    <t>U1111-1264-5069</t>
  </si>
  <si>
    <t>Achalasia</t>
  </si>
  <si>
    <t>Gastroesophageal reflux disease with esophagitis</t>
  </si>
  <si>
    <t>Eduardo Guimarães Hourneaux de Moura</t>
  </si>
  <si>
    <t>eduardoghdemoura@gmail.com</t>
  </si>
  <si>
    <t>Clinical evaluation of restorations in posterior teeth using bulk or layering thermoviscous composite: randomized clinical trial</t>
  </si>
  <si>
    <t>U1111-1261-2106</t>
  </si>
  <si>
    <t>Clinical and microbiological evaluation of Bachs Floral and Ozone Therapy in treating chronic periodontitis in Type 2 Diabetic patients</t>
  </si>
  <si>
    <t>periodontitis</t>
  </si>
  <si>
    <t>Ana Carolina Organista Cörner</t>
  </si>
  <si>
    <t>55-22-25287168</t>
  </si>
  <si>
    <t>carol_corner@hotmail.com</t>
  </si>
  <si>
    <t>Evaluation of the Impact of Gingivitis treatment on muscle profile: a clinical-biochemical study</t>
  </si>
  <si>
    <t>Stomatognathic diseases,Gingivitis</t>
  </si>
  <si>
    <t>Rodrigo  Stanislawczuk Grande</t>
  </si>
  <si>
    <t>+55 42 3219-8000</t>
  </si>
  <si>
    <t>rodrigozuk1@hotmail.com</t>
  </si>
  <si>
    <t>Effectiveness of a Treatment Protocol with Transcranial Direct Current Stimulation and Oculomotor Physiotherapy in the Saccadic Movement of Adults with Parkinson</t>
  </si>
  <si>
    <t>Bernardo Amarante De Lara</t>
  </si>
  <si>
    <t>55 54 996052510</t>
  </si>
  <si>
    <t>ftbernardolara@hotmail.com</t>
  </si>
  <si>
    <t>Non-ablative radiofrequency as treatment of vulvar Lichen Sclerosus</t>
  </si>
  <si>
    <t>U1111-1255-7117</t>
  </si>
  <si>
    <t>vulvar lichen sclerosus - response of treatments</t>
  </si>
  <si>
    <t>rodrigo rossi balbinotti</t>
  </si>
  <si>
    <t>Caxias do Sul</t>
  </si>
  <si>
    <t>rrbalbinotti@ibest.com.br</t>
  </si>
  <si>
    <t>Chronic Effect of Resistance Exercise associated with Blood Flow Restriction on Neuromotor Performance in healthy women: clinical trial randomized and blinded</t>
  </si>
  <si>
    <t>09/28/2020</t>
  </si>
  <si>
    <t>U1111-1257-6045</t>
  </si>
  <si>
    <t>Effect of acute and long term consumption of juçara fruit (euterpe edulis) and açaí (euterpe oleracea) in antioxidant capacity oxidative stress and metabolic parameters in healthy subjects</t>
  </si>
  <si>
    <t>U1111-1231-9497</t>
  </si>
  <si>
    <t>Patricia Faria Di Pietro</t>
  </si>
  <si>
    <t>+55 (48) 37218014</t>
  </si>
  <si>
    <t>patricia.di.pietro@ufsc.br</t>
  </si>
  <si>
    <t>Universidade Federal de Santa Catarina - UFSC</t>
  </si>
  <si>
    <t>Vital Pulp Therapy in permanent teeth with signs of Pulpitis</t>
  </si>
  <si>
    <t>U1111-1257-9066</t>
  </si>
  <si>
    <t>Clarissa Cavalcanti Fatturi Parolo</t>
  </si>
  <si>
    <t>fatturiparolo@yahoo.com</t>
  </si>
  <si>
    <t>Comparison between two strategies for perioperative volume replacement in abdominal surgeries: continuous infusion versus bolus</t>
  </si>
  <si>
    <t>U1111-1207-3998</t>
  </si>
  <si>
    <t>Digestive system diseases,Digestive System Surgical Procedures,Elective Surgical Procedures,Anesthesia,General,Postoperative Complications</t>
  </si>
  <si>
    <t>gabriel isaac pereira de castro</t>
  </si>
  <si>
    <t>são carlos</t>
  </si>
  <si>
    <t>trictracxliv@yahoo.com.br</t>
  </si>
  <si>
    <t>Faculdade de Medicina de Botucatu UNESP</t>
  </si>
  <si>
    <t>Effectiveness and tolerance of Phenol-Croton Peel 16% versus Imiquimode in the treatment of Actinic Queilites: a randomized clinical trial</t>
  </si>
  <si>
    <t>04/19/2021</t>
  </si>
  <si>
    <t>U1111-1260-6367</t>
  </si>
  <si>
    <t>Diseases of the lips</t>
  </si>
  <si>
    <t>Actinic keratosis</t>
  </si>
  <si>
    <t>Luiz Eduardo Fabricio de Melo Garbers</t>
  </si>
  <si>
    <t>legarbers@gmail.com</t>
  </si>
  <si>
    <t>Adapted Diving Mask (Owners Mask) Effectiveness for Non-Invasive Ventilation in the pandemic scenario for Sars-CoV-2: a randomized clinical trial</t>
  </si>
  <si>
    <t>04/15/2021</t>
  </si>
  <si>
    <t>respiratory diseases</t>
  </si>
  <si>
    <t>dulciane nunes paiva</t>
  </si>
  <si>
    <t>Safety effectiveness and duration of immunity after vaccionation against new SARS-COV2 in patients with immunomediated rheumatic diseases</t>
  </si>
  <si>
    <t>04/14/2021</t>
  </si>
  <si>
    <t>rheumatoid arthritis</t>
  </si>
  <si>
    <t>Edgard Torres dos Reis Neto</t>
  </si>
  <si>
    <t>edgard.torres@unifesp.br</t>
  </si>
  <si>
    <t>Evaluation of gingival irritation in patients submitted to at-home bleaching with different cutouts of the bleaching tray: randomized single-blind clinical trial</t>
  </si>
  <si>
    <t>Promotion of Physical Activity in primary health care: a prospective randomized and controlled study</t>
  </si>
  <si>
    <t>U1111-1258-5444</t>
  </si>
  <si>
    <t>Coronavirus infection,unspecified</t>
  </si>
  <si>
    <t>Emmanuel G Ciolac</t>
  </si>
  <si>
    <t>+55(14)31036082</t>
  </si>
  <si>
    <t>ciolac@fc.unesp.br</t>
  </si>
  <si>
    <t>Effects of Inspiratory Muscle Training on Dyspnea Exercise Capacity and Postural Control in Patients with COPD</t>
  </si>
  <si>
    <t>Yves de Souza</t>
  </si>
  <si>
    <t>Petropolis</t>
  </si>
  <si>
    <t>yves.souza@uva.br</t>
  </si>
  <si>
    <t>Pilot phase II randomized placebo-controlled clinical trial for the prevention and progression of SARS-CoV-2 infection of subjects and patients using a supplement treatment with LCT</t>
  </si>
  <si>
    <t>Pneumonia,COVID - 19</t>
  </si>
  <si>
    <t>Carolina Thé Macedo</t>
  </si>
  <si>
    <t>carolina.macedo@fbter.gov.br</t>
  </si>
  <si>
    <t>CO2 LASER and Microablative Fractionated Radiofrequency in treatment of urinary incontinence. A Randomized Controlled Trial</t>
  </si>
  <si>
    <t>U1111-1205-0483</t>
  </si>
  <si>
    <t>Ana Silvia Seki</t>
  </si>
  <si>
    <t>anaseki@uol.com.br</t>
  </si>
  <si>
    <t>Estimation of the cardiac index using doppler ultrasonography of the common carotid artery in children</t>
  </si>
  <si>
    <t>U1111-1256-1201</t>
  </si>
  <si>
    <t>Low Cardiac Output</t>
  </si>
  <si>
    <t>Tiago Henrique de Souza</t>
  </si>
  <si>
    <t>+55 19 35217901</t>
  </si>
  <si>
    <t>tiago.souza@hc.unicamp.br</t>
  </si>
  <si>
    <t>Hospital das Clínicas da Universidade Estadual de Campinas</t>
  </si>
  <si>
    <t>Transcranial direct current stimulation in the treatment of pain in women with fibromyalgia: double-blind randomized clinical trial</t>
  </si>
  <si>
    <t>Pain,chronic pain,fibromyalgia</t>
  </si>
  <si>
    <t>Eduardo Henrique Loreti</t>
  </si>
  <si>
    <t>Dourados</t>
  </si>
  <si>
    <t>eduardomicrofisio@gmaill.com</t>
  </si>
  <si>
    <t>Effect of probiotics on intestinal microbiota and on nutritional biochemical and clinical indicators after gastric bypass in Roux-en-Y</t>
  </si>
  <si>
    <t>Obesity,Bariatric surgery,Gastrointestinal Microbiome,Dysbiosis</t>
  </si>
  <si>
    <t>Probiotic</t>
  </si>
  <si>
    <t>Nathalia Ramori Farinha Wagner</t>
  </si>
  <si>
    <t>nathalia_farinha@yahoo.com.br</t>
  </si>
  <si>
    <t>Polysacaride Gel for Treating Stress Urinary Incontinece in Women</t>
  </si>
  <si>
    <t>Instilação,vesical</t>
  </si>
  <si>
    <t>Fernanda Calisto</t>
  </si>
  <si>
    <t>+55 (81) 99954-6898</t>
  </si>
  <si>
    <t>fernandacamilacalisto@gmail.com</t>
  </si>
  <si>
    <t>Impact of the use of Fibrin biological glue sealant on the reinforcement of Pancreatic anastomosis after Duodenopancreatectomy</t>
  </si>
  <si>
    <t>Pancreatic Neoplasms</t>
  </si>
  <si>
    <t>Alberto Facury Gaspar</t>
  </si>
  <si>
    <t>ribeirão preto</t>
  </si>
  <si>
    <t>afgasp@hotmail.com</t>
  </si>
  <si>
    <t>Mind-body intervention practice (MBIP)as a complementary and integrative treatment (CIT)for compulsive sexual behavior disorder (CSBD): randomized controlled trial (RCT)</t>
  </si>
  <si>
    <t>07/31/2020</t>
  </si>
  <si>
    <t>A+17011260870</t>
  </si>
  <si>
    <t>Marco de Tubino Scanavino</t>
  </si>
  <si>
    <t>55 11 2661 6984</t>
  </si>
  <si>
    <t>scanavino@gmail.com</t>
  </si>
  <si>
    <t>hospital das clínicas da faculdade de medicina da univesidade de são Paulo</t>
  </si>
  <si>
    <t>Short-term effects of a Toning Exercise Program through Telerehabilitation in confined patients affected by Covid-19</t>
  </si>
  <si>
    <t>covid-19</t>
  </si>
  <si>
    <t>Effects of music on attention of children with and without Attention deficit with hyperactivity disorder (ADHD)</t>
  </si>
  <si>
    <t>U1111-1258-9039</t>
  </si>
  <si>
    <t>Attention deficit with hyperactivity disorder</t>
  </si>
  <si>
    <t>Comitê de Ética em Pesquisa da UFMG</t>
  </si>
  <si>
    <t>Effects of Manual Therapy of the Suboccipital Musculature in the Modulation of Encephalographic Parameters of the Human Brain</t>
  </si>
  <si>
    <t>Musculoskeletal Manipulations</t>
  </si>
  <si>
    <t>Manuel Vazquez Marrufo</t>
  </si>
  <si>
    <t>marrufo@us.es</t>
  </si>
  <si>
    <t>Effect of Global Postural Reeducation - GPR on Pain and Muscle Function in Subjects with Temporomandibular Dysfunction: A Randomized Clinical Trial</t>
  </si>
  <si>
    <t>U1111-1203-5530</t>
  </si>
  <si>
    <t>Temporomandibular Joint</t>
  </si>
  <si>
    <t>Effects of a rehabilitation program on the inflammatory profile and functional capacity of patients recovered from COVID-19</t>
  </si>
  <si>
    <t>Thiago  Dipp</t>
  </si>
  <si>
    <t>+55 51 35911122 ramal 1261</t>
  </si>
  <si>
    <t>thiagodipp@unisinos.br</t>
  </si>
  <si>
    <t>Effects of a kinesiotherapeutic intervention protocol using exergame as a potential modulator of epigenetic markers and clinical-functional outcomes in elderly women</t>
  </si>
  <si>
    <t>U1111-1250-0881</t>
  </si>
  <si>
    <t>Patricia Paula Bazzanello</t>
  </si>
  <si>
    <t>Erechim</t>
  </si>
  <si>
    <t>patriciabazzanello@hotmail.com</t>
  </si>
  <si>
    <t>Non vital tooth Bleaching - a randomized clinical trial</t>
  </si>
  <si>
    <t>10/15/2018</t>
  </si>
  <si>
    <t>U1111-1214-4576</t>
  </si>
  <si>
    <t>Bruna  Gaidarji</t>
  </si>
  <si>
    <t>+55 55 991623605</t>
  </si>
  <si>
    <t>brunagaidarji@gmail.com</t>
  </si>
  <si>
    <t>Survival analysis of glass ionomer cement restorations after removal of carious tissue using or not using Brix 3000: Randomized controlled clinical trial</t>
  </si>
  <si>
    <t>U1111-1243-6328</t>
  </si>
  <si>
    <t>Dental caries,Papain,dental materials,pediatric dentistry</t>
  </si>
  <si>
    <t>Tainá Fontes de Souza</t>
  </si>
  <si>
    <t>Mesquita</t>
  </si>
  <si>
    <t>TainaFsouza15@hotmail.com</t>
  </si>
  <si>
    <t>Analysis of the impact of different types of Physical Exercise on exercise tolerance and quality of life in individuals with heart failure</t>
  </si>
  <si>
    <t>03/31/2021</t>
  </si>
  <si>
    <t>Left ventricular failure</t>
  </si>
  <si>
    <t>Wallace Machado Magalhães de Souza</t>
  </si>
  <si>
    <t>wallacemachado@ufrj.br</t>
  </si>
  <si>
    <t>Analysis of the primary stability of hybrid implants with different thread configurations. a split mouth randomized clinical controlled trial</t>
  </si>
  <si>
    <t>Dental Implants,Single-Tooth</t>
  </si>
  <si>
    <t>Epidemiological study in patients with Serious Acute Respiratory Syndrome during the Covid-19 pandemic</t>
  </si>
  <si>
    <t>03/30/2021</t>
  </si>
  <si>
    <t>Joelma Gandolfi</t>
  </si>
  <si>
    <t>sao jose do rio preto</t>
  </si>
  <si>
    <t>+55 17 32015905</t>
  </si>
  <si>
    <t>joelmavg@gmail.com</t>
  </si>
  <si>
    <t>Evaluation of the influence of enamel deproteinization on the adhesion of orthodontic accessories</t>
  </si>
  <si>
    <t>03/29/2021</t>
  </si>
  <si>
    <t>Renan Morais Peloso</t>
  </si>
  <si>
    <t>renan_peloso@hotmail.com</t>
  </si>
  <si>
    <t>Body Image among Brazilian adolescents: diagnosis and intervention</t>
  </si>
  <si>
    <t>U1111-1252-7741</t>
  </si>
  <si>
    <t>Tassiana Aparecida Hudson</t>
  </si>
  <si>
    <t>tassiana.hudson@estudante.ufjf.br</t>
  </si>
  <si>
    <t>Low-level laser therapy in the treatment of dry mouth in patients of head and neck cancer</t>
  </si>
  <si>
    <t>03/28/2021</t>
  </si>
  <si>
    <t>U1111-1259-9624</t>
  </si>
  <si>
    <t>Low Intensity Laser Therapy</t>
  </si>
  <si>
    <t>André Luiz Sena Guimarães</t>
  </si>
  <si>
    <t>Montes Claros</t>
  </si>
  <si>
    <t>andreluizguimaraes@gmail.com</t>
  </si>
  <si>
    <t>Univesrsidade Estadual de Montes Claros</t>
  </si>
  <si>
    <t>Effect of a high intensity interval training program with different physical exercise protocols performed on the ground and within the aquatic environment on variables metabolic hemodynamic anthropometric and functional</t>
  </si>
  <si>
    <t>U1111-1259-3612</t>
  </si>
  <si>
    <t>Adults,young,healthy,physically active</t>
  </si>
  <si>
    <t>Hadley Marlon Silva</t>
  </si>
  <si>
    <t>55(081)985627867</t>
  </si>
  <si>
    <t>hadleymarlon@gmail.com</t>
  </si>
  <si>
    <t>Effect of high intensity interval training on physical capacity body composition quality of life and autonomic cardiac control of hypertensions</t>
  </si>
  <si>
    <t>12/20/2018</t>
  </si>
  <si>
    <t>U1111-1225-3368</t>
  </si>
  <si>
    <t>Essential Arterial Hypertension</t>
  </si>
  <si>
    <t>Victor Ribeiro Neves</t>
  </si>
  <si>
    <t>+55(87)38666496</t>
  </si>
  <si>
    <t>victor.neves@upe.br</t>
  </si>
  <si>
    <t>Universidade de Pernambuco (UPE)</t>
  </si>
  <si>
    <t>A comparative clinical trial for the viability of a medical device</t>
  </si>
  <si>
    <t>U1111-1251-6091</t>
  </si>
  <si>
    <t>Determination of blood bioindicators in healthy subjects</t>
  </si>
  <si>
    <t>José Pedrazzoli Junior</t>
  </si>
  <si>
    <t>jose.pedrazzoli@synvia.com</t>
  </si>
  <si>
    <t>CAEP - Centro Avançado de Estudos e Pesquisas</t>
  </si>
  <si>
    <t>Oncological safety of extraoral photobiomodulation in patients with oral and oropharyngeal squamous cell carcinoma</t>
  </si>
  <si>
    <t>01/20/2020</t>
  </si>
  <si>
    <t>U1111-1230-0696</t>
  </si>
  <si>
    <t>Thais Bianca Brandão</t>
  </si>
  <si>
    <t>thais.brandao@uol.com.br</t>
  </si>
  <si>
    <t>Instituto do Câncer do Estado de São Paulo</t>
  </si>
  <si>
    <t>Effects of Plasma-Lyte or Normal Saline on Renal Function After Renal Transplantation from a Deceased Donor. A Randomized Controlled Trial</t>
  </si>
  <si>
    <t>U1111-1195-4014</t>
  </si>
  <si>
    <t>Chronic kidney failure,kidney transplantation</t>
  </si>
  <si>
    <t>Paulo do Nascimento Junior</t>
  </si>
  <si>
    <t>+55(14)38801414</t>
  </si>
  <si>
    <t>pnasc@fmb.unesp.br</t>
  </si>
  <si>
    <t>Faculdade de Medicina de Botucatu,Universidade Estadual Paulista,UNESP</t>
  </si>
  <si>
    <t>Comparative analysis of the proximity of the lower third molars to the mandibular canal obtained by means of cone-beam tomography and correlation possible sensory changes after extraction of these elements</t>
  </si>
  <si>
    <t>03/26/2021</t>
  </si>
  <si>
    <t>Dentistry</t>
  </si>
  <si>
    <t>Natasha Magro Érnica</t>
  </si>
  <si>
    <t>natashamagro@uol.com.br</t>
  </si>
  <si>
    <t>Double-blind randomized clinical trial of Maytenus ilicifolia as a strategy to manage dyspepsia in gastroesophageal reflux disease</t>
  </si>
  <si>
    <t>Ionara Rodrigues Siqueira</t>
  </si>
  <si>
    <t>+55 (51) 3308 3527</t>
  </si>
  <si>
    <t>ionara@ufrgs.br</t>
  </si>
  <si>
    <t>Effects of Transcutaneous Electrical Nerve Stimulation (TENS) on the reduction of pro inflammatory cytokines in patients with Breast Cancer</t>
  </si>
  <si>
    <t>03/25/2021</t>
  </si>
  <si>
    <t>breast cancer</t>
  </si>
  <si>
    <t>Cytokines</t>
  </si>
  <si>
    <t>Tabata Cristina do Carmo Almeida</t>
  </si>
  <si>
    <t>+55 11 98072-0008</t>
  </si>
  <si>
    <t>tabatacristina@yahoo.com.br</t>
  </si>
  <si>
    <t>Randomized clinical trial simple blind comparative between Local Preemptive Anesthesia and Spinal Erector Muscle in Video Thoracoscopic Thoracic Surgery</t>
  </si>
  <si>
    <t>03/23/2021</t>
  </si>
  <si>
    <t>Thoracic Diseases,lung diseases,pleural diseases,anesthesia</t>
  </si>
  <si>
    <t>Juliano Mendes Souza</t>
  </si>
  <si>
    <t>prof.julianomendes@gmail.com</t>
  </si>
  <si>
    <t>Auriculotherapy to reduce occupational stress in primary care health professionals during the COVID-19 pandemic: a randomized controlled clinical trial</t>
  </si>
  <si>
    <t>Occupational stress</t>
  </si>
  <si>
    <t>Occupational Diseases</t>
  </si>
  <si>
    <t>Magno Conceição das Mercês</t>
  </si>
  <si>
    <t>+55 71 31172200</t>
  </si>
  <si>
    <t>mmerces@uneb.br</t>
  </si>
  <si>
    <t>Single-dose subcutaneous esketamine for reducing suicidality in psychiatric inpatients: randomized triple-blind placebo-controlled clinical trial</t>
  </si>
  <si>
    <t>03/19/2021</t>
  </si>
  <si>
    <t>U1111-1260-3345</t>
  </si>
  <si>
    <t>Suicidal ideation</t>
  </si>
  <si>
    <t>João Pedro Gonçalves Pacheco</t>
  </si>
  <si>
    <t>joaopgp123@gmail.com</t>
  </si>
  <si>
    <t>Mental and behavioral disorders</t>
  </si>
  <si>
    <t>Convalescent plasma to treat patients with severe covid-19</t>
  </si>
  <si>
    <t>03/18/2021</t>
  </si>
  <si>
    <t>U1111-1250-8855</t>
  </si>
  <si>
    <t>Coronavirus infection,transfusion,C23,A00-B99,Coronavirus OC43,Human</t>
  </si>
  <si>
    <t>Gil Cunha De Santis</t>
  </si>
  <si>
    <t>gil@hemocentro.fmrp.usp.br</t>
  </si>
  <si>
    <t>Hemocentro de Ribeirão Preto</t>
  </si>
  <si>
    <t>Simulation Intervention: Effectiveness to prevent diabetic foot</t>
  </si>
  <si>
    <t>U1111-1261-9187</t>
  </si>
  <si>
    <t>Diabetic foot,Nursing</t>
  </si>
  <si>
    <t>Insulin-dependent diabetes mellitus - with peripheral circulatory complications</t>
  </si>
  <si>
    <t>Leila Aparecida Kauchakje Pedrosa</t>
  </si>
  <si>
    <t>zuffifernanda@gmail.com</t>
  </si>
  <si>
    <t>Effects of combined training on morphological functional cardiomatabolic and biochemical parameters in individuals with cardiovascular risk factors</t>
  </si>
  <si>
    <t>Peripheral Arterial Disease</t>
  </si>
  <si>
    <t>+55 48 99108-4365</t>
  </si>
  <si>
    <t>The impact of functional and respiratory rehabilitation on the recovery of hospitalized patients in the context of SARS-CoV 2 infection</t>
  </si>
  <si>
    <t>Infecções por Coronavirus</t>
  </si>
  <si>
    <t>Ana Cristina Carvalho</t>
  </si>
  <si>
    <t>Perosinho</t>
  </si>
  <si>
    <t>acpcarvalho@arsnorte.min-saude.pt</t>
  </si>
  <si>
    <t>Evaluation of the impact of the mouthwash and gargle with chlorexidin digluconate on the salivar viral load of patients with covid-19</t>
  </si>
  <si>
    <t>U1111-1264-8920</t>
  </si>
  <si>
    <t>Chlorhexidine</t>
  </si>
  <si>
    <t>Denis Costa</t>
  </si>
  <si>
    <t>denisdont@hotmail.com</t>
  </si>
  <si>
    <t>Nicotinamide as chemoprevention of Skin Cancer in Transplant recipietns</t>
  </si>
  <si>
    <t>03/16/2021</t>
  </si>
  <si>
    <t>Sabrina dequi Sanvido</t>
  </si>
  <si>
    <t>porto alegre</t>
  </si>
  <si>
    <t>bita@hotmail.com</t>
  </si>
  <si>
    <t>Clinical performance of mandibular overdentures retained by 2 or 3 implants</t>
  </si>
  <si>
    <t>U1111-1259-4062</t>
  </si>
  <si>
    <t>Edentulism</t>
  </si>
  <si>
    <t>Comparison effects of High Intensity Interval Training and Resistance Training on Maximal Strength and Muscle Hypertrophy</t>
  </si>
  <si>
    <t>Persons</t>
  </si>
  <si>
    <t>Rodrigo Rodrigues</t>
  </si>
  <si>
    <t>rodrigo.rodrigues@fsg.edu.br</t>
  </si>
  <si>
    <t>Comparison between kinesiotherapy and usual care during the first period of labor of pregnant women induced by misoprostol: A randomized pragmatic clinical trial</t>
  </si>
  <si>
    <t>Milene de Oliveira Almeida</t>
  </si>
  <si>
    <t>+55 (83) 98733-4792</t>
  </si>
  <si>
    <t>milenealmeidaa0@gmail.com</t>
  </si>
  <si>
    <t>Effect of a propolis-containing tablet on the acidity of saliva and the amount of adolescent dental plaque microbes: a randomized clinical study comparing with the use of another tablet without propolis and without knowing who will ingest and supply the tablet</t>
  </si>
  <si>
    <t>11/22/2017</t>
  </si>
  <si>
    <t>U1111-1201-9763</t>
  </si>
  <si>
    <t>Dental Plaque</t>
  </si>
  <si>
    <t>Andréa Fonseca Gonçalves</t>
  </si>
  <si>
    <t>+55(21) 3938 2009</t>
  </si>
  <si>
    <t>andreagantonio@yahoo.com.br</t>
  </si>
  <si>
    <t>Effects of Low-level Laser on the pain and activity of lumbar spine stabilizing muscles in individuals with Chronic Non-specific Low Back Pain: a randomized clinical trial</t>
  </si>
  <si>
    <t>U1111-1264-6648</t>
  </si>
  <si>
    <t>Spinal Diseases</t>
  </si>
  <si>
    <t>Francisco Dimitre Rodrigo Pereira Santos</t>
  </si>
  <si>
    <t>+55 99 98223-9939</t>
  </si>
  <si>
    <t>franciscodimitre@hotmail.com</t>
  </si>
  <si>
    <t>Effects of the Mindfulness-Based Food Awareness Training intervention (Mindfulness-Based Eating Awareness Training - MB-EAT) in patients after Bariatric Surgery: a randomized clinical trial</t>
  </si>
  <si>
    <t>U1111-1262-7175</t>
  </si>
  <si>
    <t>Binge-Eating Disorder</t>
  </si>
  <si>
    <t>Camila Cremonezi Japur</t>
  </si>
  <si>
    <t>+55 16 31150745</t>
  </si>
  <si>
    <t>camilajapur@usp.br</t>
  </si>
  <si>
    <t>Effectiveness of At-Home Dental Whitening with Nanovetorized Carbamide Peroxide: A Randomized Multicenter Controlled Trial</t>
  </si>
  <si>
    <t>01/23/2018</t>
  </si>
  <si>
    <t>U1111-1205-8149</t>
  </si>
  <si>
    <t>Dentin sensitivity. Tooth Discoloration</t>
  </si>
  <si>
    <t>Alessandro D Loguercio</t>
  </si>
  <si>
    <t>Chronic effect of blood orange juice intake on microRNA expression profile and inflammatory response in overweight women</t>
  </si>
  <si>
    <t>U1111-1241-4665</t>
  </si>
  <si>
    <t>Marcelo Macedo Rogero</t>
  </si>
  <si>
    <t>mmrogero@usp.br</t>
  </si>
  <si>
    <t>Faculdade de Saúde Pública da Universidade de São Paulo</t>
  </si>
  <si>
    <t>Microhemodynamic evaluation in children with Severe Sepsis and / or Septic Shock admitted to the IFF-Fiocruz unit of severe patients</t>
  </si>
  <si>
    <t>Non specified septicemias</t>
  </si>
  <si>
    <t>Septicemia</t>
  </si>
  <si>
    <t>Eliete Bouskela</t>
  </si>
  <si>
    <t>eliete.bouskela@gmail.com</t>
  </si>
  <si>
    <t>Nursing Coaching by App: an innovative approach to breastfeeding preterm infants</t>
  </si>
  <si>
    <t>Breast feeding,Premature Birth</t>
  </si>
  <si>
    <t>Breast feeding</t>
  </si>
  <si>
    <t>Gabriela Ramos Ferreira Curan</t>
  </si>
  <si>
    <t>gabrielacuran@yahoo.com.br</t>
  </si>
  <si>
    <t>Validation of patient selection indicators for insertion in a pharmaceutical care service focused on primary care</t>
  </si>
  <si>
    <t>U1111-1259-5649</t>
  </si>
  <si>
    <t>Leonardo Régis Leira Pereira</t>
  </si>
  <si>
    <t>lpereira@fcfrp.usp.br</t>
  </si>
  <si>
    <t>Evaluation of the effectiveness of strategies to reduce at-risk drinking among older adults</t>
  </si>
  <si>
    <t>U1111-1245-0229</t>
  </si>
  <si>
    <t>Cleusa Pinheiro Ferri</t>
  </si>
  <si>
    <t>SÃO JOSE DOS CAMPOS</t>
  </si>
  <si>
    <t>+55 012 99173-0660</t>
  </si>
  <si>
    <t>ferricleusa@gmail.com</t>
  </si>
  <si>
    <t>Evaluation of self-esteem self-image and level of hope in patients with gastrointestinal neoplasia under chemotherapy treatment: an almost experimental study</t>
  </si>
  <si>
    <t>02/25/2021</t>
  </si>
  <si>
    <t>U1111-1264-9151</t>
  </si>
  <si>
    <t>Clinical Evaluation of the use of alveolar protection devices in healing after tooth extractions</t>
  </si>
  <si>
    <t>U1111-1261-4038</t>
  </si>
  <si>
    <t>Eduardo Claudio Lopes de Chaves e Mello Dias</t>
  </si>
  <si>
    <t>eduardodias@uol.com.br</t>
  </si>
  <si>
    <t>Validity and reliability of sacroiliac tests: Standing Flexion Test (STFT) Sitting Flexion Test (SIFT) and Downing test</t>
  </si>
  <si>
    <t>02/23/2021</t>
  </si>
  <si>
    <t>U1111-1264-5739</t>
  </si>
  <si>
    <t>Rafael Paiva Ribeiro</t>
  </si>
  <si>
    <t>55 051 999947565</t>
  </si>
  <si>
    <t>rpaivaribeiro2@gmail.com</t>
  </si>
  <si>
    <t>Hygiene method in bath and hydratation of newborn skin: benefit from the use oh pH physiological childrens soap</t>
  </si>
  <si>
    <t>U1111-1239-2243</t>
  </si>
  <si>
    <t>Larissa Habib Mendonça Gois Topan</t>
  </si>
  <si>
    <t>larissa_habib@icloud.com</t>
  </si>
  <si>
    <t>Clinical randomic and controlled study on the effect of transilumination on the success of peripheral intravenous catheterization in children</t>
  </si>
  <si>
    <t>U1111-1258-9573</t>
  </si>
  <si>
    <t>Success in peripheral intravenous catheterization</t>
  </si>
  <si>
    <t>Child,Hospitalized</t>
  </si>
  <si>
    <t>Luciano Marques dos Santos</t>
  </si>
  <si>
    <t>75 991850403</t>
  </si>
  <si>
    <t>luciano.santos@uefs.br</t>
  </si>
  <si>
    <t>Characterization and prognostic value of gastrointestinal manifestations and oral nutritional supplementation for caloric-protein adequacy in patients hospitalized with COVID-19</t>
  </si>
  <si>
    <t>02/22/2021</t>
  </si>
  <si>
    <t>U1111-1264-5018</t>
  </si>
  <si>
    <t>Alfredo José Mansur</t>
  </si>
  <si>
    <t>Efficacy of synchronous call center compared to the use of cell phone application in Smoking Cessation Rate Withdrawal Syndrome and Anxiety and Depression level</t>
  </si>
  <si>
    <t>Ana Paula Coelho Figueira Freire</t>
  </si>
  <si>
    <t>anapcff@hotmail.com</t>
  </si>
  <si>
    <t>Online training to improve health and quality of life among medical students</t>
  </si>
  <si>
    <t>02/19/2021</t>
  </si>
  <si>
    <t>Cognitive Behavioral Therapy</t>
  </si>
  <si>
    <t>Karina Pereira-Lima</t>
  </si>
  <si>
    <t>kplima@unifesp.br</t>
  </si>
  <si>
    <t>Application of the quality of life mini-questionnaire in arterial hypertension (Minichal) during the covid-19 pandemic</t>
  </si>
  <si>
    <t>U1111-1260-1656</t>
  </si>
  <si>
    <t>Volunteers with systemic arterial hypertension (SAH)</t>
  </si>
  <si>
    <t>Roberta Oliveira Silva</t>
  </si>
  <si>
    <t>(35)99936-2355</t>
  </si>
  <si>
    <t>Evaluation of autophagic flow in response to cell stress in musculoskeletal and adipose tissues in obese patients with obstructive sleep apnea</t>
  </si>
  <si>
    <t>U1111-1255-9374</t>
  </si>
  <si>
    <t>Marcos Mônico Neto</t>
  </si>
  <si>
    <t>+55 (13) 3229-0100</t>
  </si>
  <si>
    <t>marcosmoniconeto@gmail.com</t>
  </si>
  <si>
    <t>Anti-inflammatory activity of the cream based on Physalis angulata L. extract after application of intense pulsed light in the treatment of solar melanosis of the hands</t>
  </si>
  <si>
    <t>U1111-1258-9758</t>
  </si>
  <si>
    <t>Solar melanosis</t>
  </si>
  <si>
    <t>Ricardo de Melo Germano</t>
  </si>
  <si>
    <t>Umuarama</t>
  </si>
  <si>
    <t>+55 (44)988038834</t>
  </si>
  <si>
    <t>prof.ricardogermano@gmail.com</t>
  </si>
  <si>
    <t>Universidade Paranaense</t>
  </si>
  <si>
    <t>Effects of a semi-supervised home-based exercise training on physical performance biological and mental outcomes on primary lung and head and/or neck cancer patients: a randomized clinical trial</t>
  </si>
  <si>
    <t>U1111-1264-3696</t>
  </si>
  <si>
    <t>Ercy Mara Cipulo Ramos</t>
  </si>
  <si>
    <t>+55 (18) 3229-5821</t>
  </si>
  <si>
    <t>ercycramos@gmail.com</t>
  </si>
  <si>
    <t>Development evaluation and implementation of a Care Transition Strategy for patients with Colorectal Cancer</t>
  </si>
  <si>
    <t>Adriane Cristina Bernat Kolankiewicz</t>
  </si>
  <si>
    <t>55 996816030</t>
  </si>
  <si>
    <t>adriane.bernat@unijui.edu.br</t>
  </si>
  <si>
    <t>Phase IV Clinical Efficacy Study randomized double-blind placebo controlled MMR Vaccine (against measles mumps and rubella) in the Prevention or Reduction of Severety of COVID-19 in Men and Women Healthcare Workers 18 to 60 years old</t>
  </si>
  <si>
    <t>U1111-1254-3758</t>
  </si>
  <si>
    <t>Measles-Mumps-Rubella Vaccine</t>
  </si>
  <si>
    <t>Edison Natal Fedrizzi</t>
  </si>
  <si>
    <t>+ 55 48 99830-6401</t>
  </si>
  <si>
    <t>edison.fedrizzi@ufsc.br</t>
  </si>
  <si>
    <t>Effects of teacrine supplementation on motor performance and IGF system in amateur athletes</t>
  </si>
  <si>
    <t>Healthy individuals</t>
  </si>
  <si>
    <t>Physical Education and Training</t>
  </si>
  <si>
    <t>Henrique Santa Capita Cerqueira</t>
  </si>
  <si>
    <t>Jaboticabal</t>
  </si>
  <si>
    <t>henriquecrg@usp.br</t>
  </si>
  <si>
    <t>Prospective analysis of the use of antibiotics in surgery for the installation of osseointegrated dental implants</t>
  </si>
  <si>
    <t>clinical trial,dental implantation,antibiotic prophylaxis,infections</t>
  </si>
  <si>
    <t>Antibiotic Prophylaxis</t>
  </si>
  <si>
    <t>adrianogermanoufrn@yahoo.com.br</t>
  </si>
  <si>
    <t>Assessment of Ultra-processing Food and Eating Behavior in Obesity Adults</t>
  </si>
  <si>
    <t>Carolina Machado Favaron Castanho</t>
  </si>
  <si>
    <t>55 (11) 995795815</t>
  </si>
  <si>
    <t>carolina.favaron@gmail.com</t>
  </si>
  <si>
    <t>Educational Intervention on patient Safety: quasi-experimental research</t>
  </si>
  <si>
    <t>Maira Gabriela Perego</t>
  </si>
  <si>
    <t>maira_perego@hotmail.com</t>
  </si>
  <si>
    <t>Comparing diagnosis in mental health with different modes of interview</t>
  </si>
  <si>
    <t>U1111-1260-1212</t>
  </si>
  <si>
    <t>History Taking</t>
  </si>
  <si>
    <t>Helio Gomes da Rocha Neto</t>
  </si>
  <si>
    <t>hgrochaneto@gmail.com</t>
  </si>
  <si>
    <t>Education actions and group Physiotherapy at the risk of falls in the elderly: Randomized clinical trial</t>
  </si>
  <si>
    <t>Andressa de Oliveira</t>
  </si>
  <si>
    <t>Adamantina</t>
  </si>
  <si>
    <t>+55(18)996449937</t>
  </si>
  <si>
    <t>andressaoliveira@fai.com.br</t>
  </si>
  <si>
    <t>Efficacy and Safety of At-home Detal Bleaching in Individuals with Aesthetic Restorations</t>
  </si>
  <si>
    <t>U1111-1260-0640</t>
  </si>
  <si>
    <t>Tooth bleaching,dentin sensitivity,clinical trial</t>
  </si>
  <si>
    <t>Tooth bleaching</t>
  </si>
  <si>
    <t>Sônia Saeger Meireles</t>
  </si>
  <si>
    <t>soniasaeger@hotmail.com</t>
  </si>
  <si>
    <t>Chemoradiation and Consolidation Chemotherapy with or without oxaliplatin for distal rectal cancer and Watch and Wait. A multi-center prospective randomized controlled trial. (CCHOWW)</t>
  </si>
  <si>
    <t>rectal cancer</t>
  </si>
  <si>
    <t>Consolidation Chemotherapy</t>
  </si>
  <si>
    <t>Guilherme Pagin São Julião</t>
  </si>
  <si>
    <t>(11) 996343780</t>
  </si>
  <si>
    <t>guilhermepc91@gmail.com</t>
  </si>
  <si>
    <t>Transcranial Direct Current Stimulation in Geriatric Depression</t>
  </si>
  <si>
    <t>Aline Simões de Alencastro</t>
  </si>
  <si>
    <t>aline_alencastro@yahoo.com.br</t>
  </si>
  <si>
    <t>The role of bioactive resinous and fluoridated agents in the treatment of dentin hypersensitivity and their interaction with sound and eroded dentin: in vitro and clinical investigations</t>
  </si>
  <si>
    <t>Dentifrice</t>
  </si>
  <si>
    <t>Victor Mosquim</t>
  </si>
  <si>
    <t>+55 14 981254593</t>
  </si>
  <si>
    <t>mosquim.victor@gmail.com</t>
  </si>
  <si>
    <t>Performance of visually impaired people during a Virtual Reality task</t>
  </si>
  <si>
    <t>U1111-1242-9851</t>
  </si>
  <si>
    <t>Mariana Caramore Fava</t>
  </si>
  <si>
    <t>maricaramore@hotmail.com</t>
  </si>
  <si>
    <t>Use of high-fidelity clinical simulation in undergraduate nursing education</t>
  </si>
  <si>
    <t>U1111-1259-3552</t>
  </si>
  <si>
    <t>Test Anxiety Scale</t>
  </si>
  <si>
    <t>Radamés Boostel</t>
  </si>
  <si>
    <t>+55 41 99942-6422</t>
  </si>
  <si>
    <t>radames.boostel@gmail.com</t>
  </si>
  <si>
    <t>Prevention of pelvic dysfunctions in women during the practice of physical activity</t>
  </si>
  <si>
    <t>U1111-1256-5971</t>
  </si>
  <si>
    <t>Female urogenital diseases and pregnancy complications</t>
  </si>
  <si>
    <t>Juliana Albuquerque Baltar</t>
  </si>
  <si>
    <t>julianabaltar@hotmail.com</t>
  </si>
  <si>
    <t>Effectiveness of auriculotherapy for anxiety symptoms in students: an essay randomized clinical trial</t>
  </si>
  <si>
    <t>U1111-1249-9735</t>
  </si>
  <si>
    <t>Anne Manuelle dos Santos</t>
  </si>
  <si>
    <t>+55 079 999111251</t>
  </si>
  <si>
    <t>annemanuelle63@gmail.com</t>
  </si>
  <si>
    <t>Auriculotherapy effects in the treatment of nausea and vomiting in pregnant women</t>
  </si>
  <si>
    <t>U1111-1248-8960</t>
  </si>
  <si>
    <t>Nausea,Vomiting,Pregnancy</t>
  </si>
  <si>
    <t>Nathaly Bianka Moraes Fróes</t>
  </si>
  <si>
    <t>nathaly.bmf@hotmail.com</t>
  </si>
  <si>
    <t>Universidade Federaldo Ceará</t>
  </si>
  <si>
    <t>Education strategy and control of arterial hypertension: a proposal for truck drivers</t>
  </si>
  <si>
    <t>health education</t>
  </si>
  <si>
    <t>Mayara Rocha Siqueira Sudré</t>
  </si>
  <si>
    <t>55- 16 3315-3381</t>
  </si>
  <si>
    <t>maysrocha@usp.br</t>
  </si>
  <si>
    <t>e-Lifestyle system: an e-Health solution for monitoring the health conditions of patients with Arterial Hypertension</t>
  </si>
  <si>
    <t>08/28/2019</t>
  </si>
  <si>
    <t>U1111-1230-7550</t>
  </si>
  <si>
    <t>Hypertension,Cardiovascular diseases</t>
  </si>
  <si>
    <t>Ana Carolina Bertoletti De Marchi</t>
  </si>
  <si>
    <t>carolina@upf.br</t>
  </si>
  <si>
    <t>Secretaria Municipal de Saúde do Munícipio de Passo Fundo</t>
  </si>
  <si>
    <t>Neurological and Respiratory Assessment in Individuals with Brain Injury</t>
  </si>
  <si>
    <t>Brain Injuries</t>
  </si>
  <si>
    <t>Acoustic Stimulation</t>
  </si>
  <si>
    <t>Sabrina Vilela Afonso</t>
  </si>
  <si>
    <t>+55 34 991230503</t>
  </si>
  <si>
    <t>sabrinaafonso@hotmail.com</t>
  </si>
  <si>
    <t>Effect of educational intervention on elderly health beliefs on Sexually Transmitted Infections: almost experimental study</t>
  </si>
  <si>
    <t>Non-Randomized Controlled Trials as Topic</t>
  </si>
  <si>
    <t>Priscila Aguiar Mendes</t>
  </si>
  <si>
    <t>Tangará da Serra</t>
  </si>
  <si>
    <t>prih.mendes@gmail.com</t>
  </si>
  <si>
    <t>Prevention of Oral mucositis induced by Radiotherapy of head and neck: effect of the combination of red and infrared lasers</t>
  </si>
  <si>
    <t>U1111-1259-9139</t>
  </si>
  <si>
    <t>Oral mucositis</t>
  </si>
  <si>
    <t>Oral Mucositis</t>
  </si>
  <si>
    <t>João Paulo De Carli</t>
  </si>
  <si>
    <t>55 (54) 99112-3079</t>
  </si>
  <si>
    <t>joaodecarli@upf.br</t>
  </si>
  <si>
    <t>Exercises of joint positioning sense have an effect on proprioception shoulder pain and disability in patients with subacromial pain syndrome? Protocol for a randomized controlled trial</t>
  </si>
  <si>
    <t>subacromial pain syndrome</t>
  </si>
  <si>
    <t>Ana Luiza Bernardino Buccioli</t>
  </si>
  <si>
    <t>aninhabuccioli@hotmail.com</t>
  </si>
  <si>
    <t>Clinical and radiographic comparison of dental implants placed by conventional surgery and guided virtual surgery</t>
  </si>
  <si>
    <t>07/23/2018</t>
  </si>
  <si>
    <t>U1111-1210-7561</t>
  </si>
  <si>
    <t>César Augusto Benfatti</t>
  </si>
  <si>
    <t>+55 48 3721-9077</t>
  </si>
  <si>
    <t>The effects of global active streching on classical dancers</t>
  </si>
  <si>
    <t>A73722740282</t>
  </si>
  <si>
    <t>George Alberto da Silva Dias</t>
  </si>
  <si>
    <t>+55(91)981089582</t>
  </si>
  <si>
    <t>george@uepa.br</t>
  </si>
  <si>
    <t>Universidade do Estado do Pará</t>
  </si>
  <si>
    <t>Knowledge and attitudes of nursing students about sexual behavior and Sexually Transmitted Infections in the elderly: a quasi-experimental study</t>
  </si>
  <si>
    <t>U1111-1260-9225</t>
  </si>
  <si>
    <t>Education,Nursing</t>
  </si>
  <si>
    <t>Ana Carolina Macri Gaspar</t>
  </si>
  <si>
    <t>+55(66)99979-2553</t>
  </si>
  <si>
    <t>anacarolinamacri@hotmail.com</t>
  </si>
  <si>
    <t>Influence of behavioral therapies on awake bruxism biopsychosocial factors and orofacial pain: Randomized controlled clinical trial</t>
  </si>
  <si>
    <t>U1111-1232-6395</t>
  </si>
  <si>
    <t>Mariana Barbosa Câmara de Souza</t>
  </si>
  <si>
    <t>+55 (19) 99171-6006</t>
  </si>
  <si>
    <t>mariana_mbcs@hotmail.com</t>
  </si>
  <si>
    <t>Faculdade de Odontologia de Piracicaba - UNICAMP</t>
  </si>
  <si>
    <t>Effect of cognitive stimulation on the attentional performance of patients diagnosed with stroke</t>
  </si>
  <si>
    <t>U1111-1260-3326</t>
  </si>
  <si>
    <t>Stroke,Attention,Cognitive Impairment,Depression</t>
  </si>
  <si>
    <t>nadia.shigaeff@ufjf.edu.br</t>
  </si>
  <si>
    <t>Clinical evaluation of dental bleaching with 35% hydrogen peroxide compared with laser application - randomized clinical trial</t>
  </si>
  <si>
    <t>U1111-1238-9057</t>
  </si>
  <si>
    <t>Dentin Sensitivity. Tooth Discoloration</t>
  </si>
  <si>
    <t>Sandrine Bittencourt Berger</t>
  </si>
  <si>
    <t>+55(43)33717834</t>
  </si>
  <si>
    <t>berger.sandrine@gmail.com</t>
  </si>
  <si>
    <t>Analysis of therapeutic modalities effects on human tissues</t>
  </si>
  <si>
    <t>U1111-1258-2025</t>
  </si>
  <si>
    <t>Alessandro Haupenthal</t>
  </si>
  <si>
    <t>alessandro.haupenthal@yahoo.com.br</t>
  </si>
  <si>
    <t>Effects of radiofrequency associated with manual lymphatic drainage and vibrating platform on the improvement of fibroid edema</t>
  </si>
  <si>
    <t>A09203302743</t>
  </si>
  <si>
    <t>Cellulite,Radiofrequency Therapy,Vibration,Manual Lymphatic Drainage,Physiotherapy</t>
  </si>
  <si>
    <t>Daphne Gilly</t>
  </si>
  <si>
    <t>daphnegilly@hotmail.com</t>
  </si>
  <si>
    <t>Compassion Focused Therapy for People with Obesity</t>
  </si>
  <si>
    <t>U1111-1242-0008</t>
  </si>
  <si>
    <t>Obesity level 1 or 2</t>
  </si>
  <si>
    <t>Nazaré de Oliveira Almeida</t>
  </si>
  <si>
    <t>nazareacademico@gmail.com</t>
  </si>
  <si>
    <t>Safety and oncological outcomes of endoscopic laser enucleation comparing with transurethral resection: A randomized controlled trial</t>
  </si>
  <si>
    <t>U1111-1259-9297</t>
  </si>
  <si>
    <t>Urinary Bladder Neoplasms</t>
  </si>
  <si>
    <t>Bladder Malignant Neoplasia</t>
  </si>
  <si>
    <t>Alexandre  Iscaife</t>
  </si>
  <si>
    <t>+55 (11) 2661-8086</t>
  </si>
  <si>
    <t>Alexandre.iscaife@hc.fm.usp.br</t>
  </si>
  <si>
    <t>Universidade de Sao Paulo - Instituto do Câncer do Estado de São Paulo (ICESP)</t>
  </si>
  <si>
    <t>Functional clinical and systemic effects of Whole-body electromyostimulation in the postoperative period of bariatric surgery</t>
  </si>
  <si>
    <t>U1111-1261-2986</t>
  </si>
  <si>
    <t>Audrey  Borghi Silva</t>
  </si>
  <si>
    <t>+55 16 3351-8952</t>
  </si>
  <si>
    <t>audrey@ufscar.br</t>
  </si>
  <si>
    <t>Follow-up study of factors limiting physical exercise and effect of resources associated with rehabilitation in chronic cardiorrespiratory diseases - a multicentric approach</t>
  </si>
  <si>
    <t>A03411073012</t>
  </si>
  <si>
    <t>COPD</t>
  </si>
  <si>
    <t>Audrey Borghi-Silva</t>
  </si>
  <si>
    <t>(55) 51997093753</t>
  </si>
  <si>
    <t>Comparison between two physical therapy protocols conventional or with the use of non-immersive virtual reality in patients with chronic dialysis kidney disease: Randomized clinical trial</t>
  </si>
  <si>
    <t>U1111-1248-5738</t>
  </si>
  <si>
    <t>Carolina  Kosour</t>
  </si>
  <si>
    <t>carolina.kosour@unifal-mg.edu.br</t>
  </si>
  <si>
    <t>Universidade Federal de Alfenas - Unifal/MG</t>
  </si>
  <si>
    <t>Speech therapy evaluation and therapy in patients with Spinocerebellar Ataxia Type 3 Machado Joseph disease</t>
  </si>
  <si>
    <t>U111-1263-0704</t>
  </si>
  <si>
    <t>Speech Therapy</t>
  </si>
  <si>
    <t>Giovana Lucia Diaféria Monteiro</t>
  </si>
  <si>
    <t>55 11 94751-0799</t>
  </si>
  <si>
    <t>gidiaferia@hotmail.com</t>
  </si>
  <si>
    <t>Nursing interventions in surgical cancer patients in the light of the disease uncertainty theory - Randomized clinical trial</t>
  </si>
  <si>
    <t>U1111-1258-6352</t>
  </si>
  <si>
    <t>Surgical Procedures,Operative</t>
  </si>
  <si>
    <t>Oncology Nursing</t>
  </si>
  <si>
    <t>Thaís Martins Gomes de Oliveira</t>
  </si>
  <si>
    <t>thaismmgomes@gmail.com</t>
  </si>
  <si>
    <t>Characterization of Neuropsychiatric Neuropsychological Radiological and Biological Findings on the Investigation of the impact of COVID-19 on Central Nervous System: a Cohort Study</t>
  </si>
  <si>
    <t>New Coronavirus Disease 2019 (COVID-19)</t>
  </si>
  <si>
    <t>Epidemiological study with oral antiseptic Phtalox® and the relationship with the clinical condition of Individuals who present COVID-19 diagnosis</t>
  </si>
  <si>
    <t>U1111-1260-6776</t>
  </si>
  <si>
    <t>Effect of grape juice ingestion on microRNA expression in plasma and mononuclear cells in overweight women</t>
  </si>
  <si>
    <t>U1111-1241-0556</t>
  </si>
  <si>
    <t>Overweight women</t>
  </si>
  <si>
    <t>In vivo evaluation of the effectiveness of two antiseptic solutions in reducing the viral load of SARS-CoV-2 in the saliva of patients with COVID-19</t>
  </si>
  <si>
    <t>Virus diseases,unspecified location</t>
  </si>
  <si>
    <t>Conselho de ética em Pesquisa Hospital Universitário Pedro Ernesto Universidade do Estado do Rio de Janeiro</t>
  </si>
  <si>
    <t>+55 21 2868 8253</t>
  </si>
  <si>
    <t>cep.hupe.interno@gmail.com</t>
  </si>
  <si>
    <t>Printed Educational Material Based on Scientific Evidence for Patients in Periodontal Treatment</t>
  </si>
  <si>
    <t>U1111-1259-4102</t>
  </si>
  <si>
    <t>Daniela Nodari</t>
  </si>
  <si>
    <t>daninodari@gmail.com</t>
  </si>
  <si>
    <t>Faculdade de Odontologia- Universidade Federal do Rio Grande do Sul</t>
  </si>
  <si>
    <t>Evaluation of Two Parenting Interventions Focussed on Improving Conditions for Development in Early Childhood and Prevention of Violence in a Medium-Sized City in the South of Brazil</t>
  </si>
  <si>
    <t>U1111-1214-1278</t>
  </si>
  <si>
    <t>Aggression</t>
  </si>
  <si>
    <t>Joseph Murray</t>
  </si>
  <si>
    <t>53 32841300</t>
  </si>
  <si>
    <t>j.murray@doveresearch.org</t>
  </si>
  <si>
    <t>Results of laparoscopic implantation of neuromodulator on patients with spinal cord injury</t>
  </si>
  <si>
    <t>U1111-1261-4428</t>
  </si>
  <si>
    <t>Paraplegia and Tetraplegia</t>
  </si>
  <si>
    <t>Gustavo Leme Fernandes</t>
  </si>
  <si>
    <t>+55 11 39386188</t>
  </si>
  <si>
    <t>gustavo.fernandes@increasing</t>
  </si>
  <si>
    <t>Randomized Controlled Clinical Trial with CO2 LASER and Thermo-Controlled Radiofrequency in the Treatment of Vaginal Atrophy in Patients After Breast Cancer</t>
  </si>
  <si>
    <t>U1111-1258-6007</t>
  </si>
  <si>
    <t>atrophic vaginitis of menopause</t>
  </si>
  <si>
    <t>Dulce Cristina Pereira Henriques</t>
  </si>
  <si>
    <t>dradulcehenriques@gmail.com</t>
  </si>
  <si>
    <t>PONTÍFICE UNIVERSIDADE CATÓLICA DO PARANÁ</t>
  </si>
  <si>
    <t>Effects of multicomponent training on functional capacity muscle performance and body composition of institutionalized older adults: randomized controlled clinical trial</t>
  </si>
  <si>
    <t>U1111-1257-6092</t>
  </si>
  <si>
    <t>Ana Beatrice Torres Carvalho</t>
  </si>
  <si>
    <t>(92)99269-9153</t>
  </si>
  <si>
    <t>a.beatricecarvalho@gmail.com</t>
  </si>
  <si>
    <t>Comparison of different methods of obtaining the rapid shallow breathing index in patients subjected to mechanical ventilation</t>
  </si>
  <si>
    <t>U1111-1263-5073</t>
  </si>
  <si>
    <t>Respiration,Artificial</t>
  </si>
  <si>
    <t>Halina  Duarte</t>
  </si>
  <si>
    <t>halinaduarte@yahoo.com</t>
  </si>
  <si>
    <t>Long-term clinical evaluation of Class V restorations in cavities treated wiht the Er:YAG laser associated to the use of self-etching adhesive systems</t>
  </si>
  <si>
    <t>U1111-1257-8737</t>
  </si>
  <si>
    <t>non-carious cervical lesions (abrasion,erosion,attrition)</t>
  </si>
  <si>
    <t>Effect of pequi oil supplementation on body composition and hemodynamic variables after aerobic and anaerobic exercise</t>
  </si>
  <si>
    <t>U1111-1232-9266</t>
  </si>
  <si>
    <t>Cardiovascular diseases,Dietary Approaches To Stop Hypertension,Skeletal Muscle,Blood Pressure Determination,Muscle Strength</t>
  </si>
  <si>
    <t>Renata Aparecida Elias Dantas</t>
  </si>
  <si>
    <t>profrenataelias@yahoo.com.br</t>
  </si>
  <si>
    <t>Centro Universitário de Brasília - UniCEUB</t>
  </si>
  <si>
    <t>Cosmetic Product for Treatment of Ginoid Hydrolipodystrophy with Caffeine Associated with Ionic Liquid</t>
  </si>
  <si>
    <t>U1111-1256-6668</t>
  </si>
  <si>
    <t>Audrey  Stefani Naufal Hernandes</t>
  </si>
  <si>
    <t>audreysnaufal@gmail.com</t>
  </si>
  <si>
    <t>Universidade de Sorocaba</t>
  </si>
  <si>
    <t>Effects of an optimized respiratory care protocol in patients with amyotrophic lateral sclerosis: a randomized controlled trial</t>
  </si>
  <si>
    <t>U1111-1238-3244</t>
  </si>
  <si>
    <t>Amyotrophic lateral sclerosis,pulmonary capacity,cough</t>
  </si>
  <si>
    <t>Guilherme Augusto Fregonezi</t>
  </si>
  <si>
    <t>+55(84)3215-4270</t>
  </si>
  <si>
    <t>fregonezi.guilherme@gmail.com</t>
  </si>
  <si>
    <t>Effects of Protein supplementation on body composition handgrip strength and quality of life of patients undergoing Spine surgery: A controlled clinical trial</t>
  </si>
  <si>
    <t>Whey Proteins</t>
  </si>
  <si>
    <t>Rodrigo Costa Gonçalves</t>
  </si>
  <si>
    <t>55 62 981679626</t>
  </si>
  <si>
    <t>rodimed@gmail.com</t>
  </si>
  <si>
    <t>Comparison between two photodynamic therapy protocols in the candidosis of patients undergoing treatment for head and neck cancer</t>
  </si>
  <si>
    <t>Candidosis</t>
  </si>
  <si>
    <t>Andre Luiz Sena Guimaraes</t>
  </si>
  <si>
    <t>andre.guimaraes@unimontes.br</t>
  </si>
  <si>
    <t>Impact of real-time visualization of rigid cystoscopy on patients pain and comfort</t>
  </si>
  <si>
    <t>U1111-1252-9254</t>
  </si>
  <si>
    <t>Malignant neoplasm of bladder,unspecified,hematuria,unspecified</t>
  </si>
  <si>
    <t>Rafael Ribeiro Zanotti</t>
  </si>
  <si>
    <t>rafael_r_z@hotmail.com</t>
  </si>
  <si>
    <t>Santa Casa de São Paulo</t>
  </si>
  <si>
    <t>Self-perceived oral health and masticatory efficiency in patients with implant-retained overdentures with conventional and lingualized balanced occlusion - crossover study</t>
  </si>
  <si>
    <t>U1111-1263-4519</t>
  </si>
  <si>
    <t>Influence of sex and menstrual cycle on the motion Simulation and Execution in healthy individuals: implications for neurorehabilitation</t>
  </si>
  <si>
    <t>Electrocorticography</t>
  </si>
  <si>
    <t>Maria Bernardete Cordeiro de Sousa</t>
  </si>
  <si>
    <t>+55 84 32154592</t>
  </si>
  <si>
    <t>mbcsousa@gmail.com</t>
  </si>
  <si>
    <t>Impact of coordination and monitoring of care by telemonitoring on the quality of care provided to users with chronic diseases of the Unified Health System discharged from the hospital in Belo Horizonte MG Brazil: randomized clinical study</t>
  </si>
  <si>
    <t>U1111-1263-9802</t>
  </si>
  <si>
    <t>Telemonitoring</t>
  </si>
  <si>
    <t>Lilian Cristina Rezende</t>
  </si>
  <si>
    <t>55-31-99277-0923</t>
  </si>
  <si>
    <t>lilianc.enf@gmail.com</t>
  </si>
  <si>
    <t>Evaluation of pain and quality of life using Uncaria Tomentosa (cats claw) in patients with endometriosis</t>
  </si>
  <si>
    <t>---</t>
  </si>
  <si>
    <t>Departamento de Ginecologia Setor de Algia Pélvica UNIFESP</t>
  </si>
  <si>
    <t>+ 55 11 5576 4848 VoIP 2856</t>
  </si>
  <si>
    <t>beatriz.kehde@huhsp.org.br</t>
  </si>
  <si>
    <t>Post Market Clinical Follow-up Study of Keraring Intrastromal Corneal Ring</t>
  </si>
  <si>
    <t>01/29/2021</t>
  </si>
  <si>
    <t>Anna Carolina Carvalho Araujo</t>
  </si>
  <si>
    <t>+55 (15) 3212-7830</t>
  </si>
  <si>
    <t>cep@bos.org.br</t>
  </si>
  <si>
    <t>Motor Behavior of children with different body compositions in a Movement Interception Task</t>
  </si>
  <si>
    <t>A44633451898</t>
  </si>
  <si>
    <t>+55 18 99704-9077</t>
  </si>
  <si>
    <t>Universidade do Oeste Paulista</t>
  </si>
  <si>
    <t>Effects of supplementation with probiotics on quality of life eating behavior inflammatory metabolic and nutritional profile of patients in the postoperative period of gastric bypass in Roux-en-Y: a randomized double-blind study</t>
  </si>
  <si>
    <t>U1111-1215-0704</t>
  </si>
  <si>
    <t>Marília Rizzon Zaparolli</t>
  </si>
  <si>
    <t>mariliazaparolli@gmail.com</t>
  </si>
  <si>
    <t>Effectiveness of Transcutaneous Laserherapy in relation to viral load LT-CD4 + and LT-CD8 + in patients living with HIV/AIDS: randomized clinical trial</t>
  </si>
  <si>
    <t>01/27/2021</t>
  </si>
  <si>
    <t>Rubia de Aguiar Alencar</t>
  </si>
  <si>
    <t>rubia.alencar@unesp.br</t>
  </si>
  <si>
    <t>Depression and Anxiety Ambulatory: Study about Clinical Profile diagnosis and mental health therapy short-course</t>
  </si>
  <si>
    <t>01/26/2021</t>
  </si>
  <si>
    <t>U1111-1239-5355</t>
  </si>
  <si>
    <t>Janari da Silva Pedroso Janari Pedroso</t>
  </si>
  <si>
    <t>+55 091 98289-3370</t>
  </si>
  <si>
    <t>pedrosoufpa@gmail.com</t>
  </si>
  <si>
    <t>Evaluation of percutaneous parasacral and posterior tibial nerve electrical stimulation in patients with HTLV-I and overactive bladder syndrome</t>
  </si>
  <si>
    <t>U1111-1258-9009</t>
  </si>
  <si>
    <t>T-lymphotropic virus type 1 (HTLV-1) Carrier</t>
  </si>
  <si>
    <t>Urinary Overactive Bladder</t>
  </si>
  <si>
    <t>André Luís Pereira Silva</t>
  </si>
  <si>
    <t>SALVADOR</t>
  </si>
  <si>
    <t>+55 71 991279069</t>
  </si>
  <si>
    <t>aluispereira@yahoo.com.br</t>
  </si>
  <si>
    <t>ESCOLA BAHIANA DE MEDICINA E SAUDE PUBLICA</t>
  </si>
  <si>
    <t>Validation of recombinant PPD in tuberculosis diagnosis infection</t>
  </si>
  <si>
    <t>tuberculosis</t>
  </si>
  <si>
    <t>Respiratory tuberculosis,with bacteriological and histological confirmation</t>
  </si>
  <si>
    <t>Afrânio  Lineu Kritski</t>
  </si>
  <si>
    <t>kritskia@gmail.com</t>
  </si>
  <si>
    <t>Comparison of the remineralization potential of the dentifrice containing 1450 ppm sodium monofluorophosphate associated or not with 1.5% arginine in white spot lesions in primary teeth: randomized controlled clinical trial</t>
  </si>
  <si>
    <t>U1111-1203-0205</t>
  </si>
  <si>
    <t>Dental caries,Dental caries susceptibility,Tooth demineralization</t>
  </si>
  <si>
    <t>Michele Baffi Diniz</t>
  </si>
  <si>
    <t>+55 11 98285-6909</t>
  </si>
  <si>
    <t>mibdiniz@hotmail.com</t>
  </si>
  <si>
    <t>Universidade Cruzeiro do Sul</t>
  </si>
  <si>
    <t>MUSCULAR TRAINING OF THE PELVIC FLOOR VERSUS HYPHOPRESSIVE ABDOMINAL GYMNASTICS (GAH) IN URINARY SYMPTOMS SEXUAL FUNCTION AND QUALITY OF LIFE OF CLIMATE WOMEN: RANDOMIZED CLINICAL TRIAL</t>
  </si>
  <si>
    <t>U1111-1195-1243</t>
  </si>
  <si>
    <t>Menopause. Stress urinary incontinence. Sexual dysfunction. Dyspareunia</t>
  </si>
  <si>
    <t>Ana Beatriz Gomes de Souza Pegorare</t>
  </si>
  <si>
    <t>+55 (67)33457836</t>
  </si>
  <si>
    <t>anabegs@gmail.com</t>
  </si>
  <si>
    <t>Impact of physical exercise on cognition of type 2 diabetics</t>
  </si>
  <si>
    <t>10/23/2017</t>
  </si>
  <si>
    <t>U1111-1202-6942</t>
  </si>
  <si>
    <t>João Gabriel da Silveira Rodrigues</t>
  </si>
  <si>
    <t>joaozim.cma@gmail.com</t>
  </si>
  <si>
    <t>Evaluation of the inhalation technique in patients with bronchial asthma after intervention</t>
  </si>
  <si>
    <t>12/27/2018</t>
  </si>
  <si>
    <t>U1111-1222-6041</t>
  </si>
  <si>
    <t>Carlos Leonardo Carvalho Pessôa</t>
  </si>
  <si>
    <t>+55(21)26299000</t>
  </si>
  <si>
    <t>pessoaclc@hotmail.com</t>
  </si>
  <si>
    <t>Faculdade de Medicina da Universidade Federal Fluminense</t>
  </si>
  <si>
    <t>Influence of Exergames on the Anthropometric Biochemical Metabolic Psychomotor and Quality of Life Profile in Individuals with Myelomeningocele</t>
  </si>
  <si>
    <t>12/26/2019</t>
  </si>
  <si>
    <t>U1111-1227-6298</t>
  </si>
  <si>
    <t>Influence of Exergames in the Anthropometric Biochemical Metabolic and Psychomotor Profile of individuals with Down Syndrome</t>
  </si>
  <si>
    <t>01/24/2019</t>
  </si>
  <si>
    <t>U1111-1225-5265</t>
  </si>
  <si>
    <t>+55 18 997049077</t>
  </si>
  <si>
    <t>Analysis of Motor Learning and the Efect of Intervention with Virtual Reality use in Individuals after AVE</t>
  </si>
  <si>
    <t>01/17/2019</t>
  </si>
  <si>
    <t>U1111-1225-5545</t>
  </si>
  <si>
    <t>Maria Tereza Artero Prado Dantas</t>
  </si>
  <si>
    <t>+55 18 997723787</t>
  </si>
  <si>
    <t>mariatereza@unoeste.br</t>
  </si>
  <si>
    <t>Is repair of Adhesive Restorations in deciduous teeth a viable approach? Randomized clinical trial</t>
  </si>
  <si>
    <t>10/22/2018</t>
  </si>
  <si>
    <t>U1111-1218-6263</t>
  </si>
  <si>
    <t>Deciduous tooth,repair,restoration,survival</t>
  </si>
  <si>
    <t>Tathiane Larissa Lenzi</t>
  </si>
  <si>
    <t>+55 (51) 33085023</t>
  </si>
  <si>
    <t>tathilenzi@hotmail.com</t>
  </si>
  <si>
    <t>Effects of pelvic floor muscle training with mobile app in pregnant women</t>
  </si>
  <si>
    <t>12/18/2018</t>
  </si>
  <si>
    <t>U1111-1225-4788</t>
  </si>
  <si>
    <t>Pelvic Floor muscle</t>
  </si>
  <si>
    <t>Natasha Morena Bazílio Silva</t>
  </si>
  <si>
    <t>natashasilvaster@gmail.com</t>
  </si>
  <si>
    <t>Effects of training in functional circuit on physical and functional aspects in elderly people with chronic obstructive pulmonary disease</t>
  </si>
  <si>
    <t>01/22/2021</t>
  </si>
  <si>
    <t>U1111-1247-2526</t>
  </si>
  <si>
    <t>silvia valderramas</t>
  </si>
  <si>
    <t>Universidade Federal do Parana</t>
  </si>
  <si>
    <t>Effect of topical application of sodium perborate on tissue repair of palatine wounds: a pilot randomized clinical trial</t>
  </si>
  <si>
    <t>01/21/2021</t>
  </si>
  <si>
    <t>U1111-1258-7388</t>
  </si>
  <si>
    <t>Carla Campion Carrinho</t>
  </si>
  <si>
    <t>c.carrinho@terra.com.br</t>
  </si>
  <si>
    <t>Evaluation of Intra-Erythrocyte Serum and Total Magnesium concentrations in patients undergoing Chemotherapy with Platinum derivatives in association with Proton Pump Inhibitors and their correlation with Neuropathies</t>
  </si>
  <si>
    <t>01/19/2021</t>
  </si>
  <si>
    <t>A 78605601434</t>
  </si>
  <si>
    <t>Malignant neoplasm of ovary</t>
  </si>
  <si>
    <t>Fernanda Nervo Raffin</t>
  </si>
  <si>
    <t>feraffin@ufrnet.br</t>
  </si>
  <si>
    <t>Analysis and validation of light mechanical emergency ventilation equipment</t>
  </si>
  <si>
    <t>01/15/2021</t>
  </si>
  <si>
    <t>U1111-1263-8882</t>
  </si>
  <si>
    <t>coronavirus</t>
  </si>
  <si>
    <t>Santa Casa de Campo Grande ASSOCIAÇÃO BENEFICENTE DE CAMPO GRANDE Contato Aurea Lilia</t>
  </si>
  <si>
    <t>Effect of the oral formulation Hpbcd / Angiotensin- (1-7) in the treatment of muscle microlesion induced by sports practice</t>
  </si>
  <si>
    <t>Performance-Enhancing Substances</t>
  </si>
  <si>
    <t>Soraya Ferreira Silva Gonçalves</t>
  </si>
  <si>
    <t>ouro preto</t>
  </si>
  <si>
    <t>+55(31)3559-1368</t>
  </si>
  <si>
    <t>cep.propp@ufop.edu.br</t>
  </si>
  <si>
    <t>Temporal effect of a single session of cluster phototherapy on lower limb muscle fatigue in sedentary young adults</t>
  </si>
  <si>
    <t>01/14/2021</t>
  </si>
  <si>
    <t>Primary muscle disorders</t>
  </si>
  <si>
    <t>Use of High Fidelity Realistic Simulation (robotics) in Physiotherapy education</t>
  </si>
  <si>
    <t>Academic Performance</t>
  </si>
  <si>
    <t>Marcelo  Taglietti</t>
  </si>
  <si>
    <t>marcelotaglietti@gmail.com</t>
  </si>
  <si>
    <t>Studies on body posture low back pain and cervical pain and their associated factors</t>
  </si>
  <si>
    <t>01/13/2021</t>
  </si>
  <si>
    <t>U1111-1263-4003</t>
  </si>
  <si>
    <t>Grazielle Martins Gelain</t>
  </si>
  <si>
    <t>graziellegelain@gmail.com</t>
  </si>
  <si>
    <t>Effects of dual task in the elderly</t>
  </si>
  <si>
    <t>U1111-1258-4628</t>
  </si>
  <si>
    <t>Healthy elderly</t>
  </si>
  <si>
    <t>Yago Tavares Pinheiro</t>
  </si>
  <si>
    <t>São João do Rio do Peixe</t>
  </si>
  <si>
    <t>+55 83 9 9664-7797</t>
  </si>
  <si>
    <t>yagostavares5@gmail.com</t>
  </si>
  <si>
    <t>Faculdade Maurício de Nassau</t>
  </si>
  <si>
    <t>Evaluation of the use of the Dual Task in a training program Cardiac Rehabilitation in the Cognition of Elderly Patients Percutaneous Coronary Intervention a Clinical Trial</t>
  </si>
  <si>
    <t>Mauro Felippe Felix Mediano</t>
  </si>
  <si>
    <t>+55 21 985210609</t>
  </si>
  <si>
    <t>mffmediano@gmail.com</t>
  </si>
  <si>
    <t>Multicentric studies of minimally invasive cardiovascular surgery video asisted in Brazil</t>
  </si>
  <si>
    <t>A+33145325809</t>
  </si>
  <si>
    <t>cardiovascular surgical procedure</t>
  </si>
  <si>
    <t>Rodrigo Oliveira Rosa Ribeiro de Souza</t>
  </si>
  <si>
    <t>drsouza@gmail.com</t>
  </si>
  <si>
    <t>Hospital São Francisco de Assis</t>
  </si>
  <si>
    <t>Relationship between pain and sleep quality and the effects of the physiotherapy on sleep pattern and pain parameters in individuals with CMT type 1 and 2 disease</t>
  </si>
  <si>
    <t>Julia Ribeiro da Silva Vallim</t>
  </si>
  <si>
    <t>juliavallim@gmail.com</t>
  </si>
  <si>
    <t>Universidade Federal de Sao Paulo</t>
  </si>
  <si>
    <t>Analysis of the impact of motor sensory exercises and lumbar stabilization in neuromuscular responses during sitting and standing position in adults and elderly</t>
  </si>
  <si>
    <t>U1111-1263-3314</t>
  </si>
  <si>
    <t>Márcio Rogério de Oliveira</t>
  </si>
  <si>
    <t>55 43 996328616</t>
  </si>
  <si>
    <t>marxroge@hotmail.com</t>
  </si>
  <si>
    <t>A Phase 2 clinical trial of Inhaled Unfractionated Heparin (UFH) for the tretatment of Hospitalised Patients with COVID-19</t>
  </si>
  <si>
    <t>U1111-1263-3136</t>
  </si>
  <si>
    <t>Coronavirus infection in unspecified location</t>
  </si>
  <si>
    <t>Tainah Babadopulos</t>
  </si>
  <si>
    <t>tainah@galenoresearch.com.br</t>
  </si>
  <si>
    <t>Effects of an online mindfulness intervention for women with chronic post-mastectomy pain: randomized clinical trial</t>
  </si>
  <si>
    <t>U1111-1262-7789</t>
  </si>
  <si>
    <t>Daniela Maria Xavier de Souza</t>
  </si>
  <si>
    <t>danielaxaviersouza@gmail.com</t>
  </si>
  <si>
    <t>Effects of a sensory training protocol on sensorimotor performance in children and adolescents with Cerebral Palsy: an exploratory randomized clinical trial</t>
  </si>
  <si>
    <t>U1111-1213-8552</t>
  </si>
  <si>
    <t>ana carolina de campos</t>
  </si>
  <si>
    <t>campos.anacarol@gmail.com</t>
  </si>
  <si>
    <t>EFFECT OF ANKLE FOOT ORTHESIS AND CONTEXTUAL FACTORS ON FUNCTIONAL MOBILITY AND DYNAMIC BALANCE IN PATIENTS AFTER BRAIN VASCULAR ACCIDENT: RANDOMIZED CONTROLLED CLINICAL TRIAL</t>
  </si>
  <si>
    <t>U1111-1207-4621</t>
  </si>
  <si>
    <t>Gabriela Vieira de Paula</t>
  </si>
  <si>
    <t>gvieiradepaula@gmail.com</t>
  </si>
  <si>
    <t>Faculdade de Medicina Botucatu</t>
  </si>
  <si>
    <t>Anesthetic occupational exposure during medical residency - impact on oxidative stress and toxicogenomic biochemical and neuroendocrine assessments: longitudinal study</t>
  </si>
  <si>
    <t>U1111-1206-0751</t>
  </si>
  <si>
    <t>Genotoxicity,Occupational Exposure,Diseases of the endocrine system,Immune system disorders</t>
  </si>
  <si>
    <t>Aline Garcia Aun</t>
  </si>
  <si>
    <t>aline.aun@hotmail.com</t>
  </si>
  <si>
    <t>Faculade de Medina de Botucatu - UNESP</t>
  </si>
  <si>
    <t>Vocal symptoms vocal tract discomfort and vocal handicap perceived in professional theater actors</t>
  </si>
  <si>
    <t>voice disorders</t>
  </si>
  <si>
    <t>Andresa  Pecorari</t>
  </si>
  <si>
    <t>andresa.pecorari@gmail.com</t>
  </si>
  <si>
    <t>Benzbromarone for the treatment of Cystic Fibrosis</t>
  </si>
  <si>
    <t>U1111-1261-1920</t>
  </si>
  <si>
    <t>Leonardo Araujo Pinto</t>
  </si>
  <si>
    <t>+ 55 (51) 3320.3500</t>
  </si>
  <si>
    <t>leonardo.pinto@pucrs.br</t>
  </si>
  <si>
    <t>Pontifícia Universidade Católica do Rio Grande do Sul (PUCRS)</t>
  </si>
  <si>
    <t>The effect of two Low Laser Protocols on the prevention of pain edema and trismus due to Retained Lower Third Molar Extractions. A clinical comparative double-blind study</t>
  </si>
  <si>
    <t>U1111-1230-5877</t>
  </si>
  <si>
    <t>Included teeth</t>
  </si>
  <si>
    <t>Francisley Ávila Souza</t>
  </si>
  <si>
    <t>francisley.avila@unesp.br</t>
  </si>
  <si>
    <t>Universidade Estadual Paulista Julio de Mesquita Filho (Unesp) - Faculdade de Odontologia de Araçatuba (FOA)</t>
  </si>
  <si>
    <t>Influence of Low Intensity Laser Therapy treatment and severity of Diseugia in breast and prostate cancer patients treated with taxanes: trial randomized triple-blind placebo-controlled trial</t>
  </si>
  <si>
    <t>U1111-1234-1617</t>
  </si>
  <si>
    <t>Transcranial direct current stimulation in children and adolescents with attention deficit hyperactivity disorder</t>
  </si>
  <si>
    <t>U1111-1259-8847</t>
  </si>
  <si>
    <t>Attention deficit hyperactivity disorder</t>
  </si>
  <si>
    <t>Transcranial direct current stimulation</t>
  </si>
  <si>
    <t>Sueli Rizzutti</t>
  </si>
  <si>
    <t>55 + 11 5549-6899</t>
  </si>
  <si>
    <t>surizzutti@gmail.com</t>
  </si>
  <si>
    <t>Evaluation of diagnostic and therapeutic methods for Intrapelvic Nerve Entrapments</t>
  </si>
  <si>
    <t>U1111-1261-4910</t>
  </si>
  <si>
    <t>Nervous decompression</t>
  </si>
  <si>
    <t>Nerve roots and nerve plexus entrapments</t>
  </si>
  <si>
    <t>Effects of Duloxetine on Sarcopenia associated with knee Osteoarthritis: a randomized clinical trial</t>
  </si>
  <si>
    <t>U1111-1259-3956</t>
  </si>
  <si>
    <t>Duloxetine Hydrochloride</t>
  </si>
  <si>
    <t>Rafael Chakr</t>
  </si>
  <si>
    <t>Implementation and evaluation of a Positive Psychology intervention for health promotion of health and care professionals and retirees</t>
  </si>
  <si>
    <t>12/28/2020</t>
  </si>
  <si>
    <t>U111-1262-7726</t>
  </si>
  <si>
    <t>Débora Dalbosco DellAglio</t>
  </si>
  <si>
    <t>debora.dellaglio@ufrgs.br</t>
  </si>
  <si>
    <t>Clinical evaluation of class I e II posterior restorations with high-viscosity bulk-fill resin composites: randomized clinical trial</t>
  </si>
  <si>
    <t>U1111-1164-8802</t>
  </si>
  <si>
    <t>Dental caries,Dental Leakage,Dental Restoration Wear,Dental Restoration Failure</t>
  </si>
  <si>
    <t>Gabriela Queiroz de Melo Monteiro</t>
  </si>
  <si>
    <t>+55 (81) 3184 7659</t>
  </si>
  <si>
    <t>gabriela.queiroz@upe.br</t>
  </si>
  <si>
    <t>Faculdade de odontologia da Universidade de Pernambuco</t>
  </si>
  <si>
    <t>The Influence of Interactive Media on Child Development in Children from 24 to 36 Months of Age</t>
  </si>
  <si>
    <t>A11092601643</t>
  </si>
  <si>
    <t>Child development</t>
  </si>
  <si>
    <t>Sabrina da Conceição Guedes</t>
  </si>
  <si>
    <t>Gouveia</t>
  </si>
  <si>
    <t>+55 38 999847967</t>
  </si>
  <si>
    <t>sabrinaguedes.ufvjm@gmail.com</t>
  </si>
  <si>
    <t>Effects of Hypopressive Abdominal Gymnastics on lung function respiratory muscle strength and autonomic nervous system</t>
  </si>
  <si>
    <t>U1111-1246-9243</t>
  </si>
  <si>
    <t>Codes for special purposes</t>
  </si>
  <si>
    <t>(34) 3700-6000</t>
  </si>
  <si>
    <t>A comparative study between Cryosurgery and Conventional Surgery in Oral Mucoceles treatments</t>
  </si>
  <si>
    <t>12/29/2020</t>
  </si>
  <si>
    <t>U1111-1258-7835</t>
  </si>
  <si>
    <t>mucocele</t>
  </si>
  <si>
    <t>Alessandra Albuquerque Tavares Carvalho</t>
  </si>
  <si>
    <t>alessandra.atcarvalho@gmail.com</t>
  </si>
  <si>
    <t>UFPE</t>
  </si>
  <si>
    <t>Prospective randomized double-blind comparative study on Healing of lower limb Stasis Ulcers between Standard Dressings and Standard Dressings with Syzygyum cumini Extract</t>
  </si>
  <si>
    <t>U1111-1260-7361</t>
  </si>
  <si>
    <t>Lower limb ulcer,not elsewhere classified</t>
  </si>
  <si>
    <t>Gilson Roberto Araújo</t>
  </si>
  <si>
    <t>groberto2011@gmail.com</t>
  </si>
  <si>
    <t>Clinical Performance of Antiseptic Copolymer Whitening - Clinical Study Randomized</t>
  </si>
  <si>
    <t>09/21/2017</t>
  </si>
  <si>
    <t>U1111-1201-0529</t>
  </si>
  <si>
    <t>Dental staining</t>
  </si>
  <si>
    <t>Osmir Batista Oliveira Júnior</t>
  </si>
  <si>
    <t>+55(16)33016520</t>
  </si>
  <si>
    <t>drosmirde@hotmail.com</t>
  </si>
  <si>
    <t>Faculdade de Odontologia de Araraquara</t>
  </si>
  <si>
    <t>Clínical performance of a new Whitening Dentifrice containing optimized abrasive particles desensitizing agent and dyes for optical whitening effect - Clínical Randomized Study</t>
  </si>
  <si>
    <t>08/24/2017</t>
  </si>
  <si>
    <t>U1111-1200-5135</t>
  </si>
  <si>
    <t>Mottled Teeth</t>
  </si>
  <si>
    <t>Effect of irradiation with violet light on the clinical performance of dental office whitening performed with 6% hydrogen peroxide containing TIO2_N nanoparticles and their impact on quality of life - Randomized Clinical Study</t>
  </si>
  <si>
    <t>08/29/2017</t>
  </si>
  <si>
    <t>U1111-1199-3377</t>
  </si>
  <si>
    <t>Tooth staining</t>
  </si>
  <si>
    <t>Effect of Case Management on Pregnant Women</t>
  </si>
  <si>
    <t>U1111-1261-0635</t>
  </si>
  <si>
    <t>premature birth</t>
  </si>
  <si>
    <t>Patient-centered care</t>
  </si>
  <si>
    <t>Flávia Teixeira Ribeiro da Silva</t>
  </si>
  <si>
    <t>Bandeirantes</t>
  </si>
  <si>
    <t>+55 (043) 9 96351155</t>
  </si>
  <si>
    <t>flavia@uenp.edu.br</t>
  </si>
  <si>
    <t>Influence of an exercise protocol with VCI of different amplitudes on postural balance gait speed muscle strength and functional mobility in the elderly: a randomized crossover clinical trial</t>
  </si>
  <si>
    <t>U1111-1239-5792</t>
  </si>
  <si>
    <t>Health of the Elderly,Aging</t>
  </si>
  <si>
    <t>Anna Xênya Patrício de Araújo</t>
  </si>
  <si>
    <t>Tracunhaém</t>
  </si>
  <si>
    <t>annaxenya91@gmail.com</t>
  </si>
  <si>
    <t>Assessment of the symptomatic complaint of patients diagnosed with Oral Lichen Planus and Burning Mouth Syndrome at CDO-FOUSP during the COVID-19 pandemic</t>
  </si>
  <si>
    <t>U1111-1260-0697</t>
  </si>
  <si>
    <t>Lichen Planus</t>
  </si>
  <si>
    <t>Reproducibility Assessment of an automated system for neuromuscular electrophysiological analysis</t>
  </si>
  <si>
    <t>08/20/2020</t>
  </si>
  <si>
    <t>A00715088564</t>
  </si>
  <si>
    <t>Paulo Eugênio Silva</t>
  </si>
  <si>
    <t>Aguas Claras</t>
  </si>
  <si>
    <t>pauloeugenio.bsb@gmail.com</t>
  </si>
  <si>
    <t>Instituto de Gestão Estratégica de Saúde do Distrito Federal</t>
  </si>
  <si>
    <t>Group-based constraint-induced movement therapy in the rehabilitation of chronic post-stroke patients</t>
  </si>
  <si>
    <t>U1111-1238-5553</t>
  </si>
  <si>
    <t>Stroke,paresis</t>
  </si>
  <si>
    <t>Fábio Ricardo de Oliveira Galvão</t>
  </si>
  <si>
    <t>fabiogavao00@gmail.com</t>
  </si>
  <si>
    <t>Faculdade de Ciências da Saúde do Trairi - Universidade Federal do Rio Grande do Norte</t>
  </si>
  <si>
    <t>Trans and postoperative pain in children submitted to primary molar extraction</t>
  </si>
  <si>
    <t>U1111-1230-6551</t>
  </si>
  <si>
    <t>Michele  Bolan</t>
  </si>
  <si>
    <t>(48)37219000</t>
  </si>
  <si>
    <t>michelebolan@hotmail.com</t>
  </si>
  <si>
    <t>The Effects of Transcranial Direct Current Stimulation on Attention and Inhibitory Control of Children and Adolescents with Attention-Deficit/Hyperactivity Disorder (ADHD): a randomized sham-controlled triple blind cross-over trial</t>
  </si>
  <si>
    <t>09/13/2018</t>
  </si>
  <si>
    <t>U1111-1207-0736</t>
  </si>
  <si>
    <t>Attention-deficit Hyperactivity Disorder</t>
  </si>
  <si>
    <t>Rachel Silvany Quadros Guimarães</t>
  </si>
  <si>
    <t>rsilvany@yahoo.com.br</t>
  </si>
  <si>
    <t>Faculdade de Medicina da Bahia</t>
  </si>
  <si>
    <t>Fibrin sealant derived from snake venom for the treatment of venous ulcers: non controlled phase I / II to evaluate the safety efficacy and confirm the lowest dose clinical trial - study selante II</t>
  </si>
  <si>
    <t>06/29/2015</t>
  </si>
  <si>
    <t>U1111-1163-9824</t>
  </si>
  <si>
    <t>Venous ulcer</t>
  </si>
  <si>
    <t>Luciana Patricia Fernandes Abbade</t>
  </si>
  <si>
    <t>+55(14)38801663</t>
  </si>
  <si>
    <t>lfabbade@fmb.unesp.br</t>
  </si>
  <si>
    <t>Faculdade de Medicina de Botucatu - Unesp</t>
  </si>
  <si>
    <t>Impact of an intervention based on mindful eating on body satisfaction behavior and food consumption of nutrition students during the Covid-19 pandemic</t>
  </si>
  <si>
    <t>12/23/2020</t>
  </si>
  <si>
    <t>Body image,feeding behavior,food consumption</t>
  </si>
  <si>
    <t>food consumption</t>
  </si>
  <si>
    <t>Electromyographic analysis of muscle activation of the trunk and lower limbs in hippotherapy compared to the gait of healthy individuals</t>
  </si>
  <si>
    <t>Young people,Electromyography</t>
  </si>
  <si>
    <t>Equine-Assisted Therapy</t>
  </si>
  <si>
    <t>Vicente de Paula Antunes Teixeira</t>
  </si>
  <si>
    <t>vicenteantunes54@gmail.com</t>
  </si>
  <si>
    <t>Promotion of urinary continence in women after delay: randomized clinical trial</t>
  </si>
  <si>
    <t>U1111-1212-6567</t>
  </si>
  <si>
    <t>Camila Teixeira Moreira Vasconcelos</t>
  </si>
  <si>
    <t>camilamoreiravasco@gmail.com</t>
  </si>
  <si>
    <t>Departameto de Enfermagem da Universidade Federal do Ceará</t>
  </si>
  <si>
    <t>Benefits of repetitive intravenous lidocaine infusions in patients with fibromyalgia syndrome and the relationship with inflammatory biomarkers: a procedure to follow</t>
  </si>
  <si>
    <t>12/18/2020</t>
  </si>
  <si>
    <t>U1111-1257-3477</t>
  </si>
  <si>
    <t>José Barreto Cruz Nogueira</t>
  </si>
  <si>
    <t>jbcnogueira@hotmail.com</t>
  </si>
  <si>
    <t>Randomized controlled trial: the influence of the continuous support offered by Doula in the release of oxytocin cortisol melatonin adrenaline noradrenaline serotonin and beta-endorphin in parturients</t>
  </si>
  <si>
    <t>U1111-1218-7461</t>
  </si>
  <si>
    <t>Elaine Christine Dantas Moisés</t>
  </si>
  <si>
    <t>elainemoises@fmrp.usp.br</t>
  </si>
  <si>
    <t>Influence of transcutaneous electrical stimulation on peripheral nerve regeneration after digital nerve neurorraphy: randomized clinical trial</t>
  </si>
  <si>
    <t>U1111-1259-1998</t>
  </si>
  <si>
    <t>Nerve injury at the wrist and hand</t>
  </si>
  <si>
    <t>Sao Bernardo do Campo</t>
  </si>
  <si>
    <t>11 2320-6000</t>
  </si>
  <si>
    <t>abrahao.baptista@gmail.com</t>
  </si>
  <si>
    <t>Universidade Federal do ABC – UFABC</t>
  </si>
  <si>
    <t>Line Probe Assay performance validation as a rapid diagnostic test for resistant tuberculosis in reference centers in Brazil</t>
  </si>
  <si>
    <t>U1111-1262-9571</t>
  </si>
  <si>
    <t>Afrânio Lineu Kritski</t>
  </si>
  <si>
    <t>Prospective Multicentre Trial to Assess the Diagnostic Accuracy of the Truenat Assays at Intended Settings of Use</t>
  </si>
  <si>
    <t>U1111-1262-9127</t>
  </si>
  <si>
    <t>Analysis of the anteroposterior and vertical effects in the final stages of suture fusion intermaxillary after using the Palatino Rapid Expander assisted by Mini-Implants</t>
  </si>
  <si>
    <t>12/17/2020</t>
  </si>
  <si>
    <t>Developmental disorders of the jaws</t>
  </si>
  <si>
    <t>William  Custodio</t>
  </si>
  <si>
    <t>wcust@hotmail.com</t>
  </si>
  <si>
    <t>Evaluation of the effects of a systematic dance program adapted for the elderly on aspects of cognition - the possibility of cognitive rehabilitation through art</t>
  </si>
  <si>
    <t>U1111-1260-3422</t>
  </si>
  <si>
    <t>nadia.shigaeff@yahoo.com.br</t>
  </si>
  <si>
    <t>Evaluation of the efficacy and safety of cannabidiol-rich cannabis extract in children with autism spectrum disorder: randomized double-blind and controlled placebo clinical trial</t>
  </si>
  <si>
    <t>U1111-1261-4178</t>
  </si>
  <si>
    <t>Estácio Amaro da Silva Junior</t>
  </si>
  <si>
    <t>estacioamaro@yahoo.com.br</t>
  </si>
  <si>
    <t>Educational interventions on sexuality and its effects on mental health family functionality fragility and quality of life of the elderly</t>
  </si>
  <si>
    <t>12/16/2020</t>
  </si>
  <si>
    <t>U1111-1256-6228</t>
  </si>
  <si>
    <t>Sexuality,Health of the Elderly,Qualidade de Vida,Fragilidade,Saúde mental</t>
  </si>
  <si>
    <t>Edison Vitório de Souza Júnior</t>
  </si>
  <si>
    <t>edison.vitorio@gmail.com</t>
  </si>
  <si>
    <t>Escola de Enfermagem de Ribeirão Preto da Universidade de São Paulo (EERP/USP)</t>
  </si>
  <si>
    <t>Palonosetron versus Ondansetron for Postoperative Nausea and Vomiting Prophylaxis in Laparoscopic Cholecystectomy. A Randomized Controlled Noninferiority Trial</t>
  </si>
  <si>
    <t>U1111-1191-8525</t>
  </si>
  <si>
    <t>Prospective Comparative Study Between Walant and Injection Plus Sedation for Surgery of the Hand</t>
  </si>
  <si>
    <t>U1111-1253-4426</t>
  </si>
  <si>
    <t>Patrick Rech Ramos</t>
  </si>
  <si>
    <t>55(54)999527892</t>
  </si>
  <si>
    <t>prramos@terra.com.br</t>
  </si>
  <si>
    <t>Fundação Hospitalar Santa Terezinha de Erechim</t>
  </si>
  <si>
    <t>Guided bone regeneration defects using custom 3D scaffolds printed with different biomaterial</t>
  </si>
  <si>
    <t>U1111-1259-1884</t>
  </si>
  <si>
    <t>Ana Suarez</t>
  </si>
  <si>
    <t>Villaviciosa de Odon</t>
  </si>
  <si>
    <t>ana.suarez@universidadeuropea.es</t>
  </si>
  <si>
    <t>Universidad Europea de Madrid</t>
  </si>
  <si>
    <t>Informational Quantum Homeostasis: implementation and methodological analysis</t>
  </si>
  <si>
    <t>12/15/2020</t>
  </si>
  <si>
    <t>U1111-1261-0432</t>
  </si>
  <si>
    <t>Complementary therapies</t>
  </si>
  <si>
    <t>Carlos Alberto Ceccato</t>
  </si>
  <si>
    <t>carlosceccato@grupohqi.com.br</t>
  </si>
  <si>
    <t>Applicability of LED (Light-Emitting Diode) Phototherapy in the control of postoperative symptomatology in impacted third molar extractions: randomized clinical trial</t>
  </si>
  <si>
    <t>U1111-1254-4621</t>
  </si>
  <si>
    <t>Vitor Pereira Rodrigues</t>
  </si>
  <si>
    <t>vitorprodrigues@usp.br</t>
  </si>
  <si>
    <t>Comparação da eficácia da toxina botulínica tipo A em pacientes com dor orofacial crônica refratária de acordo com diferentes perfis somatossensoriais</t>
  </si>
  <si>
    <t>U1111-1258-2610</t>
  </si>
  <si>
    <t>Temporomandibular Disorder</t>
  </si>
  <si>
    <t>Non-invasive treatment of enamel Caries Lesion on occlusal surfaces of permanent molars at different eruption stages</t>
  </si>
  <si>
    <t>04/16/2020</t>
  </si>
  <si>
    <t>U1111-1259-1808</t>
  </si>
  <si>
    <t>dental caries</t>
  </si>
  <si>
    <t>+55 (51) 3308 5010</t>
  </si>
  <si>
    <t>jorodrigues@ufgrs.br</t>
  </si>
  <si>
    <t>Efficacy of a theory-based intervention to promote walking in people with Coronary Artery Disease</t>
  </si>
  <si>
    <t>U1111-1233-7873</t>
  </si>
  <si>
    <t>Coronary disease</t>
  </si>
  <si>
    <t>Thaís Moreira São João</t>
  </si>
  <si>
    <t>tsaojoao@unicamp.br</t>
  </si>
  <si>
    <t>Dentinal Caries Sealing in Primary Molars:RCT</t>
  </si>
  <si>
    <t>U111-1196-5698</t>
  </si>
  <si>
    <t>Sleep Promotion for patients undergoing Percutaneous Intervention for the treatment of Heart Disease: randomized clinical trial</t>
  </si>
  <si>
    <t>U1111-1251-0719</t>
  </si>
  <si>
    <t>Sleep Hygiene</t>
  </si>
  <si>
    <t>Ear Protective Devices</t>
  </si>
  <si>
    <t>Regina Claudia Silva Souza</t>
  </si>
  <si>
    <t>rcssouza@usp.br</t>
  </si>
  <si>
    <t>Double-blind randomized placebo-controlled study to assess Safety and Effectiveness of Protection Against SARS-Cov-2 Infection: Infusion of Mesenchymal Stem Cells (MSCs) from expanded deciduous tooth pulps As Allogeneic Therapeutic Strategy</t>
  </si>
  <si>
    <t>12/14/2020</t>
  </si>
  <si>
    <t>U1111-1261-0182</t>
  </si>
  <si>
    <t>COVID-19,OBESITY,DIABETES,KIDNEY DISEASE,CANCER,HEART DISEASES,SENILITY</t>
  </si>
  <si>
    <t>Jose Ricardo Muniz Ferreira</t>
  </si>
  <si>
    <t>+55 19 99156 0438</t>
  </si>
  <si>
    <t>josericardo@r-crio.com</t>
  </si>
  <si>
    <t>R-Crio Criogenia S.A</t>
  </si>
  <si>
    <t>Quality of life assessment with the SF-36 instrument during the covid-19 pandemic</t>
  </si>
  <si>
    <t>U1111-1260-8988</t>
  </si>
  <si>
    <t>Effectiveness and adverse effcts of Tranexamic Acid use in control of bleeding inherent to Tonsillectomy surgeries with Adenoidectomy</t>
  </si>
  <si>
    <t>U1111-1259-3915</t>
  </si>
  <si>
    <t>Tonsillectomy Bleeding</t>
  </si>
  <si>
    <t>Tonsillectomy</t>
  </si>
  <si>
    <t>Marco Aurelio Fornazieri</t>
  </si>
  <si>
    <t>marcofornazieri@gmail.com</t>
  </si>
  <si>
    <t>Clinica Olfact</t>
  </si>
  <si>
    <t>Memory assesment of young adults after acute supllementation of Purple Grape Juice</t>
  </si>
  <si>
    <t>U1111-1259-0390</t>
  </si>
  <si>
    <t>Complex mental function having four distinct phases: (1) memorizing or learning,(2) retention,(3) recall,and (4) recognition. Clinically,it is usually subdivided into immediate,recent,and remote memory</t>
  </si>
  <si>
    <t>Bruna Andreazza Gazola</t>
  </si>
  <si>
    <t>brunaagazola@hotmail.com</t>
  </si>
  <si>
    <t>Teeth whitening using bleaching gel and light</t>
  </si>
  <si>
    <t>Population Characteristics</t>
  </si>
  <si>
    <t>Vitor Hugo Panhóca</t>
  </si>
  <si>
    <t>+55 16 98118 9078</t>
  </si>
  <si>
    <t>vhpanhoca@msn.com</t>
  </si>
  <si>
    <t>Acute effect of different ischemic preconditioning protocols on the speed of swimming athletes in a 100-meter race: crossover study</t>
  </si>
  <si>
    <t>08/26/2020</t>
  </si>
  <si>
    <t>U1111-1252-9618</t>
  </si>
  <si>
    <t>Wanessa Kelly Vieira Vasconcelos</t>
  </si>
  <si>
    <t>+55(83)998313567</t>
  </si>
  <si>
    <t>waanvasconcelos@gmail.com</t>
  </si>
  <si>
    <t>Treatment of Adjacent multiple gingival recessions with 3d Collagen matrix compared to Subepithelial connective tissue graft</t>
  </si>
  <si>
    <t>U1111-1222-0056</t>
  </si>
  <si>
    <t>Edwin Jonathan Meza Mauricio</t>
  </si>
  <si>
    <t>+55 11 24641684</t>
  </si>
  <si>
    <t>jomemau60@gmail.com</t>
  </si>
  <si>
    <t>Centro de Pós-Graduação e Pesquisa-CEPPE Universidade Guarulhos</t>
  </si>
  <si>
    <t>Leg muscles neuromuscular plasticity of spastic subjects before and after Botulinum Toxin Type A application</t>
  </si>
  <si>
    <t>10/15/2019</t>
  </si>
  <si>
    <t>U1111-1237-0271</t>
  </si>
  <si>
    <t>Stroke,not specified as haemorrhage or infarction</t>
  </si>
  <si>
    <t>Physiological biomechanical and functional parameters in paraplegic and amputee patients submitted to the orthostatic position in postural support equipment steve</t>
  </si>
  <si>
    <t>U1111-1257-5736</t>
  </si>
  <si>
    <t>Francisco Carlos de Mattos Brito Oliveira</t>
  </si>
  <si>
    <t>fran.oliveira@uece.br</t>
  </si>
  <si>
    <t>Univesidade Estadual do Ceará</t>
  </si>
  <si>
    <t>Effects of Photodynamic Therapy as aid on non-surgical treatment of Aggressive Periodontitis</t>
  </si>
  <si>
    <t>U1111-1243-5468</t>
  </si>
  <si>
    <t>Aggressive Periodontitis</t>
  </si>
  <si>
    <t>Bruno César de Vasconcelos Gurgel</t>
  </si>
  <si>
    <t>bcgurgel@yahoo.com.br</t>
  </si>
  <si>
    <t>Pilot study on the use of french auriculotherapy in the treatment of cervical pain</t>
  </si>
  <si>
    <t>Neurologic manifestations</t>
  </si>
  <si>
    <t>Thiago Silveira Alves</t>
  </si>
  <si>
    <t>+55 22 27962552</t>
  </si>
  <si>
    <t>cepufrjmacae@gmail.com</t>
  </si>
  <si>
    <t>Use of Liraglutide to treat Covid19 pneumonia: A Phase II open-label single center safety study with biomarker profiling</t>
  </si>
  <si>
    <t>Núcleo de Pesquisa - NGP UNIFESP</t>
  </si>
  <si>
    <t>+55 11 33694000</t>
  </si>
  <si>
    <t>ngp@unifesp.br</t>
  </si>
  <si>
    <t>Impact of different levels of positive end-expiratory pressure on cardiac autonomic balance in patients using Invasive Mechanical Ventilation</t>
  </si>
  <si>
    <t>U1111-1228-6527</t>
  </si>
  <si>
    <t>Positive intrinsic pressure breathing: Nervous System</t>
  </si>
  <si>
    <t>Artificial respirator</t>
  </si>
  <si>
    <t>Diego dos Passos Santiago</t>
  </si>
  <si>
    <t>diegosanttiago@hotmail.com</t>
  </si>
  <si>
    <t>FAPITEC / SE - Fundação de Pesquisa e Inovação Tecnológica Apoio do Estado de Sergipe</t>
  </si>
  <si>
    <t>Experimental positioner to assist the clark technique in radiographs for endodontics</t>
  </si>
  <si>
    <t>U1111-1232-8808</t>
  </si>
  <si>
    <t>JESSICA TEIXEIRA GOMES</t>
  </si>
  <si>
    <t>BELÉM</t>
  </si>
  <si>
    <t>+55(91)981375275</t>
  </si>
  <si>
    <t>jessicateixeiragomes_@hotmail.com</t>
  </si>
  <si>
    <t>Faculdade de odontologia UFPA</t>
  </si>
  <si>
    <t>Method of measurement of peripherally inserted central venous catheter in newborns: randomized clinical trial</t>
  </si>
  <si>
    <t>U1111-1234-3718</t>
  </si>
  <si>
    <t>Infusions,Intravenous</t>
  </si>
  <si>
    <t>Andreia Tomazoni</t>
  </si>
  <si>
    <t>andreiatomazoni@gmail.com</t>
  </si>
  <si>
    <t>College students well-being: effects of mindfulness practice on markers of biological rhythmicity</t>
  </si>
  <si>
    <t>U1111-1231-5443</t>
  </si>
  <si>
    <t>Mental Health Assistance</t>
  </si>
  <si>
    <t>Associação Fundo de Incentivo à Pesquisa AFIP</t>
  </si>
  <si>
    <t>contato@afip.com.br</t>
  </si>
  <si>
    <t>Associação Fundo de Incentivo à Pesquisa - AFIP</t>
  </si>
  <si>
    <t>Effects of Yoga practice on the health of schoolchildren with a focus on elementary school I: randomized controlled study</t>
  </si>
  <si>
    <t>Psychosocial Deprivation</t>
  </si>
  <si>
    <t>Paula Hentchel Lobo da Costa</t>
  </si>
  <si>
    <t>paulahlc@ufscar.br</t>
  </si>
  <si>
    <t>Hospital Mortality and After Six Months of Admission According to the GRACE Score in Patients with Acute Myocardial Infarction with or without ST Segment Elevation and Patients with Unstable Angina</t>
  </si>
  <si>
    <t>U1111-1256-4264</t>
  </si>
  <si>
    <t>Acute myocardial infarction</t>
  </si>
  <si>
    <t>Vítor Boniatti Neves</t>
  </si>
  <si>
    <t>vitor.vbn@gmail.com</t>
  </si>
  <si>
    <t>Faculdade IMED</t>
  </si>
  <si>
    <t>Physiological effects of physical activity with the use of cotton facemask and TNT</t>
  </si>
  <si>
    <t>U1111-1259-0100</t>
  </si>
  <si>
    <t>Physical Exercise ,Dyspnea,Exercise</t>
  </si>
  <si>
    <t>Fabricio B Silva</t>
  </si>
  <si>
    <t>Rio de Janeiro,Rio de Janeiro,Brasil</t>
  </si>
  <si>
    <t>fabricio.braga@institutodoesporte.com</t>
  </si>
  <si>
    <t>Laboratorio de Performance Humana</t>
  </si>
  <si>
    <t>Changes in performance body composition and biochemical parameters of young adults after acute and chronic supplementation with pre-training</t>
  </si>
  <si>
    <t>Human Activities,Endurance Training,sports,running,Athletic Performance,Performance-Enhancing Substances</t>
  </si>
  <si>
    <t>Human Activities</t>
  </si>
  <si>
    <t>Fábio Santos Lira</t>
  </si>
  <si>
    <t>Evaluation of the effects of a power strength training program with elastic bands and tubes on cognition functionality quality of life balance physical fitness muscle quality balance sleep and the risk of falls of Parkinsons disease patients</t>
  </si>
  <si>
    <t>03/25/2020</t>
  </si>
  <si>
    <t>U1111-1248-7345</t>
  </si>
  <si>
    <t>Parkinsons disease - Staging Hoehn &amp; Yahr 1 to 3</t>
  </si>
  <si>
    <t>Influence of different post-exercise recovery methods on neuromotor performance in amateur sportsmen</t>
  </si>
  <si>
    <t>U1111-1225-3175</t>
  </si>
  <si>
    <t>Healthy participants practicing amateurs of sport</t>
  </si>
  <si>
    <t>Paula Felippe Martinez</t>
  </si>
  <si>
    <t>paulafmartinez@yahoo.com.br</t>
  </si>
  <si>
    <t>Effectiveness of Whole Body Electromyostimulation on function muscle mass strength social participation and falls-efficacy in older people: A randomized trial protocol</t>
  </si>
  <si>
    <t>A88695140644</t>
  </si>
  <si>
    <t>carla malaguti</t>
  </si>
  <si>
    <t>JUIZ DE FORA</t>
  </si>
  <si>
    <t>c_malaguti@yahoo.com.br</t>
  </si>
  <si>
    <t>Use of ozone therapy to whiten darkened teeth after endodontic treatment</t>
  </si>
  <si>
    <t>U1111-1248-8616</t>
  </si>
  <si>
    <t>Poliana Maria de Faveri Cardoso</t>
  </si>
  <si>
    <t>polif1704@gmail.com</t>
  </si>
  <si>
    <t>Characteristics of the use of metamizole for pain and fever in a Brazilian population: Real-world analysis</t>
  </si>
  <si>
    <t>U1111-1258-1851</t>
  </si>
  <si>
    <t>Wanessa Ruiz Scala</t>
  </si>
  <si>
    <t>55 011 2889 2000</t>
  </si>
  <si>
    <t>Wanessa.Scala@sanofi.com</t>
  </si>
  <si>
    <t>Sanofi-Aventis Farmacêutica Ltda</t>
  </si>
  <si>
    <t>Evaluation of the effectiveness of an oral antiseptic and nasal spray in improving the clinical picture decreasing viral load and its substantivity in patients with Sars-cov-2</t>
  </si>
  <si>
    <t>U1111-1260-7525</t>
  </si>
  <si>
    <t>Imunosenescence Frailty and physical exercise in the elderly</t>
  </si>
  <si>
    <t>03/16/2020</t>
  </si>
  <si>
    <t>U1111-1247-2304</t>
  </si>
  <si>
    <t>Ivan Aprahamian</t>
  </si>
  <si>
    <t>ma.petrella@gmail.com</t>
  </si>
  <si>
    <t>Faculdade de Medicina de Jundiaí</t>
  </si>
  <si>
    <t>Xenogenous bone grafts</t>
  </si>
  <si>
    <t>11/30/2020</t>
  </si>
  <si>
    <t>U1111-1257-8789</t>
  </si>
  <si>
    <t>Alveolar ridge atrophy</t>
  </si>
  <si>
    <t>Valfrido Antonio Pereira-Filho</t>
  </si>
  <si>
    <t>dinho@foar.unesp.br</t>
  </si>
  <si>
    <t>Universidade Estadual Paulista,Faculdade de Odontologia de Araraquara</t>
  </si>
  <si>
    <t>Effectiveness of a Quality of Life Program in reducing stress in parents of Autistic Children</t>
  </si>
  <si>
    <t>U1111-1259-5785</t>
  </si>
  <si>
    <t>Caregivers,Psychological stress,Autism Spectrum Disorders</t>
  </si>
  <si>
    <t>Daniele leite de barros Carvalho</t>
  </si>
  <si>
    <t>+55 65 981013000</t>
  </si>
  <si>
    <t>dani_lbc@hotmail.com</t>
  </si>
  <si>
    <t>UNIVAG- Centro Universitário</t>
  </si>
  <si>
    <t>Effect of Manual Diaphragm Release Technique on Respiratory Biomechanics in Neurocritical patients on Mechanical Ventilation: Randomized Clinical Trial</t>
  </si>
  <si>
    <t>11/27/2020</t>
  </si>
  <si>
    <t>U1111-1259-1572</t>
  </si>
  <si>
    <t>disorders of nerves,roots and nerve plexuses</t>
  </si>
  <si>
    <t>Fabrício Olinda de Souza Mesquita</t>
  </si>
  <si>
    <t>+55(87)981874847</t>
  </si>
  <si>
    <t>fabricioolinda@hotmail.com</t>
  </si>
  <si>
    <t>Hospital Universitário da Universidade Federal do Vale do São Francisco HU- Univasf</t>
  </si>
  <si>
    <t>Application of modified low-intensity intravascular laser in premature infants with respiratory distress syndrome - type I</t>
  </si>
  <si>
    <t>U1111-1255-0133</t>
  </si>
  <si>
    <t>Disorders related to short-term pregnancy and low birth weight not elsewhere classified</t>
  </si>
  <si>
    <t>Taynara Brito de Oliveira</t>
  </si>
  <si>
    <t>+55(42)3219-8888</t>
  </si>
  <si>
    <t>taynara.brito@live.com</t>
  </si>
  <si>
    <t>Hospital Universitário Regional dos Campos Gerais</t>
  </si>
  <si>
    <t>Acceptance and Commitment Therapy for Insomnnia</t>
  </si>
  <si>
    <t>08/16/2017</t>
  </si>
  <si>
    <t>U1111-1197-4235</t>
  </si>
  <si>
    <t>Francisco Lotufo Neto</t>
  </si>
  <si>
    <t>franciscolotufo@gmail.com</t>
  </si>
  <si>
    <t>Hospital das Clinicas da Faculdade de Medicina da USP</t>
  </si>
  <si>
    <t>22G fine aspiration needle vs 22G fine biopsy needle in the diagnostic rate of solid pancreatic lesions with suspected malignancy</t>
  </si>
  <si>
    <t>U1111-1257-6714</t>
  </si>
  <si>
    <t>Pancreatic solid neoplasm</t>
  </si>
  <si>
    <t>Faculdade de medicina da universidade de são paulo</t>
  </si>
  <si>
    <t>Viscosupplementation with Hyaluronic Acid is associated with Less Pain and Greater Functional Scores in Comparison with Intra-articular Corticosteroid for the Non-Surgical Management of Subtalar Posttraumatic Osteoarthritis – Randomized Comparative Trial</t>
  </si>
  <si>
    <t>U1111-1261-0695</t>
  </si>
  <si>
    <t>Post-traumatic subtalar osteoarthritis</t>
  </si>
  <si>
    <t>Isnar Castro Junior</t>
  </si>
  <si>
    <t>isnarcastro@gmail.com</t>
  </si>
  <si>
    <t>Attitudes of health professionals in caring for patients with suicidal behavior: an intervention study</t>
  </si>
  <si>
    <t>U1111-1258-3672</t>
  </si>
  <si>
    <t>Attitude of Health Personnel</t>
  </si>
  <si>
    <t>Samira Reschetti Marcon</t>
  </si>
  <si>
    <t>samiramarcon@gmail.com</t>
  </si>
  <si>
    <t>Faculdade de Enfermagem da Universidade Federal de Mato Grosso</t>
  </si>
  <si>
    <t>Effect of Pranic Healing on the quality of life of young adults</t>
  </si>
  <si>
    <t>U1111-1234-3742</t>
  </si>
  <si>
    <t>Ruth Nobuko Nakabayashi</t>
  </si>
  <si>
    <t>Taubate</t>
  </si>
  <si>
    <t>ruth@ruthprana.com.br</t>
  </si>
  <si>
    <t>IAMSPE - Instituto de Assistencia Medica ao Servidor Publico Estadual</t>
  </si>
  <si>
    <t>Clinical and functional performance of fixed implant retained prostheses in the maxilla using the All-on-4 protocol (NeoArch): an interventional clinical study</t>
  </si>
  <si>
    <t>U1111-1259-4039</t>
  </si>
  <si>
    <t>Fernanda Faot</t>
  </si>
  <si>
    <t>fernanda.faot@gmail.com</t>
  </si>
  <si>
    <t>Post-operative pain after using different endodontic cements: randomized clinical study</t>
  </si>
  <si>
    <t>U1111-1251-9531</t>
  </si>
  <si>
    <t>Natália Gomes Nascimento Paula</t>
  </si>
  <si>
    <t>cd_ngomes@hotmail.com</t>
  </si>
  <si>
    <t>Effects of electroacupuncture compared to the effects of electrical nerve stimulation infection in nonspecific low back pain: blind randomized clinical trial</t>
  </si>
  <si>
    <t>11/20/2020</t>
  </si>
  <si>
    <t>U1111-1258-8653</t>
  </si>
  <si>
    <t>Vicente de Almeida Brito</t>
  </si>
  <si>
    <t>vicentebrito09@gmail.com</t>
  </si>
  <si>
    <t>Analysis of clinical and radiological factors as predictors of response to Viscosupplementation (Hyaluronic Acid + Sorbitol) in patients with knee Osteoarthritis: prospective cohort study</t>
  </si>
  <si>
    <t>U1111-1255-2207</t>
  </si>
  <si>
    <t>Gonarthrosis (knee osteoarthritis)</t>
  </si>
  <si>
    <t>Gustavo Rossanese Pinto</t>
  </si>
  <si>
    <t>gustavo.rossanese@gmail.com</t>
  </si>
  <si>
    <t>Benefits of mind and body dialogue for childrens mental health through a group play therapy model with children in public health</t>
  </si>
  <si>
    <t>U1111-1258-8968</t>
  </si>
  <si>
    <t>Emotional disorders beginning specifically in childhood</t>
  </si>
  <si>
    <t>Marta Bartira Meirelles dos Santos</t>
  </si>
  <si>
    <t>mb@martabartira.com.br</t>
  </si>
  <si>
    <t>Coordenadoria Especial de Políticas para Mulheres</t>
  </si>
  <si>
    <t>Efficacy of Exercise on pain and disability related to Chronic Low Back Pain in older people: A Randomized Controlled Trial</t>
  </si>
  <si>
    <t>11/18/2020</t>
  </si>
  <si>
    <t>U1111-1260-0267</t>
  </si>
  <si>
    <t>Vinicius Cunha Oliveira</t>
  </si>
  <si>
    <t>vinicius.oliveira@ufvjm.edu.br</t>
  </si>
  <si>
    <t>Auriculotherapy in the adult chemotherapy clinic: a complementary proposal combined with nursing care to relieve nausea and vomiting</t>
  </si>
  <si>
    <t>11/17/2020</t>
  </si>
  <si>
    <t>U1111-1253-1420</t>
  </si>
  <si>
    <t>Carolina Lélis Venâncio Contim</t>
  </si>
  <si>
    <t>carolina.lelis@yahoo.com.br</t>
  </si>
  <si>
    <t>Instituto Nacional de Câncer José Alencar Gomes da Silva</t>
  </si>
  <si>
    <t>Shining Light on COVID-19</t>
  </si>
  <si>
    <t>11/16/2020</t>
  </si>
  <si>
    <t>U1111-1261-1981</t>
  </si>
  <si>
    <t>Virus diseases,of unspecified location</t>
  </si>
  <si>
    <t>Pâmela Camila Pereira</t>
  </si>
  <si>
    <t>pam_milaf@yahoo.com.br</t>
  </si>
  <si>
    <t>Centro Universitário de Itajubá</t>
  </si>
  <si>
    <t>Analysis of feedfooward electromyography and muscle strength in volunteers of the risk group for covid-19 submitted to a protocol of home exercises: randomized controlled clinical trial cross over</t>
  </si>
  <si>
    <t>U1111-1257-6957</t>
  </si>
  <si>
    <t>Volunteers with medical diagnosis of Type II Diabetes</t>
  </si>
  <si>
    <t>Leonardo Cesar Carvalho</t>
  </si>
  <si>
    <t>leounifal@gmail.com</t>
  </si>
  <si>
    <t>Effect of blood flow restriction training on muscle changes and prognosis in intensive care unit patients</t>
  </si>
  <si>
    <t>U1111-1241-4344</t>
  </si>
  <si>
    <t>Thaís Marina Pires de Campos Biazon</t>
  </si>
  <si>
    <t>thais.biazon@hotmail.com</t>
  </si>
  <si>
    <t>Pós-graduação em Fisioterapia da Universidade Federal de São Carlos</t>
  </si>
  <si>
    <t>Analysis of Magnesium as otoprotector in Noise-Induced Hearing loss</t>
  </si>
  <si>
    <t>11/13/2020</t>
  </si>
  <si>
    <t>U1111-1258-9837</t>
  </si>
  <si>
    <t>Noise induced Hearing Loss</t>
  </si>
  <si>
    <t>ISABELLE BRAZ DE OLIVEIRA SILVA</t>
  </si>
  <si>
    <t>55 83 99613 2002</t>
  </si>
  <si>
    <t>braz.isabelle@gmail.com</t>
  </si>
  <si>
    <t>Setor de saúde auditiva do Hospital Universitário de Brasília</t>
  </si>
  <si>
    <t>The Body Perception Therapy in women with Eating Disorders</t>
  </si>
  <si>
    <t>U1111-1151-2218</t>
  </si>
  <si>
    <t>Anorexia Nervosa</t>
  </si>
  <si>
    <t>Mental and behavior disorders</t>
  </si>
  <si>
    <t>Hospital das Clínicas da Faculdade de Medicina da USP</t>
  </si>
  <si>
    <t>Attitudes and reactions of university professors exposed to training in the face of suicidal behavior after validation and adaptation of the Eskins Attitudes Towards Suicide Scale (E-ATSS) and Eskins Social Reactions to Suicidal Persons Scale (E-SRSPS)</t>
  </si>
  <si>
    <t>U1111-1258-6154</t>
  </si>
  <si>
    <t>Attitude</t>
  </si>
  <si>
    <t>Hugo Gedeon Barros dos Santos</t>
  </si>
  <si>
    <t>hugobarros_te@hotmail.com</t>
  </si>
  <si>
    <t>Universidade Federal de Mato Grosso UFMT</t>
  </si>
  <si>
    <t>Evaluation of the analgesic effect of Pregabalin for arthralgia after Chikungunya</t>
  </si>
  <si>
    <t>U1111-1253-8114</t>
  </si>
  <si>
    <t>Chikungunya</t>
  </si>
  <si>
    <t>Rodrigo Souza Rodrigues</t>
  </si>
  <si>
    <t>acailandia</t>
  </si>
  <si>
    <t>rodrigo_fameca@hotmail.com</t>
  </si>
  <si>
    <t>Effects of standardized early mobilization on physical activity level in patients admitted to a clinical and surgical intensive care unit: randomized controlled trial</t>
  </si>
  <si>
    <t>U1111-1245-4840</t>
  </si>
  <si>
    <t>+55(32)99977-6584</t>
  </si>
  <si>
    <t>Controlled Clinical Testing of the effect of the intrusion Mechanics on the Resorption of previous teeth</t>
  </si>
  <si>
    <t>u11111254-7391</t>
  </si>
  <si>
    <t>Dental apical root resorption</t>
  </si>
  <si>
    <t>Reinaldo Meira Leite</t>
  </si>
  <si>
    <t>55-19-35431440</t>
  </si>
  <si>
    <t>reinaldomleite1@gmail.com</t>
  </si>
  <si>
    <t>Centro Universitário Hermínio Hometto - Uniararas</t>
  </si>
  <si>
    <t>Electrolipolysis and exercises to reduce abdominal subcutaneous fat</t>
  </si>
  <si>
    <t>U1111-1195-9968</t>
  </si>
  <si>
    <t>Randomized controlled study of complement inhibition in the treatment of SARS-Cov-2 pneumonia COMPVID STUDY</t>
  </si>
  <si>
    <t>U111112603293</t>
  </si>
  <si>
    <t>Glauciene Prado Alves Prado Alves</t>
  </si>
  <si>
    <t>glaupradoalves@gmail.com</t>
  </si>
  <si>
    <t>Hospital Eduardo de Menezes</t>
  </si>
  <si>
    <t>Comparison between aquatic and dry land physical training on exercise capacity and other clinical outcomes in asthmatic children: a randomized clinical trial</t>
  </si>
  <si>
    <t>U1111-1254-6928</t>
  </si>
  <si>
    <t>Josiane Marques Felcar</t>
  </si>
  <si>
    <t>josianefelcar@gmail.com</t>
  </si>
  <si>
    <t>Universidade Pitágoras Unopar</t>
  </si>
  <si>
    <t>Effectiveness of educational video on safe perioperative practices in patients undergoing Orthopedic Surgery: a randomized controlled trial</t>
  </si>
  <si>
    <t>U1111-1252-7822</t>
  </si>
  <si>
    <t>Orthopedic Procedures</t>
  </si>
  <si>
    <t>Maria Helena  Barbosa</t>
  </si>
  <si>
    <t>Comparative evaluation of the anti-inflammatory effect of Ibuprofen Etodolac Loxoprofen and Dexamethasone associated with preemptive analgesia in lower third molar Surgeries</t>
  </si>
  <si>
    <t>U1111-1228-6119</t>
  </si>
  <si>
    <t>Tooth Extraction</t>
  </si>
  <si>
    <t>Fabio Vieira de Miranda</t>
  </si>
  <si>
    <t>Aracatuba</t>
  </si>
  <si>
    <t>+55(18)36363237</t>
  </si>
  <si>
    <t>fvmpatologia@yahoo.com.br</t>
  </si>
  <si>
    <t>Faculdade de Odontologia campus de Araçatuba unesp</t>
  </si>
  <si>
    <t>Labour induction of patients with premature rupture of membranes and unfavorable cervix: oxytocin versus misoprostol</t>
  </si>
  <si>
    <t>U1111-1255-9812</t>
  </si>
  <si>
    <t>Premature Rupture of Fetal Membranes</t>
  </si>
  <si>
    <t>Fernanda Oliveira Castilhos</t>
  </si>
  <si>
    <t>fernandacastilhos@icloud.com</t>
  </si>
  <si>
    <t>Hospital de Clinicas de Porto Alegre</t>
  </si>
  <si>
    <t>Nutritional assessment in hospitalized patients</t>
  </si>
  <si>
    <t>U1111-1256-9831</t>
  </si>
  <si>
    <t>Nutritional Assessment</t>
  </si>
  <si>
    <t>Elisângela Colpo</t>
  </si>
  <si>
    <t>elicolpo@yahoo.com.br</t>
  </si>
  <si>
    <t>Universidade Franciscana</t>
  </si>
  <si>
    <t>Effect of Moderate-Intensity Training associated with normobaric hypoxia on lung function hematological immunological autonomic parameters and related to physical fitness in convalescent people from COVID-19 (AEROBI - COVID)</t>
  </si>
  <si>
    <t>U1111-1260-7479</t>
  </si>
  <si>
    <t>Atila Alexandre Trapé</t>
  </si>
  <si>
    <t>atrape@usp.br</t>
  </si>
  <si>
    <t>Escola de Educação Física e Esporte de Ribeirão Preto</t>
  </si>
  <si>
    <t>Evaluation of the therapeutic effects of Andiroba - carapa guianensis aubl (meliceae) - in induced Oral Mucositis in children with Cancer undergoing Chemotherapy</t>
  </si>
  <si>
    <t>U111112466432</t>
  </si>
  <si>
    <t>+55 (91) 3265-6500</t>
  </si>
  <si>
    <t>cep@ophirloyola.pa.gov.br</t>
  </si>
  <si>
    <t>Efficacy of Donepezil in patients with chronic Tinnitus</t>
  </si>
  <si>
    <t>U1111-1248-6988</t>
  </si>
  <si>
    <t>elaine miwa watanabe</t>
  </si>
  <si>
    <t>elainemiwa@yahoo.com.br</t>
  </si>
  <si>
    <t>Comparison of nasal cavity after Rapid Maxillary Expasion Of Surgery Assisted in adult patients with Transverse Maxilla Atresia</t>
  </si>
  <si>
    <t>U111-1256-2325</t>
  </si>
  <si>
    <t>Palatal Expansion Technique</t>
  </si>
  <si>
    <t>Antonio Hoppe</t>
  </si>
  <si>
    <t>tonehoppe@hotmail.com</t>
  </si>
  <si>
    <t>UNIFESP</t>
  </si>
  <si>
    <t>Effect of Neuromuscular Electrostimulation combined with Blood Flow Restriction on muscle thickness and reflex responses in people with spinal cord injury</t>
  </si>
  <si>
    <t>10/31/2020</t>
  </si>
  <si>
    <t>U1111-1260-2216</t>
  </si>
  <si>
    <t>Spinal cord injuries</t>
  </si>
  <si>
    <t>Nerve and spinal cord injuries</t>
  </si>
  <si>
    <t>Gabriel Hunzicker Skiba</t>
  </si>
  <si>
    <t>gabrielskiba13@yahoo.com.br</t>
  </si>
  <si>
    <t>Efficacy of mouthwash and toothpaste containing PHTALOX in the clinical control of COVID-19 and Flu Syndrome: a randomized triple-blind clinical tria</t>
  </si>
  <si>
    <t>U1111-1260-4839</t>
  </si>
  <si>
    <t>Covid-19,Human Influenza</t>
  </si>
  <si>
    <t>Instituto Federal do Paraná</t>
  </si>
  <si>
    <t>Evaluation of the early establishment of oral hygiene in edentulous infants regarding the facial expression and factors that predispose to caries in the very early childhood</t>
  </si>
  <si>
    <t>09/29/2016</t>
  </si>
  <si>
    <t>U1111-1182-9815</t>
  </si>
  <si>
    <t>Thaís M. Parisotto</t>
  </si>
  <si>
    <t>Bragança Paulista</t>
  </si>
  <si>
    <t>+55(11)24548474</t>
  </si>
  <si>
    <t>thais.parisotto@usf.edu.br</t>
  </si>
  <si>
    <t>Universidade São Francisco</t>
  </si>
  <si>
    <t>Health guidelines: understanding and adherence to the immunosuppression drug regimen in post-liver transplantation</t>
  </si>
  <si>
    <t>U1111-1259-0151</t>
  </si>
  <si>
    <t>Josely Santana Amorim</t>
  </si>
  <si>
    <t>+55 31 33079619</t>
  </si>
  <si>
    <t>joselyamorim1@gmail.com</t>
  </si>
  <si>
    <t>Can outpatient assessment detect difficult airway factors</t>
  </si>
  <si>
    <t>1-96255951715</t>
  </si>
  <si>
    <t>Unspecified upper airway diseases</t>
  </si>
  <si>
    <t>Dayse dos Santos de Almeida Rodrigues</t>
  </si>
  <si>
    <t>055 21 999761723</t>
  </si>
  <si>
    <t>dsa.arodrigues@gmail.com</t>
  </si>
  <si>
    <t>Hospital Central do Exército</t>
  </si>
  <si>
    <t>Acute and Sub-acute Effect of the Use of Cloth Mask During Exercise on Cardiovascular Parameters Psychophysiological Responses Oxygen Saturation and Specific Performance: Recommendation for the practice of physical exercise with a mask during and after the global outbreak of COVID-19</t>
  </si>
  <si>
    <t>U1111-1259-3641</t>
  </si>
  <si>
    <t>Phelipe Wilde de Alcântara Varela</t>
  </si>
  <si>
    <t>São Gonçalo do Amarante</t>
  </si>
  <si>
    <t>phelipewilde97@hotmail.com</t>
  </si>
  <si>
    <t>Effect of Ganglionic Transcutaneous Electrical Stimulation on the Autonomic Modulation of Healthy Individuals during Orthostatism</t>
  </si>
  <si>
    <t>U1111-1258-7878</t>
  </si>
  <si>
    <t>Alessandra Choqueta Toledo Arruda</t>
  </si>
  <si>
    <t>alechoqueta@yahoo.com.br</t>
  </si>
  <si>
    <t>Evaluation of the Effectiveness of an Oral Antiseptic in Improving the Clinical Status Decreasing Viral Load and Substantivity in Patients with SARS-CoV-2</t>
  </si>
  <si>
    <t>10/28/2020</t>
  </si>
  <si>
    <t>U1111-1255-3454</t>
  </si>
  <si>
    <t>Bernardo da Fonseca Orcina</t>
  </si>
  <si>
    <t>bernardoforcina@outlook.com</t>
  </si>
  <si>
    <t>Acute effect of Osteopathic Treatment on the Autonomic Nervous System in Fibromyalgia patients</t>
  </si>
  <si>
    <t>10/27/2020</t>
  </si>
  <si>
    <t>U1111-1254-9134</t>
  </si>
  <si>
    <t>Diego Antonio Ferreira</t>
  </si>
  <si>
    <t>Itajaí</t>
  </si>
  <si>
    <t>+55 047 99644 1221</t>
  </si>
  <si>
    <t>diego.ferreira@osteopatiamadrid.com.br</t>
  </si>
  <si>
    <t>Escuela de Osteopatía de Madrid - Brasil</t>
  </si>
  <si>
    <t>Effects of different types of physical exercise programs on physiological functional cognitive and emotional variables in elderly individuals</t>
  </si>
  <si>
    <t>U1111-1254-3147</t>
  </si>
  <si>
    <t>Healthy volunteers,sedentary behavior</t>
  </si>
  <si>
    <t>DENILSON DE CASTRO TEIXEIRA</t>
  </si>
  <si>
    <t>Effects of Early Use of Nitazoxanide in Patients with COVID-19</t>
  </si>
  <si>
    <t>08/24/2020</t>
  </si>
  <si>
    <t>U1111-1256-1830</t>
  </si>
  <si>
    <t>Coronavirus infection,unspecified / COVID-19</t>
  </si>
  <si>
    <t>Fernanda Ferreira Cruz</t>
  </si>
  <si>
    <t>ffcruz@biof.ufrj.br</t>
  </si>
  <si>
    <t>Universidade Federal do Rio de Janeiro-UFRJ</t>
  </si>
  <si>
    <t>Evaluation of the study of transcutaneous electrical current in the lumbar region in children with intestinal constipation</t>
  </si>
  <si>
    <t>U1111-1250-1769</t>
  </si>
  <si>
    <t>Intestinal Constipation,Transcutaneous Electric Nerve Stimulation</t>
  </si>
  <si>
    <t>Giovanna Maria Coelho</t>
  </si>
  <si>
    <t>+ 55 014 3811-6000</t>
  </si>
  <si>
    <t>giovannamcoelho@hotmail.com</t>
  </si>
  <si>
    <t>Universidade Estadual Paulista Julio de Mesquita Filho - Unesp</t>
  </si>
  <si>
    <t>Effectiveness of a Protocol of Phisiotherapeutical Treatment on Quality of Life and Physical Function of adults Surrender of Intensive Therapy Intervention - Controlled Randomized Clinical Trial</t>
  </si>
  <si>
    <t>06/28/2019</t>
  </si>
  <si>
    <t>U1111-1233-0990</t>
  </si>
  <si>
    <t>Muscular weakness</t>
  </si>
  <si>
    <t>Hospital das Clínicas Universidade Federal de Pernambuco UFPE</t>
  </si>
  <si>
    <t>cephcufpe@gmail.com</t>
  </si>
  <si>
    <t>Metabolic And Motor Profile of children with Excessive Weight after Intervention With Exergames</t>
  </si>
  <si>
    <t>U1111-1225-5484</t>
  </si>
  <si>
    <t>Effect of anti-inflammatory administration on the reduction of dental sensitivity from in-office bleaching</t>
  </si>
  <si>
    <t>08/28/2018</t>
  </si>
  <si>
    <t>U1111-1218-8211</t>
  </si>
  <si>
    <t>A prospective randomized study on the effect of oesophageal temperature monitoring on the incidence of esophageal lesions after left atrial ablation for the treatment of atrial fibrillation</t>
  </si>
  <si>
    <t>U1111-1213-2478</t>
  </si>
  <si>
    <t>Daniel Moreira Costa Moura</t>
  </si>
  <si>
    <t>danielmcm@gmail.com</t>
  </si>
  <si>
    <t>Effectiveness of a cervical exercises program in pain and functionality of patients with temporomandibular dysfunction: controlled and randomized clinical trial</t>
  </si>
  <si>
    <t>U1111-1195-1453</t>
  </si>
  <si>
    <t>ana izabela sobral oliveira-souza</t>
  </si>
  <si>
    <t>+55 (81) 981421230</t>
  </si>
  <si>
    <t>anaizabela.oliveira@hotmail.com</t>
  </si>
  <si>
    <t>Impact of Doxazosin in the treatment of nightmares associated with Posttraumatic Stress Disorder: a randomized clinical trial</t>
  </si>
  <si>
    <t>10/15/2020</t>
  </si>
  <si>
    <t>U1111-1257-7757</t>
  </si>
  <si>
    <t>Posttraumatic Stress Disorder,Posttraumatic Stress Disorder</t>
  </si>
  <si>
    <t>Pedro Henrique Canova Mosele</t>
  </si>
  <si>
    <t>pedro-mosele@hotmail.com</t>
  </si>
  <si>
    <t>The Brazilian Perinatal Bereavement Project. Development and evaluation of Supportive Guidelines for families experiencing stillbirth and neonatal death in public maternities wards in Ribeirão Preto: a quasi-experimental study</t>
  </si>
  <si>
    <t>U1111-1258-0644</t>
  </si>
  <si>
    <t>Bereavement</t>
  </si>
  <si>
    <t>Heloisa de Oliveira Salgado</t>
  </si>
  <si>
    <t>hellosalgado@gmail.com</t>
  </si>
  <si>
    <t>EN19-0771-01- Clinical study aiming to monitor the use of mobile applications for their potential of impacting an individuals sun exposure behavior by assessing vitamin D synthesis and production of erythema after sun exposure</t>
  </si>
  <si>
    <t>A28974878879</t>
  </si>
  <si>
    <t>Dr. Sérgio Schalka</t>
  </si>
  <si>
    <t>sergio.schalka@medcin.com.br</t>
  </si>
  <si>
    <t>Medcin Instituto da Pele Ltda</t>
  </si>
  <si>
    <t>Effects of Electrical Stimulation on Pain Reduction in Individuals with Knee Osteoarthritis</t>
  </si>
  <si>
    <t>U1111-1258-0231</t>
  </si>
  <si>
    <t>Emanuel Ferreira Júnior</t>
  </si>
  <si>
    <t>Bom Jardim</t>
  </si>
  <si>
    <t>emanuelfernandesjunior@gmail.com</t>
  </si>
  <si>
    <t>UFPE - Universidade Federal de Pernambuco</t>
  </si>
  <si>
    <t>Intravascular Laser Irradiation of Blood (ILIB) for the prevention and treatment of Oral Mucositis in patients with Cancer</t>
  </si>
  <si>
    <t>U1111-1257-3627</t>
  </si>
  <si>
    <t>+55(19)33438526</t>
  </si>
  <si>
    <t>Hospital PUC-Campinas</t>
  </si>
  <si>
    <t>Study on the pre-anesthetic administration of Allopurinol versus Placebo on Pain and Anxiety in patients undergoing Total Abdominal Hysterectomy</t>
  </si>
  <si>
    <t>U1111-1212-5459</t>
  </si>
  <si>
    <t>André Prato Schmidt</t>
  </si>
  <si>
    <t>apschmidtus@yahoo.com</t>
  </si>
  <si>
    <t>Telerehabilitation as an alternative to COVID-19 pandemic and its effects on functional capacity mental health and quality of life of older people with Alzheimers disease: a randomized and controlled clinical trial</t>
  </si>
  <si>
    <t>U1111-1252-3238</t>
  </si>
  <si>
    <t>quality of life,Alzheimers disease</t>
  </si>
  <si>
    <t>Dementia in Alzheimers disease</t>
  </si>
  <si>
    <t>Larissa Pires de Andrade</t>
  </si>
  <si>
    <t>larissa.andrade@ufscar.br</t>
  </si>
  <si>
    <t>Efficacy of perioperative Duloxetine analgesia in posthemorrhoidectomy pain: prospective randomized double-blind placebo-controlled study</t>
  </si>
  <si>
    <t>U1111-1246-4214</t>
  </si>
  <si>
    <t>Hemorrhoid Disease,Acute Pain</t>
  </si>
  <si>
    <t>Marlus Tavares Gerber</t>
  </si>
  <si>
    <t>marlusgerber@yahoo.com.br</t>
  </si>
  <si>
    <t>Total Knee Arthroplasty Without Tourniquet Versus With Optimized Tourniquet. Comparative Prospective and Randomized Study</t>
  </si>
  <si>
    <t>U1111-1256-6134</t>
  </si>
  <si>
    <t>Investigation of Listening Effort in Minimal Hearing Loss through Dual Hearing Task and Heart Rate Variability</t>
  </si>
  <si>
    <t>U1111-1254-8785</t>
  </si>
  <si>
    <t>hearing loss</t>
  </si>
  <si>
    <t>Heloisa de Miranda Cantuaria Alves</t>
  </si>
  <si>
    <t>(+55) (13) 99778 4352</t>
  </si>
  <si>
    <t>heloisacantuaria@usp.br</t>
  </si>
  <si>
    <t>Predictive factors for spontaneous resolution of Vesico-Ureteral Reflux in children</t>
  </si>
  <si>
    <t>U1111-1257-0316</t>
  </si>
  <si>
    <t>Karine Furtado Meyer</t>
  </si>
  <si>
    <t>karine_meyer@uol.com.br</t>
  </si>
  <si>
    <t>Universidade Regional de Blumenau - FURB</t>
  </si>
  <si>
    <t>Effect of probiotic therapy (Lactobacillus reuteri) in the treatment of chronic periodontitis associated with Diabetes Mellitus. Clinical controlled and randomized study</t>
  </si>
  <si>
    <t>U1111-1235-6695</t>
  </si>
  <si>
    <t>Maria Aparecida Neves Jardini</t>
  </si>
  <si>
    <t>maria.jardini@unesp.br</t>
  </si>
  <si>
    <t>Comparative study of 3 types of mouthguards used in trauma prevention maxillomandibular and its effects on the function of the oral cavity</t>
  </si>
  <si>
    <t>U1111-1257-4758</t>
  </si>
  <si>
    <t>João Lucas Rifausto Silva</t>
  </si>
  <si>
    <t>+55 084 996316066</t>
  </si>
  <si>
    <t>jlrifausto@gmail.com</t>
  </si>
  <si>
    <t>Obstetrics Physiotherapy through digital / teleconsultation: pregnant women living with HIV</t>
  </si>
  <si>
    <t>U1111-1257-8647</t>
  </si>
  <si>
    <t>Diseases of blood and blood-forming organs and certain disorders involving the immune mechanisms</t>
  </si>
  <si>
    <t>Vívian Pinto de Almeida</t>
  </si>
  <si>
    <t>vivipinto84@gmail.com</t>
  </si>
  <si>
    <t>Hospital Universitário Gaffrée e Guinle</t>
  </si>
  <si>
    <t>Prospective study of COVID-19 in dialytic patients</t>
  </si>
  <si>
    <t>A06004831697</t>
  </si>
  <si>
    <t>Gabriel Assis Lopes do Carmo</t>
  </si>
  <si>
    <t>cep@aebmg.org.br</t>
  </si>
  <si>
    <t>Associação Evangélica Beneficente de Minas Gerais</t>
  </si>
  <si>
    <t>Topical formulation containing microparticles Chamomilla recutita (L.) Rauschert coated with chitosan: Phase I clinical study</t>
  </si>
  <si>
    <t>10/21/2016</t>
  </si>
  <si>
    <t>U1111-1187-9950</t>
  </si>
  <si>
    <t>Influence of the Isometric Exercise on the functional capacity and cardiometabolic parameters of institutionalized elderly in the Federal District</t>
  </si>
  <si>
    <t>U1111-1254-1789</t>
  </si>
  <si>
    <t>Functional Residual Capacity,aging,Post-Exercise Hypotension</t>
  </si>
  <si>
    <t>Luiz Humberto Rodrigues Souza</t>
  </si>
  <si>
    <t>Guanambi</t>
  </si>
  <si>
    <t>luizhrsouza21@yahoo.com.br</t>
  </si>
  <si>
    <t>Instituto Integridade - Lar dos Velhinhos Maria Madalena</t>
  </si>
  <si>
    <t>Differentiation in global dna methillation snp polymorphisms and cognitive-behavior-emotional involvement of women with chronic painful Tmd before and after Mindfulness intervention</t>
  </si>
  <si>
    <t>A 25481097800</t>
  </si>
  <si>
    <t>Christie Ramos Andrade Leite-Panisse</t>
  </si>
  <si>
    <t>Ribeirão Preto - SP</t>
  </si>
  <si>
    <t>+55(16)3315 4124</t>
  </si>
  <si>
    <t>christie@usp.br</t>
  </si>
  <si>
    <t>Universidade de São Paulo-Faculdade de Filosofia Ciências e Letras de Ribeirão Preto</t>
  </si>
  <si>
    <t>Effectiveness of chest compressions skills training in patients with cardiorespiratory arrest with COVID-19 in a prone position: comparation of two methods</t>
  </si>
  <si>
    <t>U111112573179</t>
  </si>
  <si>
    <t>Cardiovascular diseases,Respiratory tract diseases,Learning,Simulation Technique</t>
  </si>
  <si>
    <t>Effects of probiotic therapy on gingivitis: study of the clinical microbiological and immunological profile of the host response</t>
  </si>
  <si>
    <t>U1111-1247-2833</t>
  </si>
  <si>
    <t>Influence of the selective insufflation respiratory physiotherapy technique on the cerebral hemodynamics of premature newborns</t>
  </si>
  <si>
    <t>U1111-1233-5215</t>
  </si>
  <si>
    <t>premature newbor</t>
  </si>
  <si>
    <t>Évellin Oliveira Gomes</t>
  </si>
  <si>
    <t>55 (41)33601825</t>
  </si>
  <si>
    <t>evellinfisio@hotmail.com</t>
  </si>
  <si>
    <t>Complexo Hospital de Clínicas</t>
  </si>
  <si>
    <t>Effects of Ischemic Preconditioning on the functional and neuromuscular performance of lower limbs in university soccer players: a randomized controlled double-blind clinical trial</t>
  </si>
  <si>
    <t>U1111-1257-7834</t>
  </si>
  <si>
    <t>Muscle Strength Dynamometer</t>
  </si>
  <si>
    <t>Ingrid Martins de França</t>
  </si>
  <si>
    <t>+55 (84) 996897755</t>
  </si>
  <si>
    <t>ingridmartinsdefranca@hotmail.com</t>
  </si>
  <si>
    <t>Pain education and exercise program supported by mobile technology for older adults with chronic low back pain at primary care: a randomized clinical trial</t>
  </si>
  <si>
    <t>09/17/2020</t>
  </si>
  <si>
    <t>U1111-1258-3595</t>
  </si>
  <si>
    <t>Ana Carla Lima Nunes</t>
  </si>
  <si>
    <t>aclnunes@gmail.com</t>
  </si>
  <si>
    <t>Phase II study on chloroquine and hydroxychloroquine in patients with manifestations serious cases of COVID-19 infection</t>
  </si>
  <si>
    <t>30605020.7.0000.5302</t>
  </si>
  <si>
    <t>Coronavirus,non specifed location coronavirus infection</t>
  </si>
  <si>
    <t>Allex Jardim Fonseca</t>
  </si>
  <si>
    <t>Boa Vista</t>
  </si>
  <si>
    <t>allex.jardim@bol.com.br</t>
  </si>
  <si>
    <t>Universidade Federal de Roraima</t>
  </si>
  <si>
    <t>Clinical Open label Phase III Multicenter Prospective Comparative Controlled Randomized Study to Assess the Effectiveness of Systemic Oxygen Therapy with Medicinal Ozone in Early Control of Disease Progression in Patients with COVID-19 who have Acute Infectious Respiratory Symptoms</t>
  </si>
  <si>
    <t>U1111-1257-8184</t>
  </si>
  <si>
    <t>Maria Emilia Gadelha Serra</t>
  </si>
  <si>
    <t>emilia.gadelha1@gmail.com</t>
  </si>
  <si>
    <t>Sociedade Brasileira de ozonioterapia médica</t>
  </si>
  <si>
    <t>Development and evaluation of the use of a mobile phone / tablet application as a communication strategy of the Food Guide for the Brazilian Population for adolescents in the municipality of Diamantina Minas Gerais</t>
  </si>
  <si>
    <t>U1111-1258-0889</t>
  </si>
  <si>
    <t>Bruna Caroline Chaves Garcia</t>
  </si>
  <si>
    <t>brunachavesgarcia@hotmail.com</t>
  </si>
  <si>
    <t>Randomized blind controlled study to assess safety and efficacy of a Injectable Triamcinolone Acetonide commercial preparation for the treatment of facial fat deposits</t>
  </si>
  <si>
    <t>08/29/2019</t>
  </si>
  <si>
    <t>U1111-1209-8116</t>
  </si>
  <si>
    <t>Facial lipodystrophy</t>
  </si>
  <si>
    <t>Aline Flor Silva</t>
  </si>
  <si>
    <t>projetos@cbed.org.br</t>
  </si>
  <si>
    <t>Centro Brasileiro de Estudos em Dermatologia</t>
  </si>
  <si>
    <t>Effectiveness of a board game on the knowledge of elderly people in a school context about HIV /Aids prevention</t>
  </si>
  <si>
    <t>U1111-1258-0302</t>
  </si>
  <si>
    <t>HIV Enhancer</t>
  </si>
  <si>
    <t>Priscila Cabral Melo Holanda</t>
  </si>
  <si>
    <t>priscila.cabral@live.com</t>
  </si>
  <si>
    <t>Open randomized clinical trial of efficacy and safety of sequential use of single dose of intralesional meglumine antimoniate and topical paromomycin gel compared to three intralesional applications of meglumine antimoniate in the treatment of cutaneous leishmaniasis</t>
  </si>
  <si>
    <t>A96824786691</t>
  </si>
  <si>
    <t>Gláucia Fernandes Cota</t>
  </si>
  <si>
    <t>55 31 33497812</t>
  </si>
  <si>
    <t>glauciacota@uol.com.br</t>
  </si>
  <si>
    <t>Centro de Pesquisa Rene Rachou,Fundação Oswaldo Cruz</t>
  </si>
  <si>
    <t>Supplementation with beetroot watermelon and ginger juice in assisted reproduction</t>
  </si>
  <si>
    <t>U1111-1257-9273</t>
  </si>
  <si>
    <t>Female infertility,masculine infertility</t>
  </si>
  <si>
    <t>Amanda Setti Raize</t>
  </si>
  <si>
    <t>amanda@sapientiae.org.br</t>
  </si>
  <si>
    <t>Fertility - Centro de Fertilização Assistida</t>
  </si>
  <si>
    <t>Brain Activity and Upper Limb Movement Analysis in individuals with Down Syndrome undergoing Transcranial Direct Current Stimulation associated with Virtual Reality</t>
  </si>
  <si>
    <t>10/31/2019</t>
  </si>
  <si>
    <t>U1111-1230-7925</t>
  </si>
  <si>
    <t>Jamile Benite Palma Lopes</t>
  </si>
  <si>
    <t>Taquaritinga</t>
  </si>
  <si>
    <t>jamilepalma@yahoo.com.br</t>
  </si>
  <si>
    <t>Effects of an exercise protocol for work related musculoskeletal disorders in grape collectors from the São Francisco Valley</t>
  </si>
  <si>
    <t>U1111-1243-2460</t>
  </si>
  <si>
    <t>Rodrigo Cappato De Araújo</t>
  </si>
  <si>
    <t>+55 87 38666496</t>
  </si>
  <si>
    <t>Blood flow restriction with different load levels in patients with knee osteoarthritis: a randomized clinical study</t>
  </si>
  <si>
    <t>U1111-1255-3178</t>
  </si>
  <si>
    <t>Areolino Pena Matos</t>
  </si>
  <si>
    <t>areolino.matos@gmail.com</t>
  </si>
  <si>
    <t>Universidade Federal do Amapá</t>
  </si>
  <si>
    <t>Effects of combined versus aerobic exercise on pain functional mobility and quality of life in individuals with hip osteoarthritis: randomized controlled clinical trial</t>
  </si>
  <si>
    <t>U1111-1253-7874</t>
  </si>
  <si>
    <t>Talita Leite dos Santos Moraes</t>
  </si>
  <si>
    <t>ARACAJU</t>
  </si>
  <si>
    <t>+55 79 99841-9831</t>
  </si>
  <si>
    <t>talitaleite.fisioterapia@gmail.com</t>
  </si>
  <si>
    <t>UNIVERSIDADE FEDERAL DE SERGIPE</t>
  </si>
  <si>
    <t>Efficacy of Lactobacillus acidophilus e Bifidobacterium lactis on Nonalcoholic Fatty Liver Disease and insulin resistance in obese adolescents: A randomized clinical trial</t>
  </si>
  <si>
    <t>09/30/2020</t>
  </si>
  <si>
    <t>U1111-1249-3983</t>
  </si>
  <si>
    <t>Ney Amaral Boa-Sorte</t>
  </si>
  <si>
    <t>neyboasorte@bahiana.edu.br</t>
  </si>
  <si>
    <t>Escola Bahiana de Medicina e Saúde Pública</t>
  </si>
  <si>
    <t>Assessment of the Skin Primary and Cumulative Irritation Potential and Skin Sensitization Potential of Four Electrodes (071075-01/04) Under Controlled and Maximized Conditions</t>
  </si>
  <si>
    <t>09/29/2020</t>
  </si>
  <si>
    <t>U1111-1223-9357</t>
  </si>
  <si>
    <t>Renata de Pietri</t>
  </si>
  <si>
    <t>+55(19)38386184</t>
  </si>
  <si>
    <t>rpietri@mmm.com</t>
  </si>
  <si>
    <t>3M do Brasil Ltda</t>
  </si>
  <si>
    <t>Comparative evaluation of the Protection Potential of Protective Films through instrumental measures and images analysis</t>
  </si>
  <si>
    <t>U1111-1222-5899</t>
  </si>
  <si>
    <t>Stand up: for a healthier life</t>
  </si>
  <si>
    <t>U1111-1258-1138</t>
  </si>
  <si>
    <t>Alynne Christian Ribeiro Andaki</t>
  </si>
  <si>
    <t>+55 (34) 991433977</t>
  </si>
  <si>
    <t>alynneandaki@yahoo.com.br</t>
  </si>
  <si>
    <t>Impact of Rapid Maxillary Expansion in the treatment of children with Obstructive Sleep Apnea Syndrome</t>
  </si>
  <si>
    <t>U1111-1252-8284</t>
  </si>
  <si>
    <t>sleep apnoea,sleep apnea syndromes</t>
  </si>
  <si>
    <t>Maria Cecília Monteiro</t>
  </si>
  <si>
    <t>cecilia.monteiromagalhaes@hotmail.com</t>
  </si>
  <si>
    <t>Faculdade de Odontologia da Universidade Federal de Uberlândia</t>
  </si>
  <si>
    <t>Sensoriality as a marker of the relationship with food: education program with sensory and cognitive exercises</t>
  </si>
  <si>
    <t>U1111-1257-2037</t>
  </si>
  <si>
    <t>Barbara Esteves Leghi</t>
  </si>
  <si>
    <t>barbara.leghi@usp.br</t>
  </si>
  <si>
    <t>the effect of meditation on the level of distress and anxiety in women with breast cancer: a randomized clinical study</t>
  </si>
  <si>
    <t>U1111-1258-6103</t>
  </si>
  <si>
    <t>Raquel Vilanova Araujo</t>
  </si>
  <si>
    <t>raquelvila@outlook.com</t>
  </si>
  <si>
    <t>Universidade Federal do Piauí -UFPI</t>
  </si>
  <si>
    <t>Inflammation and Muscle Injury in Schizophrenia: through physiological and biochemicals</t>
  </si>
  <si>
    <t>U1111-1258-0690</t>
  </si>
  <si>
    <t>Schizophrenic,Exercise,Sedentary Behavior</t>
  </si>
  <si>
    <t>Schizophrenia</t>
  </si>
  <si>
    <t>Michele Fonseca Szortyka</t>
  </si>
  <si>
    <t>Camaquã</t>
  </si>
  <si>
    <t>micheleszortyka@gmail.com</t>
  </si>
  <si>
    <t>The impact of adapted functional training and the solo pilates method on motor and non-motor symptoms of individuals with parkinsons disease</t>
  </si>
  <si>
    <t>U1111-1257-4520</t>
  </si>
  <si>
    <t>Jéssica Moratelli</t>
  </si>
  <si>
    <t>+55(48)36648600</t>
  </si>
  <si>
    <t>jessica.moratelli@hotmail.com</t>
  </si>
  <si>
    <t>Phase III of the research unicentric national prospective double-blinded randomized study intended to evaluate the superiority of the kenkobio device efficiency compared to the placebo device as well as evaluate the safety on various treatment groups on research participants diagnosed with low back pain or with mild or moderate cervical pain</t>
  </si>
  <si>
    <t>U1111-1256-2851</t>
  </si>
  <si>
    <t>Low Back Pain,Neck Pain</t>
  </si>
  <si>
    <t>Mauro Acir Crippa Junior</t>
  </si>
  <si>
    <t>medicamento@grupoinvestiga.com.br</t>
  </si>
  <si>
    <t>Allergisa Pesquisa Dermato-Cosmética Ltda</t>
  </si>
  <si>
    <t>Effects of intervention with educational technologies to promote maternal effectiveness when breastfeeding</t>
  </si>
  <si>
    <t>U1111-1251-1052</t>
  </si>
  <si>
    <t>Isabelle Melo Martins</t>
  </si>
  <si>
    <t>055 85 996319354</t>
  </si>
  <si>
    <t>isabelle_martins_@hotmail.com</t>
  </si>
  <si>
    <t>Milled Feldspathic and Lithium Disilicate Onlays with a 2-Year Follow-Up: Split-Mouth Randomized Clinical Trial</t>
  </si>
  <si>
    <t>U1111-1257-5151</t>
  </si>
  <si>
    <t>Eligible participants are all 18-year-old adults with two or more teeth decay</t>
  </si>
  <si>
    <t>Guilherme de Siqueira Ferreira Anzaloni Saavedra</t>
  </si>
  <si>
    <t>guilherme.saavedra@unesp.br</t>
  </si>
  <si>
    <t>Universidade Estadual Paulista - Instituto de Ciência e Tecnologia</t>
  </si>
  <si>
    <t>Efficacy and safety of Percutaneous Collagen Induction by Needles in the treatment of Frontal Fibrosing Alopecia</t>
  </si>
  <si>
    <t>U1111-1257-3582</t>
  </si>
  <si>
    <t>Frontal Fibrosing alopecia,Cicatricial alopecia</t>
  </si>
  <si>
    <t>Skin and connective tissue disease</t>
  </si>
  <si>
    <t>Emily Mourão Soares Mourão Soares Lopes Furtado</t>
  </si>
  <si>
    <t>55(85)33668107</t>
  </si>
  <si>
    <t>emilymourao@hotmail.com</t>
  </si>
  <si>
    <t>Hospital Universitário Walter Cantídeo Universidade Federal do Ceará</t>
  </si>
  <si>
    <t>Evaluation of the Application of 5% Ozonized Potassium Nitrate in the Reduction of Sensitivity after Office Bleaching - Clinical randomized and blind study</t>
  </si>
  <si>
    <t>U1111-1257-7555</t>
  </si>
  <si>
    <t>João Vitor Oribka Roque</t>
  </si>
  <si>
    <t>jv.oribkaroque@gmail.com</t>
  </si>
  <si>
    <t>DASH diet (Dietary Approaches to Stop Hypertension) Effect on Perinatal Outcome Pregnant Women with Diabetes Mellitus</t>
  </si>
  <si>
    <t>05/27/2016</t>
  </si>
  <si>
    <t>U1111-1182-5363</t>
  </si>
  <si>
    <t>type 2 diabetes mellitus</t>
  </si>
  <si>
    <t>prematurity</t>
  </si>
  <si>
    <t>Endocrine system diseases</t>
  </si>
  <si>
    <t>Claudia Saunders</t>
  </si>
  <si>
    <t>+55(21)99612 2370</t>
  </si>
  <si>
    <t>claudiasaunders@nutricao.ufrj.br</t>
  </si>
  <si>
    <t>Universidade Federal do Rio de Janeiro - UFRJ</t>
  </si>
  <si>
    <t>Assessment of two different techniques for alveolar preservation and patient reports</t>
  </si>
  <si>
    <t>U1111-1257-5623</t>
  </si>
  <si>
    <t>bone remodeling</t>
  </si>
  <si>
    <t>Gerardo Mendoza Azpur</t>
  </si>
  <si>
    <t>Lima</t>
  </si>
  <si>
    <t>Peru</t>
  </si>
  <si>
    <t>drgerardoodonto@yahoo.com</t>
  </si>
  <si>
    <t>Universidad Científica del Sur</t>
  </si>
  <si>
    <t>Periurethral Cleansing in Indwelling Urinary Catheterization: randomized controlled trial</t>
  </si>
  <si>
    <t>U1111-1240-9873</t>
  </si>
  <si>
    <t>Bacteriuria,Nursing Care</t>
  </si>
  <si>
    <t>Flávia Falci Ercole</t>
  </si>
  <si>
    <t>flavia.ercole@gmail.com</t>
  </si>
  <si>
    <t>Escola de Enfermagem da Universidade Federal de Minas Gerais</t>
  </si>
  <si>
    <t>Effect of printed Educational Technology on the sleep quality of the elderly</t>
  </si>
  <si>
    <t>A+93322321304</t>
  </si>
  <si>
    <t>Old man. Sleep. Nursing care. Educational technology. Geriatric Nursing. Comprehensive Health Care. Sleep Apnea,Obstructive. Nursing. Multimedia</t>
  </si>
  <si>
    <t>Khelyane Mesquita de Carvalho</t>
  </si>
  <si>
    <t>khelyanemc@gmail.com</t>
  </si>
  <si>
    <t>Evaluation of electromyography and thermography of the rectus abdominis muscle on exercises on the vibrating platform</t>
  </si>
  <si>
    <t>U1111-1256-1034</t>
  </si>
  <si>
    <t>+55(83)993148319</t>
  </si>
  <si>
    <t>Spirituality personality and mood as markers of clinical outcomes: a longitudinal study of the subjective dynamics of inpatients and healthcare professionals in the hospital setting</t>
  </si>
  <si>
    <t>03/15/2019</t>
  </si>
  <si>
    <t>U1111-1221-2192</t>
  </si>
  <si>
    <t>Fátima D Cintra Luiz</t>
  </si>
  <si>
    <t>fatimacintra@cardiol.br</t>
  </si>
  <si>
    <t>The Safety and Efficacy of Target-Controlled Infusion versus Intermittent Bolus of propofol for Sedation on Colonoscopy: A Controlled Randomized Study</t>
  </si>
  <si>
    <t>U1111-1201-0154</t>
  </si>
  <si>
    <t>Igor Seror Cuiabano</t>
  </si>
  <si>
    <t>igorserorcuiabano@gmail.com</t>
  </si>
  <si>
    <t>Associação Matogrossense de Combate ao Câncer</t>
  </si>
  <si>
    <t>Modulating activity of the alga Chlorella in glucose intolerant and type-2 diabetic patients</t>
  </si>
  <si>
    <t>A01624367852</t>
  </si>
  <si>
    <t>Mary Luci de Souza Queiroz</t>
  </si>
  <si>
    <t>mlsq@fcm.unicamp.br</t>
  </si>
  <si>
    <t>Hemocentro Universidade Estadual de Campinas</t>
  </si>
  <si>
    <t>A Program of Health Promotion and Prevention of damage on pelvic floor in public workers of a brazilian public University</t>
  </si>
  <si>
    <t>U1111-1229-0628</t>
  </si>
  <si>
    <t>Rubneide Barreto da Silva Gallo</t>
  </si>
  <si>
    <t>+55 41 99124-0108</t>
  </si>
  <si>
    <t>rubneidegallo@gmail.com</t>
  </si>
  <si>
    <t>Estudo Multicentrico da prática Integrativa e complementar de Ozonioterapia em pacientes ambulatoriais com Covid- 19</t>
  </si>
  <si>
    <t>U1111-1257-7973</t>
  </si>
  <si>
    <t>Respiratory system disease</t>
  </si>
  <si>
    <t>Arnoldo de Souza</t>
  </si>
  <si>
    <t>arnoldos@cardiol.br</t>
  </si>
  <si>
    <t>Associação Brasileira de Ozonioterapia</t>
  </si>
  <si>
    <t>The aquatic physiotherapy on visual impairment</t>
  </si>
  <si>
    <t>06/23/2020</t>
  </si>
  <si>
    <t>U1111-1211-7225</t>
  </si>
  <si>
    <t>people with visual impairment</t>
  </si>
  <si>
    <t>Study of the analgesic effect of Allopurinol versus Placebo in patients with Fibromyalgia</t>
  </si>
  <si>
    <t>U1111-1212-5540</t>
  </si>
  <si>
    <t>Effect of flower remedies in reduction of stress in nursing students</t>
  </si>
  <si>
    <t>U1111-1257-5715</t>
  </si>
  <si>
    <t>Lucia Maria Nunes Freire de Albuquerque</t>
  </si>
  <si>
    <t>lm-freire@uol.com.br</t>
  </si>
  <si>
    <t>Escola de Enfermagem da Universidade de São paulo</t>
  </si>
  <si>
    <t>Effect of neuromuscular electric stimulation on inflammation mass and muscular function in patients with cancer</t>
  </si>
  <si>
    <t>U1111-1254-0498</t>
  </si>
  <si>
    <t>Tatyanne Letícia Nogueira Gomes</t>
  </si>
  <si>
    <t>tatyanneleticianogueiragomes@gmail.com</t>
  </si>
  <si>
    <t>Faculdade de Nutrição da Universidade Federal de Goiás</t>
  </si>
  <si>
    <t>Prevalence of neuropathic pain in individuals with type II Diabetes Mellitus and physical therapy intervention in the city of São João da Boa Vista-SP</t>
  </si>
  <si>
    <t>U1111-1256-2081</t>
  </si>
  <si>
    <t>Insulo-dependent diabetes mellitus with neurological complications</t>
  </si>
  <si>
    <t>Daniella Silva Oggiam</t>
  </si>
  <si>
    <t>dsoggiam@gmail.com</t>
  </si>
  <si>
    <t>Blood culture collection: sterile versus procedure glove</t>
  </si>
  <si>
    <t>U1111-1237-1495</t>
  </si>
  <si>
    <t>Blood culture,Collection of blood samples</t>
  </si>
  <si>
    <t>Oleci Pereira Frota</t>
  </si>
  <si>
    <t>Três Lagoas</t>
  </si>
  <si>
    <t>+55(67)3521-8723</t>
  </si>
  <si>
    <t>olecifrota@gmail.com</t>
  </si>
  <si>
    <t>The use of serial casting in the treatment of children with Cerebral Palsy</t>
  </si>
  <si>
    <t>U1111-1253-9248</t>
  </si>
  <si>
    <t>Marisa de Paula Paro</t>
  </si>
  <si>
    <t>mppfisio@yahoo.com.br</t>
  </si>
  <si>
    <t>Effect of Motor-cognitive training (dual task) on the functionality of the elderly</t>
  </si>
  <si>
    <t>U1111-1257-5228</t>
  </si>
  <si>
    <t>Luciane Aparecida Pascucci Sande de Souza</t>
  </si>
  <si>
    <t>lucianesande@gmail.com</t>
  </si>
  <si>
    <t>Effect of hot stone massage associated with lavender essential oil in the behavioral context of obese women</t>
  </si>
  <si>
    <t>U1111-1251-1276</t>
  </si>
  <si>
    <t>Jerônimo Costa Branco</t>
  </si>
  <si>
    <t>+55 55 3025.9000</t>
  </si>
  <si>
    <t>jeronimobranco@hotmail.com</t>
  </si>
  <si>
    <t>Effect of coffee with milk on pathways of glycemic utilization and muscle glycogen recovery after cycling training</t>
  </si>
  <si>
    <t>U1111-1245-2829</t>
  </si>
  <si>
    <t>Teresa Helena Macedo da Costa</t>
  </si>
  <si>
    <t>thmdacosta@gmail.com</t>
  </si>
  <si>
    <t>Effects of Functional Electrical Stimulation of quadriceps in patients undergoing coronary artery bypass grafting and valve replacement</t>
  </si>
  <si>
    <t>01/15/2018</t>
  </si>
  <si>
    <t>U1111-1206-3467</t>
  </si>
  <si>
    <t>Thais Ermelinda Schulz Benelli</t>
  </si>
  <si>
    <t>thaisfisiob@gmail.com</t>
  </si>
  <si>
    <t>The use of gabapentin in the management of postoperative pain in Crosslinking</t>
  </si>
  <si>
    <t>U1111-1256-0330</t>
  </si>
  <si>
    <t>Ricardo Alexandre Stock</t>
  </si>
  <si>
    <t>Joaçaba</t>
  </si>
  <si>
    <t>ricardostockreal@gmail.com</t>
  </si>
  <si>
    <t>Antalgic and adverse effects of the industrialized topical formulation of Lidocaine 4 compared to the manipulated formulation of Lidocaine 23 associated with Tetracaine 7 in patients referred for Laser Hair Removal Lightsheer®</t>
  </si>
  <si>
    <t>U1111-1256-6926</t>
  </si>
  <si>
    <t>Yara Martins Ortigosa Leonardo</t>
  </si>
  <si>
    <t>yara_mot@hotmail.com</t>
  </si>
  <si>
    <t>Clínica Dermatológica Dra Luciena Ortigosa</t>
  </si>
  <si>
    <t>Evaluation of the effects of oxytocin in patients with schizophrenia</t>
  </si>
  <si>
    <t>U1111-1249-9252</t>
  </si>
  <si>
    <t>Flavia de Lima Osório</t>
  </si>
  <si>
    <t>Effectiveness of three prototypes of a device to reduce aerolization dispersion in emergency dental care in times of SARS-CoV-2 pandemic: a randomized controlled clinical trial</t>
  </si>
  <si>
    <t>U1111-1258-5375</t>
  </si>
  <si>
    <t>Maximiliano Schunke Gomes</t>
  </si>
  <si>
    <t>maximiliano.gomes@pucrs.br</t>
  </si>
  <si>
    <t>Investigations on the recall of autobiographical memories and emotional regulation strategies in a clinical sample</t>
  </si>
  <si>
    <t>U1111-1257-6250</t>
  </si>
  <si>
    <t>Melyssa Kellyane Cavalcanti Galdino</t>
  </si>
  <si>
    <t>55 (83) 3216-7200</t>
  </si>
  <si>
    <t>melyssa_cavalcanti@hotmail.com</t>
  </si>
  <si>
    <t>Implementation of immersive virtual reality as an auxiliary resource in the physical conditioning training of sedentary university students: randomized clinical trial</t>
  </si>
  <si>
    <t>09/21/2020</t>
  </si>
  <si>
    <t>U1111-1236-5462</t>
  </si>
  <si>
    <t>Effect of neuromuscular training and strengthening of the lower limbs musculature in women with Patellofemoral Pain Syndrome</t>
  </si>
  <si>
    <t>09/15/2017</t>
  </si>
  <si>
    <t>U1111-1200-2588</t>
  </si>
  <si>
    <t>Lilian Felicio</t>
  </si>
  <si>
    <t>+55 34 32182938</t>
  </si>
  <si>
    <t>lilianrf@ufu.br</t>
  </si>
  <si>
    <t>Effectiveness sensitivity and action on the enamel surface of activated carbon as bleaching agent: clinical and in situ study</t>
  </si>
  <si>
    <t>U1111-1252-0423</t>
  </si>
  <si>
    <t>Dentin sensivity. Tooth abrasion</t>
  </si>
  <si>
    <t>Isauremi Vieira de Assunção</t>
  </si>
  <si>
    <t>isauremi@gmail.com</t>
  </si>
  <si>
    <t>Analysis of perceptual metabolic and neuromuscular responses in resistance exercises with different levels of blood flow restriction</t>
  </si>
  <si>
    <t>09/20/2020</t>
  </si>
  <si>
    <t>U1111-1256-5952</t>
  </si>
  <si>
    <t>Affect,Physical Exertion,Fatigue</t>
  </si>
  <si>
    <t>Victor de Queiros</t>
  </si>
  <si>
    <t>victor.s14@hotmail.com</t>
  </si>
  <si>
    <t>Acute effect oh Whole-body electromyostimulation on autonomic heart modulation and capacity cardiopulmonary in individuals with obesity</t>
  </si>
  <si>
    <t>U1111-1254-3688</t>
  </si>
  <si>
    <t>Audrey Borghi Silva</t>
  </si>
  <si>
    <t>Randomized double-blind placebo-controlled clinical trial to evaluate the efficacy and safety of hydroxychloroquine and azithromycin versus placebo in the negative viral load of participants with flu syndrome caused by SARS-CoV2 and who have no indication for hospitalization</t>
  </si>
  <si>
    <t>04/29/2020</t>
  </si>
  <si>
    <t>A 33166752803</t>
  </si>
  <si>
    <t>SARS Cov2 virus infection</t>
  </si>
  <si>
    <t>Ana Tarina Alvarez Lopes</t>
  </si>
  <si>
    <t>+55 11 991301070</t>
  </si>
  <si>
    <t>ana.lopes@santapaula.com.br</t>
  </si>
  <si>
    <t>Hospital Santa Paula</t>
  </si>
  <si>
    <t>Healthy lifestyle deck of cards as a tool of Cognitive-behavioral group therapy of Obese adults</t>
  </si>
  <si>
    <t>U1111-1254-3992</t>
  </si>
  <si>
    <t>Danielle Arisa Caranti</t>
  </si>
  <si>
    <t>danielle@caranti.com.br</t>
  </si>
  <si>
    <t>General versus regional anesthesia in peripheral arterial surgery: effects on the incidence of postoperative pulmonary complications</t>
  </si>
  <si>
    <t>U1111-1257-0401</t>
  </si>
  <si>
    <t>Analysis of the treatment of multiple gingival recessions with subepithelial connective tissue graft harvested from the palatal area with predominance of the lamina propria or with predominance of submucosa</t>
  </si>
  <si>
    <t>U1111-1257-2062</t>
  </si>
  <si>
    <t>Secretaria de Pós Graduação FOB USP CGP FOB USP</t>
  </si>
  <si>
    <t>55 14 3235.8223</t>
  </si>
  <si>
    <t>posgrad@fob.usp.br</t>
  </si>
  <si>
    <t>Faculdade de Odontologia de Bauru-Universidade de São Paulo</t>
  </si>
  <si>
    <t>Clinical validation of a new reusable balloon trocar for dissection in Retroperitoneoscopic Adrenalectomy</t>
  </si>
  <si>
    <t>U1111-1257-1351</t>
  </si>
  <si>
    <t>Daniel Demétrio Faustino da Silva</t>
  </si>
  <si>
    <t>cep-ghc@ghc.com.br</t>
  </si>
  <si>
    <t>Home-based exercises for oder adults: an alternative for social isolation period</t>
  </si>
  <si>
    <t>U1111-1257-0857</t>
  </si>
  <si>
    <t>+55 41 33613072</t>
  </si>
  <si>
    <t>Departamento de Educação Física da Universidade Federal do Paraná</t>
  </si>
  <si>
    <t>No inferiority Phase III clinical trial randomized multicentre parallel and blind to evaluated the efficacy and safety of Maxsulid® (Cosmed) compared to Nisulid® (Aché) medicine in the treatment of postoperative pain of third molar extraction</t>
  </si>
  <si>
    <t>U1111-1223-7393</t>
  </si>
  <si>
    <t>Post operative pain of third molar extration</t>
  </si>
  <si>
    <t>Andrea Esteves Rigo</t>
  </si>
  <si>
    <t>ctdfb@uol.com.br</t>
  </si>
  <si>
    <t>CEMEC (Centro Multidiciplinar de Estudos Clínicos)</t>
  </si>
  <si>
    <t>Phase III clinical trial of superiority randomized multicentre blind parallel to evaluate the efficacy and safety of Lisador® (Cosmed) compared to Novalgina® 500mg (Sanofi-Medley) in the treatment of postoperative pain in abdominal-pelvic videolaparoscopy</t>
  </si>
  <si>
    <t>U1111-1221-2862</t>
  </si>
  <si>
    <t>postoperative pain in abdomino- pelvic</t>
  </si>
  <si>
    <t>Sandra Di Felice Borato</t>
  </si>
  <si>
    <t>MARSI Project</t>
  </si>
  <si>
    <t>U1111-1256-8258</t>
  </si>
  <si>
    <t>Efficacy of lumbar massage for pain reduction during the first period of labor in parturients in Serra Talhada / PE</t>
  </si>
  <si>
    <t>B 092.033.027-43</t>
  </si>
  <si>
    <t>Low Back Pain during labor</t>
  </si>
  <si>
    <t>Skull sacral and uterine mobilization to relieve primary dysmenorrhea</t>
  </si>
  <si>
    <t>U1111-1232-0247</t>
  </si>
  <si>
    <t>Primary dysmenorrhoea</t>
  </si>
  <si>
    <t>Influence of Argon Plasma Coagulation on weight loss in patients with weight regain after Bariatric Y Roux Surgery: Randomized clinical trial</t>
  </si>
  <si>
    <t>U1111-1248-0280</t>
  </si>
  <si>
    <t>Mariana Bordinhon de Moraes</t>
  </si>
  <si>
    <t>+55(14)998779108</t>
  </si>
  <si>
    <t>mari_bordinhon@hotmail.com</t>
  </si>
  <si>
    <t>Clinical trial on the use of surgical adhesive glue to repair first-degree perineal tears</t>
  </si>
  <si>
    <t>U1111-1255-4030</t>
  </si>
  <si>
    <t>First degree perineal laceration during delivery</t>
  </si>
  <si>
    <t>Thaís Trevisan Teixeira</t>
  </si>
  <si>
    <t>thais.trevisan.teixeira@usp.br</t>
  </si>
  <si>
    <t>Escola de Enfermagem da Universidade de São Paulo</t>
  </si>
  <si>
    <t>Effect of vitamin D3 supplementation on viral load and recovery of TCD4 + cells in HIV patients on antiretroviral therapy assisted by SUS</t>
  </si>
  <si>
    <t>U111-1247-3745</t>
  </si>
  <si>
    <t>Adriana Azevedo Paiva</t>
  </si>
  <si>
    <t>(86) 32155863</t>
  </si>
  <si>
    <t>aapaiva@ufpi.edu.com.br</t>
  </si>
  <si>
    <t>Universidade Federal do Piaui</t>
  </si>
  <si>
    <t>Evaluation of the photodymamic effect mediated by methylene blue in surfactant vehicle for the adjuvant treatment of periodontal disease: randomized controlled and double-blind clinical trial</t>
  </si>
  <si>
    <t>U1111-1253-0679</t>
  </si>
  <si>
    <t>Renato Araújo Prates</t>
  </si>
  <si>
    <t>pratesra@uni9.pro.br</t>
  </si>
  <si>
    <t>Cohort study of patients at the emergency department with COVID-19 diagnosis</t>
  </si>
  <si>
    <t>U1111-1258-1111</t>
  </si>
  <si>
    <t>Julio Flavio Marchini</t>
  </si>
  <si>
    <t>+55 (16) 3602 2599</t>
  </si>
  <si>
    <t>jfmarchini@usp.br</t>
  </si>
  <si>
    <t>Effects of COVID-19 on pregnancy childbirth puerperium neonatal period and child development: prospective multicenter cohort study</t>
  </si>
  <si>
    <t>U1111-1253-5244</t>
  </si>
  <si>
    <t>Lícia Maria Henrique da Mota</t>
  </si>
  <si>
    <t>liciamhmota@gmail.com</t>
  </si>
  <si>
    <t>Hospital Universitário de Brasília</t>
  </si>
  <si>
    <t>Development of Retinoic Acid Formulation for Acne</t>
  </si>
  <si>
    <t>09/16/2020</t>
  </si>
  <si>
    <t>U1111-1257-0463</t>
  </si>
  <si>
    <t>Disorders of skin appendages,Acne vulgaris</t>
  </si>
  <si>
    <t>Flávia Alves Lima</t>
  </si>
  <si>
    <t>flavialima09@gmail.com</t>
  </si>
  <si>
    <t>Faculdade de Farmácia da Universidade Federal de Minas Gerais</t>
  </si>
  <si>
    <t>Clinical evaluation on the effectiveness of reducing dental hypersensitivity in patients using 8% arginine-based dentifrices and a 320-360 nm laser. Parallel Randomized Clinical Trial</t>
  </si>
  <si>
    <t>09/14/2020</t>
  </si>
  <si>
    <t>U1111-1253-7974</t>
  </si>
  <si>
    <t>Dentin hypersensitivity</t>
  </si>
  <si>
    <t>Marielle Braff Cardoso</t>
  </si>
  <si>
    <t>maribraff11@yahoo.com.br</t>
  </si>
  <si>
    <t>Chronic effects of strength exercise with blood flow restriction on bone metabolism biomarkers strength and quality of life in osteopenic women: a randomized clinical trial</t>
  </si>
  <si>
    <t>U1111-1245-9598</t>
  </si>
  <si>
    <t>Wan Cley Rabuske</t>
  </si>
  <si>
    <t>Pinheiro Preto</t>
  </si>
  <si>
    <t>+55(049)991547691</t>
  </si>
  <si>
    <t>wan_cley_rabuske@hotmail.com</t>
  </si>
  <si>
    <t>Effects of an educational intervention for pregnant adolescents in the preparation for normal and humanized delivery</t>
  </si>
  <si>
    <t>U1111-1231-0495</t>
  </si>
  <si>
    <t>pregnant women</t>
  </si>
  <si>
    <t>Rosielle Costa Brito</t>
  </si>
  <si>
    <t>rosiellebrito@hotmail.com</t>
  </si>
  <si>
    <t>Incidence and Progression of Occlusal Caries in Adolescents - Risk Factors</t>
  </si>
  <si>
    <t>U1111-1220-6830</t>
  </si>
  <si>
    <t>Heliana Dantas Mestrinho</t>
  </si>
  <si>
    <t>helianamestrinho@gmail.com</t>
  </si>
  <si>
    <t>Clinical Perfomance of regular resin composite with S-PRG technology and resin-modified glass-ionomer in restorations of Cervical Lesions with predominance of Abfraction: a randomized controlled clinical trial</t>
  </si>
  <si>
    <t>U1111-1248-1900</t>
  </si>
  <si>
    <t>Tooth Wear</t>
  </si>
  <si>
    <t>Acute effect of nuts beverage consumption on metabolism and food Ingestion in Overweight Subjects</t>
  </si>
  <si>
    <t>04/30/2018</t>
  </si>
  <si>
    <t>U1111-1203-9891</t>
  </si>
  <si>
    <t>Influence of Motivational Interviewing on anthropometric parameters and consumption diet of women with obesity</t>
  </si>
  <si>
    <t>U1111-1254-6957</t>
  </si>
  <si>
    <t>Regina Maria Vilela</t>
  </si>
  <si>
    <t>+55 41 991115454</t>
  </si>
  <si>
    <t>regina.vilela@ufpr.br</t>
  </si>
  <si>
    <t>Transcranial direct current stimulation in children and adolescents with Autistic Spectrum Disorder: assessment of basic academic skills and social cognition before and after intervention</t>
  </si>
  <si>
    <t>U1111-1256-3586</t>
  </si>
  <si>
    <t>Atypical autism</t>
  </si>
  <si>
    <t>Patricia Vieira de Oliveira</t>
  </si>
  <si>
    <t>+55(11)983347541</t>
  </si>
  <si>
    <t>patricia@prvo.com.br</t>
  </si>
  <si>
    <t>Centro Paulista de Neuropsicologia</t>
  </si>
  <si>
    <t>Parkinsons Disease and Physiotherapy: Analysis of the impact of intervention programs with terrestrial and aquatic physical activities - FisioPark</t>
  </si>
  <si>
    <t>U1111-1254-3226</t>
  </si>
  <si>
    <t>Vera Lúcia Israel</t>
  </si>
  <si>
    <t>(41) 3361-1601</t>
  </si>
  <si>
    <t>vera.israel@ufpr.br</t>
  </si>
  <si>
    <t>Treatment for xerostomia in patients after head and neck radiotherapy</t>
  </si>
  <si>
    <t>U1111-1230-8131</t>
  </si>
  <si>
    <t>swallowing disorders</t>
  </si>
  <si>
    <t>+ 55 016 3633-1144</t>
  </si>
  <si>
    <t>cep@hcrp.usp.br</t>
  </si>
  <si>
    <t>Universidade de São Paulo - Ribeirão Preto</t>
  </si>
  <si>
    <t>Laser therapy applied for Sensitivity after tooth Whitening</t>
  </si>
  <si>
    <t>U1111-1249-7546</t>
  </si>
  <si>
    <t>Dental hypersensitivity after office dental bleaching</t>
  </si>
  <si>
    <t>Glenda Silva Alencar</t>
  </si>
  <si>
    <t>glenda_alencar@hotmail.com</t>
  </si>
  <si>
    <t>Analysis of the influence of Respiratory Training in thoracoabdominal efficiency and activation of respiratory muscles in Heart Failure a randomized clinical trial</t>
  </si>
  <si>
    <t>05/16/2018</t>
  </si>
  <si>
    <t>U-1111-1211-4274</t>
  </si>
  <si>
    <t>Tatiana Zacarias Rondinel</t>
  </si>
  <si>
    <t>tattyrondinel@hotmail.com</t>
  </si>
  <si>
    <t>Effect of Linked Color Imaging on the detection of Adenomas in screening Colonoscopy</t>
  </si>
  <si>
    <t>U1111-1255-7223</t>
  </si>
  <si>
    <t>Polyp of colon</t>
  </si>
  <si>
    <t>carlos eduardo oliveira dos santos</t>
  </si>
  <si>
    <t>Bage</t>
  </si>
  <si>
    <t>ddendo@uol.com.br</t>
  </si>
  <si>
    <t>Patient ventilator asynchrony in sleep stages during Noninvasive Ventilation in patients with Chronic Obstructive Pulmonary Disease</t>
  </si>
  <si>
    <t>U1111-1255-1119</t>
  </si>
  <si>
    <t>Renata dos Santos Vasconcelos</t>
  </si>
  <si>
    <t>+55 (85) 98898-8510</t>
  </si>
  <si>
    <t>renatavasconcelos23@gmail.com</t>
  </si>
  <si>
    <t>The effectiveness of a Dance Therapy protocol on the psychological aspects of patients undergoing adjuvant treatment for Breast Cancer: the body beyond the disease</t>
  </si>
  <si>
    <t>B - 00763827967</t>
  </si>
  <si>
    <t>Adriana Coutinho Azevedo Guimarães</t>
  </si>
  <si>
    <t>nanaguim@terra.com.br</t>
  </si>
  <si>
    <t>Effect of consumption of red araçá pulps (Psidium cattleyanum Sabine) and Butiá (Butia capitata) on glycemic and lipid profiles and on oxidative stress markers in diabetic individuals</t>
  </si>
  <si>
    <t>U1111-1256-1879</t>
  </si>
  <si>
    <t>Cleonice Gonçalves da Rosa</t>
  </si>
  <si>
    <t>Lages</t>
  </si>
  <si>
    <t>cleorosaqm@yahoo.com.br</t>
  </si>
  <si>
    <t>Universidade do Planalto Catarinense</t>
  </si>
  <si>
    <t>The association between ACL injury and restricted hip range of motion among athletes</t>
  </si>
  <si>
    <t>U1111-1256-4614</t>
  </si>
  <si>
    <t>Diego Escudeiro de Oliveira</t>
  </si>
  <si>
    <t>diegoescudeiro@gmail.com</t>
  </si>
  <si>
    <t>Santa Casa de Misericórdia de São Paulo</t>
  </si>
  <si>
    <t>Comparative Analysis of the Pilates Method and Resistance Training in Physical Fitness and Quality of Life of Elderly in Brasília-DF</t>
  </si>
  <si>
    <t>A+05669011708</t>
  </si>
  <si>
    <t>Investigation of physical fitness,quality of life</t>
  </si>
  <si>
    <t>Gabrielle Cristine Pucci</t>
  </si>
  <si>
    <t>55-061-99991-9549</t>
  </si>
  <si>
    <t>gabriellepucci@hotmail.com</t>
  </si>
  <si>
    <t>Universidade de Trás-os-Montes e Alto Douro- UTAD</t>
  </si>
  <si>
    <t>Influence of core muscles in women with Patellofemoral Pain Syndrome</t>
  </si>
  <si>
    <t>02/28/2019</t>
  </si>
  <si>
    <t>U1111-1226-5226</t>
  </si>
  <si>
    <t>Patellofemoral pain syndrome</t>
  </si>
  <si>
    <t>+55(48)37216952</t>
  </si>
  <si>
    <t>Effects of exercise intensity on metabolic respiratory and cardiovascular parameters in type 2 diabetic women - a clinical randomized trial</t>
  </si>
  <si>
    <t>U1111-1242-2874</t>
  </si>
  <si>
    <t>Type 2 Diabetic Women in Menopause</t>
  </si>
  <si>
    <t>Pedro Gustavo Machado</t>
  </si>
  <si>
    <t>pedro96gustavo@gmail.com</t>
  </si>
  <si>
    <t>Universidade Federal de Lavras</t>
  </si>
  <si>
    <t>Asymptomatic covid-positive patients and periodontal disease</t>
  </si>
  <si>
    <t>U1111-1257-5921</t>
  </si>
  <si>
    <t>+34 654691012</t>
  </si>
  <si>
    <t>Influence of 37.5% hydrogen peroxide application times on the effectiveness and safety of in-office tooth bleaching: a double-blind randomized clinical trial</t>
  </si>
  <si>
    <t>U1111-1250-7286</t>
  </si>
  <si>
    <t>Tooth whitening,tooth sensitivity</t>
  </si>
  <si>
    <t>Sônia Saeger Meireles Monte Raso</t>
  </si>
  <si>
    <t>Selective laser trabeculoplasty as initial therapy in patients with open-angle glaucoma and ocular hypertension. Assessment of effectiveness safety and economic impact</t>
  </si>
  <si>
    <t>U1111-1255-1601</t>
  </si>
  <si>
    <t>Glaucoma,ocular hypertension</t>
  </si>
  <si>
    <t>Leopoldo Ernesto Oiticica Barbosa</t>
  </si>
  <si>
    <t>leopoldo.barbosa@icloud.com</t>
  </si>
  <si>
    <t>Impact of strutured telephone teleorientation on the health of elderly during the COVID-19 pandemic</t>
  </si>
  <si>
    <t>U1111-1254-6143</t>
  </si>
  <si>
    <t>Gustavo Akerman Augusto</t>
  </si>
  <si>
    <t>+55 (11) 2972-9200</t>
  </si>
  <si>
    <t>guakau@gmail.com</t>
  </si>
  <si>
    <t>Centro de Referência do Idoso - CRI Norte</t>
  </si>
  <si>
    <t>Inspiratory Muscle Training in Postoperative Period of Cardiac Surgery: Comparison between Manual and Automatic Loads</t>
  </si>
  <si>
    <t>U1111-1256-7920</t>
  </si>
  <si>
    <t>The study is conducted in patients in the postoperative period of cardiac surgery</t>
  </si>
  <si>
    <t>Mayara Pereira De Souza</t>
  </si>
  <si>
    <t>+55 (67) 98124-2970</t>
  </si>
  <si>
    <t>mayarapsouza.32@gmail.com</t>
  </si>
  <si>
    <t>Effects of dietary intervention on toxicity and quality of life in patients with Breast Cancer during chemotherapy treatment Neoadjuvant: randomized clinical trial</t>
  </si>
  <si>
    <t>U1111-1222-0698</t>
  </si>
  <si>
    <t>Ana Paula Trussardi Fayh</t>
  </si>
  <si>
    <t>apfayh@yhaoo.com.br</t>
  </si>
  <si>
    <t>Multicenter prospective randomized double-blind clinical trial for the use of Hyperbaric Oxygen Therapy in patients hospitalized with Covid-19</t>
  </si>
  <si>
    <t>U1111-1253-2793</t>
  </si>
  <si>
    <t>Other viral pneumonia</t>
  </si>
  <si>
    <t>José da Mota Neto</t>
  </si>
  <si>
    <t>motadort@gmail.com</t>
  </si>
  <si>
    <t>Pulse oximeter evaluation in oxygen saturation reading of the dental pulp</t>
  </si>
  <si>
    <t>U1111-1256-0803</t>
  </si>
  <si>
    <t>Cleonice da Silveira Teixeira</t>
  </si>
  <si>
    <t>cleonice.teixeira@ufsc.br</t>
  </si>
  <si>
    <t>Evaluation of the influence of Probiotic with multiple strains on inflammatory and metabolic markers in women with Central Obesity</t>
  </si>
  <si>
    <t>U1111-1220-2109</t>
  </si>
  <si>
    <t>maria de lourdes lima de souza e silva</t>
  </si>
  <si>
    <t>salvador</t>
  </si>
  <si>
    <t>mlourdeslima@bahiana.edu.br</t>
  </si>
  <si>
    <t>Roux-en-Y Gastric Bypass as a therapeutic option in patients with indication for Bariatric and / or Metabolic Surgery: clinical trial</t>
  </si>
  <si>
    <t>U111112498106</t>
  </si>
  <si>
    <t>Obesity due to excess calories,Obesity,Diabetes,Gastric pathologies</t>
  </si>
  <si>
    <t>Paulo Reis Esselin de Melo</t>
  </si>
  <si>
    <t>prcirurgia@icloud.com</t>
  </si>
  <si>
    <t>Hospital Geral de Goiânia - HGG</t>
  </si>
  <si>
    <t>Telehealth in Parkinsons Disease patients at Hospital Universitário Walter Cantidio- UFC</t>
  </si>
  <si>
    <t>1111-1253-7783</t>
  </si>
  <si>
    <t>Pedro Braga Neto</t>
  </si>
  <si>
    <t>+55-85-3366.8163</t>
  </si>
  <si>
    <t>pbraganeto@gmail.com</t>
  </si>
  <si>
    <t>Faculdade de Medicina da Universidade Federal do Ceará</t>
  </si>
  <si>
    <t>Relationship of perineal massage and birth route on postpartum pelvic floor muscle function: controlled clinical trial</t>
  </si>
  <si>
    <t>10/25/2019</t>
  </si>
  <si>
    <t>U1111-1239-6177</t>
  </si>
  <si>
    <t>Acute effect of transcutaneous electrical stimulation on Parkinsonian tremor inhibition: A crossover study</t>
  </si>
  <si>
    <t>U1111-1255-2693</t>
  </si>
  <si>
    <t>Marcelo Renato Guerino-</t>
  </si>
  <si>
    <t>marceloguerino@hotmail.com</t>
  </si>
  <si>
    <t>Scleral Fixation Using a Hydrophilic Four-haptic Lens and Polytetrafluoroethylene Suture: A Phase I Clinical Trial</t>
  </si>
  <si>
    <t>U1111-1245-0504</t>
  </si>
  <si>
    <t>Aphakia</t>
  </si>
  <si>
    <t>Natacha Bíscaro Junqueira</t>
  </si>
  <si>
    <t>(18)997547916</t>
  </si>
  <si>
    <t>natbiscaro@yahoo.com.br</t>
  </si>
  <si>
    <t>Hospital das Clínicas da Faculdade de Medicina de Ribeirão Preto</t>
  </si>
  <si>
    <t>Clinical performance evolution of ultra-thin translucent zirconia Veneers</t>
  </si>
  <si>
    <t>U111-1216-0234</t>
  </si>
  <si>
    <t>Diastema</t>
  </si>
  <si>
    <t>Rodrigo Othávio Assunção Souza</t>
  </si>
  <si>
    <t>NATAL</t>
  </si>
  <si>
    <t>rodrigoothavio@gmail.com</t>
  </si>
  <si>
    <t>Special Purpose Codes</t>
  </si>
  <si>
    <t>Effectiveness of messages via WhatsApp® in adhering to the use of masks and social distance</t>
  </si>
  <si>
    <t>U1111-1256-9884</t>
  </si>
  <si>
    <t>Juliana de lima  Lopes</t>
  </si>
  <si>
    <t>+55 11 976982117</t>
  </si>
  <si>
    <t>Comparative analysis between Cervical Pessary versus standard treatment in pregnancy with higher risk of Preterm Birth - evaluation of the learning curve</t>
  </si>
  <si>
    <t>U1111-1254-6356</t>
  </si>
  <si>
    <t>Marcelo Santucci França</t>
  </si>
  <si>
    <t>+5511 5084-6814</t>
  </si>
  <si>
    <t>marcelosantucci.franca@gmail.com</t>
  </si>
  <si>
    <t>Effect of cupping therapy on pain and function in persistent inespecific low back pain: a randomized controlled trial</t>
  </si>
  <si>
    <t>U1111-1230-5131</t>
  </si>
  <si>
    <t>Persistent Non specifict Low Back Pain</t>
  </si>
  <si>
    <t>Gisela Rocha Siqueira</t>
  </si>
  <si>
    <t>giselasiqueira@gmail.com</t>
  </si>
  <si>
    <t>Impact on ECG quality when electrodes are applied to incorrect intercostal spaces</t>
  </si>
  <si>
    <t>U1111-1239-4003</t>
  </si>
  <si>
    <t>Jessica de Oliveira Calazans</t>
  </si>
  <si>
    <t>ocjessica25@gmail.com</t>
  </si>
  <si>
    <t>Instituto Nacional de Cardiologia</t>
  </si>
  <si>
    <t>Flipchart for Promoting the Self-Efficacy of parents and/or caregivers in the management and control of childhood Asthma</t>
  </si>
  <si>
    <t>U1111-1256-2868</t>
  </si>
  <si>
    <t>Elizamar Regina da Rocha Mendes</t>
  </si>
  <si>
    <t>Caucaia</t>
  </si>
  <si>
    <t>elizamarregina@hotmail.com</t>
  </si>
  <si>
    <t>Transcranial direct current electrical stimulation in the treatment of interstitial cystitis: controlled and randomized clinical trial</t>
  </si>
  <si>
    <t>U111112544505</t>
  </si>
  <si>
    <t>UFRN</t>
  </si>
  <si>
    <t>Influence of Smoking on Genotoxicity Color Change and Sensitivity after home tooth whitening: controlled clinical trial</t>
  </si>
  <si>
    <t>U1111-1252-3916</t>
  </si>
  <si>
    <t>Tobacco Use Cessation</t>
  </si>
  <si>
    <t>Effect and feasibility of implementing a desprescribing benzodiazepine protocol</t>
  </si>
  <si>
    <t>U1111-1252-8192</t>
  </si>
  <si>
    <t>André de Oliveira Baldoni</t>
  </si>
  <si>
    <t>andrebaldoni@ufsj.edu.br</t>
  </si>
  <si>
    <t>Universidade Federal de São João del-Rei</t>
  </si>
  <si>
    <t>Effects of Photobiomodulation and Antimicrobial Photodynamic Therapy Associated With Subepithelial Connective Tissue Graft on the Root Coverage of Multiple Gingival Recessions: A Randomized Controlled Clinical Trial</t>
  </si>
  <si>
    <t>10/20/2019</t>
  </si>
  <si>
    <t>U1111-1241-2424</t>
  </si>
  <si>
    <t>Gingival Recession,Generalized Gingival Recession</t>
  </si>
  <si>
    <t>Injury,poisoning and certain other consequences of external causes</t>
  </si>
  <si>
    <t>Comparison of Bio-Adhesive based on Cyanoacrylate and Conventional Sutures in Healing the Palate after Removing the Soft Tissue Graft: Randomized Clinical Trial</t>
  </si>
  <si>
    <t>U1111-1255-9436</t>
  </si>
  <si>
    <t>Gingival retraction,other specified postsurgical states</t>
  </si>
  <si>
    <t>Cesar Augusto Benfatti</t>
  </si>
  <si>
    <t>+55 4899229961</t>
  </si>
  <si>
    <t>Effect of temperature and storage time on dental bleaching effectiveness and sensitivity: a randomized clinical trial</t>
  </si>
  <si>
    <t>U1111-1243-2664</t>
  </si>
  <si>
    <t>Dentin sensivity,tooth bleaching</t>
  </si>
  <si>
    <t>Raíssa Manoel Garcia</t>
  </si>
  <si>
    <t>raissamg@uol.com.br</t>
  </si>
  <si>
    <t>Faculdade de Odontologia de Piracicaba</t>
  </si>
  <si>
    <t>Effect of different low-level laser therapy wavelengths on peripheral blood flow endothelial function and skeletal muscle fatigue: A randomized crossover trial</t>
  </si>
  <si>
    <t>08/13/2020</t>
  </si>
  <si>
    <t>U1111-1254-8821</t>
  </si>
  <si>
    <t>Therapeutical efficacy of two clinical protocols for Viscosuplementation of Temporomandibular joint in patients with Osteoarthritis</t>
  </si>
  <si>
    <t>U1111-1229-7389</t>
  </si>
  <si>
    <t>Marcos Fábio Henriques dos Santos</t>
  </si>
  <si>
    <t>00552198756-9336</t>
  </si>
  <si>
    <t>santosmfh@gmail.com</t>
  </si>
  <si>
    <t>Instituto de Ciências da Saúde ,Universidade Federal do Rio de Janeiro</t>
  </si>
  <si>
    <t>Effect of transcranial direct current stimulation and transcranial magnetic stimulation on physical performance</t>
  </si>
  <si>
    <t>U1111-1256-6047</t>
  </si>
  <si>
    <t>Daniel Gomes da Silva Machado</t>
  </si>
  <si>
    <t>+55 (84) 98160-5169</t>
  </si>
  <si>
    <t>profdmachado@gmail.com</t>
  </si>
  <si>
    <t>Effect of different chest compression techniques on the diaphragm in healthy infants</t>
  </si>
  <si>
    <t>U1111-1244-7724</t>
  </si>
  <si>
    <t>Respiratory system,Airway obstruction,Newborn</t>
  </si>
  <si>
    <t>Paulo André Freire Magalhães</t>
  </si>
  <si>
    <t>paulof.magalhaes@upe.br</t>
  </si>
  <si>
    <t>Effect of kinesio taping massage of connective tissue and tension on the symptoms of primary dysmenorrhea in young people</t>
  </si>
  <si>
    <t>U1111-1252-0805</t>
  </si>
  <si>
    <t>ALEXANDRE DA SILVA SABBAG</t>
  </si>
  <si>
    <t>alexandre.silva@mackenzie.br</t>
  </si>
  <si>
    <t>Glycemic responses after the performance of two Aerobic Exercise protocols on women with Gestational Diabetes during hospitalization</t>
  </si>
  <si>
    <t>U1111-1255-1655</t>
  </si>
  <si>
    <t>Gestational diabetes mellitus</t>
  </si>
  <si>
    <t>Juliano Boufleur Farinha</t>
  </si>
  <si>
    <t>+55 (51) 33085862</t>
  </si>
  <si>
    <t>jbfarinha@yahoo.com.br</t>
  </si>
  <si>
    <t>Use of Anti-IL-17 in patients with the severe acute respiratory syndrome (SARS) associated with Covid-19</t>
  </si>
  <si>
    <t>A03746497663</t>
  </si>
  <si>
    <t>GUSTAVO RESENDE</t>
  </si>
  <si>
    <t>gustavogomesresende@yahoo.com.br</t>
  </si>
  <si>
    <t>Hospital das Clínicas UFMG</t>
  </si>
  <si>
    <t>Functional kinetic pneumatic profile of patients seen at a physiotherapy clinic in a public hospital</t>
  </si>
  <si>
    <t>U1111-1254-5334</t>
  </si>
  <si>
    <t>Pamela Tainá Licoviski</t>
  </si>
  <si>
    <t>Ponta-Grossa</t>
  </si>
  <si>
    <t>pamelalicoviski@gmail.com</t>
  </si>
  <si>
    <t>The use of educational technologies to promote the self-efficacy of parents/caregivers for the management and control of childhood asthma</t>
  </si>
  <si>
    <t>U1111-1254-7256</t>
  </si>
  <si>
    <t>Asthma. Child. Educational Technology. Autoeficácia. Self Efficacy</t>
  </si>
  <si>
    <t>Kamila Ferreira Lima</t>
  </si>
  <si>
    <t>+55 85 998708870</t>
  </si>
  <si>
    <t>limakamila@yahoo.com.br</t>
  </si>
  <si>
    <t>Influence of acute capsaicin supplementation combined with aerobic exercise dietary intake of physically active young people</t>
  </si>
  <si>
    <t>07/24/2020</t>
  </si>
  <si>
    <t>U1111-1253-0867</t>
  </si>
  <si>
    <t>Comitê de Ética  em Pesquisa</t>
  </si>
  <si>
    <t>cep@fct.unesp.br</t>
  </si>
  <si>
    <t>Multiresistant gram-negative bacteria infections risk factors in orthopedic prosthesis surgeries</t>
  </si>
  <si>
    <t>U1111-1233-2105</t>
  </si>
  <si>
    <t>Bacterial infections. Orthopaedic implant infections</t>
  </si>
  <si>
    <t>Bacterial infections and mycoses</t>
  </si>
  <si>
    <t>Michelle Nepomuceno Souza</t>
  </si>
  <si>
    <t>+55(31)32982355</t>
  </si>
  <si>
    <t>pesquisaclinica@saofrancisco.org.br</t>
  </si>
  <si>
    <t>Fundação Hospitalar São Francisco de Assis</t>
  </si>
  <si>
    <t>Clinical performance of flowable resin composites with Giomer technology and resin-modified glass ionomer cement in abfraction lesions: a randomized control clinical trial</t>
  </si>
  <si>
    <t>U1111-1250-5039</t>
  </si>
  <si>
    <t>Effect of Photobiomodulation on reduction of abdominal measurements: Clinical randomized controlled trial</t>
  </si>
  <si>
    <t>04/15/2019</t>
  </si>
  <si>
    <t>U1111-1223-5737</t>
  </si>
  <si>
    <t>Accumulation of Adipose Tissue in Abdomen. hyperplasia of the abdominal fat tissue (abdominal skin folds higher than 20 mm)</t>
  </si>
  <si>
    <t>Christiane  Pavani</t>
  </si>
  <si>
    <t>55-113385-9222</t>
  </si>
  <si>
    <t>chrispavani@gmail.com</t>
  </si>
  <si>
    <t>Influence of functional and strength training on neuromuscular adaptations functionality quality of life and intracellular mechanisms associated with the muscle weakness in elderly with parkinsons disease</t>
  </si>
  <si>
    <t>U1111-1129-5442</t>
  </si>
  <si>
    <t>Carlos Ugrinowitsch</t>
  </si>
  <si>
    <t>+55 11 3091-8733</t>
  </si>
  <si>
    <t>ugrinowi@usp.br</t>
  </si>
  <si>
    <t>Program P: A Gender Transformative Intervention Targeting Parents to Reduce Violence Against Women and Children in Bolivia</t>
  </si>
  <si>
    <t>08/29/2020</t>
  </si>
  <si>
    <t>U1111-1252-3058</t>
  </si>
  <si>
    <t>Domestic violence</t>
  </si>
  <si>
    <t>Monserrat Bustelo</t>
  </si>
  <si>
    <t>Washington,DC</t>
  </si>
  <si>
    <t>United States</t>
  </si>
  <si>
    <t>MONSERRATB@iadb.org</t>
  </si>
  <si>
    <t>Banco Interamericano de Desenvolvimento- IADB</t>
  </si>
  <si>
    <t>Comparison between Himalayan salt and common salt in urinary sodium values and blood pressure of hypertensive individuals</t>
  </si>
  <si>
    <t>U1111-1198-3829</t>
  </si>
  <si>
    <t>Hypertension,Sodium,Dietary,Feeding</t>
  </si>
  <si>
    <t>Paulo César Brandão Veiga Jardim</t>
  </si>
  <si>
    <t>+55(62)3269-8433</t>
  </si>
  <si>
    <t>fvjardim@terra.com.br</t>
  </si>
  <si>
    <t>Liga de Hipertensão Arterial do Hospital das Clínicas da Universidade Federal de Goiás</t>
  </si>
  <si>
    <t>Interference of Methotrexate on QuantiFERON TB-Gold in Tuberculosis Screening Latent and its relation to the clinical immunological and inflammatory activity of Psoriasis</t>
  </si>
  <si>
    <t>U1111-1214-6494</t>
  </si>
  <si>
    <t>Vera Magalhães da Silveira</t>
  </si>
  <si>
    <t>vemagalhaes@uol.com</t>
  </si>
  <si>
    <t>Evaluation of the Pilates method on functional capacity and quality of life in individuals with Nonspecific Chronic Low Back Pain: Randomized Clinical Trial</t>
  </si>
  <si>
    <t>08/27/2020</t>
  </si>
  <si>
    <t>A00824830946</t>
  </si>
  <si>
    <t>Paulo Adriano Schwingel</t>
  </si>
  <si>
    <t>paschwingel@gmail.com</t>
  </si>
  <si>
    <t>Faculdade de Ciências Médicas de Pernambuco</t>
  </si>
  <si>
    <t>Technical feasibility studies for the diagnosis of Covid-19 by rapid non-invasive test</t>
  </si>
  <si>
    <t>U1111-1257-4565</t>
  </si>
  <si>
    <t>Angelo Luiz Tesser</t>
  </si>
  <si>
    <t>Rua Amintas de Barros,816,Alto da XV</t>
  </si>
  <si>
    <t>atesser1951@gmail.com</t>
  </si>
  <si>
    <t>Complexo Hospitalar do Trabalhador</t>
  </si>
  <si>
    <t>Effect of oat consumption and physical activity in the elderly in Mossoró / RN</t>
  </si>
  <si>
    <t>U1111-1254-7900</t>
  </si>
  <si>
    <t>Paloma Katlheen Moura Melo</t>
  </si>
  <si>
    <t>palomakatlheen@hotmail.com</t>
  </si>
  <si>
    <t>The impact of gametherapy on clinical-functional outcomes quality of life and biomarkers in peripheral blood of institutionalized elderly</t>
  </si>
  <si>
    <t>U1111-1254-6224</t>
  </si>
  <si>
    <t>Viviane Rostirola Elsner</t>
  </si>
  <si>
    <t>elsner.viviane@gmail.com</t>
  </si>
  <si>
    <t>Centro Universitário Metodista-IPA</t>
  </si>
  <si>
    <t>Evaluation of the clinical effectiveness of two resin compounds for the restoration of non-carious cervical lesions</t>
  </si>
  <si>
    <t>U1111-1253-5166</t>
  </si>
  <si>
    <t>JOÃO KLEBER BEZERRA ABRANTE</t>
  </si>
  <si>
    <t>Quixadá</t>
  </si>
  <si>
    <t>kleber.abrante@hotmail.com</t>
  </si>
  <si>
    <t>Centro Universitário Católica de Quixadá</t>
  </si>
  <si>
    <t>Oral rehabilitation of elderly people with low bone height: conventional complete denture retained by prosthetic adhesive versus single-implant overdenture</t>
  </si>
  <si>
    <t>U1111-1253-5108</t>
  </si>
  <si>
    <t>Renata Cunha Matheus Rodrigues Garcia</t>
  </si>
  <si>
    <t>regarcia@fop.unicamp.br</t>
  </si>
  <si>
    <t>Analysis of the Effect of Transcutaneous Nerve Electrical Stimulation in the System Autonomic cardiovascular autonomic of patients with fibromyalgia: a study randomized</t>
  </si>
  <si>
    <t>U1111-1207-5945</t>
  </si>
  <si>
    <t>Josimari Melo de Santana</t>
  </si>
  <si>
    <t>+55 79 3194-6600</t>
  </si>
  <si>
    <t>josimelo@infonet.com</t>
  </si>
  <si>
    <t>Effects of manipulative osteopathic treatment on diaphragms on the hemodynamics of hypertensive pregnant women: Cohort study</t>
  </si>
  <si>
    <t>U1111-1256-6218</t>
  </si>
  <si>
    <t>Hypertension,Pregnancy-Induced</t>
  </si>
  <si>
    <t>Saint Clair Gomes Junior</t>
  </si>
  <si>
    <t>(21)2554-1700</t>
  </si>
  <si>
    <t>scgomesjr@gmail.com</t>
  </si>
  <si>
    <t>Instituto Fernandes Figueira- IFF/Fiocruz</t>
  </si>
  <si>
    <t>Effect of whole body Vibration on pelvic floor muscles in women with Stress Urinary Incontinence: a randomized double blind clinical trial</t>
  </si>
  <si>
    <t>U1111-1245-2259</t>
  </si>
  <si>
    <t>Other specified urinary incontinence</t>
  </si>
  <si>
    <t>Diego de Sousa Dantas</t>
  </si>
  <si>
    <t>diegodantas1@gmail.com</t>
  </si>
  <si>
    <t>Bone marrow mesenchymal stem cells in acute-on-chronic liver failure grades 2 and 3: a phase I-II randomized clinical trial</t>
  </si>
  <si>
    <t>U1111-1254-7100</t>
  </si>
  <si>
    <t>Fernando Comunello Schacher</t>
  </si>
  <si>
    <t>(55 51) 981958310</t>
  </si>
  <si>
    <t>f_schacher@hotmail.com</t>
  </si>
  <si>
    <t>Effect of visceral physiotherapy in patients with low back pain</t>
  </si>
  <si>
    <t>U1111-1252-3343</t>
  </si>
  <si>
    <t>Guilherme Pertinni de Morais Gouveia</t>
  </si>
  <si>
    <t>gpfatufpi@gmail.com</t>
  </si>
  <si>
    <t>Evaluation of the Acute Effects of Two Heating Protocols on Surface Temperature and Functional Performance of Lower Limbs of Amateur and Recreational Soccer players</t>
  </si>
  <si>
    <t>A09184396636</t>
  </si>
  <si>
    <t>Warm-up exercises</t>
  </si>
  <si>
    <t>Daniel Henrique Rodrigues da Silva</t>
  </si>
  <si>
    <t>daniel-cb-09@hotmail.com</t>
  </si>
  <si>
    <t>Use of L-PRF in maxillary sinus surgery: randomized triple-blind clinical trial</t>
  </si>
  <si>
    <t>U1111-1251-6541</t>
  </si>
  <si>
    <t>Bone regeneration,Bone Transplantation</t>
  </si>
  <si>
    <t>Matheus Pereira Frazão</t>
  </si>
  <si>
    <t>Serra Talhada</t>
  </si>
  <si>
    <t>matheuspfrazao@gmail.com</t>
  </si>
  <si>
    <t>Universidade de Pernambuco - UPE</t>
  </si>
  <si>
    <t>Motors Effects in Parkinsons Disease by the action of 5-HT2a/c antagonistic drug mediated by ELF2-alpha factor phosphorylation pathway in humans. A Double-Blind Randomized Controlled Trial</t>
  </si>
  <si>
    <t>U1111-1250-0246</t>
  </si>
  <si>
    <t>Gilvan Aguiar da Silva</t>
  </si>
  <si>
    <t>gilvanaguiar@hotmail.com</t>
  </si>
  <si>
    <t>Universidade Federal da Integração Latino-Americana do Brasil (UNILA)</t>
  </si>
  <si>
    <t>Is cryotherapy applied with a protective towel in the elderly capable of reaching the therapeutic temperature? Randomized crossover clinical trial</t>
  </si>
  <si>
    <t>A02621216978</t>
  </si>
  <si>
    <t>the elderly</t>
  </si>
  <si>
    <t>+55 (048) 99902-8190</t>
  </si>
  <si>
    <t>alessandro.haupenthal@ufsc.br</t>
  </si>
  <si>
    <t>Programa de Pós Graduação em Ciencias da Reabilitação (PPGCR/UFSC)</t>
  </si>
  <si>
    <t>Transcranial direct current stimulation in children and adolescents with Autism Spectrum Disorder</t>
  </si>
  <si>
    <t>U1111-1256-3509</t>
  </si>
  <si>
    <t>Sueli  Rizzutti</t>
  </si>
  <si>
    <t>Saõ Paulo</t>
  </si>
  <si>
    <t>Effectiveness of sublingual alprazolam in reducing anxiety in impacted third molar surgery - controlled clinical trial</t>
  </si>
  <si>
    <t>U1111-1239-4091</t>
  </si>
  <si>
    <t>Impacted teeth/ Dental Anxiety</t>
  </si>
  <si>
    <t>Hélio Igor Melo Albuquerque</t>
  </si>
  <si>
    <t>igor.bmf@gmail.com</t>
  </si>
  <si>
    <t>Hospital Universitário da Universidade Federal de Sergipe</t>
  </si>
  <si>
    <t>Effect of baru seed consumption on lipid profile of individuals with excess body fat: relation with apolipoprotein E genotype</t>
  </si>
  <si>
    <t>U1111-1179-6393</t>
  </si>
  <si>
    <t>Dyslipidemias,Apolipoprotein E4,Genetic polymorphism</t>
  </si>
  <si>
    <t>Cristiane Cominetti</t>
  </si>
  <si>
    <t>55-62-320096270</t>
  </si>
  <si>
    <t>ccominetti@ufg.br</t>
  </si>
  <si>
    <t>Analgesia and sedation for procedures in pediatric patients on spontaneous ventilation: a randomized controlled trial comparing the combination ketamine and dexmedetomidine versus usual care (ASSURE Study)</t>
  </si>
  <si>
    <t>U1111-1255-2851</t>
  </si>
  <si>
    <t>Cardiovascular diseases,Chemically induced disorders,Neurological diseases,Infections,Conscious sedation</t>
  </si>
  <si>
    <t>Ana Lucia dos Santos Bianchini</t>
  </si>
  <si>
    <t>+55 (14) 991955242</t>
  </si>
  <si>
    <t>analucia.pediatria@gmail.com</t>
  </si>
  <si>
    <t>Hospital Universitario da Universidade de São Paulo</t>
  </si>
  <si>
    <t>Comparison between the effect of the Neurosensory Posturotherapy and Mulligan technique on the quality of life and respiratory function of individuals after a Stroke</t>
  </si>
  <si>
    <t>A71145222153</t>
  </si>
  <si>
    <t>Claudia Roberta Brunnquell Sczepanski</t>
  </si>
  <si>
    <t>Jacarezinho</t>
  </si>
  <si>
    <t>claudia.rb@uenp.edu.br</t>
  </si>
  <si>
    <t>Universidade Estadual do Norte do Paraná,UENP</t>
  </si>
  <si>
    <t>A phase 2 randomized double-blind placebo-controlled study to evaluate safety and antiviral activity of BLD-2660 in hospitalized subjects with recently diagnosed COVID-19 compared to standard of care treatment</t>
  </si>
  <si>
    <t>U1111-1253-1305</t>
  </si>
  <si>
    <t>Antônio Faria Freire</t>
  </si>
  <si>
    <t>(31) 99953-5948</t>
  </si>
  <si>
    <t>antonio.freire@santacasapesquisa.com.br</t>
  </si>
  <si>
    <t>Santa Casa de Misericórdia de Belo Horizonte</t>
  </si>
  <si>
    <t>Effect of Curcuma longa L. supplementation on oxidative stress and inflammatory markers after endurance exercise</t>
  </si>
  <si>
    <t>U1111-1256-1123</t>
  </si>
  <si>
    <t>Dental bleaching using violet LED associated or not with 37% carbamide peroxide: a randomized double-blinded clinical study</t>
  </si>
  <si>
    <t>08/25/2020</t>
  </si>
  <si>
    <t>U1111-1253-8850</t>
  </si>
  <si>
    <t>Darkened teeth</t>
  </si>
  <si>
    <t>Rafael Francisco Lia Mondelli</t>
  </si>
  <si>
    <t>(0xx14) 3235-8523/3235-8323</t>
  </si>
  <si>
    <t>rafamond@fob.usp.br</t>
  </si>
  <si>
    <t>Clavipectoral fascia block associated with superficial cervical plexus block versus superficial cervical plexus block in clavicle surgery. A randomized clinical trial</t>
  </si>
  <si>
    <t>U1111-1255-2364</t>
  </si>
  <si>
    <t>clavicle fracture</t>
  </si>
  <si>
    <t>Diogo Bruggemann da Conceição</t>
  </si>
  <si>
    <t>diconceicao@hotmail.com</t>
  </si>
  <si>
    <t>Hospital Governador Celso Ramos</t>
  </si>
  <si>
    <t>The effects of the Pilates method with plantar fasciitis: a randomized controlled trial</t>
  </si>
  <si>
    <t>U1111-1254-9724</t>
  </si>
  <si>
    <t>Plantar fasciitis</t>
  </si>
  <si>
    <t>Milena Roque Rumaquella</t>
  </si>
  <si>
    <t>(+55) 13 3229-0100</t>
  </si>
  <si>
    <t>milenaroque@hotmail.com</t>
  </si>
  <si>
    <t>Assessment of physiological responses to induced stress in undergraduate students of the health sciences at the University of Brasilia</t>
  </si>
  <si>
    <t>U1111-1253-9223</t>
  </si>
  <si>
    <t>Jorge Luís Lopes Zeredo</t>
  </si>
  <si>
    <t>jllzeredo@unb.br</t>
  </si>
  <si>
    <t>Universidade de Brasília - Campus Ceilândia</t>
  </si>
  <si>
    <t>Parkinsons Pisease and physiotherapy: analysis of the repercussion of intervention programs with terrestrial physical activities and aquatics – PHYSIOPARK</t>
  </si>
  <si>
    <t>U1111-1253-1359</t>
  </si>
  <si>
    <t>Manoela de Paula Ferreira</t>
  </si>
  <si>
    <t>manoeladpferreira@gmail.com</t>
  </si>
  <si>
    <t>Evaluation of genetic instability and cytotoxicity in professionals who work in surgical center of the veterinary hospital and are exposed to isoflurane anesthetic</t>
  </si>
  <si>
    <t>01/25/2018</t>
  </si>
  <si>
    <t>U1111-1206-7750</t>
  </si>
  <si>
    <t>Occupational Exposure</t>
  </si>
  <si>
    <t>Drielle Baptista Figueiredo</t>
  </si>
  <si>
    <t>drielle.bap@hotmail.com</t>
  </si>
  <si>
    <t>Faculdade de Medicina de Botucatu - Universidade Estadual Paulista Júlio de Mesquita Filho (UNESP)</t>
  </si>
  <si>
    <t>The Effect of Facilitator Touch and Use of Sucrose on Pain Relief During Aspiration Procedure in Premature Newborns - Randomized Trial</t>
  </si>
  <si>
    <t>U1111-1231-4302</t>
  </si>
  <si>
    <t>Nayara Rodrigues Gomes de Oliveira</t>
  </si>
  <si>
    <t>Aparecida de Goiânia</t>
  </si>
  <si>
    <t>nanargomes@hotmail.com</t>
  </si>
  <si>
    <t>Individualized PEEP setting in patients with Acute Respiratory Distress Syndrome: ventilatory strategy in the COVID-19 pandemia</t>
  </si>
  <si>
    <t>A32070754871</t>
  </si>
  <si>
    <t>Respiratory Distress Syndrome,Adult</t>
  </si>
  <si>
    <t>Monica Rodrigues Cruz</t>
  </si>
  <si>
    <t>monica.cruz80@gmail.com</t>
  </si>
  <si>
    <t>Telerehabilitation exercise program to maintain the conditioning of older adults on the waiting list for physical therapy after hospital discharge: a pragmatic trial with economic evaluation</t>
  </si>
  <si>
    <t>U1111-1254-2121</t>
  </si>
  <si>
    <t>Renan Alves Resende</t>
  </si>
  <si>
    <t>renan.aresende@gmail.com</t>
  </si>
  <si>
    <t>Telehealth for patients with dementia at the Hospital Universitário Walter Cantidio-UFC: Implications of Pandemia by COVID-19 and of a telemedicine program-TELEGERIATRY</t>
  </si>
  <si>
    <t>U1111-1254-1141</t>
  </si>
  <si>
    <t>Dementia</t>
  </si>
  <si>
    <t>Danielle Pessoa Lima</t>
  </si>
  <si>
    <t>dra.daniellelima@gmail.com</t>
  </si>
  <si>
    <t>Hospital Universitário Walter Cantidio</t>
  </si>
  <si>
    <t>Stimulation of the Pontino peduncle nucleus area in patients with Parkinsons disease evaluation of motor results focusing on gait changes falls balance and impact on quality of life</t>
  </si>
  <si>
    <t>U1111-1230-6451</t>
  </si>
  <si>
    <t>Fabio Luiz Franceschi Godinho</t>
  </si>
  <si>
    <t>3171-2717</t>
  </si>
  <si>
    <t>godinho.f1@gmail.com</t>
  </si>
  <si>
    <t>FMUSP</t>
  </si>
  <si>
    <t>Study on the postoperative efficacy of Oxyflower® gel to control pain edema and trismus after extraction of mandibular third molars</t>
  </si>
  <si>
    <t>U1111-1255-0043</t>
  </si>
  <si>
    <t>Saulo Gabriel Moreira Falci</t>
  </si>
  <si>
    <t>saulofalci@hotmail.com</t>
  </si>
  <si>
    <t>New Therapeutic Strategies in Patients with SARS-COV-2-Induced Severe Pneumonia</t>
  </si>
  <si>
    <t>B878.596.297-04</t>
  </si>
  <si>
    <t>Efficacy of myofascial manipulation - Stecco method - to reduce Orofacial pain and TMD</t>
  </si>
  <si>
    <t>A79134726772</t>
  </si>
  <si>
    <t>Florence Mitsue  Sekito</t>
  </si>
  <si>
    <t>+55 21 2868-8155</t>
  </si>
  <si>
    <t>fmsekito@gmail.com</t>
  </si>
  <si>
    <t>Faculdade de Odontologia da UERJ</t>
  </si>
  <si>
    <t>Us - Esp Block (Ultrasound - guided Erector Spinae plane block) as analgesic technique in breast cancer surgery. Randomized controlled trial</t>
  </si>
  <si>
    <t>U1111-1247-0835</t>
  </si>
  <si>
    <t>Fabiane Barbero Klem</t>
  </si>
  <si>
    <t>fabianeklem@gmail.com</t>
  </si>
  <si>
    <t>Faculdade de ciências médicas - Universidade Estadual de Campinas</t>
  </si>
  <si>
    <t>Efficacy of ascorbic acid as adjunctive therapy in the treatment of anemia in chronic renal patients undergoing hemodialysis</t>
  </si>
  <si>
    <t>U1111-1254-7035</t>
  </si>
  <si>
    <t>Kleber Luiz Azevedo</t>
  </si>
  <si>
    <t>Caicó</t>
  </si>
  <si>
    <t>kleberazevedo@outlook.com</t>
  </si>
  <si>
    <t>Faculdade de Ciências Médicas</t>
  </si>
  <si>
    <t>The role of early acute renal support in the prognosis of patients diagnosed of COVID-19: a randomized clinical trial</t>
  </si>
  <si>
    <t>05/14/2020</t>
  </si>
  <si>
    <t>U1111-1251-0203</t>
  </si>
  <si>
    <t>Acute renal failure</t>
  </si>
  <si>
    <t>Welder Zamoner</t>
  </si>
  <si>
    <t>55-11-997636310</t>
  </si>
  <si>
    <t>welderzamoner@gmail.com</t>
  </si>
  <si>
    <t>Departamento de Clínica Médica da Faculdade de Medicina de Botucatu</t>
  </si>
  <si>
    <t>Effectiveness of tepid sponging intervention in reducing temperature of children with fever: a pilot randomized clinical trial</t>
  </si>
  <si>
    <t>08/21/2020</t>
  </si>
  <si>
    <t>U1111-1229-1599</t>
  </si>
  <si>
    <t>Mariana Vieira de Souza</t>
  </si>
  <si>
    <t>mariana.ee@usp.br</t>
  </si>
  <si>
    <t>Muscle stretching exercise effects on hypertensive elderly</t>
  </si>
  <si>
    <t>U1111-1253-7037</t>
  </si>
  <si>
    <t>Systemic arterial hypertension</t>
  </si>
  <si>
    <t>Fabio Tanil Montrezol</t>
  </si>
  <si>
    <t>+55(13)981320104</t>
  </si>
  <si>
    <t>fabiotanil@hotmail.com</t>
  </si>
  <si>
    <t>Nutritional assessment of severe pediatric patients using ultrasonography of the quadriceps femoris</t>
  </si>
  <si>
    <t>U1111-1253-1508</t>
  </si>
  <si>
    <t>Severe acute malnutrition</t>
  </si>
  <si>
    <t>Effect of early parenteral alaninaglutamine dipeptide complementation on inflammatory markers and prognostic indexes in critically ill patients after major abdominal surgery</t>
  </si>
  <si>
    <t>01/15/2020</t>
  </si>
  <si>
    <t>U1111-1246-1149</t>
  </si>
  <si>
    <t>Eliseuda Marinho Silva</t>
  </si>
  <si>
    <t>55 083 3216-7964 / 3216-7955</t>
  </si>
  <si>
    <t>eliseudamarinho1@gmail.com</t>
  </si>
  <si>
    <t>Hospital Universitário Lauro Wanderley</t>
  </si>
  <si>
    <t>Acute effect of the incremental inspiratory load protocol on a frequency variability and diaphragmatic mobility among adults healthy and heart transplanted</t>
  </si>
  <si>
    <t>U1111-1251-2052</t>
  </si>
  <si>
    <t>Heart trasnplantation</t>
  </si>
  <si>
    <t>Daniella Cunha Brandão</t>
  </si>
  <si>
    <t>+55(81)8135-9335</t>
  </si>
  <si>
    <t>daniellacunha@hotmail.com</t>
  </si>
  <si>
    <t>Effects of coconut oil supplementation on blood pressure in hypertensive patients</t>
  </si>
  <si>
    <t>U1111-1256-7557</t>
  </si>
  <si>
    <t>Francisco Antônio Oliveira Oliveira Júnior</t>
  </si>
  <si>
    <t>55(83)996284939</t>
  </si>
  <si>
    <t>junior.ltf@gmail.com</t>
  </si>
  <si>
    <t>Early childhood caries control using varnish and neutral fluoride gel: randomized clinical trial</t>
  </si>
  <si>
    <t>U1111-1225-5708</t>
  </si>
  <si>
    <t>Marcoeli Silva de Moura</t>
  </si>
  <si>
    <t>+55 86 999879556</t>
  </si>
  <si>
    <t>marcoeli-moura@uol.com.br</t>
  </si>
  <si>
    <t>Combined training answers on inflammation metabolic factors and serum molecular and image markers related to brown adipose tissue and browning of white adipose tissue in healthy individuals with overweight and type 2 Diabetes</t>
  </si>
  <si>
    <t>U1111-1202-1476</t>
  </si>
  <si>
    <t>Obesity,Overweight,Type 2 Diabetes Mellitus</t>
  </si>
  <si>
    <t>Ivan Luiz Padilha Bonfante</t>
  </si>
  <si>
    <t>55-19-35216625</t>
  </si>
  <si>
    <t>ivanlpb@hotmail.com</t>
  </si>
  <si>
    <t>Faculdade de Educação Física da Universidade Estadual de Campinas</t>
  </si>
  <si>
    <t>Influence of Pain Neuroscience Education associated with Meditation on quality of life sleep and functional capacity of elderly people with Fibromyalgia</t>
  </si>
  <si>
    <t>08/19/2020</t>
  </si>
  <si>
    <t>U1111-1252-5915</t>
  </si>
  <si>
    <t>Karina Gramani Say</t>
  </si>
  <si>
    <t>Labor induction with synthetic prostaglandins in obese woman: A randomized trial</t>
  </si>
  <si>
    <t>U1111-1256-0891</t>
  </si>
  <si>
    <t>Induced labor. Maternal obesity</t>
  </si>
  <si>
    <t>Sofia Santos Dorea Miranda</t>
  </si>
  <si>
    <t>sofiadorea@gmail.com</t>
  </si>
  <si>
    <t>Educational Intervention Bundle in Self-Care and Disability Prevention in People with Leprosy: Randomized Clinical Trial</t>
  </si>
  <si>
    <t>U1111-1253-9163</t>
  </si>
  <si>
    <t>Edilma Gomes Rocha Cavalcante</t>
  </si>
  <si>
    <t>Crato</t>
  </si>
  <si>
    <t>55 (88) 99654 - 1445</t>
  </si>
  <si>
    <t>edilma.rocha@yahoo.com.br</t>
  </si>
  <si>
    <t>Universidade Regional do Cariri - URCA</t>
  </si>
  <si>
    <t>Effect of the amber necklace / bracelet on the symptoms of tooth eruption and its benefits against anxiety in dental treatment in infant patients</t>
  </si>
  <si>
    <t>U1111-1247-8434</t>
  </si>
  <si>
    <t>Matheus Melo Pithon</t>
  </si>
  <si>
    <t>+55 (21) 39382098</t>
  </si>
  <si>
    <t>nanda_michel@hotmail.com</t>
  </si>
  <si>
    <t>UFRJ- Universidade Federal do Rio de Janeiro</t>
  </si>
  <si>
    <t>The impact of self-intention on food intake anthropometry and body image of overweight women</t>
  </si>
  <si>
    <t>U1111-1204-6498</t>
  </si>
  <si>
    <t>Juliana Pulsena Cunha</t>
  </si>
  <si>
    <t>+55 62 3209 6270</t>
  </si>
  <si>
    <t>julianapulsena@yahoo.com.br</t>
  </si>
  <si>
    <t>Monitoring of the Periapical Inflammatory Process before and after the use of different intracanal medications through the levels of pro-inflammatory cytokines metalloproteinases and their antagonists</t>
  </si>
  <si>
    <t>U1111-1256-4382</t>
  </si>
  <si>
    <t>Bruna Jordão Motta Corazza</t>
  </si>
  <si>
    <t>brunajordao1991@gmail.com</t>
  </si>
  <si>
    <t>Universidade Estadual Paulista Júlio de Mesquita Filho - Campus São José dos Campos</t>
  </si>
  <si>
    <t>Oculomotor maneuver in autonomic modulation in academics: a randomized clinical trial</t>
  </si>
  <si>
    <t>U1111-1252-8981</t>
  </si>
  <si>
    <t>Enteral nutritional therapy in hospitalized patients: enteral tube usage in post-pyloric and gastric positions</t>
  </si>
  <si>
    <t>U1111-1255-2057</t>
  </si>
  <si>
    <t>Lirane Elize Defante Ferreto</t>
  </si>
  <si>
    <t>lirane.ferreto@unioeste.br</t>
  </si>
  <si>
    <t>Colorectal Mucosectomy of Adenomas and Serrated Lesions by the Water Immersion Technique (Underwater): A Prospective Clinical Study</t>
  </si>
  <si>
    <t>08/17/2020</t>
  </si>
  <si>
    <t>U1111-1255-6024</t>
  </si>
  <si>
    <t>Pedro Bothrel Nogueira</t>
  </si>
  <si>
    <t>pedro1612@hotmail.com</t>
  </si>
  <si>
    <t>Hospital Madre Teresa</t>
  </si>
  <si>
    <t>Online Parent Training Platform for complementary treatment of Disruptive Behavior Disorders in Attention Deficit Hyperactivity Disorder</t>
  </si>
  <si>
    <t>U1111-1255-9795</t>
  </si>
  <si>
    <t>Débora Marques de Miranda</t>
  </si>
  <si>
    <t>+55 31 3409-9753</t>
  </si>
  <si>
    <t>debora.m.miranda@gmail.com</t>
  </si>
  <si>
    <t>Quality of life assessment after dentin hypersensitivity treatment with ozone oil - triple blind randomized controlled trial</t>
  </si>
  <si>
    <t>U1111-1256-6371</t>
  </si>
  <si>
    <t>Dhelfeson W Oliveira</t>
  </si>
  <si>
    <t>dhelfeson@hotmail.com</t>
  </si>
  <si>
    <t>UFVJM</t>
  </si>
  <si>
    <t>Pain education and exercise program supported by mobile technology for patients with chronic low back pain: a pilot study</t>
  </si>
  <si>
    <t>U1111-1254-7195</t>
  </si>
  <si>
    <t>Influence of a Virtual Reality protocol on body balance of elderly with Mellitus Diabetes type 2: controlled randomized clinical test</t>
  </si>
  <si>
    <t>10/14/2019</t>
  </si>
  <si>
    <t>U1111-1240-2558</t>
  </si>
  <si>
    <t>Bartolomeu Fagundes de Lima Filho</t>
  </si>
  <si>
    <t>bartolomeu_fagundes2@hotmail.com</t>
  </si>
  <si>
    <t>Adaptations of cognitive muscular functional and sedentary behavior induced by Strength Training with and without blood flow restriction in older women</t>
  </si>
  <si>
    <t>09/19/2019</t>
  </si>
  <si>
    <t>U1111-1236-2572</t>
  </si>
  <si>
    <t>Joamira Pereira Araujo</t>
  </si>
  <si>
    <t>joamira@ifce.edu.br</t>
  </si>
  <si>
    <t>Influence of magnesium sulphate on rocuronium pharmacodynamics - randomized control trial</t>
  </si>
  <si>
    <t>08/14/2020</t>
  </si>
  <si>
    <t>U1111-1253-2766</t>
  </si>
  <si>
    <t>Adjuvants,anesthesia</t>
  </si>
  <si>
    <t>Angélica de Assunção Braga</t>
  </si>
  <si>
    <t>+55 019 35219560</t>
  </si>
  <si>
    <t>franklinbraga@terra.com.br</t>
  </si>
  <si>
    <t>Evaluation of clinical symptoms respiratory radiological and metabolomic function in patients who have been hospitalized for coronavirus infection (covid-19) in the period of a year: multicentric study (fenix)</t>
  </si>
  <si>
    <t>A27072519840</t>
  </si>
  <si>
    <t>others interstitial lung disease with fibrosis</t>
  </si>
  <si>
    <t>Andre Luis Pereira Alburquerque</t>
  </si>
  <si>
    <t>11- 97169-8770</t>
  </si>
  <si>
    <t>drean.albuquerque@gmail.com</t>
  </si>
  <si>
    <t>Incor-HCFMUSP</t>
  </si>
  <si>
    <t>Clinical study to evaluate the safety and tolerability of intravenous infusion of plasma from human umbilical cord and placental blood (Plasmacord®) in patients with Severe Acute Respiratory Syndrome resulting from Sars-Cov-2 infection</t>
  </si>
  <si>
    <t>U1111-1256-0705</t>
  </si>
  <si>
    <t>Dayane Vila Nova</t>
  </si>
  <si>
    <t>dvilanova@haoc.com.br</t>
  </si>
  <si>
    <t>Hospital Alemão Oswaldo Cruz</t>
  </si>
  <si>
    <t>Polysomnographic evaluation of adult patients with Obstructive Sleep Apnea (OSAS) undergoing Orthopedic Maxillary Expansion</t>
  </si>
  <si>
    <t>U1111-1254-7709</t>
  </si>
  <si>
    <t>Almiro José Machado Júnior</t>
  </si>
  <si>
    <t>almiormachadophd@gmail.com</t>
  </si>
  <si>
    <t>Faculdade de Ciência Médicas - Unicamp</t>
  </si>
  <si>
    <t>Effects of Mucuna Pruriens Supplementation on muscular hypertrophy strength and free testosterone concentrarion in resistance trained men</t>
  </si>
  <si>
    <t>U1111-1252-8127</t>
  </si>
  <si>
    <t>Overdenture retained by a Single Short Implant in atrophic mandibles: a prospective study</t>
  </si>
  <si>
    <t>U1111-1234-6638</t>
  </si>
  <si>
    <t>edentulism in older people</t>
  </si>
  <si>
    <t>Cláudio Rodrigues Leles</t>
  </si>
  <si>
    <t>55 (62) 3521-1882</t>
  </si>
  <si>
    <t>crleles@odonto.ufg.br</t>
  </si>
  <si>
    <t>Faculdade de Odontologia da Universidade Federal de Goias</t>
  </si>
  <si>
    <t>Effects of Pelvic Floor Muscle Training (TMAP) or Pilates Method in the treatment of stress urinary incontinence in women: Prospective Randomized and Controlled Study</t>
  </si>
  <si>
    <t>U1111-1248-4940</t>
  </si>
  <si>
    <t>Stress Urinary Incontinence</t>
  </si>
  <si>
    <t>Ana Paula Magalhães Resende Bernardes</t>
  </si>
  <si>
    <t>anapaulamrb@gmail.com</t>
  </si>
  <si>
    <t>Reconstruction of the anterior cruciate ligament using a functional graft clinical and histological characteristics of the maintenance of the flexor tendon muscle remnant</t>
  </si>
  <si>
    <t>A17176398879</t>
  </si>
  <si>
    <t>graft</t>
  </si>
  <si>
    <t>Luis Fernando Zukanovich Funchal</t>
  </si>
  <si>
    <t>são Paulo</t>
  </si>
  <si>
    <t>funchalmedicinaesportiva@gmail.com</t>
  </si>
  <si>
    <t>Universidade Federal de São PauloUnifesp</t>
  </si>
  <si>
    <t>Pain management associated with carboxytherapy application in patients with cellulite</t>
  </si>
  <si>
    <t>12/18/2019</t>
  </si>
  <si>
    <t>U1111-1242-5576</t>
  </si>
  <si>
    <t>Richard Eloin Liebano</t>
  </si>
  <si>
    <t>São carlos</t>
  </si>
  <si>
    <t>liebano@gmail.com</t>
  </si>
  <si>
    <t>Universidade Federal de São Carlos- UFSCar</t>
  </si>
  <si>
    <t>Go Zika Go: Motorized Mobility intervention to improve the activity and participation of children with Congenital Zika Syndrome</t>
  </si>
  <si>
    <t>U1111-1256-5068</t>
  </si>
  <si>
    <t>Zika virus infection</t>
  </si>
  <si>
    <t>Egmar Longo</t>
  </si>
  <si>
    <t>egmarlongo@yahoo.es</t>
  </si>
  <si>
    <t>Federal University of Rio Grande do Norte</t>
  </si>
  <si>
    <t>Use of final expiratory pressure in heart surgery</t>
  </si>
  <si>
    <t>U1111-1253-9097</t>
  </si>
  <si>
    <t>The effect of Photobiomodulation on the clinical treatment of secondary Lymphedema of lower limbs</t>
  </si>
  <si>
    <t>U1111-1255-0869</t>
  </si>
  <si>
    <t>Fausto Miranda Junior</t>
  </si>
  <si>
    <t>mirandajr.fausto@gmail.com</t>
  </si>
  <si>
    <t>Daily contractions induced by transcutaneous electrostimulation modify clinical and functional outcomes in critically ill patients: clinical randomized double-blind controlled trial</t>
  </si>
  <si>
    <t>U1111-1253-7714</t>
  </si>
  <si>
    <t>Luciana Mara Meireles Aguiar Pereira</t>
  </si>
  <si>
    <t>+55-061 3377-0615</t>
  </si>
  <si>
    <t>lu.maguiar@gmail.com</t>
  </si>
  <si>
    <t>Comparison of analgesia of Erector Spinae plane block in pulmonary surgeries in relation to Paravertebral block: a randomized multicenter study</t>
  </si>
  <si>
    <t>U1111-1255-7258</t>
  </si>
  <si>
    <t>Effectiveness of an ergonomic office intervention on posture pain and discomfort - randomized controlled clinical trial</t>
  </si>
  <si>
    <t>U1111-1241-7617</t>
  </si>
  <si>
    <t>Tatiana de Oliveira Sato</t>
  </si>
  <si>
    <t>55 16 3351 8634</t>
  </si>
  <si>
    <t>tatisato@gmail.com</t>
  </si>
  <si>
    <t>Caiu na rede: strengthening intersectoral interventions in adolescent health care on the triple frontier</t>
  </si>
  <si>
    <t>U1111-1252-6877</t>
  </si>
  <si>
    <t>Adolescent health</t>
  </si>
  <si>
    <t>Rafael Soares Corrêa</t>
  </si>
  <si>
    <t>+55 (45) 3576.7200</t>
  </si>
  <si>
    <t>r.correa@edu.ulisboa.pt</t>
  </si>
  <si>
    <t>Fundação Parque Tecnológico de Itaipu</t>
  </si>
  <si>
    <t>On-Line Collectives in Mental Health: Transdisciplinary Action for Groups Vulnerable to COVID-19</t>
  </si>
  <si>
    <t>U1111-1253-9181</t>
  </si>
  <si>
    <t>Silvana Alba Scortegagna</t>
  </si>
  <si>
    <t>silvanalba@upf.br</t>
  </si>
  <si>
    <t>Knowing the Whitening Therapy: effect of the place of application of the gel on the alteration chromatography and postoperative sensitivity</t>
  </si>
  <si>
    <t>U1111-1251-1081</t>
  </si>
  <si>
    <t>Tooth Discoloration. Dentin sensitivity</t>
  </si>
  <si>
    <t>Lara Maria Bueno Esteves</t>
  </si>
  <si>
    <t>lm-esteves@hotmail.com</t>
  </si>
  <si>
    <t>Technologies for peripheral intravenous catheterization of hospitalized children: randomized crossover controlled study</t>
  </si>
  <si>
    <t>U1111-1238-4904</t>
  </si>
  <si>
    <t>Claudia Maria de Freitas Floriano</t>
  </si>
  <si>
    <t>+55 11 5576 4430</t>
  </si>
  <si>
    <t>cmffloriano@gmail.com</t>
  </si>
  <si>
    <t>Escola Paulista de Enfermagem - Universidade Federal de São Paulo</t>
  </si>
  <si>
    <t>Longitudinal Evaluation of Affected Teeth by Molar Incisor Hipomineralization Submitted to Different Preventive Treatments - Randomized Clinical Study of 3 arms</t>
  </si>
  <si>
    <t>01/18/2017</t>
  </si>
  <si>
    <t>U1111-1191-4889</t>
  </si>
  <si>
    <t>Dental Enamel</t>
  </si>
  <si>
    <t>Rita de Cássia Loiola Cordeiro</t>
  </si>
  <si>
    <t>+55 (16) 3301-6311</t>
  </si>
  <si>
    <t>ritacord@gmail.com</t>
  </si>
  <si>
    <t>Faculdade de Odontologia de Araraquara - FOAr/UNESP</t>
  </si>
  <si>
    <t>Impact of a Respiratory Physiotherapy Protocol on Patients with Mirocephaly</t>
  </si>
  <si>
    <t>U1111-1253-3066</t>
  </si>
  <si>
    <t>Congenital,hereditary,and neonatal diseases and abnormalities</t>
  </si>
  <si>
    <t>Suellen Pontes de Mattos</t>
  </si>
  <si>
    <t>Mogi das Cruzes</t>
  </si>
  <si>
    <t>suh.pmattos@gmail.com</t>
  </si>
  <si>
    <t>Centro Universitário Braz Cubas</t>
  </si>
  <si>
    <t>The Impact of Adapted Functional Training and the Solo Pilates Method on Motor and Non-Motor Symptoms of Parkinsons Disease</t>
  </si>
  <si>
    <t>11/21/2019</t>
  </si>
  <si>
    <t>U1111-1241-4460</t>
  </si>
  <si>
    <t>Jessica  Moratelli</t>
  </si>
  <si>
    <t>São José</t>
  </si>
  <si>
    <t>Ultrasound guided percutaneous thermal ablation of cervical metastases from thyroid carcinoma</t>
  </si>
  <si>
    <t>07/18/2018</t>
  </si>
  <si>
    <t>U1111-1216-4937</t>
  </si>
  <si>
    <t>Thyroid Gland Neoplasm</t>
  </si>
  <si>
    <t>Roger Chammas</t>
  </si>
  <si>
    <t>55 (011) 3893-4401</t>
  </si>
  <si>
    <t>roger.chammas@hc.fm.usp.br</t>
  </si>
  <si>
    <t>Instituto do Câncer do Estado de São Paulo - ICESP</t>
  </si>
  <si>
    <t>Acute and chronic cardiorespiratory changes in COVID-19 hospitalized patients: role of endothelial function and cardiovascular health in clinical-functional outcomes and effect of physical telerehabilitation</t>
  </si>
  <si>
    <t>05/24/2020</t>
  </si>
  <si>
    <t>U1111-1252-5187</t>
  </si>
  <si>
    <t>Alessandro Domingues Heubel</t>
  </si>
  <si>
    <t>+55(14)997977887</t>
  </si>
  <si>
    <t>adheubel@yahoo.com.br</t>
  </si>
  <si>
    <t>Universidade Federal de São Carlos - UFSCar</t>
  </si>
  <si>
    <t>Randomized open controlled study to evaluate early prone position in awake patients on spontaneous ventilation with mild to moderate respiratory distress syndrome secondary to COVID-19</t>
  </si>
  <si>
    <t>U1111-1253-7949</t>
  </si>
  <si>
    <t>Rodrigo Santos Biondi</t>
  </si>
  <si>
    <t>rbiondi@hobra.com.br</t>
  </si>
  <si>
    <t>Hospital Brasília</t>
  </si>
  <si>
    <t>Lack of a chiral pharmacokinetic interaction between venlafaxine and nifedipine in healthy subjects phenotyped as normal CYP2D6 CYP2C19 and CYP3A metabolizers</t>
  </si>
  <si>
    <t>U1111-1255-6584</t>
  </si>
  <si>
    <t>Venlafaxine Hydrochloride,Nifedipine,Pharmacokinetics,Healthy Volunteers</t>
  </si>
  <si>
    <t>Vera Lucia Lanchote</t>
  </si>
  <si>
    <t>lanchote@fcfrp.usp.br</t>
  </si>
  <si>
    <t>Faculdade de Ciências Farmacêuticas de Ribeirão Preto</t>
  </si>
  <si>
    <t>Early prone position in spontaneous ventilation patients with respiratory failure secondary to COVID-19: randomized clinical trial</t>
  </si>
  <si>
    <t>U1111-1255-3761</t>
  </si>
  <si>
    <t>Cicero Fontenelle</t>
  </si>
  <si>
    <t>cicerofontenelle1@hotmail.com</t>
  </si>
  <si>
    <t>Hospital Geral Ernesto Simões Filho</t>
  </si>
  <si>
    <t>Pilot study of the effects of Cannabidiol in patients with Generalized Anxiety Disorder compared to the effects of Clonazepan</t>
  </si>
  <si>
    <t>U1111-1248-8078</t>
  </si>
  <si>
    <t>Effect of the Increase of daily steps in Lower urinary tract symptoms Autonomic cardiac function and Maximum oxygen consupmtion in men aged 50 to 59 years</t>
  </si>
  <si>
    <t>U1111-1255-8051</t>
  </si>
  <si>
    <t>Men with lower urinary tract symptoms</t>
  </si>
  <si>
    <t>Male urogenital diseases</t>
  </si>
  <si>
    <t>André Avarese Figueiredo</t>
  </si>
  <si>
    <t>andreavaresef@gmail.com</t>
  </si>
  <si>
    <t>Hospital Universitàrio da Faculdade de Medicina da Universidade Federal de Juiz de Fora</t>
  </si>
  <si>
    <t>Clinical and epidemiological profile of hospitalized patients with Covid-19 and repercussions of physiotherapeutic performance</t>
  </si>
  <si>
    <t>U1111-1255-6608</t>
  </si>
  <si>
    <t>Clarice Tanaka</t>
  </si>
  <si>
    <t>cltanaka@usp.br</t>
  </si>
  <si>
    <t>Hospital das Clinicas da Faculdade de Medicina da Universidade de São Paulo</t>
  </si>
  <si>
    <t>Role of polymorphisms genetic instability oxidative response expression and genetic methylation in occupational exposure to anesthetics</t>
  </si>
  <si>
    <t>U1111-1253-5049</t>
  </si>
  <si>
    <t>Faculdade de Medicina de Botucatu (FMB)-UNESP</t>
  </si>
  <si>
    <t>Effects of meditation on symptoms of Depression Anxiety and Psychological Stress in resident doctors during the COVID-19 pandemic in Brazil: A quasi-experimental study</t>
  </si>
  <si>
    <t>U1111-1255-3186</t>
  </si>
  <si>
    <t>Maria do Rosário Toscano von Flach</t>
  </si>
  <si>
    <t>+ 55 71981464704</t>
  </si>
  <si>
    <t>rosariovonflach@gmail.com</t>
  </si>
  <si>
    <t>Effectiveness of a multicomponent exercise program on older adults health</t>
  </si>
  <si>
    <t>U1111-1253-7289</t>
  </si>
  <si>
    <t>Fernanda  de Mattos</t>
  </si>
  <si>
    <t>+55 41 998633699</t>
  </si>
  <si>
    <t>fernandademattos87@gmail.com</t>
  </si>
  <si>
    <t>Programa de Pós-Graduação em Educação Física- PPGEDF/UFPR</t>
  </si>
  <si>
    <t>Root coverage of multiple recessions treated with coronally advanced flap technique associated with autogenous connective tissue graft or Xenogeneic tissue substitute - experimental and randomized clinical trial</t>
  </si>
  <si>
    <t>U1111-1246-3534</t>
  </si>
  <si>
    <t>Investigation of muscle weakness function and quality of life after Intensive Care Unit discharge in survivors of COVID-19</t>
  </si>
  <si>
    <t>U1111-1254-0762</t>
  </si>
  <si>
    <t>Coronavirus infection,unspecified,Coronavirus as the cause of diseases classified to other chapters</t>
  </si>
  <si>
    <t>Lucas Simões Arrebola</t>
  </si>
  <si>
    <t>+55 11-45738000</t>
  </si>
  <si>
    <t>lucasarrebola@gmail.com</t>
  </si>
  <si>
    <t>Instituto de Assistência Médica ao Servidor Público Estadual</t>
  </si>
  <si>
    <t>Comparison of the effect of hyaluronic acid injection versus extracorporeal shockwave therapy on chronic plantar fasciitis: a randomized controlled trial</t>
  </si>
  <si>
    <t>07/22/2020</t>
  </si>
  <si>
    <t>U1111-1252-5556</t>
  </si>
  <si>
    <t>Instituto Prevent Senior</t>
  </si>
  <si>
    <t>Meditation acute effect on hypertensive adults blood pressure</t>
  </si>
  <si>
    <t>U1111-1253-6928</t>
  </si>
  <si>
    <t>Quercetin project: formulation development of quercetin-based nutritional supplement</t>
  </si>
  <si>
    <t>U1111-1249-4543</t>
  </si>
  <si>
    <t>Halliny Siqueira Ruela</t>
  </si>
  <si>
    <t>halliny@marinha.mil.br</t>
  </si>
  <si>
    <t>Hospital Naval Marcílio Dias</t>
  </si>
  <si>
    <t>Effects of a multilateral training program on pjysical fitness and parameters related to the risk of falls in older adults</t>
  </si>
  <si>
    <t>U1111-1253-8376</t>
  </si>
  <si>
    <t>Renata  Wolf</t>
  </si>
  <si>
    <t>renata.wolf@gmail.com</t>
  </si>
  <si>
    <t>Neuropsychological assessment and patients with multiple sclerosis and their relationship with performance in virtual tasks</t>
  </si>
  <si>
    <t>U1111-1252-5810</t>
  </si>
  <si>
    <t>Carlos Bandeira de Melo Monteiro</t>
  </si>
  <si>
    <t>EACH - USP</t>
  </si>
  <si>
    <t>Effectiveness of Resisted Exercise in improving Fatigue in Patients with Primary Sjogrens Syndrome: Blind Randomized Clinical Trial</t>
  </si>
  <si>
    <t>U111112394369</t>
  </si>
  <si>
    <t>Sjogrens syndrome</t>
  </si>
  <si>
    <t>luciana paula dardin</t>
  </si>
  <si>
    <t>lucianadardin@gmail.com</t>
  </si>
  <si>
    <t>Telephone monitoring of onco-hematological patients undergoing outpatient chemotherapy: proposal for an assistance protocol</t>
  </si>
  <si>
    <t>U1111-1253-7191</t>
  </si>
  <si>
    <t>Isadora Górski Moretto</t>
  </si>
  <si>
    <t>Niteroi</t>
  </si>
  <si>
    <t>isaamoretto@hotmail.com</t>
  </si>
  <si>
    <t>Instituto Nacional de Câncer</t>
  </si>
  <si>
    <t>Randomized clinical trial phase I/II for the use of angiotensin-(1-7) in the treatment of severe infection by Sara-CoV-2</t>
  </si>
  <si>
    <t>U1111-1255-7167</t>
  </si>
  <si>
    <t>Severe Infection with Sara-CoV-2</t>
  </si>
  <si>
    <t>Ana Luiza Martins Valle</t>
  </si>
  <si>
    <t>+55(31)97654162</t>
  </si>
  <si>
    <t>anavalle9@icloud.com</t>
  </si>
  <si>
    <t>A double-blind randomized controlled trial of acute effects of Kinesio Taping on Temporomandibular Disorders Myogenic</t>
  </si>
  <si>
    <t>U1111-1252-8864</t>
  </si>
  <si>
    <t>Cynthia Maria Rocha Dutra</t>
  </si>
  <si>
    <t>cytsica.utp@gmail.com</t>
  </si>
  <si>
    <t>UNIVERSIDADE TUIUTI DO PARANÁ</t>
  </si>
  <si>
    <t>Efficacy of the video modeling technique as a facilitator of dental care in children with Autistic Spectrum Disorder: randomized clinical trial</t>
  </si>
  <si>
    <t>A02832503055</t>
  </si>
  <si>
    <t>Autistic Spectrum Disorder</t>
  </si>
  <si>
    <t>Juliana da Silva Moro</t>
  </si>
  <si>
    <t>juliana.moroo@hotmai.com</t>
  </si>
  <si>
    <t>Efficacy of using the vibrating platform to reduce body fat in women</t>
  </si>
  <si>
    <t>U1111-1243-2801</t>
  </si>
  <si>
    <t>Mônica Aquino</t>
  </si>
  <si>
    <t>Carnaubeira da Penha</t>
  </si>
  <si>
    <t>+55 (87) 988031540</t>
  </si>
  <si>
    <t>monica.aquino.ag@gmail.com</t>
  </si>
  <si>
    <t>Sociedade de ensino superior de Serra Talhada - SESST - EPP</t>
  </si>
  <si>
    <t>Machine Learning model to predict the prognosis and severity by computed tomography and clinical-epidemiological correlation in COVID-19 patients</t>
  </si>
  <si>
    <t>U1111-1254-6271</t>
  </si>
  <si>
    <t>Coronavirus infection,unspecified. Shock,unspecified. Septicaemia,unspecified. Adult respiratory distress syndrome. Acute renal failure</t>
  </si>
  <si>
    <t>Flavia Paiva Proença Lobo Lopes</t>
  </si>
  <si>
    <t>flaviappll@gmail.com</t>
  </si>
  <si>
    <t>Dasa</t>
  </si>
  <si>
    <t>Evaluation of the efficacy and safety of new models of intraocular lenses for cataract surgery</t>
  </si>
  <si>
    <t>U1111-1245-5332</t>
  </si>
  <si>
    <t>Wesley Moreira</t>
  </si>
  <si>
    <t>Betim</t>
  </si>
  <si>
    <t>+55 31 98700-8881</t>
  </si>
  <si>
    <t>wesleyoftalmo@gmail.com</t>
  </si>
  <si>
    <t>Vaccination against Influenza in acute coronary syndromes in Brazil Evaluation trial</t>
  </si>
  <si>
    <t>U1111-1236-4286</t>
  </si>
  <si>
    <t>Acute Coronary Syndrome</t>
  </si>
  <si>
    <t>Priscila Kazue Kunitake</t>
  </si>
  <si>
    <t>priscilakazue@haoc.com.br</t>
  </si>
  <si>
    <t>Effect of Electrostimulation associated with Semi-occluded Vocal Tract Exercises in patients with Behavioral Dysphonia</t>
  </si>
  <si>
    <t>U1111-1252-3113</t>
  </si>
  <si>
    <t>Aline Natallia Simões de Almeida</t>
  </si>
  <si>
    <t>alinenatallia@gmail.com</t>
  </si>
  <si>
    <t>Influence of kinesiotherapy to gain orthostasis and gait in cerebral palsy children with spasticity associated with the use of Ziclague ®</t>
  </si>
  <si>
    <t>U1111-1255-0603</t>
  </si>
  <si>
    <t>Edna Aragão Farias Cândido</t>
  </si>
  <si>
    <t>+55 (79) 9 9131-6322</t>
  </si>
  <si>
    <t>edna_aragao1@globo.com</t>
  </si>
  <si>
    <t>Universidade Tiradentes</t>
  </si>
  <si>
    <t>Very early mobilization after thrombolysis in a stroke unit in Salvador - Ba: Randomized Clinical Trial</t>
  </si>
  <si>
    <t>U1111-1253-6362</t>
  </si>
  <si>
    <t>Stroke,Thrombolytic Therapy,Early Mobilization,Rehabilitation</t>
  </si>
  <si>
    <t>André Rodrigues Durães</t>
  </si>
  <si>
    <t>andreduraescopia@gmail.com</t>
  </si>
  <si>
    <t>Brazilian Study on Polycystic Ovary Syndrome (PCOS)</t>
  </si>
  <si>
    <t>U1111-1253-4009</t>
  </si>
  <si>
    <t>polycystic ovary syndrome</t>
  </si>
  <si>
    <t>Paulo Moreira Silva Dantas</t>
  </si>
  <si>
    <t>pgdantas@icloud.com</t>
  </si>
  <si>
    <t>Transcutaneous electrical nerve stimulation for primary dysmenorrhea: A randomized clinical trial with economic evaluation</t>
  </si>
  <si>
    <t>U1111-1241-8097</t>
  </si>
  <si>
    <t>Jéssica Cordeiro Rodrigues</t>
  </si>
  <si>
    <t>jessica.crodrigues13@gmail.com</t>
  </si>
  <si>
    <t>Randomized comparative study between Aquacel and Safgel in the treatment of a patient with Venous Ulcers</t>
  </si>
  <si>
    <t>U1111-1253-8873</t>
  </si>
  <si>
    <t>Compressive Banning</t>
  </si>
  <si>
    <t>Luiz Fernando Fogaça</t>
  </si>
  <si>
    <t>(011)2464-1700</t>
  </si>
  <si>
    <t>luizfogaca@fho.edu.br</t>
  </si>
  <si>
    <t>Universidade Guarulhos</t>
  </si>
  <si>
    <t>Analysis of 2 preemptive periods of dexamethasone in the removal of the third molars. A controlled randomized split-mouth and triple-blind clinical study</t>
  </si>
  <si>
    <t>A09414539441</t>
  </si>
  <si>
    <t>Loss of teeth due to accident,extraction or local periodontal disease</t>
  </si>
  <si>
    <t>Anderson Maikon de Souza Santos</t>
  </si>
  <si>
    <t>ams.santos@unesp.br</t>
  </si>
  <si>
    <t>Frailty and adverse outcomes in adults hospitalized for COVID-19</t>
  </si>
  <si>
    <t>U1111-1252-9993</t>
  </si>
  <si>
    <t>Thiago Junqueira Avelino-Silva</t>
  </si>
  <si>
    <t>thiago.avelino@usp.br</t>
  </si>
  <si>
    <t>Influence of a Virtual Reality treatment protocol on Postural Balance of individuals with Stroke: randomized clinical trial</t>
  </si>
  <si>
    <t>10/16/2019</t>
  </si>
  <si>
    <t>U1111-1237-2789</t>
  </si>
  <si>
    <t>Nathalia P O Silva Bessa</t>
  </si>
  <si>
    <t>PARNAMIRIM</t>
  </si>
  <si>
    <t>nathyzinhasilva@gmail.com</t>
  </si>
  <si>
    <t>Evaluation of Gynecological and Dermatological Acceptability of Health Products under Normal Conditions of Use</t>
  </si>
  <si>
    <t>U1111-1252-2233</t>
  </si>
  <si>
    <t>Administration Intravaginal</t>
  </si>
  <si>
    <t>Ipclin - Pesquisa Clínica Integrada</t>
  </si>
  <si>
    <t>Effects of hippotherapy on the cardiovascular immune stomatognathic system and postural balance in elderly practitioners: longitudinal study</t>
  </si>
  <si>
    <t>U1111-1247-6893</t>
  </si>
  <si>
    <t>Aging,Population Dynamics,Postural Balance</t>
  </si>
  <si>
    <t>Edneia Corrêa de Mello</t>
  </si>
  <si>
    <t>+55 16 331520281</t>
  </si>
  <si>
    <t>edneia.mello@usp.br</t>
  </si>
  <si>
    <t>Faculdade de Odontologia de Ribeirão Preto da Universidade de São Paulo FORP/USP</t>
  </si>
  <si>
    <t>Effect of an intervention program in the implementation of healthy school canteens: a randomized controlled study</t>
  </si>
  <si>
    <t>U1111-1213-1614</t>
  </si>
  <si>
    <t>Mariana Balestrin</t>
  </si>
  <si>
    <t>Frederico Westphal</t>
  </si>
  <si>
    <t>+55(055)996168614</t>
  </si>
  <si>
    <t>mari_dalmolin@hotmail.com</t>
  </si>
  <si>
    <t>Programa de Pós-Graduação em Saúde da Criança e do Adolescente</t>
  </si>
  <si>
    <t>Communication intervention to improve informed choice at childbirth: a randomized controlled trial using digital technology in the context of the Covid-19 pandemic</t>
  </si>
  <si>
    <t>U1111-1255-8683</t>
  </si>
  <si>
    <t>Maternal health,Maternal health services,Public health informatics,Internet Based Intervention,Medical Informatics,Coronavirus Infections</t>
  </si>
  <si>
    <t>Carmen Simone Grilo Diniz</t>
  </si>
  <si>
    <t>+55(11)30618100</t>
  </si>
  <si>
    <t>sidiniz@usp.br</t>
  </si>
  <si>
    <t>Comparative analysis between single and intradermal skin cloruse in total knee arthroplasty</t>
  </si>
  <si>
    <t>U1111-1253-5378</t>
  </si>
  <si>
    <t>Rodrigo Barreiros Vieira</t>
  </si>
  <si>
    <t>+55 31 992012055</t>
  </si>
  <si>
    <t>rbarreirosvieira@hotmail.com</t>
  </si>
  <si>
    <t>Hospital Universitario Ciencias Medicas</t>
  </si>
  <si>
    <t>Effects of a control neck exercise program in individuals with temporomandibular disorders: a randomized clinical trial</t>
  </si>
  <si>
    <t>U1111-1241-4851</t>
  </si>
  <si>
    <t>Elisa Bizetti Pelai</t>
  </si>
  <si>
    <t>elisabpelai@gmail.com</t>
  </si>
  <si>
    <t>Prevalence of postoperative agitation due to the use of pre-anesthetics Midazolam and oral clonidine in pediatric cardiac surgeries</t>
  </si>
  <si>
    <t>07/28/2020</t>
  </si>
  <si>
    <t>U1111-1256-1747</t>
  </si>
  <si>
    <t>Delusion of awakening,Hypotension,Bradycardia</t>
  </si>
  <si>
    <t>Alyce Luisa Mendonça de Santana</t>
  </si>
  <si>
    <t>+55 (82) 993939097</t>
  </si>
  <si>
    <t>alyceluisa@hotmail.com</t>
  </si>
  <si>
    <t>Centro Universitário Cesmac - CESMAC</t>
  </si>
  <si>
    <t>Effect of betaine supplementation on athletes physical capacity</t>
  </si>
  <si>
    <t>U1111-1253-6489</t>
  </si>
  <si>
    <t>Breno Guilherme de Araújo Tinôco Cabral</t>
  </si>
  <si>
    <t>brenotcabral@gmail.com</t>
  </si>
  <si>
    <t>Acute effects of resistance aerobic and concurrent exercises on blood pressure cardiac autonomic control and arterial function in stroke survivors patients</t>
  </si>
  <si>
    <t>U1111-1230-1345</t>
  </si>
  <si>
    <t>André da Cunha Michalski</t>
  </si>
  <si>
    <t>andre.cmichalski@gmail.com</t>
  </si>
  <si>
    <t>Effectiveness of Training of pelvic floor muscles in reducing symptoms of Overactive Bladder in women - randomized controlled clinical trial</t>
  </si>
  <si>
    <t>U1111-1230-3582</t>
  </si>
  <si>
    <t>Silvia Elizate Monteiro</t>
  </si>
  <si>
    <t>+55 31 33194424</t>
  </si>
  <si>
    <t>silviaelizate@gmail.com</t>
  </si>
  <si>
    <t>Pontificia Universidade Católica de Minas Gerais</t>
  </si>
  <si>
    <t>Walking diary in the Cardiac Rehabilitation Phase 1</t>
  </si>
  <si>
    <t>U1111-1229-2442</t>
  </si>
  <si>
    <t>Gabriela Lago Rosier</t>
  </si>
  <si>
    <t>gabi.rosier@hotmail.com</t>
  </si>
  <si>
    <t>Hospital Santa Izabel</t>
  </si>
  <si>
    <t>Evaluation of the incision of the tunica albuginea and reconstruction using a vaginal tunica flap in acute Testicular torsion</t>
  </si>
  <si>
    <t>U1111-1252-9347</t>
  </si>
  <si>
    <t>Acute testicular torsion</t>
  </si>
  <si>
    <t>Use of non-ablative radiofrequency and intravaginal CO2 laser in the treatment of genitourinary syndrome following cervical carcinoma radiotherapy: a pilot study</t>
  </si>
  <si>
    <t>U1111-1242-5141</t>
  </si>
  <si>
    <t>Vaginal atresia</t>
  </si>
  <si>
    <t>Faculdade de Medicina da Universidade Federal do Rio Grande do Sul</t>
  </si>
  <si>
    <t>Frequency of Novel Coronavirus Disease in health professionals</t>
  </si>
  <si>
    <t>U1111-1255-6093</t>
  </si>
  <si>
    <t>Novel coronavirus (COVID-19) infection</t>
  </si>
  <si>
    <t>Analysis of strength gain in the elderly after the application of resistance training protocols with the use of different types of resistance: randomized clinical study</t>
  </si>
  <si>
    <t>A + 11507786603</t>
  </si>
  <si>
    <t>Physical training,Physical activity for the elderly,Rehabilitation</t>
  </si>
  <si>
    <t>Adriano Prado Simão</t>
  </si>
  <si>
    <t>alfenas</t>
  </si>
  <si>
    <t>+55(35)37011921</t>
  </si>
  <si>
    <t>adriano.simao@unifal-mg.edu.br</t>
  </si>
  <si>
    <t>Effect of the use of Desensitizing Agents on the effectiveness of Bleaching and Dental sensitivity - Controlled randomized double blind clinical trial</t>
  </si>
  <si>
    <t>U1111-1203-5891</t>
  </si>
  <si>
    <t>Sensitivity of Dentin</t>
  </si>
  <si>
    <t>WESLEY FERNANDO FERRARI</t>
  </si>
  <si>
    <t>ferrariwesley@hotmail.com</t>
  </si>
  <si>
    <t>Knowing a whitening therapy: influence of the dental group on the diffusion of the whitening gel and tooth sensitivity</t>
  </si>
  <si>
    <t>U1111-1249-1962</t>
  </si>
  <si>
    <t>Evaluation of the effect of deep water running for the treatment of back pain</t>
  </si>
  <si>
    <t>A 07224825824</t>
  </si>
  <si>
    <t>Jamil  Natour</t>
  </si>
  <si>
    <t>jnatour@unifesp.br</t>
  </si>
  <si>
    <t>Association of transcranial direct current stimulation and neurofeedback in declarative memory and cerebral arterial flow in young university students - randomized double-blind placebo-controlled study</t>
  </si>
  <si>
    <t>U1111-1254-0883</t>
  </si>
  <si>
    <t>Leandro Henrique Grecco</t>
  </si>
  <si>
    <t>+55(11)8658-8400</t>
  </si>
  <si>
    <t>leandrohgrecco@hotmail.com</t>
  </si>
  <si>
    <t>Safety and tolerance of the use of Shockwave Therapy in Lymphedema secondary to the treatment of Breast Cancer</t>
  </si>
  <si>
    <t>U1111-1254-0549</t>
  </si>
  <si>
    <t>GATA2 Deficiency,Breast Cancer Lymphedema</t>
  </si>
  <si>
    <t>Patricia Lima Ventura</t>
  </si>
  <si>
    <t>vlpatricia@hotmail.com</t>
  </si>
  <si>
    <t>UNIVERSIDADE FEDERAL DE SÃO PAULO</t>
  </si>
  <si>
    <t>Different Kinesiotherapies associated with Biophotonics for Neuro-facial muscular Reprograming</t>
  </si>
  <si>
    <t>U1111-1252-4644</t>
  </si>
  <si>
    <t>Rosane de Fátima Zanirato Lizarelli</t>
  </si>
  <si>
    <t>+55 16 98820-6448</t>
  </si>
  <si>
    <t>Lizarelli@hotmail.com</t>
  </si>
  <si>
    <t>University of São Paulo,São Carlos Physics Institute,Department of Optics and Biophotonics</t>
  </si>
  <si>
    <t>Psychoeducational intervention adjunctive to conventional treatment in bipolar patients</t>
  </si>
  <si>
    <t>U1111-1233-7336</t>
  </si>
  <si>
    <t>regina celia Bueno Rezende</t>
  </si>
  <si>
    <t>londrina</t>
  </si>
  <si>
    <t>99907-7462</t>
  </si>
  <si>
    <t>reginam_rezende@yahoo.com.br</t>
  </si>
  <si>
    <t>BCG vaccine as preventive measure against COVID-19 in health care workers</t>
  </si>
  <si>
    <t>U1111-1253-9610</t>
  </si>
  <si>
    <t>Coronavirus infection unespecific localization</t>
  </si>
  <si>
    <t>Fernanda Carvalho de Queiroz Mello</t>
  </si>
  <si>
    <t>fcqmello@gmail.com</t>
  </si>
  <si>
    <t>UNiversidade Federal do Rio de Janeiro</t>
  </si>
  <si>
    <t>Chronic tinnitus: analysis of oxidative metabolism single counseling session and açaí extract as treatment</t>
  </si>
  <si>
    <t>U1111-1252-6084</t>
  </si>
  <si>
    <t>Pós graduação em Distúrbios da Comunicação Humana</t>
  </si>
  <si>
    <t>ppgdch@gmail.com</t>
  </si>
  <si>
    <t>Effect of low-level laser on the electromyographic fatigue of the orbicularis oris muscle</t>
  </si>
  <si>
    <t>U1111-1254-6948</t>
  </si>
  <si>
    <t>renatamfurlan@gmail.com</t>
  </si>
  <si>
    <t>Compare pelvic floor muscle training with Knack contraction</t>
  </si>
  <si>
    <t>U1111-1251-1365</t>
  </si>
  <si>
    <t>Maira Oshiro dos Santos</t>
  </si>
  <si>
    <t>maira.oshiro@gmail.com</t>
  </si>
  <si>
    <t>Transdermal versus oral estrogen for endometrial preparation in freeze embryo transfer</t>
  </si>
  <si>
    <t>A36950145802</t>
  </si>
  <si>
    <t>Mariana  Oliva Cassará Carvalho</t>
  </si>
  <si>
    <t>BARUERI</t>
  </si>
  <si>
    <t>+55(11)953840133</t>
  </si>
  <si>
    <t>mcassara@hotmail.com</t>
  </si>
  <si>
    <t>Sonia Maria Rolim Rosa Lima</t>
  </si>
  <si>
    <t>The use of intermittent Ascorbic Acid in the prevention of central venous catheter obstruction in pediatrics</t>
  </si>
  <si>
    <t>U111111872417</t>
  </si>
  <si>
    <t>Leticia Morgana Giacomozzi</t>
  </si>
  <si>
    <t>CURITIBA</t>
  </si>
  <si>
    <t>letciamorggana@yahoo.com.br</t>
  </si>
  <si>
    <t>Complexo do Hospital de Clínicas da Universidade Federal do Paraná</t>
  </si>
  <si>
    <t>Electromyography and analysis of quality of life in patients with Bruxism before and after treatment with Occlusal Splints Hypnosis and Restoration of Canine Guidance - randomized controlled trial</t>
  </si>
  <si>
    <t>U1111-1248-4167</t>
  </si>
  <si>
    <t>Alexandre Henrique dos Reis Prado</t>
  </si>
  <si>
    <t>+55 (38) 99260-0113</t>
  </si>
  <si>
    <t>alexandreprado.cba@gmail.com</t>
  </si>
  <si>
    <t>Parkinsons Disease and Physiotherapy: Analysis of the outcome of interventions with land based and water based physical activities - FISIOPARK</t>
  </si>
  <si>
    <t>A00465418961</t>
  </si>
  <si>
    <t>Vera Lucia Israel</t>
  </si>
  <si>
    <t>+55 41 33604322</t>
  </si>
  <si>
    <t>veral.israel@gmail.com</t>
  </si>
  <si>
    <t>UNIVERSIDADE FEDERAL DO PARANA</t>
  </si>
  <si>
    <t>Effect of Rhythmic Auditory Stimulation associated with Physiotherapy on the functional mobility of sedentary elderly</t>
  </si>
  <si>
    <t>U1111-1252-1245</t>
  </si>
  <si>
    <t>Camila Maria Mendes Nascimento</t>
  </si>
  <si>
    <t>fisio.camilamendes@gmail.com</t>
  </si>
  <si>
    <t>Multicenter study of the natural history of the new Coronavirus SARS-CoV-2 in Brazil</t>
  </si>
  <si>
    <t>U1111-1255-9610</t>
  </si>
  <si>
    <t>Giselle Duarte</t>
  </si>
  <si>
    <t>+55(21)995538966</t>
  </si>
  <si>
    <t>giselle.duarte@ini.fiocruz.br</t>
  </si>
  <si>
    <t>Instituto Nacional de Infectologia Evandro Chagas/Fundacao Oswaldo Cruz (INI/Fiocruz)</t>
  </si>
  <si>
    <t>Acute effects of photobiomodulation on respiratory variables and functional capacity in smokers and ex-smokers: randomized clinical trial triple-blind and controlled placebo</t>
  </si>
  <si>
    <t>U1111-1252-9815</t>
  </si>
  <si>
    <t>Cleber Ferraresi</t>
  </si>
  <si>
    <t>cleber.ferraresi@gmail.com</t>
  </si>
  <si>
    <t>Universidade Brasil</t>
  </si>
  <si>
    <t>Effect of rapid maxillary expansion on the quality of life of children with sleep apnea</t>
  </si>
  <si>
    <t>07/26/2020</t>
  </si>
  <si>
    <t>U1111-1246-2458</t>
  </si>
  <si>
    <t>Rita Catia Bariani</t>
  </si>
  <si>
    <t>ritabariani@hotmail.com</t>
  </si>
  <si>
    <t>Clinical trial phase I/II to evaluate the safety the neutralizing capacity and the lowest effective dose of antivenom for the treatment of multiple africanized honey bees stings Apis mellifera- APIS Study</t>
  </si>
  <si>
    <t>U1111-1160-7011</t>
  </si>
  <si>
    <t>Stings,insect Bites</t>
  </si>
  <si>
    <t>Ana Paola Piloto Oliveira</t>
  </si>
  <si>
    <t>administra.upeclin@fmb.unesp.br</t>
  </si>
  <si>
    <t>Effectiveness of integrative and complementary practices associated with pelvic muscle training to control urinary incontinence after radical prostatectomy: randomized clinical trial</t>
  </si>
  <si>
    <t>U1111-1253-3697</t>
  </si>
  <si>
    <t>COEP Comitê de Ética em Pesquisa</t>
  </si>
  <si>
    <t>Use of Botulinum Toxin Type A for Treatment of Idiopathic Rhinitis</t>
  </si>
  <si>
    <t>07/23/2020</t>
  </si>
  <si>
    <t>U1111-1219-6185</t>
  </si>
  <si>
    <t>idiopathic rhinitis</t>
  </si>
  <si>
    <t>Daniel Cauduro Salgado</t>
  </si>
  <si>
    <t>+55(11)30880299</t>
  </si>
  <si>
    <t>danimed32@yahoo.com.br</t>
  </si>
  <si>
    <t>Efficacy and efficiency of discontinuation of treatment with tyrosine kinase inhibitors in patients with chronic myeloid leukemia treated in the Unified Health System after obtaining a sustained deep molecular response</t>
  </si>
  <si>
    <t>U1111-1252-7312</t>
  </si>
  <si>
    <t>chronic myeloid leukemia</t>
  </si>
  <si>
    <t>Nicete Romano</t>
  </si>
  <si>
    <t>55-19-35218740</t>
  </si>
  <si>
    <t>nicete@unicamp.br</t>
  </si>
  <si>
    <t>Centro Centro de Hematologia e Hemoterapia,Universidade Estadual de Campinas</t>
  </si>
  <si>
    <t>Evaluation of the efficacy of mass suture as a method of local hemostasis in patients using warfarin: randomized clinical trial</t>
  </si>
  <si>
    <t>U1111-1254-6189</t>
  </si>
  <si>
    <t>Sahar  Ganz Riman</t>
  </si>
  <si>
    <t>sahar.riman@usp.br</t>
  </si>
  <si>
    <t>Comparison of three topical budesonide brands in the treatment of allergic rhinitis: randomized controlled trial</t>
  </si>
  <si>
    <t>U1111-1252-0012</t>
  </si>
  <si>
    <t>Allergic Rhinitis</t>
  </si>
  <si>
    <t>Efficacy of adding high volume diluted Budesonide nasal lavage for maximum clinical treatment in patients with Chronic Rhinosinusitis with polyposis: double-blind randomized controlled study</t>
  </si>
  <si>
    <t>U1111-1250-2600</t>
  </si>
  <si>
    <t>Chronic rhinosinusitis with nasal polyposis</t>
  </si>
  <si>
    <t>Nutritional and Metabolic Profile of Adolescents with Obesity submitted to a Behavioral Counseling Program: randomized clinical trial</t>
  </si>
  <si>
    <t>U1111-1254-1835</t>
  </si>
  <si>
    <t>Adriana Carneiro Lambertucci</t>
  </si>
  <si>
    <t>drilamber@gmail.com</t>
  </si>
  <si>
    <t>Long-term clinical follow-up on restorations with low-contraction resin composite in posterior teeth</t>
  </si>
  <si>
    <t>U1111-1200-3189</t>
  </si>
  <si>
    <t>Failed tooth restorations</t>
  </si>
  <si>
    <t>Maria Carolina Guilherme Erhardt</t>
  </si>
  <si>
    <t>carolinabee@hotmail.com</t>
  </si>
  <si>
    <t>Long-term follow-up of the Cystic Fibrosis patient profile</t>
  </si>
  <si>
    <t>U1111-1251-3126</t>
  </si>
  <si>
    <t>Patricia Morgana Rentz Keil</t>
  </si>
  <si>
    <t>+55 048 99952-3084</t>
  </si>
  <si>
    <t>patriciarentzkeil@gmail.com</t>
  </si>
  <si>
    <t>Aesthetic orthodontic bandages: evaluation of elastic properties and alteration of color</t>
  </si>
  <si>
    <t>07/21/2020</t>
  </si>
  <si>
    <t>U1111-1250-9015</t>
  </si>
  <si>
    <t>Dentofacial anomaly,unspecified</t>
  </si>
  <si>
    <t>Mírian Aiko Nakane Matsumoto</t>
  </si>
  <si>
    <t>manakane@forp.usp.br</t>
  </si>
  <si>
    <t>Faculdade de Odontologia de Ribeirão Preto - Universidade de São Paulo (FORP/USP)</t>
  </si>
  <si>
    <t>Is cementation quality affected by the use of tourniquet in primary total knee arthroplasty?</t>
  </si>
  <si>
    <t>07/20/2020</t>
  </si>
  <si>
    <t>U1111-1253-3157</t>
  </si>
  <si>
    <t>Primary gonarthrosis,bilateral</t>
  </si>
  <si>
    <t>Guilherme Moreira Abreu e Silva</t>
  </si>
  <si>
    <t>guilhermeorto@gmail.com</t>
  </si>
  <si>
    <t>Expansion of innovative interventions and surveillance to prevent and control diseases communicable by Aedes aegypti</t>
  </si>
  <si>
    <t>A+90763831387</t>
  </si>
  <si>
    <t>Dengue</t>
  </si>
  <si>
    <t>Andrea Caprara</t>
  </si>
  <si>
    <t>+39 338 176 9586</t>
  </si>
  <si>
    <t>andreacaprara1@gmail.com</t>
  </si>
  <si>
    <t>FUNDACAO UNIVERSIDADE ESTADUAL DO CEARA - UECE</t>
  </si>
  <si>
    <t>Influence of an Individualized Physical Exercise Program on the endogenous pain modulation profile and on the psychosocial and behavioral aspects in patients with Chronic Myofascial Masticatory Pain: a controlled randomized clinical trial</t>
  </si>
  <si>
    <t>U1111-1253-2995</t>
  </si>
  <si>
    <t>Carolina Ortigosa Cunha</t>
  </si>
  <si>
    <t>+55 (14)32358277 / 32358272</t>
  </si>
  <si>
    <t>carol.ortigosa@gmail.com</t>
  </si>
  <si>
    <t>Effects of neuromodulation on electroencephalographic activity in fibromyalgia patients and comparison with healthy ones</t>
  </si>
  <si>
    <t>U1111-1251-9109</t>
  </si>
  <si>
    <t>Nelson  Torro</t>
  </si>
  <si>
    <t>+55 83 32167136</t>
  </si>
  <si>
    <t>nelsontorro@gmail.com</t>
  </si>
  <si>
    <t>The Use of Bi - Component Carboxymethylcellulose-Polysaccharide B in the knee Joint After Anterior Cruciate Ligament Reconstruction</t>
  </si>
  <si>
    <t>U1111-1243-5477</t>
  </si>
  <si>
    <t>Renan Moukbel Chaim</t>
  </si>
  <si>
    <t>renanmchaim@yahoo.com.br</t>
  </si>
  <si>
    <t>Unifesp/EPM</t>
  </si>
  <si>
    <t>Influence of aerobic exercise in children with Asthma diagnosis</t>
  </si>
  <si>
    <t>A06286564160</t>
  </si>
  <si>
    <t>Bianca Espinosa dos Santos</t>
  </si>
  <si>
    <t>+55(67)991015675</t>
  </si>
  <si>
    <t>biianca.esp@gmail.com</t>
  </si>
  <si>
    <t>Evaluation of the efficacy of Behavioral Psychotherapy compared to pharmacotherapy in the treatment of Depressive Disorder in Temporal Lobe Epilepsy with Hippocampal Sclerosis</t>
  </si>
  <si>
    <t>U1111-1248-4637</t>
  </si>
  <si>
    <t>Depression,Temporal Lobe Epilepsy with hippocampal sclerosis</t>
  </si>
  <si>
    <t>Kette Dualibi Ramos Valente</t>
  </si>
  <si>
    <t>+55 11 999771615</t>
  </si>
  <si>
    <t>kette.valente@hc.fm.usp.br</t>
  </si>
  <si>
    <t>Instituto de Psiquiatria do Hospital das Clínicas da Faculdade de Medicina da Universidade de São Paulo</t>
  </si>
  <si>
    <t>Influence of the pilates method on the range of motion in postoperative cardiac surgery patients</t>
  </si>
  <si>
    <t>U1111-1253-4900</t>
  </si>
  <si>
    <t>Respiratory muscle strength in healthy university</t>
  </si>
  <si>
    <t>07/17/2020</t>
  </si>
  <si>
    <t>U1111-1181-4200</t>
  </si>
  <si>
    <t>Healthy Lifestyle,breathing Exercises</t>
  </si>
  <si>
    <t>José Gomes Pinheiro</t>
  </si>
  <si>
    <t>Uruguaiana</t>
  </si>
  <si>
    <t>jose.eudes86@gmail.com</t>
  </si>
  <si>
    <t>Universidade Federal do Pampa</t>
  </si>
  <si>
    <t>Immune biomarkers in the prognosis of COVID-19</t>
  </si>
  <si>
    <t>U1111-1254-2547</t>
  </si>
  <si>
    <t>Ciro Martins Gomes</t>
  </si>
  <si>
    <t>55 61 20285324</t>
  </si>
  <si>
    <t>ciromgomes@gmail.com</t>
  </si>
  <si>
    <t>Effect of liquid and bar soap on skin in healthy term newborn: randomized clinical trial</t>
  </si>
  <si>
    <t>07/13/2018</t>
  </si>
  <si>
    <t>U1111-1216-6390</t>
  </si>
  <si>
    <t>Maria de la Ó Ramallo Veríssimo</t>
  </si>
  <si>
    <t>mdlorver@usp.br</t>
  </si>
  <si>
    <t>Masticatory function of edentulous obese elderly</t>
  </si>
  <si>
    <t>07/16/2020</t>
  </si>
  <si>
    <t>U1111-1228-7273</t>
  </si>
  <si>
    <t>55-19-21065295</t>
  </si>
  <si>
    <t>Faculdade de Odontologia de Piracicaba (Fop/Unicamp)</t>
  </si>
  <si>
    <t>Effectiveness of Exergaming in adherence to Cardiac Rehabilitation Phase II: randomized clinical trial</t>
  </si>
  <si>
    <t>U1111-1254-8445</t>
  </si>
  <si>
    <t>Michelli Christina Magalhães Novais</t>
  </si>
  <si>
    <t>novaismichelli@outlook.com</t>
  </si>
  <si>
    <t>Adhesive Tissue to Repair First-Degree Perineal Tears: a randomized controlled trial</t>
  </si>
  <si>
    <t>08/31/2017</t>
  </si>
  <si>
    <t>U1111-1193-9400</t>
  </si>
  <si>
    <t>55(11)3061-7607</t>
  </si>
  <si>
    <t>Distal transradial access as default approach for coronary angiography and interventions</t>
  </si>
  <si>
    <t>07/15/2020</t>
  </si>
  <si>
    <t>U1111-1249-9177</t>
  </si>
  <si>
    <t>Adriano Caixeta</t>
  </si>
  <si>
    <t>+55 (11) 5576-4522</t>
  </si>
  <si>
    <t>acaixeta@me.com</t>
  </si>
  <si>
    <t>Universidade Federal De São Paulo (UNIFESP)</t>
  </si>
  <si>
    <t>Impact of estrogen use on complications in women using vaginal pessaries with genital prolapse: a randomized clinical trial</t>
  </si>
  <si>
    <t>08/24/2018</t>
  </si>
  <si>
    <t>U1111-1216-4388</t>
  </si>
  <si>
    <t>Cássia Raquel Teatin Juliato</t>
  </si>
  <si>
    <t>+550193521 306</t>
  </si>
  <si>
    <t>cassia.raquel@gmail.com</t>
  </si>
  <si>
    <t>Chloroquine chemoprophylaxis in a high-risk population for the prevention of SARS-CoV infections severity of infection. Randomized clinical trial of phase III</t>
  </si>
  <si>
    <t>07/14/2020</t>
  </si>
  <si>
    <t>A14055253710</t>
  </si>
  <si>
    <t>Israel  Molina</t>
  </si>
  <si>
    <t>+55 31 3349 - 7700</t>
  </si>
  <si>
    <t>israel.molina@fiocruz.br</t>
  </si>
  <si>
    <t>Instituto René Rachou/FIOCRUZ Minas</t>
  </si>
  <si>
    <t>Effect of two technologies in the prevention of pressure injuries associated with the use of personal protective equipment in health professionals in the face of the Covid-19 pandemic: randomized clinical trial</t>
  </si>
  <si>
    <t>07/13/2020</t>
  </si>
  <si>
    <t>U1111-1253-1384</t>
  </si>
  <si>
    <t>Renata Cristina Gasparino</t>
  </si>
  <si>
    <t>grenata@unicamp.br</t>
  </si>
  <si>
    <t>Clinical evaluation of the effect of diode laser irradiation on exposed roots associated or not with fluoride varnish in the control of dentin hypersensitivity: Randomized controlled clinical study</t>
  </si>
  <si>
    <t>U1111-1254-9691</t>
  </si>
  <si>
    <t>Hyperesthesia</t>
  </si>
  <si>
    <t>Bruno Nicoliello Moreira</t>
  </si>
  <si>
    <t>55-14-3235-8000</t>
  </si>
  <si>
    <t>nicoliello@usp.br</t>
  </si>
  <si>
    <t>The influence of body positioning on thoracoabdominal dynamics in preterm newborns with very low birth weight</t>
  </si>
  <si>
    <t>U1111-1254-7833</t>
  </si>
  <si>
    <t>Anniele Medeiros Costa</t>
  </si>
  <si>
    <t>anniele.costa@iff.fiocruz.br</t>
  </si>
  <si>
    <t>Instituto Nacional de Saúde da mulher,da criança e do adolescente Fernandes Figueira</t>
  </si>
  <si>
    <t>School Health: teaching awareness and prevention of Enteroparasitosis caused by Helminths in students from public schools in João Pessoa PB</t>
  </si>
  <si>
    <t>A05098125464</t>
  </si>
  <si>
    <t>Parasitic diseases</t>
  </si>
  <si>
    <t>Caliandra Maria Bezerra Luna Lima</t>
  </si>
  <si>
    <t>calilunalima@gmail.com</t>
  </si>
  <si>
    <t>Universidade Federal da Paraíba-UFPB</t>
  </si>
  <si>
    <t>CoV-Hep study: Randomized and paired clinical trial comparing regional anticoagulation modalities in continuous venous venous hemodialysis in patients with COVID-19</t>
  </si>
  <si>
    <t>U1111-1252-0194</t>
  </si>
  <si>
    <t>Acute Kidney Injury,Severe COVID-19</t>
  </si>
  <si>
    <t>Camila Eleuterio Rodrigues</t>
  </si>
  <si>
    <t>camila.eleuterio@hc.fm.usp.br</t>
  </si>
  <si>
    <t>Hospital das Clínicas da FMUSP</t>
  </si>
  <si>
    <t>Immediate effects of Vertebral Manipulation on painful sensitivity and postural stability of individuals with Chronic Low Back Pain - randomized controlled clinical trial</t>
  </si>
  <si>
    <t>U1111-1252-3077</t>
  </si>
  <si>
    <t>JOAO PAULO FREITAS</t>
  </si>
  <si>
    <t>Guarapuava</t>
  </si>
  <si>
    <t>jpfreitas06@gmail.com</t>
  </si>
  <si>
    <t>UniGuairacá Centro Universitário</t>
  </si>
  <si>
    <t>Cardiorespiratory fitness and neuromuscular performance in recovered Covid-19 patients</t>
  </si>
  <si>
    <t>U1111-1254-8568</t>
  </si>
  <si>
    <t>Amilton da Cruz Santos</t>
  </si>
  <si>
    <t>+55 83 99352-3994</t>
  </si>
  <si>
    <t>adagatom@yahoo.com.br</t>
  </si>
  <si>
    <t>LETFAS-UFPB</t>
  </si>
  <si>
    <t>Effect of Brazil Nuts (BERTHOLETIA EXCELSA H.B.K) daily consumption on weight reduction and body composition energy metabolism appetite food intake metabolic regulators and genetic markers</t>
  </si>
  <si>
    <t>U1111-1252-5942</t>
  </si>
  <si>
    <t>Helen Hermana Miranda Hermsdorff</t>
  </si>
  <si>
    <t>+55 31 3612-5195</t>
  </si>
  <si>
    <t>helenhermana@ufv.br</t>
  </si>
  <si>
    <t>Masking enamel demarcates opacities in anterior teeth in patients with Molar-Incisor Hypomineralization: randomized controlled clinical trial</t>
  </si>
  <si>
    <t>U1111-1240-5384</t>
  </si>
  <si>
    <t>Dental enamel hypoplasia,mottled teeth,tooth demineralization</t>
  </si>
  <si>
    <t>Vera Mendes Soviero</t>
  </si>
  <si>
    <t>verasoviero@gmail.com</t>
  </si>
  <si>
    <t>Universidade do Estado do Rio de Janeiro -UERJ</t>
  </si>
  <si>
    <t>Evaluation of postoperative pain in patients undergoing joint arthroscopy mandibular temporalis with infiltration of dexamethasone disodium phosphate in different isolates</t>
  </si>
  <si>
    <t>05/27/2020</t>
  </si>
  <si>
    <t>U1111-1251-1305</t>
  </si>
  <si>
    <t>Ivan Solani Martins</t>
  </si>
  <si>
    <t>+55 11 975531559</t>
  </si>
  <si>
    <t>ivan.sol.m@gmail.com</t>
  </si>
  <si>
    <t>Sociedade Beneficente de Senhoras Hospital Sírio-Libanês</t>
  </si>
  <si>
    <t>Effect of oral supplement use with immunonutrients on inflammatory response in patients with COVID-19</t>
  </si>
  <si>
    <t>U1111-1252-3270</t>
  </si>
  <si>
    <t>Magno Conceição das Merces</t>
  </si>
  <si>
    <t>A phase IIb double-blind randomized controlled trial to evaluate the efficacy and safety of Naproxen compared to placebo in combination with Azithromycin or Levofloxacin in patients with Severe Acute Respiratory Syndrome during the Covid-19 pandemic</t>
  </si>
  <si>
    <t>U1111-1251-0662</t>
  </si>
  <si>
    <t>Evaluation of surgical technique with minimally traumatic extractor</t>
  </si>
  <si>
    <t>U1111-1227-1203</t>
  </si>
  <si>
    <t>Adyelle Dantas Ribeiro</t>
  </si>
  <si>
    <t>adyelle.d@hotmail.com</t>
  </si>
  <si>
    <t>Effect of Auricular Transcutaneous Electrostimulation of the Vague Nerve and Physical Exercise on the cardiovascular metabolic and cognitive parameters of people living with HIV / AIDS</t>
  </si>
  <si>
    <t>U1111-1244-7208</t>
  </si>
  <si>
    <t>Efficacy of Honey Abelha With and Without Propolis in Respiratory Events in Malnourished Children treated at CREN</t>
  </si>
  <si>
    <t>A34831410497</t>
  </si>
  <si>
    <t>Telma Maria de Menezes Toledo Florêncio</t>
  </si>
  <si>
    <t>+55(82)3322-1361</t>
  </si>
  <si>
    <t>telmatf_al@hotmail.com</t>
  </si>
  <si>
    <t>Centro de Recuperação e Educação Nutricional - CREN</t>
  </si>
  <si>
    <t>Analysis of Salivary Biomarkers in Elderly Patients with Gingivitis After Use of 1% Brazilian Red Propolis Based Dentifrice: A Randomized Clinical Trial</t>
  </si>
  <si>
    <t>U1111-1250-4981</t>
  </si>
  <si>
    <t>Gingival diseases</t>
  </si>
  <si>
    <t>Mara Assef Leitao Lotif</t>
  </si>
  <si>
    <t>mara_lotif@hotmail.com</t>
  </si>
  <si>
    <t>Cognitive training workshop for elderly people without cognitive impairment: an Occupational Therapy intervention</t>
  </si>
  <si>
    <t>U1111-1251-4248</t>
  </si>
  <si>
    <t>Taiuani Marquine Raymundo</t>
  </si>
  <si>
    <t>+55(41)33615715</t>
  </si>
  <si>
    <t>taiuanimarquine@gmail.com</t>
  </si>
  <si>
    <t>Effects of cold water immersion on recovery of indirect markers of muscle damage in crossfit® practitioners: randomized blind controlled clinical trial</t>
  </si>
  <si>
    <t>U1111-1244-9970</t>
  </si>
  <si>
    <t>Myalgia,Muscle Fatigue</t>
  </si>
  <si>
    <t>Wouber Hérickson Vieira</t>
  </si>
  <si>
    <t>hericksonfisio@yahoo.com.br</t>
  </si>
  <si>
    <t>Involvement of human papillomavirus in the progression of papillomatous lesions of the larynx in patients from São Luís Maranhão</t>
  </si>
  <si>
    <t>U1111-1252-1515</t>
  </si>
  <si>
    <t>Flavia Castello Branco Vidal</t>
  </si>
  <si>
    <t>55 98 21091273</t>
  </si>
  <si>
    <t>flavidal@hotmail.com</t>
  </si>
  <si>
    <t>UNIVERSIDADE FEDERAL DO MARANHÃO</t>
  </si>
  <si>
    <t>Lidocaine on reduction of emergence phenomena during general anesthesia and respiratory complaints after Tracheal Intubation</t>
  </si>
  <si>
    <t>A33250684805</t>
  </si>
  <si>
    <t>Rogério Leone Buchaim</t>
  </si>
  <si>
    <t>+55 14 981174411</t>
  </si>
  <si>
    <t>rogerio.buchaim@unimar.br</t>
  </si>
  <si>
    <t>Universidade de Marília</t>
  </si>
  <si>
    <t>Intuitive eating in the behavior and food consumption of obese individuals candidates for Bariatric Surgery</t>
  </si>
  <si>
    <t>U1111-1226-6833</t>
  </si>
  <si>
    <t>Marina Brito</t>
  </si>
  <si>
    <t>marinabcnut@gmail.com</t>
  </si>
  <si>
    <t>Randomized clinical study with mandibular overdentures with one or two osseointegrated implants: prospective clinical and radiographic evaluation</t>
  </si>
  <si>
    <t>a22906737810</t>
  </si>
  <si>
    <t>alveolar process</t>
  </si>
  <si>
    <t>tarcio hiroshi ishimine skiba</t>
  </si>
  <si>
    <t>guarulhos</t>
  </si>
  <si>
    <t>tarciohiroshi@gmail.com</t>
  </si>
  <si>
    <t>Universdidade de Guarulhos</t>
  </si>
  <si>
    <t>Influence of a hybrid pilates exercise program in the treatment of chronic non-specific low back pain and quality of life in medical students</t>
  </si>
  <si>
    <t>U1111-1253-0385</t>
  </si>
  <si>
    <t>Eustáquio Costa Damasceno Júnior</t>
  </si>
  <si>
    <t>ej.juninho1111@gmail.com</t>
  </si>
  <si>
    <t>Universidade federal de Uberlândia</t>
  </si>
  <si>
    <t>Effect of phytosphingosine associated with toothbrushing regarding color alteration surface roughness and microhardness of dental enamel - an in vitro and in situ study</t>
  </si>
  <si>
    <t>01/16/2019</t>
  </si>
  <si>
    <t>U1111-1222-2140</t>
  </si>
  <si>
    <t>Mouth</t>
  </si>
  <si>
    <t>Fernanda  Carvalho Panzeri Pires de Souza</t>
  </si>
  <si>
    <t>+55(16)33153973</t>
  </si>
  <si>
    <t>ferpanzeri@forp.usp.br</t>
  </si>
  <si>
    <t>Faculdade de Odontologia de Ribeirão Preto da Universidade de São Paulo</t>
  </si>
  <si>
    <t>The effects of beneficiarys engagement on the efficacy of social interventions to practice Mindfulness</t>
  </si>
  <si>
    <t>A08089856632</t>
  </si>
  <si>
    <t>Ricardo Teixeira Veiga</t>
  </si>
  <si>
    <t>+ 55 31 3409-7041</t>
  </si>
  <si>
    <t>ricardo.necc@gmail.com</t>
  </si>
  <si>
    <t>Evaluation of inflammatory parameters in patients with Chronic Renal Insufficiency submitted to a peridialitic aerobic exercise program</t>
  </si>
  <si>
    <t>U1111-1204-2127</t>
  </si>
  <si>
    <t>Kidney Chronic Disease</t>
  </si>
  <si>
    <t>Michel Silva reis</t>
  </si>
  <si>
    <t>RJ</t>
  </si>
  <si>
    <t>55-21-990627947</t>
  </si>
  <si>
    <t>msreis@hucff.ufrj.br</t>
  </si>
  <si>
    <t>Use of Isoinertial Training at the Height of the Vertical Jump</t>
  </si>
  <si>
    <t>U1111-1248-5524</t>
  </si>
  <si>
    <t>Eduardo Pereira Rodrigues</t>
  </si>
  <si>
    <t>+55(16)981543067</t>
  </si>
  <si>
    <t>eduardo.h.p.r@hotmail.com</t>
  </si>
  <si>
    <t>Effect of an educational intervention on knowledge about pre-conceptional workers among health workers in primary care and in performing pre-conceptional care actions</t>
  </si>
  <si>
    <t>U1111-1254-7700</t>
  </si>
  <si>
    <t>Knowledge Bases</t>
  </si>
  <si>
    <t>Natália de Castro Nascimento</t>
  </si>
  <si>
    <t>natalia.castro.nascimento@usp.br</t>
  </si>
  <si>
    <t>Escola de Enfermagem da USP</t>
  </si>
  <si>
    <t>Effect of Supplementation with Synbotic Ice Cream on the immune response health in general and parameters related to the gut-brain axis in military submitted to field training</t>
  </si>
  <si>
    <t>U1111-1254-4402</t>
  </si>
  <si>
    <t>Sleep Deprivation</t>
  </si>
  <si>
    <t>Adriane Elisabete Antunes</t>
  </si>
  <si>
    <t>(19) 3701-6742</t>
  </si>
  <si>
    <t>adriane@unicamp.br</t>
  </si>
  <si>
    <t>Faculdade de Ciências Aplicadas - Universidade Estadual de Campinas</t>
  </si>
  <si>
    <t>Incorporation of chlorhexidine into a soft relining resin for denture stomatitis treatment</t>
  </si>
  <si>
    <t>U1111-1239-2917</t>
  </si>
  <si>
    <t>Stomatitis,Denture</t>
  </si>
  <si>
    <t>Marcela Mendes Medeiros Michelon</t>
  </si>
  <si>
    <t>marcelamedeiros7@gmail.com</t>
  </si>
  <si>
    <t>Immediate effects on cervical mobility and maximum spiratory flow after Bilateral Manipulation of the First Rib in patients with Chronic Mechanical Cerlvicalgia ECA</t>
  </si>
  <si>
    <t>U1111-1249-9336</t>
  </si>
  <si>
    <t>Cervicalgia</t>
  </si>
  <si>
    <t>Effects of two gait retraining programs on pain functionality and lower limb kinematics in runners with patellofemoral pain: a randomized clinical trial with 6-months follow-up</t>
  </si>
  <si>
    <t>U1111-1243-4811</t>
  </si>
  <si>
    <t>Chondromalacia patellae</t>
  </si>
  <si>
    <t>José Roberto  de Souza Júnior</t>
  </si>
  <si>
    <t>Trindade</t>
  </si>
  <si>
    <t>joserobertofisio@gmail.com</t>
  </si>
  <si>
    <t>Effects of the regular performance of Supervised Resistance Training performed in a hospital and gym environment on Muscle Strength Lean Mass and Metabolic Control in Type 2 Sarcopenic Diabetic women in the post Menopause period</t>
  </si>
  <si>
    <t>U1111-1248-5587</t>
  </si>
  <si>
    <t>São Lourenço da Mata</t>
  </si>
  <si>
    <t>thyagosantoslira@gmail.com</t>
  </si>
  <si>
    <t>PPGCS/UPE - Programa de Pós-Graduação em Ciências da Saúde</t>
  </si>
  <si>
    <t>Ankle Test application in the assessment of ankle range of motion in professional soccer players</t>
  </si>
  <si>
    <t>U1111-1201-6293</t>
  </si>
  <si>
    <t>Soccer</t>
  </si>
  <si>
    <t>Igor Borges Silva</t>
  </si>
  <si>
    <t>Aacaju</t>
  </si>
  <si>
    <t>+55 (79) 30246067</t>
  </si>
  <si>
    <t>igor_fisio@yahoo.com.br</t>
  </si>
  <si>
    <t>universidade federal de sergipe</t>
  </si>
  <si>
    <t>The use of aromatherapy in humanized labor</t>
  </si>
  <si>
    <t>U111112454451</t>
  </si>
  <si>
    <t>Uterine Contraction,labor,Aromatherapy</t>
  </si>
  <si>
    <t>Rosimeire Ferreira Santos</t>
  </si>
  <si>
    <t>rosimeiref@gmail.com</t>
  </si>
  <si>
    <t>universidade federal do piaui</t>
  </si>
  <si>
    <t>Diagnosis of Appendicitis by Analysis of Peripheral Blood - Project APPENDIX</t>
  </si>
  <si>
    <t>A54400147053</t>
  </si>
  <si>
    <t>Acute appendicitis,unspecified</t>
  </si>
  <si>
    <t>Ricardo Francalacci Savaris</t>
  </si>
  <si>
    <t>+ 55 51 33598117</t>
  </si>
  <si>
    <t>rsavaris@hpca.edu.br</t>
  </si>
  <si>
    <t>Walking program for elderly hypertensive women</t>
  </si>
  <si>
    <t>U1111-1213-6458</t>
  </si>
  <si>
    <t>Eduardo Caldas Costa</t>
  </si>
  <si>
    <t>+55(84)32153451</t>
  </si>
  <si>
    <t>ecc@ufrnet.br</t>
  </si>
  <si>
    <t>Comparative study of Elixir Sanative® and Chlorexidine in alveolar cicatrization</t>
  </si>
  <si>
    <t>U1111-1252-0248</t>
  </si>
  <si>
    <t>Klinger de Souza Amorim</t>
  </si>
  <si>
    <t>klinger.amorim@outlook.com</t>
  </si>
  <si>
    <t>Evaluation of microcirculation of the oral mucosa using laser doppler flowmetry in patients receiving chemotherapy and radiotherapy</t>
  </si>
  <si>
    <t>U1111-1249-8580</t>
  </si>
  <si>
    <t>Evaluation of different doses of botulinum toxin type A for the treatment of gingival smile</t>
  </si>
  <si>
    <t>U1111-1247-4564</t>
  </si>
  <si>
    <t>Gingival smile</t>
  </si>
  <si>
    <t>Evaluation of the acceptance of healthy recipes developed for students between 09 and 15 years of Campinas / SP</t>
  </si>
  <si>
    <t>U1111-1229-6509</t>
  </si>
  <si>
    <t>Rosana Gomes Arruda Leite Bueno</t>
  </si>
  <si>
    <t>+55(19)998328062</t>
  </si>
  <si>
    <t>Rga.nutri@gmail.com</t>
  </si>
  <si>
    <t>Preoperative single-dose comparison of Ibuprofen versus Ibuprofen with Arginine in postoperative pain control in Endodontics: Double-blind randomized clinical trial</t>
  </si>
  <si>
    <t>U1111-1219-7194</t>
  </si>
  <si>
    <t>Amanda R Fischborn</t>
  </si>
  <si>
    <t>amandafischborn@hotmail.com</t>
  </si>
  <si>
    <t>Long-term clinical evaluation after surgical treatment of patients with Hirschsprungs disease: does the association of type B intestinal neuronal dysplasia worsen the results?</t>
  </si>
  <si>
    <t>06/30/2020</t>
  </si>
  <si>
    <t>U111112462544</t>
  </si>
  <si>
    <t>pedro.lourencao@unesp.br</t>
  </si>
  <si>
    <t>Faculdade de Medicina de Botucatu - Universidade Estadual Paulista Julio de Mesquita Filho (FMB-UNESP)</t>
  </si>
  <si>
    <t>Effectiveness of prayer on chronic kidney disease patients on hemodialysis</t>
  </si>
  <si>
    <t>U1111-1252-3149</t>
  </si>
  <si>
    <t>Joselany Áfio Caetano</t>
  </si>
  <si>
    <t>joselany@ufc.br</t>
  </si>
  <si>
    <t>Therapeutic effectiveness of COVID-19 convalescent plasma produced by HEMOPE: a multicenter randomized and controlled clinical trial</t>
  </si>
  <si>
    <t>06/29/2020</t>
  </si>
  <si>
    <t>U1111-1254-0612</t>
  </si>
  <si>
    <t>Demócrito de Barros Miranda Filho</t>
  </si>
  <si>
    <t>+55 081 999764712</t>
  </si>
  <si>
    <t>demofilho@gmail.com</t>
  </si>
  <si>
    <t>Condylar position evaluation after application of Botulinic toxin in patients with muscular TMD: a randomized clinical trial</t>
  </si>
  <si>
    <t>U1111-1248-6620</t>
  </si>
  <si>
    <t>Julian Antonio Calegari</t>
  </si>
  <si>
    <t>+55 19 35431400</t>
  </si>
  <si>
    <t>julian_calegari@hotmail.com</t>
  </si>
  <si>
    <t>UNIARARAS</t>
  </si>
  <si>
    <t>Interaction of food and light synchronization on sleep aspects cognition and headache in college students during the COVID-19 pandemic</t>
  </si>
  <si>
    <t>06/28/2020</t>
  </si>
  <si>
    <t>U1111-1253-9533</t>
  </si>
  <si>
    <t>Sleep Disorders/Circadian Rhythm,Feeding Behavior,Light,Depression,Anxiety,Fear,Psychological Stress,Memory,Headache</t>
  </si>
  <si>
    <t>Mirian Celly Medeiros Miranda David</t>
  </si>
  <si>
    <t>miriancelly@hotmail.com</t>
  </si>
  <si>
    <t>Safety Feasibility and Cardiovascular Benefits of a Home-Based Exercise Program in Patients with Sickle Cell Disease</t>
  </si>
  <si>
    <t>06/27/2020</t>
  </si>
  <si>
    <t>U1111-1210-0880</t>
  </si>
  <si>
    <t>Sickle-cell anaemia without crisis</t>
  </si>
  <si>
    <t>Jonas Alves Araujo Junior</t>
  </si>
  <si>
    <t>xonasxr@hotmail.com</t>
  </si>
  <si>
    <t>Faculdade de Medicina de Botucatu da Universidade Estadual Paulista Júlio de Mesquita Filho</t>
  </si>
  <si>
    <t>Physical Exercises X Orientations in Patients with Temporomandibular Joint Displacement: Randomized controlled blinded clinical Trial</t>
  </si>
  <si>
    <t>06/26/2020</t>
  </si>
  <si>
    <t>U1111-1254-0679</t>
  </si>
  <si>
    <t>Olga Dumont Flecha</t>
  </si>
  <si>
    <t>olgaflecha@gmail.com</t>
  </si>
  <si>
    <t>Influence of stress on symptoms of gastroesophageal reflux disease in adult patients</t>
  </si>
  <si>
    <t>U1111-1251-3709</t>
  </si>
  <si>
    <t>Gastroesophageal Reflux</t>
  </si>
  <si>
    <t>hidrofisiodea@yahoo.com.br</t>
  </si>
  <si>
    <t>Evaluation pulmonary rehabilitation and follow-up of individuals affected by Covid-19 after hospital high - treatment and clinical follow-up</t>
  </si>
  <si>
    <t>U1111-1254-1089</t>
  </si>
  <si>
    <t>Christiane Riedi Daniel</t>
  </si>
  <si>
    <t>criedi@unicentro.br</t>
  </si>
  <si>
    <t>Universidade Estadual do Centro Oeste</t>
  </si>
  <si>
    <t>Effects of powerbreathe® on hemodialysis quality of life: blind randomized clinical trial</t>
  </si>
  <si>
    <t>A92152015053</t>
  </si>
  <si>
    <t>Chronic Kidney Failure</t>
  </si>
  <si>
    <t>Pilates in patients with Chronic Pain</t>
  </si>
  <si>
    <t>U1111-1250-3113</t>
  </si>
  <si>
    <t>Anita Sampaio Coelho</t>
  </si>
  <si>
    <t>anitafisioterapia@hotmail.com</t>
  </si>
  <si>
    <t>Universidade Federal do Ceará (UFC)</t>
  </si>
  <si>
    <t>Influence of biomodification with Camellia sinensis encapsulated on chitosan nanoparticles on eroded dentin. Clinical and photographic longitudinal analysis of restorations</t>
  </si>
  <si>
    <t>06/25/2020</t>
  </si>
  <si>
    <t>U-1111-1245-1517</t>
  </si>
  <si>
    <t>Dental erosion</t>
  </si>
  <si>
    <t>Silmara Aparecida Milori Corona</t>
  </si>
  <si>
    <t>Faculdade de Odontologia de Ribeirão Preto</t>
  </si>
  <si>
    <t>Prospective randomized double-blind placebo-controlled study of the effects of the Transcranial Led Therapy Intervention (TLT) on anxiety and depression in patients with traumatic brain injury (TBI)</t>
  </si>
  <si>
    <t>U1111-1251-2172</t>
  </si>
  <si>
    <t>Larisse Ciríaco de Carvalho</t>
  </si>
  <si>
    <t>larisse-ciriaco@hotmail.com</t>
  </si>
  <si>
    <t>Centro Universitário UniFacid</t>
  </si>
  <si>
    <t>Prevention of white spot lesions in orthodontics: comparison of efficacy of fluoride varnish and xylitol varnish</t>
  </si>
  <si>
    <t>U1111-1250-0442</t>
  </si>
  <si>
    <t>Vinicius Augustus Merino da Silva</t>
  </si>
  <si>
    <t>vinisilva@usp.br</t>
  </si>
  <si>
    <t>Faculdade de Odontologia de Bauru/FOB/USP</t>
  </si>
  <si>
    <t>Systemic Effect of Periodontal Therapy on Risk Markers of Acute Cardiovascular Events</t>
  </si>
  <si>
    <t>06/24/2020</t>
  </si>
  <si>
    <t>U1111-1252-2386</t>
  </si>
  <si>
    <t>Mário Taba Júnior</t>
  </si>
  <si>
    <t>+55 016 3315-3000</t>
  </si>
  <si>
    <t>mtaba@forp.usp.br</t>
  </si>
  <si>
    <t>Faculdade de Odontologia de Ribeirão Preto,Universidade de São Paulo</t>
  </si>
  <si>
    <t>A Prospective randomized multicenter study comparing Transscleral Cyclophotocoagulation and Trabeculectomy as a Primary Surgical Procedure in Glaucoma</t>
  </si>
  <si>
    <t>A00731236173</t>
  </si>
  <si>
    <t>Open Angle Glaucoma</t>
  </si>
  <si>
    <t>Cláudia Gomide Franco</t>
  </si>
  <si>
    <t>claudiaoftalmo@outlook.com</t>
  </si>
  <si>
    <t>Centro de Referência em Oftalmologia da Universidade Federal de Goiás (CEROF-UFG)</t>
  </si>
  <si>
    <t>Neuromodulation applied to fibromyalgia (neurofibro): double-blind controlled clinical trial</t>
  </si>
  <si>
    <t>U1111-1251-8642</t>
  </si>
  <si>
    <t>Eliane Araújo de Oliveira</t>
  </si>
  <si>
    <t>elianeao@gmail.com</t>
  </si>
  <si>
    <t>Efficacy of antiseptic ointment in preventing of bacterial contamination on suture</t>
  </si>
  <si>
    <t>A06752828610</t>
  </si>
  <si>
    <t>Colony Count,Microbial</t>
  </si>
  <si>
    <t>Single implant-retained mandibular overdenture: non-randomized controlled clinical study</t>
  </si>
  <si>
    <t>U1111-1245-8687</t>
  </si>
  <si>
    <t>Aretha Heitor Verissimo</t>
  </si>
  <si>
    <t>+55 (84) 988141514</t>
  </si>
  <si>
    <t>aretha.heitor@gmail.com</t>
  </si>
  <si>
    <t>Brazilian study of patients with Immunomediated Chronic Inflammatory Diseases infected by the new Corona virus 2019 (Severe Acute Respiratory Syndrome Coronavirus 2 - SARS-COV-2) - Reumacov Brasil</t>
  </si>
  <si>
    <t>A692.571.594-34</t>
  </si>
  <si>
    <t>Severe Acute Respiratory Syndrome,Rheumatic Diseases</t>
  </si>
  <si>
    <t>cláudia diniz lopes marques</t>
  </si>
  <si>
    <t>55 (81) 92945459</t>
  </si>
  <si>
    <t>claudia.reumatologia@gmail.com</t>
  </si>
  <si>
    <t>Counseling therapeutic intervention for women with Depressive Symptoms in high-risk pregnancy</t>
  </si>
  <si>
    <t>U1111-1240-2384</t>
  </si>
  <si>
    <t>Depression,high-risk pregnancy</t>
  </si>
  <si>
    <t>Marlise de Oliveira Pimentel Lima</t>
  </si>
  <si>
    <t>moplima@usp.br</t>
  </si>
  <si>
    <t>Evaluation of the degree of Root Covering of Muller class I and II recessions using Connective Graft and L-PRF in the Flap Coronal Repositioning technique</t>
  </si>
  <si>
    <t>A00705048900</t>
  </si>
  <si>
    <t>Gingival recession with tooth root exposure</t>
  </si>
  <si>
    <t>Tatiane Cristina Caldeira Ulzefer</t>
  </si>
  <si>
    <t>55-51-981835145</t>
  </si>
  <si>
    <t>tatiane@ulzeferodontologia.com.br</t>
  </si>
  <si>
    <t>The use of an Emulsion formula of the type Therapeutic Ice Cream Of Paracetamol in the childrens Post-Operatory: a randomized clinical trial</t>
  </si>
  <si>
    <t>U1111-1248-7002</t>
  </si>
  <si>
    <t>Gustavo França Da Silva</t>
  </si>
  <si>
    <t>+55 63 99975-6472</t>
  </si>
  <si>
    <t>gustavosbg@gmail.com</t>
  </si>
  <si>
    <t>Universidade Luterana Do Brasil - ULBRA</t>
  </si>
  <si>
    <t>Effect of transcranial electrical stimulation on locomotion and balance after stroke</t>
  </si>
  <si>
    <t>U1111-1241-6366</t>
  </si>
  <si>
    <t>Tatiane Jesus Chagas</t>
  </si>
  <si>
    <t>tati.chagas@hotmail.com</t>
  </si>
  <si>
    <t>Clinical Characterisation Protocol for Severe Emerging Infections ISARIC/WHO: COVID-19</t>
  </si>
  <si>
    <t>U1111-1252-7966</t>
  </si>
  <si>
    <t>Coronaviruses infections</t>
  </si>
  <si>
    <t>Victor Côrtes Pourchet de Carvalho</t>
  </si>
  <si>
    <t>torcortes@yahoo.com.br</t>
  </si>
  <si>
    <t>Hospital Universitário Antônio Pedro</t>
  </si>
  <si>
    <t>Effect of low-power laser auriculotherapy on signs and symptoms of patients with muscular temporomandibular disorder. A comparative study</t>
  </si>
  <si>
    <t>U1111-1252-3204</t>
  </si>
  <si>
    <t>Marcio José Mendonça</t>
  </si>
  <si>
    <t>dr.mendonca@uol.com.br</t>
  </si>
  <si>
    <t>Collaborative approach in clinical simulation: new conduction proposal</t>
  </si>
  <si>
    <t>U1111-1240-6477</t>
  </si>
  <si>
    <t>Anxiety,Performance Anxiety</t>
  </si>
  <si>
    <t>Natália Del Angelo Aredes</t>
  </si>
  <si>
    <t>nataliadel.aredes@gmail.com</t>
  </si>
  <si>
    <t>Effects of Interferential Current upon HIV neuropathic pain</t>
  </si>
  <si>
    <t>U1111-1250-5144</t>
  </si>
  <si>
    <t>HIV Neuropathy</t>
  </si>
  <si>
    <t>Andressa de Souza</t>
  </si>
  <si>
    <t>andressasz@gmail.com</t>
  </si>
  <si>
    <t>Universidade La Salle</t>
  </si>
  <si>
    <t>Effect of telecare on elderly people with dementia and their caregiver</t>
  </si>
  <si>
    <t>U1111-1236-3228</t>
  </si>
  <si>
    <t>Carla Targino Bruno dos Santos</t>
  </si>
  <si>
    <t>+55(61)995995858</t>
  </si>
  <si>
    <t>carlatbsantos@gmail.com</t>
  </si>
  <si>
    <t>Universidade Federal de Brasília</t>
  </si>
  <si>
    <t>Analgesic efficacy of codeine phosphate in combination with paracetamol after extractions of impacted lower third molars</t>
  </si>
  <si>
    <t>06/22/2020</t>
  </si>
  <si>
    <t>U1111-1153-3317</t>
  </si>
  <si>
    <t>Tooth,Impacted</t>
  </si>
  <si>
    <t>Juiz De Fora</t>
  </si>
  <si>
    <t>Effectiveness of intervention in light of Roys adaptation model in ostomized people</t>
  </si>
  <si>
    <t>U1111-1251-0503</t>
  </si>
  <si>
    <t>People with intestinal ostomy</t>
  </si>
  <si>
    <t>Isabelle Katherinne Fernandes Costa</t>
  </si>
  <si>
    <t>isabellekfc@yahoo.com.br</t>
  </si>
  <si>
    <t>Feasibility of Using NIRS Technique for Mapping Cortical Hemodynamic Function and Studying the Functional Connectivity of the Human Brain</t>
  </si>
  <si>
    <t>U1111-1250-8825</t>
  </si>
  <si>
    <t>Obsessive-compulsive disorder</t>
  </si>
  <si>
    <t>Rafael Alves Heinze</t>
  </si>
  <si>
    <t>rafael.heinze@aluno.ufabc.edu.br</t>
  </si>
  <si>
    <t>Evaluation of the multidisciplinary training of the intensive care team on the conservative use of oxygen and reduction of hyperoxia in patients undergoing mechanical ventilation</t>
  </si>
  <si>
    <t>U1111-1252-3736</t>
  </si>
  <si>
    <t>Hyperoxia,Respiration,Artificial</t>
  </si>
  <si>
    <t>Edimar Pedrosa Gomes</t>
  </si>
  <si>
    <t>gomes.edimar@gmail.com</t>
  </si>
  <si>
    <t>Morphology and Phenotype Characteristics of Atherosclerotic Plaque in Patients with Acute Coronary Syndrome: Contemporary Optical Coherence Tomography Findings</t>
  </si>
  <si>
    <t>A+43605892809</t>
  </si>
  <si>
    <t>ADRIANO MENDES CAIXETA</t>
  </si>
  <si>
    <t>adriano.caixeta@einstein.br</t>
  </si>
  <si>
    <t>The Effectiveness of Combined Non-Pharmacological Interventions in the prevention and redution the duration of Delirium subtypes in critically ill patients</t>
  </si>
  <si>
    <t>U1111-1221-5579</t>
  </si>
  <si>
    <t>Delirium,transtornos neurocognitivos,delírios</t>
  </si>
  <si>
    <t>Tássia Nery Faustino</t>
  </si>
  <si>
    <t>tassiafaustino@yahoo.com.br</t>
  </si>
  <si>
    <t>Effects of Aquatic Physical Exercise on falls and risk factors in community-dwelling older people</t>
  </si>
  <si>
    <t>U1111-1235-2244</t>
  </si>
  <si>
    <t>Juliana Hotta Ansai</t>
  </si>
  <si>
    <t>55-016-981706424</t>
  </si>
  <si>
    <t>julianaansai@gmail.com</t>
  </si>
  <si>
    <t>Phototherapy and Aerobic Exercise in women with knee Osteoarthritis</t>
  </si>
  <si>
    <t>06/19/2020</t>
  </si>
  <si>
    <t>U1111-1251-1885</t>
  </si>
  <si>
    <t>Knee gonarthrosis/ Knee osteoarthritis</t>
  </si>
  <si>
    <t>Effects of beta-alanine supplementation in neuromuscular parameters of resistance-trained young men</t>
  </si>
  <si>
    <t>U1111-1247-9340</t>
  </si>
  <si>
    <t>Sports Nutritional Physiological Phenomena</t>
  </si>
  <si>
    <t>Julio Benvenutti Bueno de Camargo</t>
  </si>
  <si>
    <t>piracicaba</t>
  </si>
  <si>
    <t>julio.bbc@gmail.com</t>
  </si>
  <si>
    <t>Universidade Metodista de Piracicaba</t>
  </si>
  <si>
    <t>Voice quality of life and dysphagia in patients undergoing total laryngectomy with speech rehabilitation: prosthesis esophageal voice and electronic larynx: a multicenter study</t>
  </si>
  <si>
    <t>U1111-1252-1744</t>
  </si>
  <si>
    <t>Hugo Abensur</t>
  </si>
  <si>
    <t>caroline.pereira@bpsp.org.br</t>
  </si>
  <si>
    <t>Real e Benemérita Associação Portuguesa de Beneficência/SP</t>
  </si>
  <si>
    <t>Effect of Exergame on cardiorespiratory fitness of children and adolescents with Cystic Fibrosis: a clinical trial</t>
  </si>
  <si>
    <t>06/17/2020</t>
  </si>
  <si>
    <t>U1111-1244-7384</t>
  </si>
  <si>
    <t>Adriana Virgínia Barros Faiçal</t>
  </si>
  <si>
    <t>adriana.barros@ufba.br</t>
  </si>
  <si>
    <t>Randomized clinical trial on gastric tube placement in newborns using three measurement methods</t>
  </si>
  <si>
    <t>06/15/2020</t>
  </si>
  <si>
    <t>U1111-1240-8578</t>
  </si>
  <si>
    <t>Bruna Ferreira Ribeiro</t>
  </si>
  <si>
    <t>Belo horizonte</t>
  </si>
  <si>
    <t>brunafbh@hotmail.com</t>
  </si>
  <si>
    <t>Santa Casa de Misericórdia de Minas Gerais</t>
  </si>
  <si>
    <t>Combined Therapy (Ultrasound and Transcutaneous Eletrical Nerve Stimulation) improves Pain and Functional Limitation in post cesarean: a randomized clinical trial</t>
  </si>
  <si>
    <t>U1111-1198-6372</t>
  </si>
  <si>
    <t>Cesarean Section</t>
  </si>
  <si>
    <t>Curitiba/Brasil</t>
  </si>
  <si>
    <t>+55 041 33611619</t>
  </si>
  <si>
    <t>raciele_guarda@yahoo.com.br</t>
  </si>
  <si>
    <t>Universidade Federal Do Paraná</t>
  </si>
  <si>
    <t>Comparison between the Thoraco-abdominal Rebalancing method and Assisted Autogenous Drainage in the care of the Premature Neonate</t>
  </si>
  <si>
    <t>U1111-1251-2101</t>
  </si>
  <si>
    <t>Premature Newborn,preterm newborns</t>
  </si>
  <si>
    <t>Karen Cristine de Oliveira Azambuja</t>
  </si>
  <si>
    <t>+55(67)993020152</t>
  </si>
  <si>
    <t>karenc.azambuja@gmail.com</t>
  </si>
  <si>
    <t>The use of low-level laser in patients with tinnitus and without hearing loss</t>
  </si>
  <si>
    <t>U1111-1252-2497</t>
  </si>
  <si>
    <t>Carlos Ferreira dos Santos</t>
  </si>
  <si>
    <t>cfsantos@fob.usp.br</t>
  </si>
  <si>
    <t>Clinical somatosensory and psychosocial characterization of patients with painful temporomandibular joint clicking: a cross-section study</t>
  </si>
  <si>
    <t>U1111-1252-9597</t>
  </si>
  <si>
    <t>Rodrigo Lorenzi Poluha</t>
  </si>
  <si>
    <t>rodrigopoluha@gmail.com</t>
  </si>
  <si>
    <t>FACULDADE DE ODONTLOGIA DE BAURU</t>
  </si>
  <si>
    <t>Antimicrobial effects of treatment with Silver Diamine Fluoride compared to Chlorhexidine</t>
  </si>
  <si>
    <t>10/16/2018</t>
  </si>
  <si>
    <t>U1111-1220-9223</t>
  </si>
  <si>
    <t>Determining factors of prognosis and morbidity in Chronic Chagas Heart Disease - phase III</t>
  </si>
  <si>
    <t>U1111-1247-0604</t>
  </si>
  <si>
    <t>Crissia Carem Paiva Fontainha</t>
  </si>
  <si>
    <t>Effect of Transcranial Direct Current Stimulation on the physical fitness of children and adolescents with Cerebral Palsy: a crossover placebo-controlled double-blind study</t>
  </si>
  <si>
    <t>U1111-1253-0773</t>
  </si>
  <si>
    <t>Cerebral palsy,physical fitness</t>
  </si>
  <si>
    <t>Caio Roberto Aparecido Paschoal Castro</t>
  </si>
  <si>
    <t>+55(11)960466070</t>
  </si>
  <si>
    <t>caio.paschoal11@hotmail.com</t>
  </si>
  <si>
    <t>Use of Tranexamic Acid in Bariatric surgery (Sleeve) x bleeding outcome: a controlled study</t>
  </si>
  <si>
    <t>U1111-1249-4076</t>
  </si>
  <si>
    <t>Ciro Sousa Moura Fe</t>
  </si>
  <si>
    <t>cirosousademouraf@yahoo.com.br</t>
  </si>
  <si>
    <t>HOSPITAL SÃO DOMINGOS</t>
  </si>
  <si>
    <t>Monocentric phase I clinical study to assess the tolerability safety and pharmacokinetics of sublingual melatonin gel in healthy research participants (PPES 003/19)</t>
  </si>
  <si>
    <t>U1111-1234-8179</t>
  </si>
  <si>
    <t>Karini Bruno Bellorio</t>
  </si>
  <si>
    <t>karini.bellorio@icf.com.br</t>
  </si>
  <si>
    <t>Instituto de Ciências Farmacêuticas</t>
  </si>
  <si>
    <t>A prospective observational study of vascular complications in critically ill patients with covid-19</t>
  </si>
  <si>
    <t>U1111-1252-1318</t>
  </si>
  <si>
    <t>Luis CU Nakano</t>
  </si>
  <si>
    <t>luiscnakano@uol.com.br</t>
  </si>
  <si>
    <t>Disciplina de Cirurgia Vascular e Endovascular da Universidade Federal de São Paulo</t>
  </si>
  <si>
    <t>Eculizumab for the treatment of Covid-19 severe cases</t>
  </si>
  <si>
    <t>A10741034670</t>
  </si>
  <si>
    <t>Coronavirus disease</t>
  </si>
  <si>
    <t>Bruno Garcia Pires</t>
  </si>
  <si>
    <t>+55(16)3602-2294</t>
  </si>
  <si>
    <t>brunogarciapires@gmail.com</t>
  </si>
  <si>
    <t>Randomized clinical trial: Effect of a physiotherapeutic protocol in greater trochanteric pain syndrome in women</t>
  </si>
  <si>
    <t>U1111-1234-0705</t>
  </si>
  <si>
    <t>Trochanteric bursitis. Gluteal tendinitis</t>
  </si>
  <si>
    <t>Guilherme Thomaz de Aquino Nava</t>
  </si>
  <si>
    <t>gtanava@gmail.com</t>
  </si>
  <si>
    <t>Universidade Estadual Paulista,Faculdade de Filosofia e Ciências</t>
  </si>
  <si>
    <t>Uncontrolled experimental study: pre and postoperative tissue evaluation using computed tomography of a series of cases with class II Dentoeskeletal deformity surgically treated</t>
  </si>
  <si>
    <t>A44656513091</t>
  </si>
  <si>
    <t>Everton Santos Rosa</t>
  </si>
  <si>
    <t>zazai547@gmail.com</t>
  </si>
  <si>
    <t>Evaluation of efficacy and efficiency of clear aligners for solving incisor crowding in the mixed dentition: a randomized clinical trial</t>
  </si>
  <si>
    <t>U1111-1250-0495</t>
  </si>
  <si>
    <t>Primary crowding in the mixed dentition</t>
  </si>
  <si>
    <t>Full versus prophylactic heparinization for the treatment of severe forms of SARS-Covid-19: clinical randomized open and controlled study - HeSAcovid trial</t>
  </si>
  <si>
    <t>U1111-1251-4283</t>
  </si>
  <si>
    <t>covid-19,acute respiratory distress syndrome</t>
  </si>
  <si>
    <t>Carlos Henrique Miranda</t>
  </si>
  <si>
    <t>chmiranda@fmrp.usp.br</t>
  </si>
  <si>
    <t>Study of the effectiveness and efficiency of a new family of single-focal and multifocal introcular lenses under the Customized Cataract Solution project</t>
  </si>
  <si>
    <t>U1111-1252-4994</t>
  </si>
  <si>
    <t>João Marcelo de Almeida Gusmão Lyra</t>
  </si>
  <si>
    <t>Effects of high intensity combined training on subclinical atherosclerosis and cardiometabolic factors in elderly women</t>
  </si>
  <si>
    <t>s U1111-1251-6858</t>
  </si>
  <si>
    <t>DAVID JUNGER ALVES</t>
  </si>
  <si>
    <t>davidjunger@hotmail.com</t>
  </si>
  <si>
    <t>Instituto Federal de Goiás</t>
  </si>
  <si>
    <t>Evaluation with point-of-care ultrasound in serious patients with COVID-19</t>
  </si>
  <si>
    <t>U1111-1252-1143</t>
  </si>
  <si>
    <t>Effects of Long-Term Physical Activity Programs on Physical Capacity Body Composition and Symptoms of Anxiety and Depression in Women</t>
  </si>
  <si>
    <t>U1111-1252-5444</t>
  </si>
  <si>
    <t>Alex Harley Crisp</t>
  </si>
  <si>
    <t>+55 19 3124-1515</t>
  </si>
  <si>
    <t>alexhcrisp@gmail.com</t>
  </si>
  <si>
    <t>Effects of vitamin D3 supplementation on inflammation and oxidative stress markers in overweight and obese women: a randomized double-blind placebo-controlled clinical trial</t>
  </si>
  <si>
    <t>U1111-1245-5668</t>
  </si>
  <si>
    <t>José Luiz Brito Alves</t>
  </si>
  <si>
    <t>jose_luiz_61@hotmail.com</t>
  </si>
  <si>
    <t>Assessment of primary skin irritability accumulation and awareness of products for through the contact test</t>
  </si>
  <si>
    <t>A+18654235802</t>
  </si>
  <si>
    <t>Mindfulness Based Protocol for Stress Reduction among Workers in a Brazilian University: Randomized Clinical Trial</t>
  </si>
  <si>
    <t>U1111-1179-7619</t>
  </si>
  <si>
    <t>Edilaine Gherardi Donato</t>
  </si>
  <si>
    <t>55 (16) 3315-4321</t>
  </si>
  <si>
    <t>nane@eerp.usp.br</t>
  </si>
  <si>
    <t>Implant surgeries using 3D prototyped guide x Freehanded surgery: controlled and randomized split-mouth clinical trial</t>
  </si>
  <si>
    <t>U1111-1250-5594</t>
  </si>
  <si>
    <t>Dental Implantation</t>
  </si>
  <si>
    <t>Fausto Frizzera</t>
  </si>
  <si>
    <t>FAESA Centro Universitário</t>
  </si>
  <si>
    <t>Evaluation of quality of life improvement after total knee artrhroplaty</t>
  </si>
  <si>
    <t>B25144120644</t>
  </si>
  <si>
    <t>Marco Antonio Percope de Andrade</t>
  </si>
  <si>
    <t>mapa.bhz@terra.com.br</t>
  </si>
  <si>
    <t>Influence of wrist constraint on shoulder muscle coordination and upper extremity kinematic during reaching-to-grasp tasks</t>
  </si>
  <si>
    <t>U1111-1232-6581</t>
  </si>
  <si>
    <t>Helga Tatiana Tucci</t>
  </si>
  <si>
    <t>helga.tucci@unifesp.br</t>
  </si>
  <si>
    <t>Low Frequency Ultrasound associated to application of Copaíba and Melaleuca Oil in process of healing of Venous Ulcers: Controlled and Randomized Clinical Study</t>
  </si>
  <si>
    <t>U1111-1197-7164</t>
  </si>
  <si>
    <t>Varicose Ulcer,Varicose veins of other specified sites</t>
  </si>
  <si>
    <t>Luana Nunes Caldini</t>
  </si>
  <si>
    <t>caldiniluana@gmail.com</t>
  </si>
  <si>
    <t>Prospective randomized clinical study for bone repair after grafting on human maxillary sinuses</t>
  </si>
  <si>
    <t>U1111-1251-7170</t>
  </si>
  <si>
    <t>Bruno Mendes</t>
  </si>
  <si>
    <t>brunocoelho.mnds@gmail.com</t>
  </si>
  <si>
    <t>Randomized pragmatic double-blind placebo-controlled clinical study evaluation of Hydroxychloroquine for prevention of hospitalizations and respiratory complications in outpatients with confirmed or probable diagnosis of COVID-19</t>
  </si>
  <si>
    <t>A27736297878</t>
  </si>
  <si>
    <t>Mechanical ventilator for use in patients with respiratory failure due to Covid-19</t>
  </si>
  <si>
    <t>U1111-1252-8144</t>
  </si>
  <si>
    <t>Diamantino Ribeiro Salgado</t>
  </si>
  <si>
    <t>d.salgado@globo.com</t>
  </si>
  <si>
    <t>Hospital Universitário Clementino Fraga Filho</t>
  </si>
  <si>
    <t>Effects of photobiomodulation on orofacial muscles</t>
  </si>
  <si>
    <t>U1111-1251-2838</t>
  </si>
  <si>
    <t>Clinical trial of botulinum toxin and facial anesthetic infiltration in tinnitus intensity in patients with temporomandibular disorder</t>
  </si>
  <si>
    <t>U1111-1223-8328</t>
  </si>
  <si>
    <t>Temporomandibular Joint Disorders,Otoneurological Diseases,Quality of Life,Bruxism</t>
  </si>
  <si>
    <t>Iza Cristiina Salles De Castro</t>
  </si>
  <si>
    <t>dra.cristinasalles@gmail.com</t>
  </si>
  <si>
    <t>Hospital Universitário Professor Edgard Santos/UFBA</t>
  </si>
  <si>
    <t>Effect of Ondansetron on the threshold of thermal and mechanical pain and conditioned modulation of pain in humans</t>
  </si>
  <si>
    <t>U1111-1232-3630</t>
  </si>
  <si>
    <t>Bruno Vitor Santiago</t>
  </si>
  <si>
    <t>55-021-998124018</t>
  </si>
  <si>
    <t>druerj2013@gmail.com</t>
  </si>
  <si>
    <t>Preventive intervention in reducing risk factors for the development of Eating Disorders and their effectiveness in increasing Intuitive Eating Body Appreciation and Self-esteem in young adults: a randomized controlled clinical trial</t>
  </si>
  <si>
    <t>U1111-1251-1218</t>
  </si>
  <si>
    <t>Thainá Richelli Oliveira Resende</t>
  </si>
  <si>
    <t>GOVERNADOR VALADARES</t>
  </si>
  <si>
    <t>thaina.richelli@gmail.com</t>
  </si>
  <si>
    <t>Universidade Federal de Juiz de Fora - Campus Governador Valadares</t>
  </si>
  <si>
    <t>Use of phototherapy on autograft viability in burned participants</t>
  </si>
  <si>
    <t>U1111-1244-3156</t>
  </si>
  <si>
    <t>Burns.Transplantation,Autologous.Wound Healing.Pain</t>
  </si>
  <si>
    <t>José Carlos Tatmatsu Rocha</t>
  </si>
  <si>
    <t>tatmatsu@ufc.br</t>
  </si>
  <si>
    <t>Fluoride soluble in HCl 0.01 N found in MFP/CaCO3 - based toothpaste as indicator of fluoride systemically bioavailable</t>
  </si>
  <si>
    <t>U1111-1250-0605</t>
  </si>
  <si>
    <t>Dental fluorosis</t>
  </si>
  <si>
    <t>Deborah Caldas da Rocha</t>
  </si>
  <si>
    <t>deborahrackel@gmail.com</t>
  </si>
  <si>
    <t>Clinical and Thermographic Evaluation of Conventional and High-Power Laser Gingivectomy - Split Mouth Controlled Clinical Trial</t>
  </si>
  <si>
    <t>05/29/2020</t>
  </si>
  <si>
    <t>U1111-1251-6141</t>
  </si>
  <si>
    <t>Gingival Overgrowth</t>
  </si>
  <si>
    <t>Daliana Queiroga de Castro Gomes</t>
  </si>
  <si>
    <t>+55 83 33153471</t>
  </si>
  <si>
    <t>dqcgomes@hotmail.com</t>
  </si>
  <si>
    <t>Comparative evaluation of two motivation programs carried out during Therapy Basic Periodontal disease in patients with Gingival and Periodontal Disease</t>
  </si>
  <si>
    <t>05/28/2020</t>
  </si>
  <si>
    <t>U1111-1250-4580</t>
  </si>
  <si>
    <t>chronic periodontitis</t>
  </si>
  <si>
    <t>Natália Karol de Andrade</t>
  </si>
  <si>
    <t>karol.andrade.odonto@hotmail.com</t>
  </si>
  <si>
    <t>Centro de Estudos Superiores de Maceió</t>
  </si>
  <si>
    <t>Evaluation of the effect of support therapies for Temporomandibular Disorders (TMD) about physical psychosocial and related to sleep</t>
  </si>
  <si>
    <t>03/30/2020</t>
  </si>
  <si>
    <t>U1111-1248-3332</t>
  </si>
  <si>
    <t>Karen Oliveira Peixoto</t>
  </si>
  <si>
    <t>karenoliveirap@hotmail.com</t>
  </si>
  <si>
    <t>Risk factors related to difficulty in adaptation to new mandibular complete denture</t>
  </si>
  <si>
    <t>U1111-1250-3818</t>
  </si>
  <si>
    <t>Adriana da Fonte Porto Carreiro</t>
  </si>
  <si>
    <t>adrianadafonte@hotmail.com</t>
  </si>
  <si>
    <t>Open and controlled trial of hydroxychloroquine and azytromicyn use to prevent complications in patients infected by new coronavirus (COVID-19): a randomized controlled trial</t>
  </si>
  <si>
    <t>30161220.0.1001.0060</t>
  </si>
  <si>
    <t>non specified coronavirus infection/ coronavirus</t>
  </si>
  <si>
    <t>Alexandre Biasi Cavalcanti</t>
  </si>
  <si>
    <t>11-3053-6611 ramal 8102</t>
  </si>
  <si>
    <t>abiasi@hcor.com.br</t>
  </si>
  <si>
    <t>Hospital do Coração</t>
  </si>
  <si>
    <t>Impact of Topical Application of nanoparticulate Curcumin in the treatment of Oral Lichen Planus lesions</t>
  </si>
  <si>
    <t>U1111-1251-6397</t>
  </si>
  <si>
    <t>Lichen planus</t>
  </si>
  <si>
    <t>Mariely Araújo Godoi</t>
  </si>
  <si>
    <t>marielygodoi@gmail.com</t>
  </si>
  <si>
    <t>Evaluation of transmissibility and muscular activation in upper limbs of the elderly during the exercise of whole-body vibration</t>
  </si>
  <si>
    <t>U1111-1231-5531</t>
  </si>
  <si>
    <t>Joyce Noelly Vitor Santos</t>
  </si>
  <si>
    <t>joyce_noelly@outlook.com</t>
  </si>
  <si>
    <t>Randomized Nutritional Intervention Study in Overweight Elderly submitted to Strength Training</t>
  </si>
  <si>
    <t>U1111-1251-6304</t>
  </si>
  <si>
    <t>André dos Santos Costa</t>
  </si>
  <si>
    <t>558199330-4141</t>
  </si>
  <si>
    <t>prof.andrecosta.def.ufpe@gmail.com</t>
  </si>
  <si>
    <t>Effect of low-level laser therapy on the performance of the orbicularis oris muscle</t>
  </si>
  <si>
    <t>A07026232614</t>
  </si>
  <si>
    <t>Andréa Rodrigues Motta</t>
  </si>
  <si>
    <t>andreamotta19@gmail.com</t>
  </si>
  <si>
    <t>A comparative bioavailability study of three formulations of primaquine in healthy volunteers</t>
  </si>
  <si>
    <t>U1111-1231-9766</t>
  </si>
  <si>
    <t>Malaria vivax</t>
  </si>
  <si>
    <t>(5521)38659568</t>
  </si>
  <si>
    <t>A comparative bioavailability study of two formulations of chloroquine in healthy volunteers</t>
  </si>
  <si>
    <t>U1111-1252-6561</t>
  </si>
  <si>
    <t>Vivax Malaria,Coronavirus innfections</t>
  </si>
  <si>
    <t>Accuracy of oscillometric blood pressure measurement in adults: analysis in ideal and non-ideal conditions of measurement</t>
  </si>
  <si>
    <t>01/25/2020</t>
  </si>
  <si>
    <t>U1111-1238-5001</t>
  </si>
  <si>
    <t>Nila Larisse Silva de Albuquerque</t>
  </si>
  <si>
    <t>larisseufc@hotmail.com</t>
  </si>
  <si>
    <t>Assessment of dental arch space maintenance after deciduous molar early loss: randomized clinical trial</t>
  </si>
  <si>
    <t>A08647799925</t>
  </si>
  <si>
    <t>Maria Eduarda Evangelista</t>
  </si>
  <si>
    <t>mariaeduardae@hotmail.com</t>
  </si>
  <si>
    <t>Procalcitonin-guided Antibioticotherapy in critical patients with suspected Sepsis in a university hospital</t>
  </si>
  <si>
    <t>A32428395874</t>
  </si>
  <si>
    <t>Phydel Palmeira Carvalho</t>
  </si>
  <si>
    <t>Poções</t>
  </si>
  <si>
    <t>phydel_ppc@yahoo.com.br</t>
  </si>
  <si>
    <t>Randomized comparative single blinded clinical trial on the effectiveness and safety of microneedling in the treatment of androgenetic alopecia</t>
  </si>
  <si>
    <t>U111112249743</t>
  </si>
  <si>
    <t>Aline Blanco Barbosa</t>
  </si>
  <si>
    <t>alibbarbosa@yahoo.com.br</t>
  </si>
  <si>
    <t>Hospital São Paulo</t>
  </si>
  <si>
    <t>Effect of low-level laser therapy in the functional of temporomandibular joint</t>
  </si>
  <si>
    <t>U1111-1241-3582</t>
  </si>
  <si>
    <t>Medication adherence in patients with a history of Myocardial Infarction: randomized clinical trial</t>
  </si>
  <si>
    <t>U1111-1251-2303</t>
  </si>
  <si>
    <t>Myocardial infarction</t>
  </si>
  <si>
    <t>Rafaela Batista dos Santos Pedrosa</t>
  </si>
  <si>
    <t>rpedrosa@unicamp.br</t>
  </si>
  <si>
    <t>Acute effects of Noninvasive Ventilation on sleep physiology in patients with stable moderate to severe Chronic Obstructive Pulmonary Disease (COPD)</t>
  </si>
  <si>
    <t>U1111-1250-7023</t>
  </si>
  <si>
    <t>Juliana Arcanjo Lino</t>
  </si>
  <si>
    <t>FORTALEZA</t>
  </si>
  <si>
    <t>juarcanjolino@hotmail.com</t>
  </si>
  <si>
    <t>Effect of consumption of Acai (Euterpe oleracea Mart.) on late pain recovery and exercise-induced muscle damage: clinical randomized crossover double-masked and controlled placebo study</t>
  </si>
  <si>
    <t>A05945546674</t>
  </si>
  <si>
    <t>Lucilene Rezende Anastácio</t>
  </si>
  <si>
    <t>+55 031 34096917</t>
  </si>
  <si>
    <t>lucilenerezende@ufmg.br</t>
  </si>
  <si>
    <t>Efect of violet LED light on bleaching associated hydrogen peroxide: a randomized clinical trial</t>
  </si>
  <si>
    <t>A04010041390</t>
  </si>
  <si>
    <t>Jordana Almeida Brito</t>
  </si>
  <si>
    <t>SAO LUIS</t>
  </si>
  <si>
    <t>+55 (98)991621338</t>
  </si>
  <si>
    <t>jordanabritoa@gmail.com</t>
  </si>
  <si>
    <t>Univercidade ceuma</t>
  </si>
  <si>
    <t>Effectiveness of computed tomography with three-dimensional reconstruction in the diagnosis of panfacial fractures</t>
  </si>
  <si>
    <t>A+06752828610</t>
  </si>
  <si>
    <t>Fractures,bone</t>
  </si>
  <si>
    <t>32 88113967</t>
  </si>
  <si>
    <t>matcarodonto@yahoo.com.br</t>
  </si>
  <si>
    <t>Effectiveness of auriculoacupuncture on stress anxiety and depression in nursing professionals</t>
  </si>
  <si>
    <t>A+09559315684</t>
  </si>
  <si>
    <t>Bianca Bacelar de Assis</t>
  </si>
  <si>
    <t>bibacelar@hotmail.com</t>
  </si>
  <si>
    <t>Effectiveness of intralesional Betametasone versus Triancinolone Acetonide in the treatment of Alopecia Areata</t>
  </si>
  <si>
    <t>A95895191304</t>
  </si>
  <si>
    <t>Alopecia areata</t>
  </si>
  <si>
    <t>Vando Barbosa de Sousa</t>
  </si>
  <si>
    <t>SOBRAL</t>
  </si>
  <si>
    <t>drvandosousa@gmail.com</t>
  </si>
  <si>
    <t>Universidade Federal do Ceará,Campus Sobral</t>
  </si>
  <si>
    <t>Pain functionality and fragility of Physiotherapy service users submitted to a Pain Education Program</t>
  </si>
  <si>
    <t>A03536555977</t>
  </si>
  <si>
    <t>Marina Pegoraro Baroni</t>
  </si>
  <si>
    <t>marinapegoraro@hotmail.com</t>
  </si>
  <si>
    <t>Universidade Estadual do Centro-Oestre</t>
  </si>
  <si>
    <t>Randomized clinical trial of Physical Activity and Meditation for Stress reduction: implications for Cardiovascular Risk and Biomarkers</t>
  </si>
  <si>
    <t>05/22/2020</t>
  </si>
  <si>
    <t>A 68738013053</t>
  </si>
  <si>
    <t>Fabiana Brum Haag</t>
  </si>
  <si>
    <t>fabiana.haag@uffs.edu.br</t>
  </si>
  <si>
    <t>Fundação Universitária de Cardiologia de Porto Alegre</t>
  </si>
  <si>
    <t>Use of Photodynamic Therapy in the Microbiological Remission of Supragingival Biofilms adhered to dental surface</t>
  </si>
  <si>
    <t>U1111-1251-7728</t>
  </si>
  <si>
    <t>Isabela Barbosa Quero</t>
  </si>
  <si>
    <t>isabela.quero@usp.br</t>
  </si>
  <si>
    <t>Faculdade de Odontologia de Ribeirão Preto/Universidade de São Paulo - FORP/USP</t>
  </si>
  <si>
    <t>Effect of manual therapy on the vagus nerve pathway in the cardiac autonomic nervous system in individuals with chronic musculoskeletal pain: a controlled and randomized study</t>
  </si>
  <si>
    <t>U1111-1250-0593</t>
  </si>
  <si>
    <t>Musculoskeletal pain,Chronic Pain</t>
  </si>
  <si>
    <t>Pedro Teixeira Vidinha Rodrigues</t>
  </si>
  <si>
    <t>+55(22)25224489</t>
  </si>
  <si>
    <t>pvidinha@hotmail.com</t>
  </si>
  <si>
    <t>Evaluation of the patency of diverse types of accesses for hemodialysis in the hospital of clinics of UFMG. Prospective study</t>
  </si>
  <si>
    <t>U1111-1247-8805</t>
  </si>
  <si>
    <t>Renal Dialysis,Vascular Surgical Procedures,Vascular Fistula</t>
  </si>
  <si>
    <t>Guilherme de Castro Santos</t>
  </si>
  <si>
    <t>+55 31 3409-9759</t>
  </si>
  <si>
    <t>gcs2000@gmail.com</t>
  </si>
  <si>
    <t>Analysis of the clinical profile of diabetic patients with periodontitis before and after probiotic therapy</t>
  </si>
  <si>
    <t>A41793158827</t>
  </si>
  <si>
    <t>The role of Nasal Irrigation with Corticosteroids in the control of Chronic Rhinosinusitis in the preoperative period: a randomized clinical trial</t>
  </si>
  <si>
    <t>U1111-1250-2864</t>
  </si>
  <si>
    <t>Chronic rhinosinusitis</t>
  </si>
  <si>
    <t>Gabriela Ricci Lima Luz Matsumoto</t>
  </si>
  <si>
    <t>gabirll@yahoo.com.br</t>
  </si>
  <si>
    <t>Quantification of endotoxins and its relation with signs and symptoms: single X multiple-visits - one year follow-up by CBCT analysis</t>
  </si>
  <si>
    <t>03/27/2018</t>
  </si>
  <si>
    <t>U1111-1208-4918</t>
  </si>
  <si>
    <t>Association of low power laser and shortwave diathermy in non-specific low back pain</t>
  </si>
  <si>
    <t>U1111-1128-2311</t>
  </si>
  <si>
    <t>Speech Therapy Performance in Vestibular Rehabilitation</t>
  </si>
  <si>
    <t>U1111-1252-3492</t>
  </si>
  <si>
    <t>Labyrinth Diseases</t>
  </si>
  <si>
    <t>Alanna Stefany de Lima Evangelista</t>
  </si>
  <si>
    <t>55-084-999813328</t>
  </si>
  <si>
    <t>alannastefany@outlook.com</t>
  </si>
  <si>
    <t>Clinical trial to evaluate efficacy safety and time of remission of Oral Isotretinoin in low dose compared to Doxycycline Hydrochloride in the treatment of papule pustular Rosacea</t>
  </si>
  <si>
    <t>A29008154870</t>
  </si>
  <si>
    <t>Papule-pustular rosacea</t>
  </si>
  <si>
    <t>Fabíola Rosa Picosse</t>
  </si>
  <si>
    <t>+55(11)999336183</t>
  </si>
  <si>
    <t>bioepm@yahoo.com.br</t>
  </si>
  <si>
    <t>Universidade Federal De São Paulo - UNIFESP</t>
  </si>
  <si>
    <t>Does arthrocentesis associated with infiltration of hyaluronic acid or platelet-rich plasma improve interincisal mouth opening and painful symptoms in temporomandibular joint disorders</t>
  </si>
  <si>
    <t>A12473159750</t>
  </si>
  <si>
    <t>Transtornos da articulação temporomandibular</t>
  </si>
  <si>
    <t>Thais Pimentel Bahia</t>
  </si>
  <si>
    <t>Evaluation of fadigue of the patient with heart and lung disease undergoing physical exercise</t>
  </si>
  <si>
    <t>U1111-1250-2377</t>
  </si>
  <si>
    <t>Michel Silva Reis</t>
  </si>
  <si>
    <t>Effectiveness of the application of low-frequency transcutaneous electrical nerve stimulation associated with vocal therapy in dysphonic women: clinical trial controlled randomized and blind</t>
  </si>
  <si>
    <t>U1111-1245-0688</t>
  </si>
  <si>
    <t>dysphonia</t>
  </si>
  <si>
    <t>Faculdade de Odontologia de Bauru Universidade de São Paulo</t>
  </si>
  <si>
    <t>dep-fono@fob.usp.br</t>
  </si>
  <si>
    <t>Energy expenditure gait and Quality of Life assessment of individuals with Transtibial and Transfemoral Amputation undergoing rehabilitation protocol: pre and post prosthesis</t>
  </si>
  <si>
    <t>U1111-1239-4209</t>
  </si>
  <si>
    <t>Leticia Vargas Almeida</t>
  </si>
  <si>
    <t>campinas</t>
  </si>
  <si>
    <t>(55)1935217000</t>
  </si>
  <si>
    <t>levargasdealmeida@gmail.com</t>
  </si>
  <si>
    <t>Efficacy of Multicomponent Training associated with Whole Body Vibration on falls risk and quality of life in osteoporotic older adults : randomized controlled trial</t>
  </si>
  <si>
    <t>U111112428114</t>
  </si>
  <si>
    <t>Maria das Graças Araújo</t>
  </si>
  <si>
    <t>Cidade Universitária</t>
  </si>
  <si>
    <t>Epidemiological and demographic data collect from women Urinary Incontinence</t>
  </si>
  <si>
    <t>U1111-1251-6824</t>
  </si>
  <si>
    <t>Fernando Gonçalves de Almeida</t>
  </si>
  <si>
    <t>fernandourologia@hotmail.com</t>
  </si>
  <si>
    <t>Motivational Interview and text messaging post-discharge for supporting tobacco use cessation</t>
  </si>
  <si>
    <t>U1111-1211-6573</t>
  </si>
  <si>
    <t>Tobacco use cessation,Tobacco use</t>
  </si>
  <si>
    <t>External causes of morbidity and mortality</t>
  </si>
  <si>
    <t>Lígia Menezes do Amaral</t>
  </si>
  <si>
    <t>ligia.amaral2013@gmail.com</t>
  </si>
  <si>
    <t>Analysis of the Mobility of critical patients submitted to Physiotherapeutic Intervention in relation to Perme Escore</t>
  </si>
  <si>
    <t>06/18/2018</t>
  </si>
  <si>
    <t>U1111-1215-1362</t>
  </si>
  <si>
    <t>Eliane Maria de Carvalho</t>
  </si>
  <si>
    <t>+55 34 32182968</t>
  </si>
  <si>
    <t>elianemc@ufu.br</t>
  </si>
  <si>
    <t>Acute Effects of Exergames and Traditional Continuous Exercise on Anxiety-State Levels in young women after exposure to Unpleasant Stimuli</t>
  </si>
  <si>
    <t>05/19/2020</t>
  </si>
  <si>
    <t>U1111-1250-8749</t>
  </si>
  <si>
    <t>Anxiety disorder,unspecified</t>
  </si>
  <si>
    <t>Ricardo Borges Viana</t>
  </si>
  <si>
    <t>vianaricardoborges@hotmail.com</t>
  </si>
  <si>
    <t>Faculdade de Educação Física e Dança da Universidade Federal de Goiás</t>
  </si>
  <si>
    <t>Investigation of adherence to treatment in patients with glaucoma</t>
  </si>
  <si>
    <t>U1111-1230-8643</t>
  </si>
  <si>
    <t>Ricardo Yuji Abe</t>
  </si>
  <si>
    <t>ricardoabe85@yahoo.com.br</t>
  </si>
  <si>
    <t>Hospital Oftalmologico de Brasilia</t>
  </si>
  <si>
    <t>In vivo evaluation of the osteoinductive action of low-power laser on bone formation of the median palatal suture after rapid maxillary expansion</t>
  </si>
  <si>
    <t>U1111-1250-3198</t>
  </si>
  <si>
    <t>Orthodontics Interceptive,Palatal Expansion Technique,Bone Regeneration,Laser Therapy</t>
  </si>
  <si>
    <t>Fábio Lourenço Romano</t>
  </si>
  <si>
    <t>16 3315 4146</t>
  </si>
  <si>
    <t>fabioromano@forp.usp.br</t>
  </si>
  <si>
    <t>School of Dentistry of Ribeirão Preto</t>
  </si>
  <si>
    <t>Maintenance of Post-Extraction Alveolar Sockets with Vestibular Bone Defect</t>
  </si>
  <si>
    <t>11/24/2017</t>
  </si>
  <si>
    <t>U1111-1204-1746</t>
  </si>
  <si>
    <t>Loss of Alveolar Bone in post-extraction alveolar sockets with vestibular bone defects</t>
  </si>
  <si>
    <t>Elcio Marcantonio Junior</t>
  </si>
  <si>
    <t>+55(16)33016378</t>
  </si>
  <si>
    <t>elciojr@foar.unesp.br</t>
  </si>
  <si>
    <t>Faculdade de Odontologia de Araraquara-Unesp</t>
  </si>
  <si>
    <t>Acute Kidney Injury in Infectious Coronavirus Disease: a study on incidence risk factors and mortality</t>
  </si>
  <si>
    <t>05/18/2020</t>
  </si>
  <si>
    <t>U1111-1251-0281</t>
  </si>
  <si>
    <t>Proposal of Activities in Food and Nutrition Education to Stimulate Child Development</t>
  </si>
  <si>
    <t>U111112431959</t>
  </si>
  <si>
    <t>Effect of Alkalinization of the 2% Articaine Hydrochloride Solution with Epinephrine 1: 200.000 on anesthetic efficiency in infiltration in the maxilla Crossover randomized clinical trial</t>
  </si>
  <si>
    <t>U1111-1233-1642</t>
  </si>
  <si>
    <t>Vanessa Tavares da Silva Fontes</t>
  </si>
  <si>
    <t>+55 079 999293385</t>
  </si>
  <si>
    <t>vanessa.tavares.se@gmail.com</t>
  </si>
  <si>
    <t>Effects of Ursolic Acid Supplementation Associated with a Physical Activity and Nutritional Program in Women with Metabolic Syndrome: A Randomized Double-Blind Placebo-Controlled Clinical Trial</t>
  </si>
  <si>
    <t>A32472917848</t>
  </si>
  <si>
    <t>Efficacy of aerobic training in immunological and neurotrophic parameters and in clinical measures in subjects with Parkinsons disease: a randomized clinical trial</t>
  </si>
  <si>
    <t>02/26/2019</t>
  </si>
  <si>
    <t>U1111-1224-7422</t>
  </si>
  <si>
    <t>Aline Gonçalves Gomes</t>
  </si>
  <si>
    <t>(31) 982322137</t>
  </si>
  <si>
    <t>aline.ggomes@hotmail.com</t>
  </si>
  <si>
    <t>Dose-response effect of strength training on the rehabilitation of patients with patellofemoral pain syndrome: a randomized controlled trial</t>
  </si>
  <si>
    <t>A03187983014</t>
  </si>
  <si>
    <t>Nathalia Trevisol de Oliveira</t>
  </si>
  <si>
    <t>nathaliato.fisio@gmail.com</t>
  </si>
  <si>
    <t>Use of convalescent plasma submitted to pathogen inactivation for the treatment of patients with severe COVID-19</t>
  </si>
  <si>
    <t>05/15/2020</t>
  </si>
  <si>
    <t>U1111-1251-9286</t>
  </si>
  <si>
    <t>Pedro Kurtz</t>
  </si>
  <si>
    <t>Ro de Janeiro</t>
  </si>
  <si>
    <t>kurtzpedro@mac.com</t>
  </si>
  <si>
    <t>Instituto Estadual do Cérebro Paulo Niemeyer</t>
  </si>
  <si>
    <t>Efficacy of Articular Mobilization and Kinesiotherapy in the functionality of the hands of patients with Systemic Sclerosis - controlled and randomized clinical trial</t>
  </si>
  <si>
    <t>06/17/2019</t>
  </si>
  <si>
    <t>U1111-1225-9535</t>
  </si>
  <si>
    <t>Andréa Tavares Dantas</t>
  </si>
  <si>
    <t>andreatdantas@gmail.com</t>
  </si>
  <si>
    <t>Are brief educational materials containing information derived from clinical practice guidelines able to change the beliefs of patients with Low Back Pain? A randomized clinical trial</t>
  </si>
  <si>
    <t>U1111-1239-4804</t>
  </si>
  <si>
    <t>Back pain,low back pain</t>
  </si>
  <si>
    <t>Leandro Martins Dinis</t>
  </si>
  <si>
    <t>55 31 3409 7407</t>
  </si>
  <si>
    <t>leandrofisioac@gmail.com</t>
  </si>
  <si>
    <t>Departamento de Fisioterapia,Universidade Federal de Minas Gerais (UFMG),Belo Horizonte,Minas Gerais,Brasil</t>
  </si>
  <si>
    <t>Comparative study on the use of toothpaste with 5% potasium nitrate before the whitening process</t>
  </si>
  <si>
    <t>U1111-1250-4555</t>
  </si>
  <si>
    <t>Carlos Andrés Dávila</t>
  </si>
  <si>
    <t>Quito</t>
  </si>
  <si>
    <t>Ecuador</t>
  </si>
  <si>
    <t>+593 9 62794879</t>
  </si>
  <si>
    <t>cadavilas@usfq.edu.ec</t>
  </si>
  <si>
    <t>San Francisco of Quito University</t>
  </si>
  <si>
    <t>Clinical evaluation of the effect of Epigallocatechin-3-gallate in the restorative treatment of Abfraction lesions</t>
  </si>
  <si>
    <t>U1111-1249-3206</t>
  </si>
  <si>
    <t>Lisiane Martins Fracasso</t>
  </si>
  <si>
    <t>lisi_mf@hotmail.com</t>
  </si>
  <si>
    <t>FORP - Faculdade de Odontologia de Ribeirão Preto</t>
  </si>
  <si>
    <t>Effectiveness of pulpectomy in primary molars with Feapex paste containing calcium hydroxide and iodoform: prospective clinical study in babies from 1 to 3 years old</t>
  </si>
  <si>
    <t>U1111-1245-9415</t>
  </si>
  <si>
    <t>Isabel Cristina Olegário</t>
  </si>
  <si>
    <t>Balbriggan</t>
  </si>
  <si>
    <t>Ireland</t>
  </si>
  <si>
    <t>isabel.olegariodacosta@dental.tcd.ie</t>
  </si>
  <si>
    <t>Effects of Eletroacupuncture in Anxiety control in patients submitted to Exodontia of third party mollars</t>
  </si>
  <si>
    <t>05/13/2020</t>
  </si>
  <si>
    <t>U1111-1236-3933</t>
  </si>
  <si>
    <t>Liane Almeida Souza Maciel</t>
  </si>
  <si>
    <t>odontoliu@gmail.com</t>
  </si>
  <si>
    <t>Effect of Physical Exercise on the lipid and inflammatory profiles of young women in continuous Oral Contraceptive use</t>
  </si>
  <si>
    <t>U1111-1231-6187</t>
  </si>
  <si>
    <t>Grupo Nobre de Ensino Ltda</t>
  </si>
  <si>
    <t>The effectiveness of auricular acupuncture in the duration of exclusive and complementary breastfeeding: a randomized clinical trial</t>
  </si>
  <si>
    <t>U1111-1243-9090</t>
  </si>
  <si>
    <t>Lactation disorders</t>
  </si>
  <si>
    <t>Juliana Stefanello - Marinho</t>
  </si>
  <si>
    <t>(14)3315-3405</t>
  </si>
  <si>
    <t>julianas@eerp.usp.br</t>
  </si>
  <si>
    <t>University of São Paulo at Ribeirão Preto College of Nursing</t>
  </si>
  <si>
    <t>The effectiveness of a Dance Therapy and Free Dance protocol on the psychological aspects of patients undergoing adjuvant treatment for Breast Cancer: o corpo para além da doença</t>
  </si>
  <si>
    <t>A - 00763827967</t>
  </si>
  <si>
    <t>How the maxillary sinus dimensation can influence the speed and quality of bone formation?</t>
  </si>
  <si>
    <t>09/19/2017</t>
  </si>
  <si>
    <t>U1111-1173-9435</t>
  </si>
  <si>
    <t>Alveolar bone loss</t>
  </si>
  <si>
    <t>Transverse dentoalveolar evaluation using different time intervals in arch changes in patients treated with passive self-ligating brackets</t>
  </si>
  <si>
    <t>A35349985884</t>
  </si>
  <si>
    <t>Murilo Henrique Cruz</t>
  </si>
  <si>
    <t>murilohcruz@hotmail.com</t>
  </si>
  <si>
    <t>Phenylephrine infusion to prevent arterial hypotension in Obese pregnant women undergoing cesarean section under spinal anesthesia</t>
  </si>
  <si>
    <t>U1111-1250-7223</t>
  </si>
  <si>
    <t>Luis Fernando Corrêa de Souza Augusto Martins</t>
  </si>
  <si>
    <t>+55 065 99968-9616</t>
  </si>
  <si>
    <t>drlfmartins@globo.com</t>
  </si>
  <si>
    <t>Hospital Universitário Júlio Muller</t>
  </si>
  <si>
    <t>Comparison between three ways of orthodontic appliance bonding to teeth</t>
  </si>
  <si>
    <t>U1111-1250-8140</t>
  </si>
  <si>
    <t>Anomalies of tooth position,Malocclusion,unspecified</t>
  </si>
  <si>
    <t>Carolina Ribeiro Starling</t>
  </si>
  <si>
    <t>carolribeirostarling@gmail.com</t>
  </si>
  <si>
    <t>Faculdade de Odontologia da Universidade Federal da Bahia</t>
  </si>
  <si>
    <t>Body image self-compassion and self-esteem in young university students: A preventive intervention</t>
  </si>
  <si>
    <t>A09684591616</t>
  </si>
  <si>
    <t>Clara Mockdece Neves</t>
  </si>
  <si>
    <t>claramockdece.neves@ufjf.edu.br</t>
  </si>
  <si>
    <t>Universidade Federal de Juiz de Fora campus Governador Valadares</t>
  </si>
  <si>
    <t>Periodized Vocal Training with sound tongue trills technique in women with vocal complaints: clinical trial</t>
  </si>
  <si>
    <t>U1111-1245-1255</t>
  </si>
  <si>
    <t>+55 014 3235-8000</t>
  </si>
  <si>
    <t>fob@usp.br</t>
  </si>
  <si>
    <t>Acute Effect of Coffee Intake on Blood Pressure and Endothelial Function in Uncontrolled Hypertensive patients</t>
  </si>
  <si>
    <t>01/13/2020</t>
  </si>
  <si>
    <t>U1111-1221-3012</t>
  </si>
  <si>
    <t>Essential Hypertension (Primary)</t>
  </si>
  <si>
    <t>Flávia Garcia Castro</t>
  </si>
  <si>
    <t>flaviagarcia.nut@gmail.com</t>
  </si>
  <si>
    <t>Effect of a complementary practice based on comedy films during hemodialysis in the levels of stress anxiety depression and quality of life</t>
  </si>
  <si>
    <t>U1111-1220-5174</t>
  </si>
  <si>
    <t>Efficacy of adding the Dynamic Taping method to guideline-endorsed based physiotherapy exercises in athletes with Chronic Patellar Tendinopathy: a randomised controlled trial</t>
  </si>
  <si>
    <t>U1111-1197-7516</t>
  </si>
  <si>
    <t>Chronic Patellar Tendinopathy</t>
  </si>
  <si>
    <t>Rodrigo Ribeiro de Oliveira</t>
  </si>
  <si>
    <t>55-85-33668632</t>
  </si>
  <si>
    <t>rodrigo@ufc.br</t>
  </si>
  <si>
    <t>Tendon Research Group</t>
  </si>
  <si>
    <t>Effectiveness of auricular acupuncture in breastfeeding: a randomized clinical trial</t>
  </si>
  <si>
    <t>U1111-1198-5885</t>
  </si>
  <si>
    <t>Juliana Stefanello</t>
  </si>
  <si>
    <t>The effect of Augmented Feedback on lower limb and trunk kinematics during a Classical Ballet jump: randomized controlled trial</t>
  </si>
  <si>
    <t>U1111-1213-3338</t>
  </si>
  <si>
    <t>Anelise Moreti Cabral</t>
  </si>
  <si>
    <t>+55 016 3351-6575</t>
  </si>
  <si>
    <t>anelise.moreti@hotmail.com</t>
  </si>
  <si>
    <t>Study of two patterns of protein distribution on muscular hypertrophy and strength in young men submit to strength training</t>
  </si>
  <si>
    <t>A10303429461</t>
  </si>
  <si>
    <t>Muscle Development,Muscle Strength</t>
  </si>
  <si>
    <t>José Henrique da Costa Tavares Filho</t>
  </si>
  <si>
    <t>jh_ct@hotmail.com</t>
  </si>
  <si>
    <t>Influence of Resistance Training on blood pressure and heart rate control in Hypertensive elderly women</t>
  </si>
  <si>
    <t>A01188501488</t>
  </si>
  <si>
    <t>Essential Hypertension</t>
  </si>
  <si>
    <t>Filipe Fernandes Oliveira-Dantas</t>
  </si>
  <si>
    <t>+55(84)32215349</t>
  </si>
  <si>
    <t>filipepersonal@hotmail.com</t>
  </si>
  <si>
    <t>Effectiveness of two different Training approaches in body composition (cc) and cardiorespiratory resistance (rc) in an interdisciplinary program for adults with Overweight or Obesity</t>
  </si>
  <si>
    <t>U1111-1250-7215</t>
  </si>
  <si>
    <t>+55 (44) 3027-6360</t>
  </si>
  <si>
    <t>Evaluation of postoperative sensitivity in further restrictions applying a conventional adhesive in dentina ummida vs. dry: randomized double-blind clinical test</t>
  </si>
  <si>
    <t>U1111-1212-0485</t>
  </si>
  <si>
    <t>Dental carie. Dentin sensitivity. Dental Restoration. Permanent</t>
  </si>
  <si>
    <t>Botulinum Toxin A for the Treatment of Hidradenitis Suppurative Axillaris: Randomized Clinical Trial</t>
  </si>
  <si>
    <t>U1111-1233-7192</t>
  </si>
  <si>
    <t>Hidradenitis Suppurativa</t>
  </si>
  <si>
    <t>Lais de Abreu Mutti</t>
  </si>
  <si>
    <t>laisabreu@yahoo.com.br</t>
  </si>
  <si>
    <t>Universidade Federal de São Paulo- UNIFESP</t>
  </si>
  <si>
    <t>Prematurity: risk factors and childhood development</t>
  </si>
  <si>
    <t>A194.789.738-19</t>
  </si>
  <si>
    <t>Cristiane Aparecida Moran</t>
  </si>
  <si>
    <t>cristianemoran@gmail.com</t>
  </si>
  <si>
    <t>Quantification of knee ligament injury risk in youth athletes and in professional athletes from different sports before and after functional interventions</t>
  </si>
  <si>
    <t>A27745440840</t>
  </si>
  <si>
    <t>Evaluation of Bloodletting as a Method of Immediate Control of Blood Pressure in Patients submitted to Procedures</t>
  </si>
  <si>
    <t>U1111-1250-0980</t>
  </si>
  <si>
    <t>7999847-9236</t>
  </si>
  <si>
    <t>Faculdade de Odontologia de Piracicaba- Universidade de Campinas</t>
  </si>
  <si>
    <t>Evaluation of tooth sensitivity after in office dental bleaching applying whitening gel with and without desensitizing agent - randomized clinical trial triple blind</t>
  </si>
  <si>
    <t>U1111-1188-6972</t>
  </si>
  <si>
    <t>+55 (45) 3220 3740</t>
  </si>
  <si>
    <t>Self-esteem body image and composition and quality of life of elderly women participating in a resistance exercise program</t>
  </si>
  <si>
    <t>A08124363420</t>
  </si>
  <si>
    <t>Samaris Aprígio de Souza</t>
  </si>
  <si>
    <t>Mossoro</t>
  </si>
  <si>
    <t>samarisalbino@gmail.com</t>
  </si>
  <si>
    <t>Faculdade de Ciências da Saúde</t>
  </si>
  <si>
    <t>Hearing aids effects on elderly cognition attention and memory</t>
  </si>
  <si>
    <t>U1111-1250-9090</t>
  </si>
  <si>
    <t>Sensorineural hearing loss</t>
  </si>
  <si>
    <t>Danilo Euclides Fernandes</t>
  </si>
  <si>
    <t>defernandes@unifesp.br</t>
  </si>
  <si>
    <t>Evaluation of post-operative sensitivity in posterior restorations with an adhesive system applied on moist vs. Dry dentin: a double-blind randomized clinical trial</t>
  </si>
  <si>
    <t>06/27/2017</t>
  </si>
  <si>
    <t>U1111-1188-8439</t>
  </si>
  <si>
    <t>Dental carie,Dentin sensitivity. Dental Restoration,Permanent</t>
  </si>
  <si>
    <t>Evaluation of dental bleaching sensitivity at home applying bleaching gel with and without desensitizing agent - randomized triple blind clinical trial</t>
  </si>
  <si>
    <t>03/28/2017</t>
  </si>
  <si>
    <t>U1111-1188-7003</t>
  </si>
  <si>
    <t>Evaluation of the use of Hydroxychlorochine in patients with discrete form of Covid-19: randomized clinical trial</t>
  </si>
  <si>
    <t>U1111-1250-7492</t>
  </si>
  <si>
    <t>Marcos Aurelio Barboza de Oliveira</t>
  </si>
  <si>
    <t>Sinop</t>
  </si>
  <si>
    <t>maboliveira@gmail.com</t>
  </si>
  <si>
    <t>Hospital Santo Antônio</t>
  </si>
  <si>
    <t>Evaluation of the efficacy and safety of pharmacological inhibition of bradykinin for the treatment of Covid-19</t>
  </si>
  <si>
    <t>U1111-1250-1843</t>
  </si>
  <si>
    <t>Coronavirus pneumonia</t>
  </si>
  <si>
    <t>Lício Augusto Velloso</t>
  </si>
  <si>
    <t>+55 19 3521-2695</t>
  </si>
  <si>
    <t>lavelloso@fcm.unicamp.br</t>
  </si>
  <si>
    <t>Influence of anti-reflux mattress adapter on the amount of gastroesophageal reflux in adult patients with symptoms of gastroesophageal reflux disease</t>
  </si>
  <si>
    <t>11/14/2017</t>
  </si>
  <si>
    <t>U1111-1202-6555</t>
  </si>
  <si>
    <t>Gastroesophageal Reflux. Gastroesophageal reflux with esophagitis</t>
  </si>
  <si>
    <t>Influence of genetic polymorphisms in physical fitness functional capacity incidence of falls and response to Physical Training in elderly</t>
  </si>
  <si>
    <t>02/20/2018</t>
  </si>
  <si>
    <t>U1111-1208-0175</t>
  </si>
  <si>
    <t>Prehypertension</t>
  </si>
  <si>
    <t>Carlos Bueno Bueno Júnior</t>
  </si>
  <si>
    <t>+55(16)33150346</t>
  </si>
  <si>
    <t>buenojr@usp.br</t>
  </si>
  <si>
    <t>Development of Teaching Models for Imaging Planes Ecocardiographic in dogs and cats</t>
  </si>
  <si>
    <t>U1111-1249-3116</t>
  </si>
  <si>
    <t>Veterinary medicine students at UFPR. There are no particular health conditions or problems that are being prevented or tracked</t>
  </si>
  <si>
    <t>Simone Totes de Oliveira Stedile</t>
  </si>
  <si>
    <t>tostesimone@gmail.com</t>
  </si>
  <si>
    <t>Impact of photobiomodulation in the salivary flow of patients treated with radiotherapy and chemotherapy for head and neck cancer: double blind and randomized pilot study</t>
  </si>
  <si>
    <t>U1111-1236-4960</t>
  </si>
  <si>
    <t>Raylane Farias de Albuquerque</t>
  </si>
  <si>
    <t>+55 81 981515139</t>
  </si>
  <si>
    <t>nanealbuquerque_@hotmail.com</t>
  </si>
  <si>
    <t>Impact of an exercise protocol based on the Pilates Method on oxidative stress and functionality of Diabetics type 2</t>
  </si>
  <si>
    <t>U1111-1219-4375</t>
  </si>
  <si>
    <t>Grupo de Pesquisas em Fisioterapia Avaliativa e Te GPFAT</t>
  </si>
  <si>
    <t>Vitamin D deficiency in children and adolescents with Type I Diabetes Mellitus: influence of vitamin D supplementation and Fok-I polymorphism on glycemic control</t>
  </si>
  <si>
    <t>04/30/2020</t>
  </si>
  <si>
    <t>U1111-1244-5182</t>
  </si>
  <si>
    <t>Patricia Padilha</t>
  </si>
  <si>
    <t>patricia@nutricao.ufrj.br</t>
  </si>
  <si>
    <t>Effect of ingestion of supposedly thermogenic teas on metabolism energy feeling full and eating in individuals</t>
  </si>
  <si>
    <t>U1111-1246-4584</t>
  </si>
  <si>
    <t>thermogenesis</t>
  </si>
  <si>
    <t>Effect of a Physical Training Program Through Virtual Rehabilitation in Individuals with Hypertension</t>
  </si>
  <si>
    <t>U1111-1250-1374</t>
  </si>
  <si>
    <t>João Paulo Prado</t>
  </si>
  <si>
    <t>+55 35 37011921</t>
  </si>
  <si>
    <t>joao.pauloenf@yahoo.com</t>
  </si>
  <si>
    <t>Comparison of Root Coverage Techniques</t>
  </si>
  <si>
    <t>A03006578384</t>
  </si>
  <si>
    <t>Samuel Batista Borges</t>
  </si>
  <si>
    <t>+55 (84) 3215-4100</t>
  </si>
  <si>
    <t>sborges1990@gmail.com</t>
  </si>
  <si>
    <t>Association of the mobility level of critically ill patients with the successful withdrawal of mechanical ventilation</t>
  </si>
  <si>
    <t>A38700821861</t>
  </si>
  <si>
    <t>LIRIA YURI YAMAUCHI</t>
  </si>
  <si>
    <t>liria_yamauchi@yahoo.com.br</t>
  </si>
  <si>
    <t>Universiidade Federal de São paulo</t>
  </si>
  <si>
    <t>Effectiveness longevity and sensitivity of in-office dental bleaching with the use of violet light: randomized clinical trial</t>
  </si>
  <si>
    <t>U1111-1200-9552</t>
  </si>
  <si>
    <t>sandra.moraes@upe.com.br</t>
  </si>
  <si>
    <t>Characterization of the clinical-epidemiological profile on Inflammatory Bowel Disease in a prospective cohort at referral outpatient clinic unit in some States in the Northeast of Brazil</t>
  </si>
  <si>
    <t>A754.290.634-87</t>
  </si>
  <si>
    <t>Crohn Disease,Colitis,Ulcerative</t>
  </si>
  <si>
    <t>Carlos Alexandre Antunes de Brito</t>
  </si>
  <si>
    <t>+55 081 991277732</t>
  </si>
  <si>
    <t>cbrito@gmail.com</t>
  </si>
  <si>
    <t>Instituto Autoimune</t>
  </si>
  <si>
    <t>Effect of allegedly thermogenic tea intake on metabolism energy feeling full and food intake of individuals with excess of Weight</t>
  </si>
  <si>
    <t>U1111-1246-4904</t>
  </si>
  <si>
    <t>Thermogenesis</t>
  </si>
  <si>
    <t>Metabolics effects and body composition of individuals submitted to Intermittent Fasting or Continuous Caloric Restriction</t>
  </si>
  <si>
    <t>A85731552649</t>
  </si>
  <si>
    <t>Wilson César De Abreu</t>
  </si>
  <si>
    <t>wilson@ufla.br</t>
  </si>
  <si>
    <t>Effect of a Martial Arts-Based Program on Cognitive Functions Academic Performance and Physical Ability in elementary school students</t>
  </si>
  <si>
    <t>U1111-1242-2348</t>
  </si>
  <si>
    <t>Harrison Vinícius Silva</t>
  </si>
  <si>
    <t>+55(81)987454596</t>
  </si>
  <si>
    <t>harrison.silva@ufpe.br</t>
  </si>
  <si>
    <t>Universidade Federal de Pernambuco - UFPE</t>
  </si>
  <si>
    <t>Minimally invasive treatment of approximal carious lesions: a randomized clinical trial</t>
  </si>
  <si>
    <t>U1111-1234-4579</t>
  </si>
  <si>
    <t>Carolina Doege Brusius</t>
  </si>
  <si>
    <t>caroldoege@yahoo.com.br</t>
  </si>
  <si>
    <t>UFRGS</t>
  </si>
  <si>
    <t>Transcranial direct current stimulation effects in muscle fatigue in amateur runners</t>
  </si>
  <si>
    <t>U1111-1245-6799</t>
  </si>
  <si>
    <t>Muscular fatigue</t>
  </si>
  <si>
    <t>Fernanda Ishida Côrrea</t>
  </si>
  <si>
    <t>Direct laryngoscopy or videolaryngoscopy intubation in patients without difficult airway predictors. Randomized Trial in Teaching and Training Center</t>
  </si>
  <si>
    <t>U1111-1245-8806</t>
  </si>
  <si>
    <t>Respiratory disorder,unspecified</t>
  </si>
  <si>
    <t>Analysis of the effects of single and dual task in elderly people infected with toxoplasma gondii: A randomized controlled trial double blind</t>
  </si>
  <si>
    <t>U1111-1250-7124</t>
  </si>
  <si>
    <t>Toxoplasma gondii</t>
  </si>
  <si>
    <t>Neildja Maria da Silva</t>
  </si>
  <si>
    <t>55(84)987212004</t>
  </si>
  <si>
    <t>neildjamaria@gmail.com</t>
  </si>
  <si>
    <t>Faculdade de ciências da saúde do trairi-UFRN</t>
  </si>
  <si>
    <t>Effect of the Pilates method and Segmental Stabilization in the elderly with non-specific chronic Low back pain: randomized clinical trial</t>
  </si>
  <si>
    <t>U1111-1250-5842</t>
  </si>
  <si>
    <t>Ariela Torres Cruz</t>
  </si>
  <si>
    <t>Barra Mansa</t>
  </si>
  <si>
    <t>ariela_tcruz@yahoo.com.br</t>
  </si>
  <si>
    <t>Centro Universitário de Barra Mansa</t>
  </si>
  <si>
    <t>Identification of taste changes and nutritional implications in cancer patients</t>
  </si>
  <si>
    <t>U1111-1250-5710</t>
  </si>
  <si>
    <t>Marina Garcia Manochio</t>
  </si>
  <si>
    <t>fa_nutricao@hotmail.com</t>
  </si>
  <si>
    <t>Effectiveness of a protocol based on rt-pcr and serology tests for sars-cov-2 for the preservation of the healthcare workforce during covid-19 pandemia in Brazil: a parallel group randomized clinical trial</t>
  </si>
  <si>
    <t>U1111-1251-0177</t>
  </si>
  <si>
    <t>Cleandro Pires de Albuquerque</t>
  </si>
  <si>
    <t>+55(61)992094076</t>
  </si>
  <si>
    <t>cleandro.albuquerque@gmail.com</t>
  </si>
  <si>
    <t>Effect of Probiotic Supplementation on inflammatory and cardiovascular risk markers indicators of nutritional status clinical parameters and symptoms of depression and anxiety in individuals with Cardiovascular Diseases</t>
  </si>
  <si>
    <t>02/20/2020</t>
  </si>
  <si>
    <t>U1111-1247-1608</t>
  </si>
  <si>
    <t>Ricardo Fernandes</t>
  </si>
  <si>
    <t>DOURADOS</t>
  </si>
  <si>
    <t>+55 67 3410-2320</t>
  </si>
  <si>
    <t>ricardofernandes@ufgd.edu.br</t>
  </si>
  <si>
    <t>Universidade Federal da Grande Dourados - UFGD</t>
  </si>
  <si>
    <t>Care practices aimed at the female population under deprivation of liberty in a prison unit</t>
  </si>
  <si>
    <t>U1111-1250-5688</t>
  </si>
  <si>
    <t>Jeferson Barbosa Silva</t>
  </si>
  <si>
    <t>+55 83 3216-7136</t>
  </si>
  <si>
    <t>jefersonbarbosasilva@gmail.com</t>
  </si>
  <si>
    <t>Comparison of mucosal healing with the use of suture and biological glue in retained third molar surgery: a pilot project</t>
  </si>
  <si>
    <t>U1111-1250-2235</t>
  </si>
  <si>
    <t>Fernando de Oliveira Andriola</t>
  </si>
  <si>
    <t>fernandoandriola@gmail.com</t>
  </si>
  <si>
    <t>Prevention of radiodermatitis in cancer patients: a randomized clinical trial</t>
  </si>
  <si>
    <t>U1111-1236-4662</t>
  </si>
  <si>
    <t>Amanda Gomes de Menêses</t>
  </si>
  <si>
    <t>amanda.gdmeneses@gmail.com</t>
  </si>
  <si>
    <t>Evaluation of two polyethylene plastic bags to prevent admission hypothermia in preterm babies less than 34 weeks of gestational age</t>
  </si>
  <si>
    <t>07/24/2018</t>
  </si>
  <si>
    <t>U1111-1217-1026</t>
  </si>
  <si>
    <t>Ana Luiza Castro Possidente</t>
  </si>
  <si>
    <t>+55 011-983217983</t>
  </si>
  <si>
    <t>izapossidente@gmail.com</t>
  </si>
  <si>
    <t>Faculdade de Ciências Médicas da Universidade Estadual de Campinas</t>
  </si>
  <si>
    <t>Physical Rehabilitation in the cirrhotic individual</t>
  </si>
  <si>
    <t>04/27/2020</t>
  </si>
  <si>
    <t>U111112367585</t>
  </si>
  <si>
    <t>Hepatical Cirrhosis</t>
  </si>
  <si>
    <t>Danusa  Rossi</t>
  </si>
  <si>
    <t>danusafisio@gmail.com</t>
  </si>
  <si>
    <t>Effect of Leucine and Beta-hydroxy-beta-methyl-butyrate supplementation on nutritional status lean mass functionality biochemical and molecular markers of patients on the waiting list for liver transplantation</t>
  </si>
  <si>
    <t>U1111-1234-9207</t>
  </si>
  <si>
    <t>Agnaldo Soares Lima</t>
  </si>
  <si>
    <t>ag.soares.lima@gmail.com</t>
  </si>
  <si>
    <t>Santa Casa de Misericoridia de Belo Horizonte</t>
  </si>
  <si>
    <t>Evaluation of the Effect of Laser Acupuncture on Pain and Edema after Extraction of Impacted Lower Third Molars</t>
  </si>
  <si>
    <t>U1111-1226-3516</t>
  </si>
  <si>
    <t>Marconi Gonzaga Tavares</t>
  </si>
  <si>
    <t>marconigt@hotmail.com</t>
  </si>
  <si>
    <t>Instituto de Gestão Estratégica do Distrito Federal</t>
  </si>
  <si>
    <t>Retrospective evaluation and randomized clinical trial of posterior direct restorations performed in dental specialty centers</t>
  </si>
  <si>
    <t>U1111-1247-1460</t>
  </si>
  <si>
    <t>Suellen Linares Lima</t>
  </si>
  <si>
    <t>suellenlinareslima@gmail.com</t>
  </si>
  <si>
    <t>Analysis of the nutritional status and eating habits of adults with DOWN SYNDROME and their main caregivers in the process of health education and nutritional intervention</t>
  </si>
  <si>
    <t>U1111-1249-3449</t>
  </si>
  <si>
    <t>Down syndrome,obesity</t>
  </si>
  <si>
    <t>Pâmella Pollyanna Braga Carra Costela</t>
  </si>
  <si>
    <t>pamellabraga@usp.br</t>
  </si>
  <si>
    <t>Faculdade de medicina da USP</t>
  </si>
  <si>
    <t>Phase I/II clinical trial with expanded ex vivo Natural Killer (NK) cells to treat Acute Myeloid Leukemia (AML)</t>
  </si>
  <si>
    <t>U1111-1226-7224</t>
  </si>
  <si>
    <t>Acute myeloid leukaemia,Myelodysplastic syndrome,unspecified</t>
  </si>
  <si>
    <t>Effects of Manual Therapy versus an Exercises Program on Low Back Pain in karate fighters: randomized clinical trial</t>
  </si>
  <si>
    <t>U1111-1236-8484</t>
  </si>
  <si>
    <t>Rayssa do Nascimento Araujo</t>
  </si>
  <si>
    <t>ceilândia</t>
  </si>
  <si>
    <t>+55 (061) 986316512</t>
  </si>
  <si>
    <t>fisio.edf@gmail.com</t>
  </si>
  <si>
    <t>centro universitário unieuro</t>
  </si>
  <si>
    <t>Efficacy of Auriculotherapy in Analgesia of chronic pain caused by Chikungunya: randomized controlled clinical trial</t>
  </si>
  <si>
    <t>B96250895353</t>
  </si>
  <si>
    <t>Eusébio</t>
  </si>
  <si>
    <t>Comparative evaluation of two chemical gel adjuvants in the treatment of Chronic periodontitis: chlorhexidine 1% x melaleuca 2.5% a double blind randomized controlled clinical study</t>
  </si>
  <si>
    <t>U1111-1207-4811</t>
  </si>
  <si>
    <t>Effect of caffeine supplementation at physical performance and balance redox during a high-intensity interval training (HIIT) protocol</t>
  </si>
  <si>
    <t>A04399521902</t>
  </si>
  <si>
    <t>Caffeine</t>
  </si>
  <si>
    <t>Tácito Pessoa Souza Junior</t>
  </si>
  <si>
    <t>tacitojr@me.com</t>
  </si>
  <si>
    <t>Education intervention to promote the resilience of adolescents in poverty situation</t>
  </si>
  <si>
    <t>A04184083358</t>
  </si>
  <si>
    <t>Maria Isabelly Fernandes da Costa</t>
  </si>
  <si>
    <t>Palmácia</t>
  </si>
  <si>
    <t>+ 55 85 997453844</t>
  </si>
  <si>
    <t>isabellyfernandes165@yahoo.com.br</t>
  </si>
  <si>
    <t>Clinical Study for Dermatological Evaluation of Anti-cellulite Acceptability and Effectiveness</t>
  </si>
  <si>
    <t>U1111-1250-2303</t>
  </si>
  <si>
    <t>Leila David Bloch</t>
  </si>
  <si>
    <t>JUNDIAI</t>
  </si>
  <si>
    <t>cep@ipclin.com.br</t>
  </si>
  <si>
    <t>A brief Mindfulness intervention with mobile App for reducing Stress and Anxiety in university students: Protocol for randomized clinical trial</t>
  </si>
  <si>
    <t>U1111-1250-3499</t>
  </si>
  <si>
    <t>Leonardo Júnior Souza Silva</t>
  </si>
  <si>
    <t>+55(83)987378765</t>
  </si>
  <si>
    <t>leonardojuniorsouzasilva@gmail.com</t>
  </si>
  <si>
    <t>U1111-1246-5111</t>
  </si>
  <si>
    <t>Diet induced thermogenesis</t>
  </si>
  <si>
    <t>U1111-1246-5039</t>
  </si>
  <si>
    <t>Diet-induced thermogenesis</t>
  </si>
  <si>
    <t>Randomized controlled trial of Low level laser therapy and magnetotherapy as coadjuvant in Bisphosphonate related osteonecrosis of the jaws treatment</t>
  </si>
  <si>
    <t>U1111-1239-2304</t>
  </si>
  <si>
    <t>Bisphosphonate Related Osteonecrosis of the Jaws</t>
  </si>
  <si>
    <t>Andre Carvalho Rodriguez</t>
  </si>
  <si>
    <t>+55 11 985159206</t>
  </si>
  <si>
    <t>andrerodriguez@gmail.com</t>
  </si>
  <si>
    <t>Effect of oral supplementation of Whey proteins and Ascorbic acid on markers of nutritional status inflammatory methods oxidative stress and quality of life: randomized clinical test in Hemodialysis patients</t>
  </si>
  <si>
    <t>A+29984998053</t>
  </si>
  <si>
    <t>renal dialysis,Renal insufficiency,chronic</t>
  </si>
  <si>
    <t>Elisabeth - Wazlawik</t>
  </si>
  <si>
    <t>e.wazlawik@ufsc.br</t>
  </si>
  <si>
    <t>Evaluation of patients treated by telemedicine in the Covid-19 pandemic in Brazil in a medical clinic in the supplementary health sector in São Paulo Brazil</t>
  </si>
  <si>
    <t>A36899523876</t>
  </si>
  <si>
    <t>Michelle Chechter</t>
  </si>
  <si>
    <t>mchechter@hotmail.com</t>
  </si>
  <si>
    <t>Centro Medico Mazzei</t>
  </si>
  <si>
    <t>Acute Effect of Aerobic Resistence and Competitor Training on Elderly Memory</t>
  </si>
  <si>
    <t>U1111-1240-9954</t>
  </si>
  <si>
    <t>Nathália Griebler</t>
  </si>
  <si>
    <t>+55(51)3308-5834</t>
  </si>
  <si>
    <t>nathigriebler@hotmail.com</t>
  </si>
  <si>
    <t>Evaluation of the effects of Inspiratory Muscle Training in patients Sickle Cell Disease</t>
  </si>
  <si>
    <t>U1111-1249-5152</t>
  </si>
  <si>
    <t>Sara Teresinha Olalla Saad</t>
  </si>
  <si>
    <t>Hemocentro - Universidade Estadual de Campinas</t>
  </si>
  <si>
    <t>Impact of inspiratory muscle training on the aerobic performance of futsal athletes</t>
  </si>
  <si>
    <t>01/26/2017</t>
  </si>
  <si>
    <t>U1111-1191-6564</t>
  </si>
  <si>
    <t>Flavia Mazzoli da Rocha</t>
  </si>
  <si>
    <t>+55(21)998243282</t>
  </si>
  <si>
    <t>flamazzoli@gmail.com</t>
  </si>
  <si>
    <t>Centro Universitário Serra dos Órgãos</t>
  </si>
  <si>
    <t>Impact of Stress reduction meditation and mindfulness program in perceived stress of patients with chronic Heart failure: randomized clinical trial</t>
  </si>
  <si>
    <t>04/20/2020</t>
  </si>
  <si>
    <t>U1111-1247-2537</t>
  </si>
  <si>
    <t>Vaisnava Nogueira Cavalcante</t>
  </si>
  <si>
    <t>Laranjeiras</t>
  </si>
  <si>
    <t>vaisnavancavalcante@gmail.com</t>
  </si>
  <si>
    <t>Effect of Transcranial Direct Current Stimulation on Cognition and Reaction Time of soccer players</t>
  </si>
  <si>
    <t>U1111-1248-9840</t>
  </si>
  <si>
    <t>Soccer,Healthy Volunteers</t>
  </si>
  <si>
    <t>Eduardo de Moura Neto</t>
  </si>
  <si>
    <t>eduardonetofisio@gmail.com</t>
  </si>
  <si>
    <t>Use of Magnesium Sulfate as an adjunct to postoperative analgesia in patients undergoing non-oncologic Abdominal Hysterectomy</t>
  </si>
  <si>
    <t>U111112265263</t>
  </si>
  <si>
    <t>Marcio Luiz Benevides</t>
  </si>
  <si>
    <t>marcioluizbenevides@gmail.com</t>
  </si>
  <si>
    <t>Hospital Geral de Cuiabá</t>
  </si>
  <si>
    <t>Evaluation of Surgical treatment of peri-implantitis</t>
  </si>
  <si>
    <t>U1111-1237-4700</t>
  </si>
  <si>
    <t>bcgurgel@yahoo.com</t>
  </si>
  <si>
    <t>Development of a Cereal Bar source of Phytoestrogen and effects on the syntomatology of Climate women</t>
  </si>
  <si>
    <t>04/17/2020</t>
  </si>
  <si>
    <t>A00942805925</t>
  </si>
  <si>
    <t>Eloá Angélica Koehnlein</t>
  </si>
  <si>
    <t>Realeza</t>
  </si>
  <si>
    <t>55-44-999896481</t>
  </si>
  <si>
    <t>eloa.koehnlein@uffs.edu.br</t>
  </si>
  <si>
    <t>Universidade Federal da Fronteira Sul</t>
  </si>
  <si>
    <t>Methods of Complementary Feeding Introduction in Children: A Randomized Clinical Trial</t>
  </si>
  <si>
    <t>09/24/2019</t>
  </si>
  <si>
    <t>U1111-1226-9516</t>
  </si>
  <si>
    <t>caries</t>
  </si>
  <si>
    <t>Leandro Meirelles Nunes</t>
  </si>
  <si>
    <t>lmnunes@hcpa.edu.br</t>
  </si>
  <si>
    <t>Local versus systemic infiltration for the treatment of trigger finger: randomized clinical trial - PHASE 3 study</t>
  </si>
  <si>
    <t>U1111-1226-0087</t>
  </si>
  <si>
    <t>Trigger finger</t>
  </si>
  <si>
    <t>Érica luisada Troiano</t>
  </si>
  <si>
    <t>ericaditroia@hotmail.com</t>
  </si>
  <si>
    <t>hospital alvorada moema</t>
  </si>
  <si>
    <t>Low Power Laser for Healing Fissures</t>
  </si>
  <si>
    <t>A 02018068601</t>
  </si>
  <si>
    <t>Mariane Aparecida Amaral</t>
  </si>
  <si>
    <t>amaral12mariane@outlook.com</t>
  </si>
  <si>
    <t>Antimicrobial efficacy of 980 nm diode laser in root canal indicated to retreatment: a randomized trial with clinical and radiographic follow up</t>
  </si>
  <si>
    <t>04/14/2020</t>
  </si>
  <si>
    <t>U1111-1218-0049</t>
  </si>
  <si>
    <t>Aline Evangelista Souza-Gabriel</t>
  </si>
  <si>
    <t>+55 016 3315-4075</t>
  </si>
  <si>
    <t>aline.gabriel@gmail.com</t>
  </si>
  <si>
    <t>faculdade de odontologia de ribeirão preto</t>
  </si>
  <si>
    <t>Randomized Controlled Trial of the effects of meditation practice on stress reduction in teachers</t>
  </si>
  <si>
    <t>U1111-1239-1860</t>
  </si>
  <si>
    <t>Adjustment disorders</t>
  </si>
  <si>
    <t>Marcela Riccomi Nunes</t>
  </si>
  <si>
    <t>nunes.marcela@gmail.com</t>
  </si>
  <si>
    <t>Postoperative Pain After Endodontic Treatments of Necrotic Teeth in Single Session with Foraminal Enlargement - A Prospective Randomized Clinical Trial</t>
  </si>
  <si>
    <t>U1111-1245-7412</t>
  </si>
  <si>
    <t>Clinical Trial using N-acetylcysteine for treatment of 2019-nCoV Pneumonia</t>
  </si>
  <si>
    <t>04/13/2020</t>
  </si>
  <si>
    <t>U1111-1250-3564</t>
  </si>
  <si>
    <t>Julio  Cesar Garcia de Alencar</t>
  </si>
  <si>
    <t>julio.alencar@hc.fm.usp.br</t>
  </si>
  <si>
    <t>Effects of a behavior change program for a healthy lifestyle of primary health care workers</t>
  </si>
  <si>
    <t>U1111-1248-7438</t>
  </si>
  <si>
    <t>Grace Angelica de Oliveira Gomes</t>
  </si>
  <si>
    <t>graceaogomes@yahoo.com.br</t>
  </si>
  <si>
    <t>Analysis of the acute effects of the Schultz technique on the response of the Nervous System Autonomic induced by anxiolytics</t>
  </si>
  <si>
    <t>U1111-1248-3405</t>
  </si>
  <si>
    <t>Anxiety disorder</t>
  </si>
  <si>
    <t>+55(11)998590188</t>
  </si>
  <si>
    <t>Escola Paulista de Medicina- UNIFESP</t>
  </si>
  <si>
    <t>Energy Profile with Ryodoraku Acupuncture Electrodiagnosis in patients with Spinal Cord Injury and possible correlations with the ASIA Scale</t>
  </si>
  <si>
    <t>paraplegia</t>
  </si>
  <si>
    <t>Sandra Mara Silvério-Lopes</t>
  </si>
  <si>
    <t>san.silverio@yahoo.com.br</t>
  </si>
  <si>
    <t>Faculdade de Tecnologia IBRATE</t>
  </si>
  <si>
    <t>Effects of detraining on the quality of life of elderly people practicing resistance training in water</t>
  </si>
  <si>
    <t>U1111-1234-6316</t>
  </si>
  <si>
    <t>João Paulo Botero</t>
  </si>
  <si>
    <t>jpbotero@yahoo.com.br</t>
  </si>
  <si>
    <t>Evaluation of Effectiveness of a Progressive Resistant Training program in eldery residentes in long-term state institution</t>
  </si>
  <si>
    <t>U1111-1242-6720</t>
  </si>
  <si>
    <t>Lidiane Isabel Filippin</t>
  </si>
  <si>
    <t>lidiane.filippin@unilassalle.edu.br</t>
  </si>
  <si>
    <t>Effect of Orange and Blood Orange Juices on the plasma biochemical parametes functional capacity of monocytes inflammatory and oxidative stress biomarkers on individuals diagnosed with insuline resistance</t>
  </si>
  <si>
    <t>U111112158661</t>
  </si>
  <si>
    <t>Comparison of aquatic intervention protocols and its repercussion in the gait of children with cerebral palsy</t>
  </si>
  <si>
    <t>U1111-1249-6823</t>
  </si>
  <si>
    <t>Associação de Assistência à Criança Deficiênte</t>
  </si>
  <si>
    <t>Effectiveness of telephone follow-up on surgical recovery of surgical patients</t>
  </si>
  <si>
    <t>U1111-1249-0117</t>
  </si>
  <si>
    <t>Rosimere Ferreira Santana</t>
  </si>
  <si>
    <t>rfsantana@id.uff.br</t>
  </si>
  <si>
    <t>Analysis of the effectiveness and cost-effectiveness of two interventions for the glycemic and lipemic control of people with Diabetes: intervention with the Flour of the Passion Fruit Peel and with the Turmeric</t>
  </si>
  <si>
    <t>A96250895353</t>
  </si>
  <si>
    <t>diabetes</t>
  </si>
  <si>
    <t>Márcio Flávio Araújo</t>
  </si>
  <si>
    <t>55-85-34740905</t>
  </si>
  <si>
    <t>marciofma@yhaoo.com.br</t>
  </si>
  <si>
    <t>Universidade da Integração Internacional da Lusofonia Afro Brasileira</t>
  </si>
  <si>
    <t>Pycnogenol® versus oral tranexamic acid in the treatment of facial melasma in women: a double-blind randomized clinical trial</t>
  </si>
  <si>
    <t>U1111-1234-5729</t>
  </si>
  <si>
    <t>Skin disorders</t>
  </si>
  <si>
    <t>Faculdade de Medicina de Botucatu (FMB - Unesp)</t>
  </si>
  <si>
    <t>Effects of Osteopathic Manipulative Treatment on the cardiovascular and respiratory systems of healthy youngsters</t>
  </si>
  <si>
    <t>U1111-1217-3854</t>
  </si>
  <si>
    <t>Articular Range of Motion,Isotonic Contraction,Muscle Strength</t>
  </si>
  <si>
    <t>Effects of Osteopathic Manipulative Treatment on Patellofemoral Pain Syndrome of Runners Athletes: A Randomized Clinical Trial</t>
  </si>
  <si>
    <t>U1111-1216-5460</t>
  </si>
  <si>
    <t>Effect of aerobic training and high intensity interval training (HIIT) on cardiometabolic factors in overweight adolescents</t>
  </si>
  <si>
    <t>U1111-1234-7243</t>
  </si>
  <si>
    <t>Neiva Leite</t>
  </si>
  <si>
    <t>+55 41 3360-4326</t>
  </si>
  <si>
    <t>neivaleite@gmail.com</t>
  </si>
  <si>
    <t>Comparison of anesthetic efficacy between two gels in extraction of upper molars : a randomized clinical trial</t>
  </si>
  <si>
    <t>U1111-1168-7335</t>
  </si>
  <si>
    <t>Pain Threshold</t>
  </si>
  <si>
    <t>klinger de Souza Amorim</t>
  </si>
  <si>
    <t>klinger28@hotmail.com</t>
  </si>
  <si>
    <t>Periodontal disease and rheumatic diseases: evaluation of clinical immunological genetic and microbiological associations. Subproject: rheumatoid arthritis and periodontal disease: association between periodontal treatment oral microbiome and therapy with disease course modifiers</t>
  </si>
  <si>
    <t>U1111-1234-4421</t>
  </si>
  <si>
    <t>+55 (31) 3409-2405</t>
  </si>
  <si>
    <t>Acute and Chronic Effects of Strength Training with Elastic Resistance on Oxidative Stress in People with Down Syndrome (DS)</t>
  </si>
  <si>
    <t>A60582871115</t>
  </si>
  <si>
    <t>Premature Aging,Muscle Hypotonia</t>
  </si>
  <si>
    <t>Congenital malformations,deformations and chromosomal abnormalities</t>
  </si>
  <si>
    <t>Andrea Lucena Reis</t>
  </si>
  <si>
    <t>Águas Claras</t>
  </si>
  <si>
    <t>andrealuce.reis@yahoo.com.br</t>
  </si>
  <si>
    <t>Universidade Católica de Brasília</t>
  </si>
  <si>
    <t>Effect of adding vaginal cones to pelvic floor muscle training on urinary incontinence in postmenopausal women who are on or off hormone replacement therapy - randomized controlled trial</t>
  </si>
  <si>
    <t>U1111-1238-2675</t>
  </si>
  <si>
    <t>Thuane Huyer da Roza</t>
  </si>
  <si>
    <t>+55(48)991880051</t>
  </si>
  <si>
    <t>thuaneroza@yahoo.com.br</t>
  </si>
  <si>
    <t>Evaluation of the effect of chronic use of Antimalarials on the frequency of infection with the New Corona Virus 2019 (Severe Acute Respiratory Syndrome Coronavirus 2 - SARS-CoV-2) in patients with Immunomedical Rheumatic Diseases</t>
  </si>
  <si>
    <t>E69257159434</t>
  </si>
  <si>
    <t>Respiratory hemodynamic and metabolic effects during thoracic sympathectomy comparing the surgical techniques apneic and carbon dioxide insufflation</t>
  </si>
  <si>
    <t>U1111-1249-0843</t>
  </si>
  <si>
    <t>hyperhidrosis</t>
  </si>
  <si>
    <t>Luiz Fernando dos Reis Falcão</t>
  </si>
  <si>
    <t>falcao@unifesp.br</t>
  </si>
  <si>
    <t>Universidade Federal de SAão Paulo</t>
  </si>
  <si>
    <t>Evaluation of the use of Low Intensity Laser in Local Changes in Patients Bitten by BOTHROPS Gender Officers in the Brazilian Amazon: Controlled and Randomized Clinical Trial</t>
  </si>
  <si>
    <t>U1111-1244-4898</t>
  </si>
  <si>
    <t>Snake Bites</t>
  </si>
  <si>
    <t>Érica da Silva Carvalho</t>
  </si>
  <si>
    <t>ecarvalho@uea.edu.br</t>
  </si>
  <si>
    <t>Acute and chronic effects of different types of resistance training on blood pressure and other cardiovascular risk factors in hypertensive women</t>
  </si>
  <si>
    <t>A+824875701-30</t>
  </si>
  <si>
    <t>Juliana Alves Carneiro</t>
  </si>
  <si>
    <t>+55 (62) 3521.1141</t>
  </si>
  <si>
    <t>juliana.carneiro@ufg.br</t>
  </si>
  <si>
    <t>Psychological effects of preventive isolation in the COVID-19 pandemic</t>
  </si>
  <si>
    <t>U1111-1250-1962</t>
  </si>
  <si>
    <t>Janari Silva Pedroso</t>
  </si>
  <si>
    <t>Regular application of Fluoride Gel in the treatment of Incipient Carious Lesions: a randomized clinical study</t>
  </si>
  <si>
    <t>U1111-1200-9389</t>
  </si>
  <si>
    <t>Dental caries,children,adolescent</t>
  </si>
  <si>
    <t>Luana Severo Alves</t>
  </si>
  <si>
    <t>+55 55 3220 9281</t>
  </si>
  <si>
    <t>luanaseal@gmail.com</t>
  </si>
  <si>
    <t>Universidade Federal de Santa Maria- UFSM</t>
  </si>
  <si>
    <t>Educational intervention through a comic book on anxiety of parents and children in the preoperative period: randomized clinical trial</t>
  </si>
  <si>
    <t>A26545252879</t>
  </si>
  <si>
    <t>Marla Andréia Garcia de Avila</t>
  </si>
  <si>
    <t>55-14-997353919</t>
  </si>
  <si>
    <t>marla.avila@unesp.br</t>
  </si>
  <si>
    <t>Faculdade de Medicina de Botucatu - Departamento de Enfermagem</t>
  </si>
  <si>
    <t>Comparative study between Transcutaneous Electric Nerve Stimulation (TENS) and Low Power Laser in post-cesarean section pain</t>
  </si>
  <si>
    <t>U1111-1250-1069</t>
  </si>
  <si>
    <t>Cesarean scar</t>
  </si>
  <si>
    <t>Leila Pereira Silva</t>
  </si>
  <si>
    <t>Patos de Minas - MG</t>
  </si>
  <si>
    <t>leila_silva05@hotmail.com</t>
  </si>
  <si>
    <t>Effect of Omega-3 in Obese pregnant women on unfavorable pregnancy outcomes</t>
  </si>
  <si>
    <t>U1111-1249-9727</t>
  </si>
  <si>
    <t>Obesity,Pregnancy,Pregnancy Complications</t>
  </si>
  <si>
    <t>Guilherme Dienstmann</t>
  </si>
  <si>
    <t>guidbio@gmail.com</t>
  </si>
  <si>
    <t>Universidade da Região de Joinville - UNIVILLE</t>
  </si>
  <si>
    <t>Pain relief strategies at the insertion of the levonorgestrel releasing intrauterine system in young women</t>
  </si>
  <si>
    <t>U1111-1245-6953</t>
  </si>
  <si>
    <t>Ana Luiza Lunardi</t>
  </si>
  <si>
    <t>ana_lunardi@yahoo.com.br</t>
  </si>
  <si>
    <t>Faculdade de Medicina-Universidade Federal de Minas Gerais</t>
  </si>
  <si>
    <t>Knowledge satisfaction and self-confidence of nursing technical students from the use of realistic simulation: quasi-experimental study</t>
  </si>
  <si>
    <t>U1111-1236-9025</t>
  </si>
  <si>
    <t>Marília Souto de Araújo</t>
  </si>
  <si>
    <t>mariliasdearaujo@yahoo.com.br</t>
  </si>
  <si>
    <t>The influence of Playing and Traditional Games on Perceived Stress in students of the 6th and 7th year of the public school</t>
  </si>
  <si>
    <t>U1111-1245-0058</t>
  </si>
  <si>
    <t>Andréa Silva Frangakis Tanil</t>
  </si>
  <si>
    <t>andrea.frangakis@gmail.com</t>
  </si>
  <si>
    <t>Dermatological evaluation of the photoirritating and photosensitizing potential_27567</t>
  </si>
  <si>
    <t>A-03932345762</t>
  </si>
  <si>
    <t>Application of a Home Based Unsupervised Fitness Program in Cancer Patients</t>
  </si>
  <si>
    <t>A 32613858800</t>
  </si>
  <si>
    <t>Heverson Felipe Pranches Carneiro</t>
  </si>
  <si>
    <t>ITAPETININGA</t>
  </si>
  <si>
    <t>hfpc_4@hotmail.com</t>
  </si>
  <si>
    <t>Centro Universitário Sudoeste Paulista - Itapetininga</t>
  </si>
  <si>
    <t>Effect of specialized attention directed to health education in the construction of knowledge about diabetes mellitus: randomized clinical trial</t>
  </si>
  <si>
    <t>U1111-1242-1297</t>
  </si>
  <si>
    <t>Luciana Moreira Lima</t>
  </si>
  <si>
    <t>+55 31 994703418</t>
  </si>
  <si>
    <t>lucianamoreiralima@yahoo.com.br</t>
  </si>
  <si>
    <t>Control of erosive tooth wear in patients with gastroesophageal reflux disease - a randomized clinical trial</t>
  </si>
  <si>
    <t>U1111-1248-3663</t>
  </si>
  <si>
    <t>Erosive tooth wear,Gastroesophageal Reflux</t>
  </si>
  <si>
    <t>Débora Nunes de Oliveira Racki</t>
  </si>
  <si>
    <t>55 (51) 985723100</t>
  </si>
  <si>
    <t>deboranunes.oliveira@hotmail.com</t>
  </si>
  <si>
    <t>Effects of grape juice consumption on oxidative stress and muscle fatigue in volleyball athletes: a randomized clinical trial</t>
  </si>
  <si>
    <t>U1111-1238-9666</t>
  </si>
  <si>
    <t>+55 051993436505</t>
  </si>
  <si>
    <t>Centro Universitário Metodista</t>
  </si>
  <si>
    <t>Curettage and electrocoagulation VS conventional surgery in the treatment of low-risk basal cell carcinoma up to 10mm in diameter: a randomized trial</t>
  </si>
  <si>
    <t>U1111-1225-0290</t>
  </si>
  <si>
    <t>Malignant neoplasm of skin,unspecified</t>
  </si>
  <si>
    <t>Juliano Vilaverde Schmitt</t>
  </si>
  <si>
    <t>julivs@gmail.com</t>
  </si>
  <si>
    <t>Analysis of body composition in older people preserved cognitively and with Alzheimers disease</t>
  </si>
  <si>
    <t>U1111-1250-0351</t>
  </si>
  <si>
    <t>Stela Márcia Mattiello</t>
  </si>
  <si>
    <t>stela@ufscar.br</t>
  </si>
  <si>
    <t>Pulpectomy versus non-instrumental endodontic treatment in deciduous teeth: randomized controlled clinical trial</t>
  </si>
  <si>
    <t>A12264941707</t>
  </si>
  <si>
    <t>Pulpitis,dental pulp necrosis</t>
  </si>
  <si>
    <t>Mariana Sancas</t>
  </si>
  <si>
    <t>+55 21 3938-2098</t>
  </si>
  <si>
    <t>sancasm@ufrj.br</t>
  </si>
  <si>
    <t>Home-based physical exercise program for older people with Alzheimers disease</t>
  </si>
  <si>
    <t>U1111-1239-1547</t>
  </si>
  <si>
    <t>Oral mucositis in Docetaxel-treated patients who had cryotherapy</t>
  </si>
  <si>
    <t>U1111-1239-5142</t>
  </si>
  <si>
    <t>Mucositis,Stomatitis,neoplasia chemotherapy session</t>
  </si>
  <si>
    <t>Leandro Dorigan Macedo</t>
  </si>
  <si>
    <t>dorigan@hcrp.usp.br</t>
  </si>
  <si>
    <t>Hospital das Clinicas de Ribeirão Preto</t>
  </si>
  <si>
    <t>Promotion of self-care with the arteriovenous fidtulaa through an educational video: randomized clinical test</t>
  </si>
  <si>
    <t>U1111-1241-6730</t>
  </si>
  <si>
    <t>Natália Ramos Costa Pessoa</t>
  </si>
  <si>
    <t>nataliarcpessoa@gmail.com</t>
  </si>
  <si>
    <t>Morphological and neuromechanical evaluation of the lower limbs of Critical patients to define parameters of Neuromuscular Electrostimulation during intervention with a Cycloergometer- a randomized clinical trial</t>
  </si>
  <si>
    <t>U1111-1249-9851</t>
  </si>
  <si>
    <t>Fernando Aguiar Lemos</t>
  </si>
  <si>
    <t>fernandodeaguiarlemos@gmail.com</t>
  </si>
  <si>
    <t>Efficacy of perioperative Duloxetine analgesia in post-colectomy pain: prospective randomized double-blind placebo-controlled study</t>
  </si>
  <si>
    <t>U1111-1245-9545</t>
  </si>
  <si>
    <t>Intestinal Neoplasms,Diverticular disease of intestine,Postoperative Pain</t>
  </si>
  <si>
    <t>Thomas Rolf Erdmann</t>
  </si>
  <si>
    <t>+55 (48) 3721-9052</t>
  </si>
  <si>
    <t>thomaserdmann@hotmail.com</t>
  </si>
  <si>
    <t>Correlation of the severity and mortality rate identified by the Apache and Sofa instruments with changes in the Autonomic Modulation of patients admitted to the ICU</t>
  </si>
  <si>
    <t>U1111-1244-7869</t>
  </si>
  <si>
    <t>traumatic brain injury</t>
  </si>
  <si>
    <t>+55 034 991493902</t>
  </si>
  <si>
    <t>Hospital de Clinicas - Universidade Federal do Triângulo Mineiro</t>
  </si>
  <si>
    <t>Surgical and non-surgical treatment of periodontitis with ultrasonic debridement: a controlled randomized clinical trial</t>
  </si>
  <si>
    <t>A03795702119</t>
  </si>
  <si>
    <t>Camila Alves Costa de Oliveira</t>
  </si>
  <si>
    <t>+55 62 981723441</t>
  </si>
  <si>
    <t>costa.c.alves@gmail.com</t>
  </si>
  <si>
    <t>Comparative study of chamomile and calendula creams in the prevention of radiodermatitis: double blind randomized clinical trial</t>
  </si>
  <si>
    <t>U1111-1246-6364</t>
  </si>
  <si>
    <t>Impact of overdentures retained by a single mandibular implant on the swallowing threshold quality of life and speech of edentulous elderly</t>
  </si>
  <si>
    <t>U1111-1204-8062</t>
  </si>
  <si>
    <t>Ingrid Andrade Meira</t>
  </si>
  <si>
    <t>+55-11 (83)99909-8804</t>
  </si>
  <si>
    <t>ingrid_meiraa@hotmail.com</t>
  </si>
  <si>
    <t>Universidade Estadual de Campinas- Faculdade de Odontologia de Piracicaba</t>
  </si>
  <si>
    <t>Comparative study of Yoga Thai massage effects and conventional stretching in women with low back pain: controlled clinical trial randomized and blind</t>
  </si>
  <si>
    <t>U1111-1243-6393</t>
  </si>
  <si>
    <t>Giovana Giongo Oliveira</t>
  </si>
  <si>
    <t>+55 41 998785646</t>
  </si>
  <si>
    <t>giigiongo@gmail.com</t>
  </si>
  <si>
    <t>The influence of an extended educational intervention for a promotion of physical activity and cognitive health in sedentary older adults</t>
  </si>
  <si>
    <t>08/13/2018</t>
  </si>
  <si>
    <t>U1111-1208-2873</t>
  </si>
  <si>
    <t>Sedentary Lifestyle</t>
  </si>
  <si>
    <t>Danylo Lucio Ferreira Cabral</t>
  </si>
  <si>
    <t>danylo123@gmail.com</t>
  </si>
  <si>
    <t>Effectiveness of Endodontic paste based on Calcium Hydroxide and Aloe vera: Randomized Clinical Trial</t>
  </si>
  <si>
    <t>U1111-1186-1556</t>
  </si>
  <si>
    <t>Mariluce Ferreira de Oliveira</t>
  </si>
  <si>
    <t>+55 (86) 3215-9131</t>
  </si>
  <si>
    <t>a-mary10@hotmail.com</t>
  </si>
  <si>
    <t>Centro Integrado Lineu Araújo</t>
  </si>
  <si>
    <t>Effect of respiratory therapy in adults with Bruxism patients and associeted respiratory events</t>
  </si>
  <si>
    <t>01/28/2020</t>
  </si>
  <si>
    <t>U1111-1244-8906</t>
  </si>
  <si>
    <t>Bianca Cavalcante-Leão</t>
  </si>
  <si>
    <t>bianca.leao@utp.br</t>
  </si>
  <si>
    <t>Universidade Tuiuti do Paraná</t>
  </si>
  <si>
    <t>Changes in heart rate respiratory rate and peripheral oxygen saturation according to the supine prone and kangaroo positions in newborns admitted to the Neonatal ICU</t>
  </si>
  <si>
    <t>U1111-1245-9971</t>
  </si>
  <si>
    <t>Comparison between Micronized Vaginal Progesterone and Oral Didrogesterone in endometrial preparation for Transfer of Thawed Embryos</t>
  </si>
  <si>
    <t>03/31/2020</t>
  </si>
  <si>
    <t>U1111-1247-1845</t>
  </si>
  <si>
    <t>Female infertility,unespecified</t>
  </si>
  <si>
    <t>Mário Cavagna Neto</t>
  </si>
  <si>
    <t>+55 11 982695125</t>
  </si>
  <si>
    <t>cavagna@hotmail.com</t>
  </si>
  <si>
    <t>Centro de Referência da Saúde da Mulher</t>
  </si>
  <si>
    <t>Effect of Tetanic Stimulation prior to Train-of-Four on Muscle Response Stabilization Time in patients 60 to 80 years</t>
  </si>
  <si>
    <t>U1111-1246-5884</t>
  </si>
  <si>
    <t>Ismar Lima Cavalcanti</t>
  </si>
  <si>
    <t>ismarcavalcanti@gmail.com</t>
  </si>
  <si>
    <t>Hospital Universitário Gaffrée e Guinle- Universidade Federal do Estado do Rio de Janeiro</t>
  </si>
  <si>
    <t>Acute effect of stretching the paravertebral muscles and their maintenance time on a myoelectric activity of the multifunctional and iliocostal lumbar muscles and on the static skills and statistics of the lumbopelvic region</t>
  </si>
  <si>
    <t>U1111-1244-7416</t>
  </si>
  <si>
    <t>Alberito Rodrigo de Carvalho</t>
  </si>
  <si>
    <t>Effect of high intensity interval training (HIIT) and aerobic training on cardiovascular and genetic risk in obese adolescents</t>
  </si>
  <si>
    <t>U1111-1196-2573</t>
  </si>
  <si>
    <t>Comparative analysis between hand files and rotary file in the endodontic treatment of primary molars - clinical trial</t>
  </si>
  <si>
    <t>U1111-1212-9738</t>
  </si>
  <si>
    <t>Jéssica Copetti Barasuol</t>
  </si>
  <si>
    <t>+55-047-99946 1664</t>
  </si>
  <si>
    <t>jessica.barasuol@hotmail.com</t>
  </si>
  <si>
    <t>Dietary management of obesity</t>
  </si>
  <si>
    <t>U1111-1207-9771</t>
  </si>
  <si>
    <t>Lilia  Zago Ferreira dos Santos</t>
  </si>
  <si>
    <t>lilia.zago@gmail.com</t>
  </si>
  <si>
    <t>The Effects of Respiratory Muscle Strengthening in relation to Pulmonary Fatigue in Patients with Multiple Sclerosis and with Hypovitaminosis D</t>
  </si>
  <si>
    <t>U1111-1238-2384</t>
  </si>
  <si>
    <t>Amanda Elis Rodrigues</t>
  </si>
  <si>
    <t>amandaelrodri@hotmail.com</t>
  </si>
  <si>
    <t>Faculdade de Medicina da Universidade Federal de Goiás</t>
  </si>
  <si>
    <t>Effect of Modified Wrapping on Respiratory Physiotherapy Techniques in Premature - an intervention proposal</t>
  </si>
  <si>
    <t>U1111-1249-6559</t>
  </si>
  <si>
    <t>Fernando Augusto Lima Marson</t>
  </si>
  <si>
    <t>+55 19 997692712</t>
  </si>
  <si>
    <t>fernandolimamarson@hotmail.com</t>
  </si>
  <si>
    <t>Effectiveness of Multilayer Silicone Foam compared to Transparent Polyurethane Film in Pressure Injury Prevention on Heels Due to Surgical Positioning: randomized clinical trial</t>
  </si>
  <si>
    <t>10/25/2017</t>
  </si>
  <si>
    <t>U1111-1203-8892</t>
  </si>
  <si>
    <t>pressure ulcer</t>
  </si>
  <si>
    <t>Thais Dresch Eberhardt</t>
  </si>
  <si>
    <t>thaiseberhardt@gmail.com</t>
  </si>
  <si>
    <t>Universidade Federal de Santa Maria - UFSM</t>
  </si>
  <si>
    <t>Effect of Arginine-containing dentifrice on remineralization and bioquimic and microbian composition of the biofilm formed in situ</t>
  </si>
  <si>
    <t>U1111-1247-3927</t>
  </si>
  <si>
    <t>maria eduarda lisboa pagnussatti</t>
  </si>
  <si>
    <t>+55 51 33085010</t>
  </si>
  <si>
    <t>lisboapagnu@gmail.com</t>
  </si>
  <si>
    <t>Faculdade de Odontologia da UFRGS</t>
  </si>
  <si>
    <t>Effect of a Health Education Program on the knowledge and training of pelvic floor muscle in women in the treatment of Urinary Incontinence of Effort: a randomized study</t>
  </si>
  <si>
    <t>U1111-1231-9711</t>
  </si>
  <si>
    <t>Alana  Mirelle Coelho Leite</t>
  </si>
  <si>
    <t>alanamcleite@gmail.com</t>
  </si>
  <si>
    <t>Effects of virtual reality brain activation and perception of the well-being of individuals with spinal cord injury</t>
  </si>
  <si>
    <t>U1111-1250-1278</t>
  </si>
  <si>
    <t>Danyane Simão Danyane</t>
  </si>
  <si>
    <t>danyanesg@hotmail.com</t>
  </si>
  <si>
    <t>Effect of the lower limbs cycle ergometer associated with conventional physiotherapy in preserving the mobility morphology and muscle strength of neurocritical patients: a randomized clinical trial</t>
  </si>
  <si>
    <t>U1111-1249-9887</t>
  </si>
  <si>
    <t>Polysomnographic study in children with residual Obstructive Sleep Apnea Syndrome treated with Rapid Maxillary Expansion and / or Myofunctional Therapy or Orthopedic Mandibular Advancement</t>
  </si>
  <si>
    <t>U1111-1206-4361</t>
  </si>
  <si>
    <t>Acute effect of aerobic exercise on blood viscosity and IGF-1 in Alzheimers disease</t>
  </si>
  <si>
    <t>U1111-1225-9982</t>
  </si>
  <si>
    <t>Angelica Miki Stein</t>
  </si>
  <si>
    <t>angelica_stein@yahoo.com.br</t>
  </si>
  <si>
    <t>Unesp - Universidade estadual paulista</t>
  </si>
  <si>
    <t>Colostrotherapy in newborns with gastroschisis: a randomized clinical trial</t>
  </si>
  <si>
    <t>U1111-1248-2063</t>
  </si>
  <si>
    <t>Gastroschisis</t>
  </si>
  <si>
    <t>Hellen Porto Pimenta</t>
  </si>
  <si>
    <t>21 2554-1739</t>
  </si>
  <si>
    <t>hellen.pimenta@iff.fiocruz.br</t>
  </si>
  <si>
    <t>Instituto Nacional de Saúde da Mulher,da Criança e do Adolescente Fernandes Figueira IFF/ Fiocruz</t>
  </si>
  <si>
    <t>Music in the pain of the term newborn undergoing venipuncture</t>
  </si>
  <si>
    <t>U1111-1228-3241</t>
  </si>
  <si>
    <t>Maria Vera Lúcia Moreira Leitão Cardoso</t>
  </si>
  <si>
    <t>+55 085 33668464</t>
  </si>
  <si>
    <t>cardoso@ufc.br</t>
  </si>
  <si>
    <t>Effect of Oxytocin in Genitourinary Syndrome: Randomized and Double-Blind Study</t>
  </si>
  <si>
    <t>u1111-1239-1765</t>
  </si>
  <si>
    <t>CAPES Coordenação de Gestão da Informação da Capes</t>
  </si>
  <si>
    <t>+55 61 2022-6454</t>
  </si>
  <si>
    <t>qualis@capes.gov.br</t>
  </si>
  <si>
    <t>Coordenação de Aperfeiçoamento de Pessoal de Nível Superior (CAPES)</t>
  </si>
  <si>
    <t>A randomized double-blind placebo-controlled study of the salivary substitute with enzymatic system for xerostomia in patients irradiated in the head and neck region</t>
  </si>
  <si>
    <t>U1111-1234-9837</t>
  </si>
  <si>
    <t>Graziella Chagas Jaguar</t>
  </si>
  <si>
    <t>55+(011)985918800</t>
  </si>
  <si>
    <t>graziellajaguar@gmail.com</t>
  </si>
  <si>
    <t>Fundação Antonio Prudente</t>
  </si>
  <si>
    <t>Clinical Alternatives for greater Effectiveness of monitored Home Bleaching treatment. Effects of using trays with and without reservoirs</t>
  </si>
  <si>
    <t>U1111-1249-7322</t>
  </si>
  <si>
    <t>Tooth Discoloration,Dentin sensitivity</t>
  </si>
  <si>
    <t>Impact of RFID-M System on Magnetic Resonance of Breasts</t>
  </si>
  <si>
    <t>U111112298086</t>
  </si>
  <si>
    <t>Giselle Guedes Netto de Mello</t>
  </si>
  <si>
    <t>giselle.mello@grupofleury.com.br</t>
  </si>
  <si>
    <t>Grupo Fleury Medicina e Saude</t>
  </si>
  <si>
    <t>Percutaneous radiofrequency over sham procedure for the treatment of refractory trigeminal neuralgia (THE PROVE STUDY): a double-blind randomized study</t>
  </si>
  <si>
    <t>U1111-1246-9191</t>
  </si>
  <si>
    <t>trigeminal neuralgia</t>
  </si>
  <si>
    <t>Andre Marques Mansano</t>
  </si>
  <si>
    <t>andremarquesmansano@gmail.com</t>
  </si>
  <si>
    <t>Influence of ceramic veneers cemented over teeth with and without finish line on the inflammatory mediators and microbiota of gingival crevicular fluid. Clinical controlled randomized blind prospective and longitudinal study using ELISA and RT-PCR</t>
  </si>
  <si>
    <t>U1111-1249-4089</t>
  </si>
  <si>
    <t>Glauco Issamu Issamu</t>
  </si>
  <si>
    <t>miyahara@foa.unesp.br</t>
  </si>
  <si>
    <t>Faculdade de Odontologia de Araçatuba da Universidade Estadual Paulista Júlio de Mesquita Filho</t>
  </si>
  <si>
    <t>Evaluation of inflammatory markers in patients undergoing a short-term aerobic exercise program while hospitalized due to acute exacerbation of COPD</t>
  </si>
  <si>
    <t>U1111-1249-6756</t>
  </si>
  <si>
    <t>Chronic obstructive pulmonary disease with acute lower respiratory infection</t>
  </si>
  <si>
    <t>Caroline Knaut</t>
  </si>
  <si>
    <t>caro_knaut@hotmail.com</t>
  </si>
  <si>
    <t>Faculdade de Medicina de Botucatu /UNESP</t>
  </si>
  <si>
    <t>Repercussions of nursing actions with health education on the quality of life of adults affected by syndrome</t>
  </si>
  <si>
    <t>U1111-1249-5316</t>
  </si>
  <si>
    <t>Obesity,Dyslipidemias,Hypertension,Diabetes Mellitus</t>
  </si>
  <si>
    <t>Isleide Santana Cardoso Santos</t>
  </si>
  <si>
    <t>isleide71@yahoo.com.br</t>
  </si>
  <si>
    <t>Functional impression techniques in conventional full dentures: Impact on retention</t>
  </si>
  <si>
    <t>U1111-1242-0725</t>
  </si>
  <si>
    <t>Sandra Lúcia Dantas de Moraes</t>
  </si>
  <si>
    <t>The results of an intervention on the social support of family caregivers of elderly with high dependence</t>
  </si>
  <si>
    <t>U1111-1227-3055</t>
  </si>
  <si>
    <t>Luciana Kusumota</t>
  </si>
  <si>
    <t>kusumota@eerp.usp.br</t>
  </si>
  <si>
    <t>Effect of strength training in patients with chronic kidney disease</t>
  </si>
  <si>
    <t>U1111-1218-2852</t>
  </si>
  <si>
    <t>Chronic Kidney Disease,Hemodialysis</t>
  </si>
  <si>
    <t>Silvana Medeiros Araújo</t>
  </si>
  <si>
    <t>silvanamedeiros87@hotmail.com</t>
  </si>
  <si>
    <t>Comparison of the Acute Effect of different types of physical and cognitive and combined stimuli under the cognitive autonomic and motor function of the patient with Chronic Obstructive Pulmonary Disease a randomized clinical trial</t>
  </si>
  <si>
    <t>U1111-1249-9800</t>
  </si>
  <si>
    <t>Laserterapy associated with photodynamic therapy in the treatment of infected wounds in persons with diabetes: randomized clinical trial</t>
  </si>
  <si>
    <t>U1111-1243-2731</t>
  </si>
  <si>
    <t>Maria Girlane Sousa Albuquerque Brandão</t>
  </si>
  <si>
    <t>+55 88998516914</t>
  </si>
  <si>
    <t>girlane.albuquerque@yahoo.com.br</t>
  </si>
  <si>
    <t>Universidade da Integração da Lusofonia AfroBrasileira</t>
  </si>
  <si>
    <t>Effect of respiratory muscle training on functional capacity in individuals with Parkinsons disease or post stroke</t>
  </si>
  <si>
    <t>U1111-1238-3121</t>
  </si>
  <si>
    <t>Nildo Manoel da Silva Ribeiro</t>
  </si>
  <si>
    <t>71-32838123</t>
  </si>
  <si>
    <t>nildoribeiro67@gmail.com</t>
  </si>
  <si>
    <t>In vivo evaluation of the irrigant agent temperature after shaking by easy clean endo xp finisher and ultrasonic passive irrigation in the apical third</t>
  </si>
  <si>
    <t>1111-1249-8225</t>
  </si>
  <si>
    <t>Geraldo Moraes</t>
  </si>
  <si>
    <t>+55 77 981103433</t>
  </si>
  <si>
    <t>geraldoodonto51@gmail.com</t>
  </si>
  <si>
    <t>Effect of desensitizing gel on sensitivity induced by dental bleaching in the office</t>
  </si>
  <si>
    <t>U1111-1249-2029</t>
  </si>
  <si>
    <t>Alessando Dourado Loguercio</t>
  </si>
  <si>
    <t>Clinical simulation for teaching of sexuality of patients with spinal cord injuries</t>
  </si>
  <si>
    <t>U1111-1248-6472</t>
  </si>
  <si>
    <t>Spinal cord injury</t>
  </si>
  <si>
    <t>Ana Railka de Souza Oliveira Kumakura</t>
  </si>
  <si>
    <t>arailka@unicamp.br</t>
  </si>
  <si>
    <t>Faculdade de Enfermagem da Universidade Estadual de Campinas</t>
  </si>
  <si>
    <t>Relationship of biomechanical changes in the ankle and foot with the incidence of plantar Fasciitis in professors</t>
  </si>
  <si>
    <t>U1111-1249-7993</t>
  </si>
  <si>
    <t>Henrique Nogaroto</t>
  </si>
  <si>
    <t>henrinogaroto@gmail.com</t>
  </si>
  <si>
    <t>Effect of Low Intensity Laser on Perineal Pain relief after Vaginal Birth: triple blind randomized controlled trial</t>
  </si>
  <si>
    <t>U1111-1238-0152</t>
  </si>
  <si>
    <t>Amanda Garcia de Godoy</t>
  </si>
  <si>
    <t>+55 16 993865637</t>
  </si>
  <si>
    <t>amandaggodoy@gmail.com</t>
  </si>
  <si>
    <t>Heart rate variability in patients undergoing cardiac surgery</t>
  </si>
  <si>
    <t>U1111-1246-8293</t>
  </si>
  <si>
    <t>Cardiac patients older than 18 years,with indication for cardiac surgery</t>
  </si>
  <si>
    <t>Alexandre Ricardo Pepe Ambrozin</t>
  </si>
  <si>
    <t>taticris10@hotmail.com</t>
  </si>
  <si>
    <t>Faculdade de Filosofia e Ciencias - UNESP Marília</t>
  </si>
  <si>
    <t>Physiological Mechanisms in Weight Loss and Glycemic Control of Bariatric Surgery in Obese and Diabetic Patients</t>
  </si>
  <si>
    <t>U1111-1249-8406</t>
  </si>
  <si>
    <t>Filippe Camarotto Mota</t>
  </si>
  <si>
    <t>ficamarotto@gmail.com</t>
  </si>
  <si>
    <t>Effect of preemptive analgesia and Potassium Fluoride desensitization to control painful sensitivity after tooth bleaching: a controlled randomized double-blind clinical trial</t>
  </si>
  <si>
    <t>U1111-1249-8191</t>
  </si>
  <si>
    <t>Outros transtornos dos dentes e de suas estruturas de sustentação</t>
  </si>
  <si>
    <t>Pedro Henrique Sette de Souza</t>
  </si>
  <si>
    <t>Arcoverde</t>
  </si>
  <si>
    <t>pedro.souza@upe.br</t>
  </si>
  <si>
    <t>Universidade de Pernambuco - campus Arcoverde</t>
  </si>
  <si>
    <t>Metagenomic Analysis of the Intestinal Microbiota of premature infants undergoing treatment with Colostrotherapy treated by the Unified Health System (SUS): Intervention Study</t>
  </si>
  <si>
    <t>U1111-1248-6732</t>
  </si>
  <si>
    <t>Graciete Oliveira Vieira</t>
  </si>
  <si>
    <t>+55 (075) 99977-5486</t>
  </si>
  <si>
    <t>gracieteovieira@gmail.com</t>
  </si>
  <si>
    <t>Universidade Estadual de Feira de Santana</t>
  </si>
  <si>
    <t>Study of vascular and cellular proliferation factor and mucous thickness in the vaginal epithelium in menopaused women submitted to vaginal rejuvenation by fractional co2 laser</t>
  </si>
  <si>
    <t>a29675046880</t>
  </si>
  <si>
    <t>Non-inflammatory disorder of vagina,unspecified</t>
  </si>
  <si>
    <t>Paula Fernanda Pallone Dutra</t>
  </si>
  <si>
    <t>55-011-982159011</t>
  </si>
  <si>
    <t>paula.pallone@yahoo.com.br</t>
  </si>
  <si>
    <t>Sports university: lung and healthy heart</t>
  </si>
  <si>
    <t>03/24/2020</t>
  </si>
  <si>
    <t>U1111-1241-1946</t>
  </si>
  <si>
    <t>Heart Rate Determination,Autonomic nervous system,</t>
  </si>
  <si>
    <t>Leonardo Lopes do Nascimento</t>
  </si>
  <si>
    <t>nascimentoll@gmail.com</t>
  </si>
  <si>
    <t>Clinical evaluation of Methacrylate and Ormocer® fluid composite resins in noncarious cervical lesions</t>
  </si>
  <si>
    <t>U1111-1235-3069</t>
  </si>
  <si>
    <t>Exacerbation of COPD and COPD overlap heart failure and noninvasive ventilatory support: impact on endothelial function and cardiac autonomic modulation and relationship among cardiovascular outcomes and clinical and functional aspects</t>
  </si>
  <si>
    <t>U1111-1172-2056</t>
  </si>
  <si>
    <t>Renata Gonçalves Mendes</t>
  </si>
  <si>
    <t>mendesrg@hotmail.com</t>
  </si>
  <si>
    <t>Acute effect of inspiratory muscle training on inflammatory markers cardiac autonomic activity and cardiovascular variables in patients with obstructive sleep apnea: a randomized controlled trial</t>
  </si>
  <si>
    <t>03/23/2020</t>
  </si>
  <si>
    <t>U1111-1232-2169</t>
  </si>
  <si>
    <t>Sílvia Barbosa Ferreira</t>
  </si>
  <si>
    <t>silviathamilis1@gmail.com</t>
  </si>
  <si>
    <t>Influence of the hormone therapy on sleep and quality of life of menopausal women with fibromyalgia</t>
  </si>
  <si>
    <t>U1111-1222-9505</t>
  </si>
  <si>
    <t>Fibromyalgia,Menopause,Sleep-Wake disorders</t>
  </si>
  <si>
    <t>Rejane Camila Alvarenga Dias</t>
  </si>
  <si>
    <t>55(41) 985249405</t>
  </si>
  <si>
    <t>rejanecadias@gmail.com</t>
  </si>
  <si>
    <t>Brazilian Study on Polycystic Ovarian Syndrome (PCOS)</t>
  </si>
  <si>
    <t>08/27/2018</t>
  </si>
  <si>
    <t>U1111-1204-0043</t>
  </si>
  <si>
    <t>Polycystic ovary syndrome</t>
  </si>
  <si>
    <t>Isis Kelly Santos</t>
  </si>
  <si>
    <t>isisk2@hotmail.com</t>
  </si>
  <si>
    <t>Brazilian registry of people with hemophilia A using emicizumab (Emicizumab Cases EMCase)</t>
  </si>
  <si>
    <t>U1111-1249-1876</t>
  </si>
  <si>
    <t>Nadma Dantas Silva</t>
  </si>
  <si>
    <t>+55 31 3409-5000</t>
  </si>
  <si>
    <t>nadgomes@yahoo.com.br</t>
  </si>
  <si>
    <t>Cardiovascular physiotherapy in primary care</t>
  </si>
  <si>
    <t>U1111-1246-7932</t>
  </si>
  <si>
    <t>Cysteamine 5% cream versus hydroquinone 4% cream in the treatment of facial melasma: a clinical parallel trial controlled and blind assessment</t>
  </si>
  <si>
    <t>U1111-1249-0341</t>
  </si>
  <si>
    <t>Chloasma,drug effects</t>
  </si>
  <si>
    <t>Squamous cell carcinoma of the skin with metastases to the parotid gland: prognostic factors and survival in a single institution</t>
  </si>
  <si>
    <t>U1111-1249-0072</t>
  </si>
  <si>
    <t>Giulianno Molina Melo</t>
  </si>
  <si>
    <t>giuliannomolina@gmail.com</t>
  </si>
  <si>
    <t>Evaluation of postoperatory hypersensitivity in class I and II composite resin restorations made by undergraduate students</t>
  </si>
  <si>
    <t>U1111-1249-1229</t>
  </si>
  <si>
    <t>Ana Paula Rodrigues de Magalhães-Chaves</t>
  </si>
  <si>
    <t>anapaulardm@gmail.com</t>
  </si>
  <si>
    <t>Randomized triple-blind clinical study of the influence of surface treatment on adhesion of noncarious cervical lesions</t>
  </si>
  <si>
    <t>U1111-1246-1123</t>
  </si>
  <si>
    <t>Dentin</t>
  </si>
  <si>
    <t>Cristiane de Melo Alencar</t>
  </si>
  <si>
    <t>+55 (16)997111486</t>
  </si>
  <si>
    <t>cristiane_melo_alencar@hotmail.com</t>
  </si>
  <si>
    <t>Clinical microbiological immunological and biomolecular monitoring of different pulp and periradicular conditions</t>
  </si>
  <si>
    <t>U111112385402</t>
  </si>
  <si>
    <t>Necrosis</t>
  </si>
  <si>
    <t>Brenda PFA Gomes</t>
  </si>
  <si>
    <t>bpgomes@fop.unicamp.br</t>
  </si>
  <si>
    <t>Faculdade de Odontologia de Piracicaba-Universidade Estadual de Campinas</t>
  </si>
  <si>
    <t>Evaluation of Ropivacaine effectiveness for Preventive Analgesia on third molars extraction</t>
  </si>
  <si>
    <t>11/19/2018</t>
  </si>
  <si>
    <t>U1111-1221-6768</t>
  </si>
  <si>
    <t>Tooth extraction. Pain</t>
  </si>
  <si>
    <t>Comparative study of iv esmololiv diltiazem and iv lignocaine hydrochloride in attenuating pressure response to laryngoscopy and intubation</t>
  </si>
  <si>
    <t>03/20/2020</t>
  </si>
  <si>
    <t>U1111-1249-8427</t>
  </si>
  <si>
    <t>Sathya Narayanan K</t>
  </si>
  <si>
    <t>haldwani</t>
  </si>
  <si>
    <t>India</t>
  </si>
  <si>
    <t>sathyavaan4444@gmail.com</t>
  </si>
  <si>
    <t>Government medical college haldwani</t>
  </si>
  <si>
    <t>Effectiveness of early parental coaching in autism spectrum disorder</t>
  </si>
  <si>
    <t>U1111-1245-7582</t>
  </si>
  <si>
    <t>Autistic Disorder / Autism Spectrum Disorder</t>
  </si>
  <si>
    <t>Graciele  Matia</t>
  </si>
  <si>
    <t>gacriele.matia@hc.ufpr.br</t>
  </si>
  <si>
    <t>Complexo do Hospital de Clínicas - Universidade Federal do Paraná</t>
  </si>
  <si>
    <t>Evaluation of the efficacy of using Ketotifen associated with Famotidine in the oral treatment of facial melasma in women: a randomized double-blind placebo-controlled clinical trial</t>
  </si>
  <si>
    <t>U1111-1248-0572</t>
  </si>
  <si>
    <t>Impact of dosimetric distribution on oral mucosa on the incidence and severity of oral mucositis induced by radiotherapy</t>
  </si>
  <si>
    <t>U1111-1234-9743</t>
  </si>
  <si>
    <t>Karina Faria Morais Faria Barreto</t>
  </si>
  <si>
    <t>+55 11 38934511</t>
  </si>
  <si>
    <t>karinamoraiskmf@gmail.com</t>
  </si>
  <si>
    <t>Implementation Intention strategies to reduce sodium intake among Heart Failure patients</t>
  </si>
  <si>
    <t>U1111-1245-5024</t>
  </si>
  <si>
    <t>Andressa Teoli Nunciaroni</t>
  </si>
  <si>
    <t>andressateoli@gmail.com</t>
  </si>
  <si>
    <t>Faculdade de Enfermagem,Universidade Estadual de Campinas</t>
  </si>
  <si>
    <t>Direct current aApplication in the treatment of hyperhidrosis</t>
  </si>
  <si>
    <t>03/19/2020</t>
  </si>
  <si>
    <t>U1111-1241-3403</t>
  </si>
  <si>
    <t>Primary Hyperhidrosis</t>
  </si>
  <si>
    <t>Marcelo Renato Guerino</t>
  </si>
  <si>
    <t>55 021 81 997635971</t>
  </si>
  <si>
    <t>Analysis of Efficacy and Tolerance of Oral Solutions for Colonoscopy Preparation in patients referred to service in the state of Bahia</t>
  </si>
  <si>
    <t>U1111-1248-1444</t>
  </si>
  <si>
    <t>Colorectal neoplasia</t>
  </si>
  <si>
    <t>Lourianne Nascimento Cavalcante</t>
  </si>
  <si>
    <t>lourianne@gmail.com</t>
  </si>
  <si>
    <t>Efficiency of Selegiline Chloridate in treating Neurosensory Disturbances Arising from Orthognic Surgery</t>
  </si>
  <si>
    <t>U1111-1248-1238</t>
  </si>
  <si>
    <t>Skin paresthesias / Orthognathic surgery</t>
  </si>
  <si>
    <t>Bruno Silva Mesquita</t>
  </si>
  <si>
    <t>55-81-31847661</t>
  </si>
  <si>
    <t>brunomesquitajpa@hotmail.com</t>
  </si>
  <si>
    <t>Efficacy of Duloxetine in Chronic temporomandibular disorder: a randomized clinical trial</t>
  </si>
  <si>
    <t>U1111-1216-1776</t>
  </si>
  <si>
    <t>temporomandibular disorder</t>
  </si>
  <si>
    <t>Dyna Mara Araújo Oliveira Ferreira</t>
  </si>
  <si>
    <t>dyna.mara@hotmail.com</t>
  </si>
  <si>
    <t>Effects of full-body Photobiomodulation on muscle performance in Rugby athletes: randomized double-blind crossover and placebo-controlled clinical trial</t>
  </si>
  <si>
    <t>U1111-1246-4147</t>
  </si>
  <si>
    <t>cleber.ferraresi@universidadebrasil.edu.br</t>
  </si>
  <si>
    <t>Evaluation of the effect of Active Oxygen gel on the healing of Pressure Injuries grades II and III of patients admitted to ICUs of the worker hospital complex</t>
  </si>
  <si>
    <t>03/18/2020</t>
  </si>
  <si>
    <t>U1111-1241-3068</t>
  </si>
  <si>
    <t>Rafaela Scariot</t>
  </si>
  <si>
    <t>scariot@yahoo.com.br</t>
  </si>
  <si>
    <t>Effects of nicotine gum on early-stage visual processing and cognition in healthy nonsmokers</t>
  </si>
  <si>
    <t>U1111-1249-5061</t>
  </si>
  <si>
    <t>smoking</t>
  </si>
  <si>
    <t>Thiago Fernandes</t>
  </si>
  <si>
    <t>thiagompfernandes@gmail.com</t>
  </si>
  <si>
    <t>Universidade Federal da Paraiba</t>
  </si>
  <si>
    <t>Effect of physical exercise in cirrhotic patients</t>
  </si>
  <si>
    <t>U1111-1249-8279</t>
  </si>
  <si>
    <t>cep@hucff.ufrj.br</t>
  </si>
  <si>
    <t>Breathing techniques of yoga on self-regulation of learning and emotions in university students</t>
  </si>
  <si>
    <t>U1111-1248-6805</t>
  </si>
  <si>
    <t>Stress</t>
  </si>
  <si>
    <t>Stephany Esmaile Campanelli</t>
  </si>
  <si>
    <t>+55(84)98188-6488</t>
  </si>
  <si>
    <t>sce.neuroscience@gmail.com</t>
  </si>
  <si>
    <t>Clinical Trial of Copaifera multijulga Hayne oil-based Emulsion as a biomodifier of dentin adhesion</t>
  </si>
  <si>
    <t>U1111-1248-6319</t>
  </si>
  <si>
    <t>Dental Carie</t>
  </si>
  <si>
    <t>Fulgência Costa Lima Bandeira</t>
  </si>
  <si>
    <t>+55 092 98114-2527</t>
  </si>
  <si>
    <t>fulgencia@ufam.edu.br</t>
  </si>
  <si>
    <t>Cannabis oil in Fibromyalgic people</t>
  </si>
  <si>
    <t>U1111-1249-8478</t>
  </si>
  <si>
    <t>Carolina Chaves</t>
  </si>
  <si>
    <t>55 51 991438525</t>
  </si>
  <si>
    <t>chavescarol@hotmail.com</t>
  </si>
  <si>
    <t>Escola de Saúde Pública de Florianópolis</t>
  </si>
  <si>
    <t>The effect of concurrent training and vitex agnus-castus on menopausal women in psychological physical aspects hormonal profile and sexual function: a randomized clinical trial</t>
  </si>
  <si>
    <t>U1111-1248-6513</t>
  </si>
  <si>
    <t>Juliana Araujo Klen</t>
  </si>
  <si>
    <t>+55 48 3664-8629</t>
  </si>
  <si>
    <t>jujuaraujoklen@gmail.com</t>
  </si>
  <si>
    <t>Univerdade do Estado de Santa Catarina</t>
  </si>
  <si>
    <t>Low doses of Midazolam to produce Anxiolysis in Pregnant Women undergoing Cesarean Section</t>
  </si>
  <si>
    <t>U1111-1196-9009</t>
  </si>
  <si>
    <t>+55 19 3343-8600</t>
  </si>
  <si>
    <t>Effectiveness of supervised physiotherapy versus home exercise program in patients with distal radius fracture: a randomized controlled trial</t>
  </si>
  <si>
    <t>U1111-1249-2492</t>
  </si>
  <si>
    <t>colles fracture</t>
  </si>
  <si>
    <t>Guided imagery relaxation to improve quality of life of patients undergoing hematopoietic stem cell transplantation</t>
  </si>
  <si>
    <t>U1111-1249-2184</t>
  </si>
  <si>
    <t>Luana Aparecida Alves da Silva</t>
  </si>
  <si>
    <t>luanamcr@yahoo.com.br</t>
  </si>
  <si>
    <t>Programa de Pós-Graduação em Enfermagem da Universidade Federal do Paraná</t>
  </si>
  <si>
    <t>Spontaneous hypothermia and rewarming in sepsis</t>
  </si>
  <si>
    <t>U1111-1248-9755</t>
  </si>
  <si>
    <t>Sepsis,hypothermia</t>
  </si>
  <si>
    <t>Alexandre A. Steiner</t>
  </si>
  <si>
    <t>asteiner@usp.br</t>
  </si>
  <si>
    <t>Instituto de Ciencias Biomedicas -- Universidade de Sao Paulo</t>
  </si>
  <si>
    <t>Randomized clinical trial of the use of amitriptyline for the prevention of neuropathic pain in patients with leprosy neuritis</t>
  </si>
  <si>
    <t>U1111-1249-2121</t>
  </si>
  <si>
    <t>+55 21 964978094</t>
  </si>
  <si>
    <t>monique.oliveira@ioc.fiocruz.br</t>
  </si>
  <si>
    <t>Analysis of serums neurobiomarkers after cognitive stimulation using technology in adults over 45 years old at the Memory Clinic</t>
  </si>
  <si>
    <t>U1111-1195-2642</t>
  </si>
  <si>
    <t>Anna Quialheiro Abreu da Silva</t>
  </si>
  <si>
    <t>Braga</t>
  </si>
  <si>
    <t>annaqas@gmail.com</t>
  </si>
  <si>
    <t>Universidade do Minho</t>
  </si>
  <si>
    <t>Drug evaluation in third molar surgeries. Blind randomized clinical trial in divided mouth</t>
  </si>
  <si>
    <t>U1111-1248-4182</t>
  </si>
  <si>
    <t>Carlos Alberto Guedes</t>
  </si>
  <si>
    <t>São José Dos Campos</t>
  </si>
  <si>
    <t>carlos.guedes@unesp.br</t>
  </si>
  <si>
    <t>Instituto de Ciência e Tecnologia - Câmpus de São José dos Campos</t>
  </si>
  <si>
    <t>Maneuver of Shoulder Elevation Protraction and Lowering for Progression of Peripherally Inserted Central Catheter in Newborn: Experimental Study</t>
  </si>
  <si>
    <t>U1111-1241-6596</t>
  </si>
  <si>
    <t>Postoperative sensitivity in composite resin restorations with prior desensitizing agent application: Randomized clinical trial</t>
  </si>
  <si>
    <t>U1111-1225-0457</t>
  </si>
  <si>
    <t>Medical Record Model Oriented to Pharmacotherapeutic Problems of Patients with Heart Failure Admitted to the Intensive Care Unit</t>
  </si>
  <si>
    <t>03/13/2020</t>
  </si>
  <si>
    <t>U1111-1248-6610</t>
  </si>
  <si>
    <t>Tâmara Natasha Gonzaga de Andrade Santos Andrade Santos</t>
  </si>
  <si>
    <t>São Cristovão</t>
  </si>
  <si>
    <t>+ 55- 79 99905-1756</t>
  </si>
  <si>
    <t>tamara_farmacia@hotmail.com</t>
  </si>
  <si>
    <t>Acute and chronic adaptations of different resistance and concurrent training protocols</t>
  </si>
  <si>
    <t>U1111-1249-4503</t>
  </si>
  <si>
    <t>Muscle Athophy in Hospitalized patients</t>
  </si>
  <si>
    <t>Matheus De Siqueira Mendes Barbalho</t>
  </si>
  <si>
    <t>+55(91)999950693</t>
  </si>
  <si>
    <t>matheussmbarbalho@gmail.com</t>
  </si>
  <si>
    <t>Effect of Self-Myofascial Release on muscle strength in female soccer athletes: randomized clinical trial</t>
  </si>
  <si>
    <t>U1111-1248-9092</t>
  </si>
  <si>
    <t>Samuel Miranda Souza</t>
  </si>
  <si>
    <t>+55(71)982761516</t>
  </si>
  <si>
    <t>samuel.souza@ucsal.edu.br</t>
  </si>
  <si>
    <t>Universidade Católica do Salvador</t>
  </si>
  <si>
    <t>Quality of life and clinical outcomes after Sialendoscopy for obstructive salivary gland diseases treatment: a tertiary center study</t>
  </si>
  <si>
    <t>U1111-1247-7028</t>
  </si>
  <si>
    <t>Clinical study between Mini-slings and Transobturator sling for the treatment of Stress urinary incontinence: a 5 year follow up</t>
  </si>
  <si>
    <t>U1111-1237-8214</t>
  </si>
  <si>
    <t>Stress urinary incontinence</t>
  </si>
  <si>
    <t>Faculdade de Medicina do ABC Departamento de Ginecologia e Obstetricia</t>
  </si>
  <si>
    <t>lucimara.rocha@fmabc.br</t>
  </si>
  <si>
    <t>Centro Universitário Saúde ABC - FMABC</t>
  </si>
  <si>
    <t>Effects of supplementation with Krill Oil on lipid profile and inflammatory markers in women with overweight</t>
  </si>
  <si>
    <t>U1111-1247-7011</t>
  </si>
  <si>
    <t>Dyslipidemia</t>
  </si>
  <si>
    <t>The influence of dopamine-related genetic polymorphisms on susceptibility and behavior of Migraine</t>
  </si>
  <si>
    <t>U1111-1248-8160</t>
  </si>
  <si>
    <t>Elcio Juliato Piovesan</t>
  </si>
  <si>
    <t>São José dos Pinhais</t>
  </si>
  <si>
    <t>piovesan1@hotmail.com</t>
  </si>
  <si>
    <t>Hospital de Clinicas da Universidade Federal do Paraná</t>
  </si>
  <si>
    <t>Effect of TheraTogs garments on postural control in individuals with Cerebral Palsy</t>
  </si>
  <si>
    <t>U1111-1248-2937</t>
  </si>
  <si>
    <t>Alberto Cliquet</t>
  </si>
  <si>
    <t>3521-7505</t>
  </si>
  <si>
    <t>Cliquet@fcm.unicamp.br</t>
  </si>
  <si>
    <t>Universidade Estadual de Campinas - Unicamp</t>
  </si>
  <si>
    <t>Impact of diode laser in the treatment of oral leukoplakia and proteomic profile related to recurrence and malignant transformation a randomized clinical trial</t>
  </si>
  <si>
    <t>U1111-1248-0210</t>
  </si>
  <si>
    <t>Leukoplakia</t>
  </si>
  <si>
    <t>Alan Roger dos Santos Silva</t>
  </si>
  <si>
    <t>alan@unicamp.com.br</t>
  </si>
  <si>
    <t>Effect of a treatment protocol focusing on Muscle Strengthening of the 1st dorsal interosseous on aspects of activity and participation in subjects with Rhizarthrosis: a randomized controlled trial</t>
  </si>
  <si>
    <t>U1111-1246-5857</t>
  </si>
  <si>
    <t>Arthrosis of first carpometacarpal joint or rhizarthrosis</t>
  </si>
  <si>
    <t>Paula Regina Mendes da Silva Serrão</t>
  </si>
  <si>
    <t>+55 (016) 33518754</t>
  </si>
  <si>
    <t>paula.serrao@ufscar.br</t>
  </si>
  <si>
    <t>Management of Gingival Smile using Botulinum Toxin Type A: pilot study</t>
  </si>
  <si>
    <t>U1111-1248-8432</t>
  </si>
  <si>
    <t>Effects of Grape Seed Flour intake on intestinal microbiota and metabolic parameters in individuals with Obesity</t>
  </si>
  <si>
    <t>U111112438891</t>
  </si>
  <si>
    <t>Universidade  Federal de São Paulo</t>
  </si>
  <si>
    <t>yasminalaby@hotmail.com</t>
  </si>
  <si>
    <t>Early pulmonary rehabilitation with elastic bands in patients with Exacerbated Chronic Obstructive Pulmonary Disease: Focus on cardiovascular health - Cardiac arterial and autonomic function</t>
  </si>
  <si>
    <t>U1111-1249-1147</t>
  </si>
  <si>
    <t>Exacerbated Chronic Obstructive Pulmonary Disease unspecified</t>
  </si>
  <si>
    <t>Squamous cell carcinoma of the skin with metastases to the parotid gland: factors predictions and survival in a single institution</t>
  </si>
  <si>
    <t>U1111-1249-0028</t>
  </si>
  <si>
    <t>Universidade Federal de Sao Paulo UNIFESP</t>
  </si>
  <si>
    <t>Effects of a dance intervention on single and dual-task gait in community-dwelling older adults: a randomized controlled blinded trial</t>
  </si>
  <si>
    <t>U1111-1248-3230</t>
  </si>
  <si>
    <t>Daniela Cristina Carvalho de Abreu</t>
  </si>
  <si>
    <t>+55 16 33153176</t>
  </si>
  <si>
    <t>dabreu@fmrp.usp.br</t>
  </si>
  <si>
    <t>Universidade de São Paulo - Faculdade de Medicina de Ribeirão Preto</t>
  </si>
  <si>
    <t>Clinical outcomes and microbiological evaluation after in situ treatment of chronic periodontal disease using antimicrobial-loaded polymeric bioadhesive systems</t>
  </si>
  <si>
    <t>U1111-1246-0723</t>
  </si>
  <si>
    <t>Periodontal disease,Chronic periodontitis</t>
  </si>
  <si>
    <t>Vinicius Pedrazzi</t>
  </si>
  <si>
    <t>+55 16 3315-4008</t>
  </si>
  <si>
    <t>pedrazzi@forp.usp.br</t>
  </si>
  <si>
    <t>Faculdade De Odontologia de Ribeirão Preto</t>
  </si>
  <si>
    <t>U1111-1248-6164</t>
  </si>
  <si>
    <t>Muscle Atrophy in elderly women</t>
  </si>
  <si>
    <t>Effects of whole body vibration on urine loss quality of life and functioning of women with urinary incontinence: a double-blind randomized clinical trials</t>
  </si>
  <si>
    <t>U1111-1245-2208</t>
  </si>
  <si>
    <t>Postoperative sensitivity in patients after endodontic treatment using 8.25% sodium hypochlorite as irrigating solution of root canals</t>
  </si>
  <si>
    <t>U1111-1242-2098</t>
  </si>
  <si>
    <t>Luciana Stadler Demenech</t>
  </si>
  <si>
    <t>dralucianastadler@gmail.com</t>
  </si>
  <si>
    <t>Acute blood pressure response in hypertensive individuals with amputation after aquatic aerobic exercise: a crossover study</t>
  </si>
  <si>
    <t>U111112461238</t>
  </si>
  <si>
    <t>Amputation,Hypertension</t>
  </si>
  <si>
    <t>Douglas Martins Braga</t>
  </si>
  <si>
    <t>dbraga@aacd.org.br</t>
  </si>
  <si>
    <t>Associação de Assistência à Criança Deficiente</t>
  </si>
  <si>
    <t>Longterm follow-up of subjects with cerebral Adrenoleukodystrophy who were treated with Lenti-D drug product</t>
  </si>
  <si>
    <t>U1111-1249-1366</t>
  </si>
  <si>
    <t>Disorders of fatty-acid metabolism</t>
  </si>
  <si>
    <t>Elizabeth McNeil</t>
  </si>
  <si>
    <t>Cambridge</t>
  </si>
  <si>
    <t>emcneil@bluebirdbio.com</t>
  </si>
  <si>
    <t>bluebird bio,Inc</t>
  </si>
  <si>
    <t>09/28/2019</t>
  </si>
  <si>
    <t>U1111-1219-6391</t>
  </si>
  <si>
    <t>Effectiveness of restorations in resin-modified glass ionomer cement and bulk-fill resin in deciduous molars of babies: randomized clinical trial protocol</t>
  </si>
  <si>
    <t>U1111-1239-2847</t>
  </si>
  <si>
    <t>Paulo Antônio Martins-Júnior</t>
  </si>
  <si>
    <t>pauloa-martinsjunior@ufmg.br</t>
  </si>
  <si>
    <t>Phase II randomized study to compare the Efficacy of Radiodermatitis Prophylaxis between Lotion and Calendula Cream versus Chamomile Cream in patients with Breast Neoplasia</t>
  </si>
  <si>
    <t>U1111-1235-7393</t>
  </si>
  <si>
    <t>Rubem Fernando Lellis da Costa Andrade</t>
  </si>
  <si>
    <t>Jales</t>
  </si>
  <si>
    <t>+55(17)36243900</t>
  </si>
  <si>
    <t>rubemlellis@gmail.com</t>
  </si>
  <si>
    <t>Hospital de Amor de Barretos</t>
  </si>
  <si>
    <t>Effects of Functional Training on immunological and inflammatory parameters body composition and functionality in Overweight elderly women</t>
  </si>
  <si>
    <t>U1111-1248-5268</t>
  </si>
  <si>
    <t>Aging,immunosenescence,sarcopenia,cardiovascular diseases</t>
  </si>
  <si>
    <t>Marzo Edir Da Silva-Grigoletto</t>
  </si>
  <si>
    <t>dasilvame@gmail.com</t>
  </si>
  <si>
    <t>Intracameral injection of Amphotericin B and Voriconazole in fungal keratitis treatment</t>
  </si>
  <si>
    <t>U1111-1245-6326</t>
  </si>
  <si>
    <t>Fungal Keratitis</t>
  </si>
  <si>
    <t>Fernanda Machado Bezerra Linhares</t>
  </si>
  <si>
    <t>fernandamb1901@gmail.com</t>
  </si>
  <si>
    <t>Departamento de Oftalmologia Universidade Federal de São Paulo</t>
  </si>
  <si>
    <t>Evaluation of bone repair after exodonties of third molar included with leukocytes platelets rich in fibrin (L-PRF)</t>
  </si>
  <si>
    <t>U1111-1246-2651</t>
  </si>
  <si>
    <t>+55 81 31847659</t>
  </si>
  <si>
    <t>Influence of resveratrol associated with non-surgical periodontal treatment of patients with aggressive periodontitis. Clinical microbiological and enzyme immunoassay</t>
  </si>
  <si>
    <t>U1111-1245-4905</t>
  </si>
  <si>
    <t>Mônica Grazieli Corrêa</t>
  </si>
  <si>
    <t>(11)98644-4851</t>
  </si>
  <si>
    <t>Functional hemodynamic and neuromuscular modifications in hypertensive subjects submitted to concurrent training and resistance training with elastic tube</t>
  </si>
  <si>
    <t>U1111-1248-4947</t>
  </si>
  <si>
    <t>Antônio Renato Pereira Moro</t>
  </si>
  <si>
    <t>renato.moro@ufsc.br</t>
  </si>
  <si>
    <t>The Influence of the Association between Non-Invasive Brain Stimulation and Exercise Physicians with High Cognitive Demand in Cognitive and Functional Variables in the Elderly with Alzheimers</t>
  </si>
  <si>
    <t>U1111-1249-0494</t>
  </si>
  <si>
    <t>Mauricio Rocha Calomeni</t>
  </si>
  <si>
    <t>Rua Salvador Correa,139</t>
  </si>
  <si>
    <t>mauriciocalomeni@gmail.com</t>
  </si>
  <si>
    <t>Istitutos Superiores de Ensino do CENSA</t>
  </si>
  <si>
    <t>Clinical trial with folic acid associated n-acetylcysteine in patients with pre-dialytic chronic kidney disease: analysis of inflammatory and oxidative stress biomarkers and in vitro evaluation of the antioxidant potential of commonly used drugs in this</t>
  </si>
  <si>
    <t>U1111-1244-4590</t>
  </si>
  <si>
    <t>Edilamar  dos Anjos</t>
  </si>
  <si>
    <t>cep268@uel.br</t>
  </si>
  <si>
    <t>Effectiveness of Sealing of Pits and Fissures in Hypomineralized First Permanent Molars</t>
  </si>
  <si>
    <t>U1111-1239-9373</t>
  </si>
  <si>
    <t>Dental caries,Mottled teeth</t>
  </si>
  <si>
    <t>+55(21)28688286</t>
  </si>
  <si>
    <t>Leukocyte gene expression response monocyte adhesion neuronal response and metabolite excretion in healthy individuals after Passiflora setacea pulp consumption: a nutrigenomic metabolomic and in vitro approach</t>
  </si>
  <si>
    <t>10/23/2019</t>
  </si>
  <si>
    <t>U1111-1231-0296</t>
  </si>
  <si>
    <t>Ana Maria Costa</t>
  </si>
  <si>
    <t>ana-maria.costa@embrapa.br</t>
  </si>
  <si>
    <t>Embrapa Cerrados</t>
  </si>
  <si>
    <t>Feasibility and acceptability of implementing an automated self-screening to assess and manage the use of alcohol tobacco and other substances</t>
  </si>
  <si>
    <t>U1111-1248-5942</t>
  </si>
  <si>
    <t>Effect of Water Polo Training (Egg Beater) on Hip Rotator Muscles Performance</t>
  </si>
  <si>
    <t>U1111-1244-3183</t>
  </si>
  <si>
    <t>Wellington Fabiano Gomes</t>
  </si>
  <si>
    <t>+55 (38) 3532-1200</t>
  </si>
  <si>
    <t>wellington.gomes@ufvjm.edu.br</t>
  </si>
  <si>
    <t>Universidade Federa dos Vales do Jequitinhonha e Mucuri</t>
  </si>
  <si>
    <t>Self-monitoring to empower women to reduce the risk of hypertension later in Life After a Pregnancy with Preeclampsia</t>
  </si>
  <si>
    <t>U1111-1243-2548</t>
  </si>
  <si>
    <t>Preeclampsia</t>
  </si>
  <si>
    <t>Leandro Gustavo de Oliveira</t>
  </si>
  <si>
    <t>leandro.gustavo@unesp.br</t>
  </si>
  <si>
    <t>Unesp - universidade estadual paulista</t>
  </si>
  <si>
    <t>Evaluation of the specific process of withdrawal of mechanical ventilation in patients suffering from severe traumatic brain injury</t>
  </si>
  <si>
    <t>U1111-1248-1140</t>
  </si>
  <si>
    <t>stroke</t>
  </si>
  <si>
    <t>Daniela Cristina Dos Santos Faez</t>
  </si>
  <si>
    <t>+55 19 974098168</t>
  </si>
  <si>
    <t>danifaez@gmail.com</t>
  </si>
  <si>
    <t>Hospital de Clínicas da Faculdade de Ciências Médicas - UNICAMP</t>
  </si>
  <si>
    <t>Effects of different modalities of intradialitic Exercise on aerobic capacity and quality of life of Chronic Kidney Patients</t>
  </si>
  <si>
    <t>U1111-1247-6828</t>
  </si>
  <si>
    <t>Bruno Prata Martinez</t>
  </si>
  <si>
    <t>brunopmartinez@hotmail.com</t>
  </si>
  <si>
    <t>Universidade Federal da Bahia(UFBA)</t>
  </si>
  <si>
    <t>Periodontal evaluation of two orthodontic retaining models: an observational study</t>
  </si>
  <si>
    <t>U1111-1246-9914</t>
  </si>
  <si>
    <t>Adilson Luiz Ramos</t>
  </si>
  <si>
    <t>+55-(44) 3011-9051</t>
  </si>
  <si>
    <t>alramos@uem.br</t>
  </si>
  <si>
    <t>Acute effect of different strength exercise configurations on functional capacity and risk of falling in untrained elderly women: a randomized crossover study</t>
  </si>
  <si>
    <t>U1111-1246-8375</t>
  </si>
  <si>
    <t>Heleodório Honorato dos Santos</t>
  </si>
  <si>
    <t>Nutritional status of iodine sodium and potassium among Brazilian pregnant women lactating women and infants: a multicenter study</t>
  </si>
  <si>
    <t>U1111-1246-3911</t>
  </si>
  <si>
    <t>3-Iodobenzylguanidine</t>
  </si>
  <si>
    <t>Ana Carolina Momentti</t>
  </si>
  <si>
    <t>55-14-996192709</t>
  </si>
  <si>
    <t>momentti.ac@gmail.com</t>
  </si>
  <si>
    <t>Acute postoperative urinary retention in orthopedic patients undergoing Spinal Anesthesia with Morphine versus Spinal Anesthesia without opioid associated with Peripheral Nerve Block: a randomized clinical trial</t>
  </si>
  <si>
    <t>U1111-1248-0436</t>
  </si>
  <si>
    <t>Carolina Lourenzon Schiavo</t>
  </si>
  <si>
    <t>51 3359 8226</t>
  </si>
  <si>
    <t>carolinaschiavo@yahoo.com</t>
  </si>
  <si>
    <t>Association of guided meditation and nutritional orientation for obese patients</t>
  </si>
  <si>
    <t>U1111-1248-0462</t>
  </si>
  <si>
    <t>Helena Zanella</t>
  </si>
  <si>
    <t>helenazanella.nutri@gmail.com</t>
  </si>
  <si>
    <t>Effects of Auriculotherapy With Mustard Seeds on Chronic Lumbar Pain of Nursing Professionals</t>
  </si>
  <si>
    <t>U1111-1227-5765</t>
  </si>
  <si>
    <t>lower back pain</t>
  </si>
  <si>
    <t>Ana Paula Gomes da</t>
  </si>
  <si>
    <t>anap84@gmail.com</t>
  </si>
  <si>
    <t>Ana Paula Gomes da Silva</t>
  </si>
  <si>
    <t>Influence of different volatilization temperatures of the adhesive system on the effectiveness in resin restorations Bulk Fill - Randomized Clinical Trial</t>
  </si>
  <si>
    <t>U1111-1223-8613</t>
  </si>
  <si>
    <t>This study was conducted in humans,with the presence of primary or secondary cavities active cavities</t>
  </si>
  <si>
    <t>Sheyla Adriane Rodrigues Oliveira João</t>
  </si>
  <si>
    <t>alvares machado</t>
  </si>
  <si>
    <t>sheylaadriane@hotail.com</t>
  </si>
  <si>
    <t>Universidade do oeste paulista</t>
  </si>
  <si>
    <t>Impact of the maternal diet and the intervention with fructooligosaccharides on the human milk microbiota</t>
  </si>
  <si>
    <t>U1111-1245-3215</t>
  </si>
  <si>
    <t>Susana Marta Isay Saad</t>
  </si>
  <si>
    <t>susaad@usp.br</t>
  </si>
  <si>
    <t>Antibiotic associated with probiotic in the treatment of chronic periodontitis in smokers</t>
  </si>
  <si>
    <t>U1111-1235-9776</t>
  </si>
  <si>
    <t>Effects of ozone therapy on management of pain swelling and trismus following mandibular third molar surgery</t>
  </si>
  <si>
    <t>U1111-1236-8412</t>
  </si>
  <si>
    <t>serotin teeth</t>
  </si>
  <si>
    <t>Marcelo Sperandio</t>
  </si>
  <si>
    <t>marcelosperandio@icloud.com</t>
  </si>
  <si>
    <t>sao leopoldo mandic - campinas</t>
  </si>
  <si>
    <t>Effects of High Intensity Exercise Training in Patients with Chronic Obstructive Pulmonary Disease in a Pulmonary Rehabilitation Program</t>
  </si>
  <si>
    <t>Elie Fiss Fiss</t>
  </si>
  <si>
    <t>santo andre</t>
  </si>
  <si>
    <t>eliefiss@uol.com.br</t>
  </si>
  <si>
    <t>Faculdade de Medicina do ABC</t>
  </si>
  <si>
    <t>Immunogenicity and safety of primary yellow fever vaccination in patients with rheumatic diseases</t>
  </si>
  <si>
    <t>U1111-1217-6672</t>
  </si>
  <si>
    <t>Vaccination,Yellow Fever Vaccine,Yellow Fever Virus,Autoimmune Disease</t>
  </si>
  <si>
    <t>Valéria Valim</t>
  </si>
  <si>
    <t>55(27)33357482</t>
  </si>
  <si>
    <t>val.valim@gmail.com</t>
  </si>
  <si>
    <t>Hospital Universitário Cassiano Antônio de Moraes</t>
  </si>
  <si>
    <t>Urinary incontinence and quality of life in men undergoing prostatectomy radical</t>
  </si>
  <si>
    <t>U1111-1213-8930</t>
  </si>
  <si>
    <t>Lívia Cristina de Resende Izidoro</t>
  </si>
  <si>
    <t>liviaresende.enf@gmail.com</t>
  </si>
  <si>
    <t>Sleep pattern profile in professional e-sports athletes (league of legends)</t>
  </si>
  <si>
    <t>U111112138778</t>
  </si>
  <si>
    <t>Andrea Maculano Esteves</t>
  </si>
  <si>
    <t>+55 19 37016730</t>
  </si>
  <si>
    <t>andrea.esteves@fca.unicamp.br</t>
  </si>
  <si>
    <t>Faculdade de Ciências Aplicadas - FCA</t>
  </si>
  <si>
    <t>Minimal Intervention vs. Physical Therapy in the treatment of patients with Nonspecific Acute Low Back Pain: randomized trial</t>
  </si>
  <si>
    <t>U1111-1242-3676</t>
  </si>
  <si>
    <t>Marcel Jun Sugawara Tamaoki</t>
  </si>
  <si>
    <t>marceltamaoki@gmail.com</t>
  </si>
  <si>
    <t>Effects of functional training on biochemical and hemodynamic aspects in older women</t>
  </si>
  <si>
    <t>U1111-1243-2741</t>
  </si>
  <si>
    <t>Hypertension,Diabetes Mellitus,Type 2,Dyslipidemias,Healthy Volunteers</t>
  </si>
  <si>
    <t>Tállita Cristina Ferreira Souza</t>
  </si>
  <si>
    <t>+55 34 999351309</t>
  </si>
  <si>
    <t>tallita_crystina@hotmail.com</t>
  </si>
  <si>
    <t>Faculdade de Medicina - UFU</t>
  </si>
  <si>
    <t>Postoperative Pain after use of two different Final Irrigation protocols: A randomized controlled trial</t>
  </si>
  <si>
    <t>U1111-1240-3349</t>
  </si>
  <si>
    <t>RENATO PIAI PEREIRA</t>
  </si>
  <si>
    <t>Vitoria da Conquista</t>
  </si>
  <si>
    <t>rppiai@bol.com.br</t>
  </si>
  <si>
    <t>Centro Especializado de Odontologia - Prefeitura Municipal de Vitória da Conquista</t>
  </si>
  <si>
    <t>Evaluation of the efficacy and security of oral Estrogen use in the treatment of female patients with Acromegaly</t>
  </si>
  <si>
    <t>U1111-1248-6109</t>
  </si>
  <si>
    <t>Acromegaly,Growth Hormone-Secreting Pituitary Adenoma,pituitary disease,pituitary neoplasms</t>
  </si>
  <si>
    <t>Jaqueline  Magalhães</t>
  </si>
  <si>
    <t>jaquems.med@gmail.com</t>
  </si>
  <si>
    <t>Transvaginal radio frequency in the treatment of urinary incontinence: Randomized clinical trial</t>
  </si>
  <si>
    <t>U1111-1241-8794</t>
  </si>
  <si>
    <t>Luísa Braga Jorge</t>
  </si>
  <si>
    <t>lbragajorge@hotmail.com</t>
  </si>
  <si>
    <t>Sensory disorders of the larynx: diagnosis and rehabilitation</t>
  </si>
  <si>
    <t>U1111-1245-3503</t>
  </si>
  <si>
    <t>Refractory chronic cough</t>
  </si>
  <si>
    <t>Vanessa Veis Ribeiro</t>
  </si>
  <si>
    <t>(55) 14 981664272</t>
  </si>
  <si>
    <t>fgavanessavr@gmail.com</t>
  </si>
  <si>
    <t>Faculdade de Odontologia de Bauru/Universidade de São Paulo</t>
  </si>
  <si>
    <t>Three-dimensional assessment of facial growth of severe upper airway obstruction children after adenotonsillectomy</t>
  </si>
  <si>
    <t>U111112426680</t>
  </si>
  <si>
    <t>Mariana Maciel Tinano</t>
  </si>
  <si>
    <t>+55 (31) 991581092</t>
  </si>
  <si>
    <t>maritinano@yahoo.com.br</t>
  </si>
  <si>
    <t>Clinical and dermatoscopic evaluation of the effectiveness of Colchicine 05% cream versus 5-Fluorouracil 5% cream in the treatment of Actinic Keratosis and Cutaneous Cancerization Field: a randomized clinical trial</t>
  </si>
  <si>
    <t>U1111-1245-0946</t>
  </si>
  <si>
    <t>Amanda Soares Teixeira</t>
  </si>
  <si>
    <t>amandasteixeira_@hotmail.com</t>
  </si>
  <si>
    <t>Instituto Lauro de Souza Lima (ILSL)</t>
  </si>
  <si>
    <t>Bleaching effect and superficial roughness evaluation of whitening toothpastes during two months follow-up in vivo</t>
  </si>
  <si>
    <t>U1111-1245-9850</t>
  </si>
  <si>
    <t>Josué Junior Araújo Pierote</t>
  </si>
  <si>
    <t>josuepierote@hotmail.com</t>
  </si>
  <si>
    <t>Faculdade Odontologia de Piracicaba da Universidade Estadual de Campinas</t>
  </si>
  <si>
    <t>Effect of resveratrol on non-surgical periodontal treatment of smokers diagnosed with Chronic Periodontitis. Prospective evaluation of clinical microbiological immunological results and quantification of neutrophils</t>
  </si>
  <si>
    <t>U111112357341</t>
  </si>
  <si>
    <t>Periodontal diseases,smokers</t>
  </si>
  <si>
    <t>Ana Paula Oliveira Giorgetti Bossolan</t>
  </si>
  <si>
    <t>+55 11 997994849</t>
  </si>
  <si>
    <t>anagetti@hotmail.com</t>
  </si>
  <si>
    <t>Effects of different intensities of Resistance Training Walking and Stretching in patients with Fibromyalgia Syndrome: randomized controlled trials</t>
  </si>
  <si>
    <t>U1111-1201-1186</t>
  </si>
  <si>
    <t>55(48)3664-8677</t>
  </si>
  <si>
    <t>Effect of Physical Exercise on Clinical Functional outcomes and modulation of Epigenetic Markers in institutionalized elderly</t>
  </si>
  <si>
    <t>U1111-1245-7807</t>
  </si>
  <si>
    <t>Aging,Risk of falling,Cognition,Quality of life,Balance,Physical exercise,Epigenetics</t>
  </si>
  <si>
    <t>(55) 51 3316-1100</t>
  </si>
  <si>
    <t>Centro Universitário Metodista IPA</t>
  </si>
  <si>
    <t>Effect of weekly frequency with equalized volume of Strength Training on unstable surface on neuromuscular capacity quality of life and fear of falling in the elderly</t>
  </si>
  <si>
    <t>U1111-1239-9442</t>
  </si>
  <si>
    <t>Muscle strength,quality of life,fear of falling</t>
  </si>
  <si>
    <t>Effect of physical exercise on hemodialysis patients</t>
  </si>
  <si>
    <t>U1111-1245-6917</t>
  </si>
  <si>
    <t>Danilo Yuzo Nishimoto</t>
  </si>
  <si>
    <t>55017 981133213</t>
  </si>
  <si>
    <t>daniloynishimoto@gmail.com</t>
  </si>
  <si>
    <t>Universidade Estadual Paulista Julio de Mesquita Filho</t>
  </si>
  <si>
    <t>Femtolasik Topography-guided by Contoura Method Versus Customized by Asphericity in Contralateral Eyes: A Prospective Double-blind Randomized Study</t>
  </si>
  <si>
    <t>U1111-1243-7257</t>
  </si>
  <si>
    <t>Ermano Melo Alves</t>
  </si>
  <si>
    <t>ermanomelo@oftalmax.com.br</t>
  </si>
  <si>
    <t>Oftalmax</t>
  </si>
  <si>
    <t>The role of preoperative fasting time reduction in post-surgical hip fracture correction complications</t>
  </si>
  <si>
    <t>U1111-1244-8530</t>
  </si>
  <si>
    <t>Daniela Salate Biagioni Vulcano</t>
  </si>
  <si>
    <t>dani_biagioni@yahoo.com.br</t>
  </si>
  <si>
    <t>Faculdade de Medicina da Unesp de Botucatu</t>
  </si>
  <si>
    <t>Association between pain mastigatory quality and inflammatory cytoxins in self-related appliances and aesthetic aligners</t>
  </si>
  <si>
    <t>U1111-1242-6221</t>
  </si>
  <si>
    <t>Viviane Veroni Degan</t>
  </si>
  <si>
    <t>vvdegan@gmail.com</t>
  </si>
  <si>
    <t>Fundação Heminio Ometto</t>
  </si>
  <si>
    <t>Effect of probiotic supplementation associated with dietary intervention on body composition intestinal microbiota and inflammatory biomarkers in adult individuals obese young people</t>
  </si>
  <si>
    <t>U1111-1247-9906</t>
  </si>
  <si>
    <t>Camila Guazzelli Marques</t>
  </si>
  <si>
    <t>camila_g.marques@hotmail.com</t>
  </si>
  <si>
    <t>Departamento de Psicobiologia da Universidade Federal de São Paulo</t>
  </si>
  <si>
    <t>Effectiveness of bleaching with led photobleaching: a randomized clinical trial</t>
  </si>
  <si>
    <t>U1111-1241-3703</t>
  </si>
  <si>
    <t>Juliana Lopes de Sá</t>
  </si>
  <si>
    <t>julianalopesdesa@hotmail.com</t>
  </si>
  <si>
    <t>Universidade Federal do Amazonas - Faculdade de Odontologia</t>
  </si>
  <si>
    <t>Pilates and Cognitive Stimulation: Influences on Cognitive Functional Perfomance and Balance on Old Adults</t>
  </si>
  <si>
    <t>U1111-1237-6670</t>
  </si>
  <si>
    <t>Aging,Cognitive Decline,Disease Prevention,Physical Fitness,Geriatrics,Cognitive Aging,Humor,Cognitive Dysfunction,Physical Functional Performance</t>
  </si>
  <si>
    <t>Natáli Valim Oliver Bento-Torres</t>
  </si>
  <si>
    <t>natalivalim01@gmail.com</t>
  </si>
  <si>
    <t>Evaluation of Antimicrobial Photodynamic Therapy in the control of bacterial dental biofilm in children</t>
  </si>
  <si>
    <t>U1111-1238-9364</t>
  </si>
  <si>
    <t>Nicole Gonçalves Lima</t>
  </si>
  <si>
    <t>nicole_gl@hotmail.com</t>
  </si>
  <si>
    <t>Study of Randomized Nutritional Intervention in Overweight Elderly People with Strength Training</t>
  </si>
  <si>
    <t>U1111-1246-3336</t>
  </si>
  <si>
    <t>Body composition,Resistance training,Proteins in the diet,Abdominal obesity,Caloric restriction</t>
  </si>
  <si>
    <t>+55 081 2126-8506</t>
  </si>
  <si>
    <t>andre.santoscosta@ufpe.br</t>
  </si>
  <si>
    <t>Strategies for health promotion in the elderly</t>
  </si>
  <si>
    <t>02/28/2020</t>
  </si>
  <si>
    <t>U1111-1248-4190</t>
  </si>
  <si>
    <t>Renan Nunes Aguiar</t>
  </si>
  <si>
    <t>Sacramento</t>
  </si>
  <si>
    <t>renannunesaguiar15@hotmail.com</t>
  </si>
  <si>
    <t>Effect of Orofacial Myofunctional Therapy on the room of obese patients: ramdomized clinical trial</t>
  </si>
  <si>
    <t>U1111-1242-1403</t>
  </si>
  <si>
    <t>Allan Cezar Faria Araujo</t>
  </si>
  <si>
    <t>+55(45)999730165</t>
  </si>
  <si>
    <t>allancfaraujo@uol.com.br</t>
  </si>
  <si>
    <t>Universidade Estadual do Oeste do Paraná - Campus Cascavel</t>
  </si>
  <si>
    <t>Effect of Acupuncture on Chronic Renal pain patients in hemodyalysis: randomized trial</t>
  </si>
  <si>
    <t>U1111-1246-5428</t>
  </si>
  <si>
    <t>Geórgia Alencar Melo</t>
  </si>
  <si>
    <t>georgiaenf@hotmail.com</t>
  </si>
  <si>
    <t>Effects of neurostimulation on emotional regulation: understanding the role of the pre-frontal cortex</t>
  </si>
  <si>
    <t>U1111-1243-0842</t>
  </si>
  <si>
    <t>Healthy Volunteers,Emotions</t>
  </si>
  <si>
    <t>Natany de Souza Batista Medeiros</t>
  </si>
  <si>
    <t>+55 84 999080622</t>
  </si>
  <si>
    <t>natanypsicologia@gmail.com</t>
  </si>
  <si>
    <t>Effects of supplementation with Probiatop (mixture of probiotics) in the treatment of arterial hypertension</t>
  </si>
  <si>
    <t>U1111-1247-8573</t>
  </si>
  <si>
    <t>Efficacy of Non-surgical Treatment in patients with Gingivitis and Peri-implant Mucositis</t>
  </si>
  <si>
    <t>U1111-1230-7391</t>
  </si>
  <si>
    <t>Guilherme Carlos Beiruth Freire</t>
  </si>
  <si>
    <t>+55(84)999663503</t>
  </si>
  <si>
    <t>guilherme.beiruth@gmail.com</t>
  </si>
  <si>
    <t>Departamento de Odontologia da Universidade Federal do Rio Grande do Norte</t>
  </si>
  <si>
    <t>Effect of systemic acupuncture associated or not with ear acupuncture in subjects with fibromyalgia</t>
  </si>
  <si>
    <t>U1111-1247-6205</t>
  </si>
  <si>
    <t>Universidade Federal Alfenas</t>
  </si>
  <si>
    <t>Effectives of different methods os interventions in TMD symptoms and Brussels - Randomized Clinical Trial</t>
  </si>
  <si>
    <t>U1111-1242-6280</t>
  </si>
  <si>
    <t>vivianedegan@fho.edu.br</t>
  </si>
  <si>
    <t>Fundação Hermínio Ometto</t>
  </si>
  <si>
    <t>Application of a mobilization protocol based on the functional level after cardiovascular surgery: a randomized controlled trial</t>
  </si>
  <si>
    <t>U1111-1246-0123</t>
  </si>
  <si>
    <t>Mayara Gabrielle Barbosa Borges</t>
  </si>
  <si>
    <t>mayaragabriellebs4@gmail.com</t>
  </si>
  <si>
    <t>Hospital Universitário da Universidade Federal do Maranhão</t>
  </si>
  <si>
    <t>Educational technology for teaching nursing diagnostic reasoning</t>
  </si>
  <si>
    <t>U1111-1248-2857</t>
  </si>
  <si>
    <t>Nursing Process.Education,Nursing.Educational Technology</t>
  </si>
  <si>
    <t>Ana Luisa Brandão de Carvalho Lira</t>
  </si>
  <si>
    <t>analira@ufrnet.br</t>
  </si>
  <si>
    <t>Immunogenicity and reatogenicity of Hepatitis B vaccine derived from Hansenula polymorpha compared to Saccharomyces cerevisiae in men deprived of their liberty</t>
  </si>
  <si>
    <t>02/26/2020</t>
  </si>
  <si>
    <t>U1111-1230-1156</t>
  </si>
  <si>
    <t>Hepatitis B</t>
  </si>
  <si>
    <t>Marcos André de Matos</t>
  </si>
  <si>
    <t>marcosmatos@ufg.br</t>
  </si>
  <si>
    <t>Role of monocyte subtypes circulating microparticles and chemokines in the Periodontal Disease associated to Diabetes</t>
  </si>
  <si>
    <t>U1111-1246-4138</t>
  </si>
  <si>
    <t>Carolina Nunes França</t>
  </si>
  <si>
    <t>carolufscar24@gmail.com</t>
  </si>
  <si>
    <t>Universidade Santo Amaro</t>
  </si>
  <si>
    <t>Prenatal group implementation at the center for integral health care of women at the state university of Campinas: a pilot study</t>
  </si>
  <si>
    <t>U1111-1243-6241</t>
  </si>
  <si>
    <t>Hypertensive disease</t>
  </si>
  <si>
    <t>Effects of a combined intradiiality exercise program in patients with chronic renal disease: randomized trial</t>
  </si>
  <si>
    <t>U1111-1246-6077</t>
  </si>
  <si>
    <t>Priscila Lucas Barbosa</t>
  </si>
  <si>
    <t>prilucasbarbosa@yahoo.com.br</t>
  </si>
  <si>
    <t>Effectiveness of a dual task physiotherapeutic protocol on the functionality of active elderly</t>
  </si>
  <si>
    <t>U1111-1246-2090</t>
  </si>
  <si>
    <t>Aging,Physical Activity,Functionality</t>
  </si>
  <si>
    <t>Jéssica Karen Alves Nogueira</t>
  </si>
  <si>
    <t>jkanogueira@hotmail.com</t>
  </si>
  <si>
    <t>Specific exercise program versus home exercise in patients with subacromial shock syndrome: a randomized clinical trial</t>
  </si>
  <si>
    <t>U1111-1204-0268</t>
  </si>
  <si>
    <t>subacromial impingement syndrome</t>
  </si>
  <si>
    <t>Potential of musical auditory stimulus in stress reduction in women submitted to cervical cytopathological examination</t>
  </si>
  <si>
    <t>02/24/2020</t>
  </si>
  <si>
    <t>U1111-1232-1007</t>
  </si>
  <si>
    <t>Women,ideal body weight,age groups,mass screening</t>
  </si>
  <si>
    <t>denyse alves vieira</t>
  </si>
  <si>
    <t>crato</t>
  </si>
  <si>
    <t>denyse_enf@hotmail.com</t>
  </si>
  <si>
    <t>universidade regional do cariri</t>
  </si>
  <si>
    <t>Strength Training with Blood Flow Restriction in Chronic Kidney Disease Patients in a Conservative and Hemodialytic Stage</t>
  </si>
  <si>
    <t>02/21/2020</t>
  </si>
  <si>
    <t>U1111-1237-8231</t>
  </si>
  <si>
    <t>Diseases of the Circulatory System. Hypertensive Kidney Disease with Renal Failure. Lack of Exercise</t>
  </si>
  <si>
    <t>Thiago Santos Rosa</t>
  </si>
  <si>
    <t>thiagoacsdkp@yahoo.com.br</t>
  </si>
  <si>
    <t>Effects of probiotic supplementation on obesity-associated metabolic and immunological changes</t>
  </si>
  <si>
    <t>U1111-1243-5954</t>
  </si>
  <si>
    <t>Andrezza Fernanda Santiago</t>
  </si>
  <si>
    <t>andrezza.santiago@ufla.br</t>
  </si>
  <si>
    <t>Effect of the 5-HT3 antagonist on antiemetic control and post-anesthetic tremor in videocolecystectomy with total intravenous anesthesia with propofol-remifentanil</t>
  </si>
  <si>
    <t>U1111-1244-6487</t>
  </si>
  <si>
    <t>Neuber Martins Fonseca</t>
  </si>
  <si>
    <t>neubermf@gmail.com</t>
  </si>
  <si>
    <t>Universidade Federal de Uberlandia</t>
  </si>
  <si>
    <t>Effects of acute supplementation with Whey Protein and Collagen on the appetite in humans</t>
  </si>
  <si>
    <t>U1111-1248-2611</t>
  </si>
  <si>
    <t>Influence of the sleep-wake cycle in different moments of periodization in the performance of disabled and conventional athletes of basketball</t>
  </si>
  <si>
    <t>U1111-1248-1836</t>
  </si>
  <si>
    <t>Andrea  Maculano Esteves</t>
  </si>
  <si>
    <t>amaculanoesteves@gmail.com</t>
  </si>
  <si>
    <t>Unversidade Estadual de Campinas</t>
  </si>
  <si>
    <t>Efficacy of simvastatin 20mg on bone regeneration after lower third molar extraction</t>
  </si>
  <si>
    <t>U1111-1242-3957</t>
  </si>
  <si>
    <t>Jiordanne Araújo Diniz</t>
  </si>
  <si>
    <t>jiordannediniz18@hotmail.com</t>
  </si>
  <si>
    <t>Effects of Platelet-Rich Plasma in the treatment of complex wounds in patients with Diabetes Mellitus</t>
  </si>
  <si>
    <t>U1111-1247-6842</t>
  </si>
  <si>
    <t>Lower limb ulcer,not elsewhere classified,Diabetes Mellitus</t>
  </si>
  <si>
    <t>Carla Roberta Tim</t>
  </si>
  <si>
    <t>carla.tim@universidadebrasil.edu.br</t>
  </si>
  <si>
    <t>Effect of Led Therapy (630 ± 20nm) in Herpes Simplex Labial- Randomized Double-Blind Controlled Study</t>
  </si>
  <si>
    <t>U1111-1213-5290</t>
  </si>
  <si>
    <t>Marcela Lopes Silva Martins</t>
  </si>
  <si>
    <t>dramarcelalopes@icloud.com</t>
  </si>
  <si>
    <t>Universidade do Vale do Paraiba UNIVAP</t>
  </si>
  <si>
    <t>Efficacy and safety of Botulinum Toxin in the treatment of spasticity in patients with Tropical spastic paraparesis</t>
  </si>
  <si>
    <t>U1111-1248-3948</t>
  </si>
  <si>
    <t>Ailton de Souza Melo</t>
  </si>
  <si>
    <t>asm@ufba.br</t>
  </si>
  <si>
    <t>Maternal Outcomes of Delayed Umbilical Cord Clamping</t>
  </si>
  <si>
    <t>U1111-1233-9573</t>
  </si>
  <si>
    <t>Bleeding,anemia,pregnancy</t>
  </si>
  <si>
    <t>Gabriela Françoes Rostirolla</t>
  </si>
  <si>
    <t>55-51-33598000</t>
  </si>
  <si>
    <t>grostirolla@hcpa.edu.br</t>
  </si>
  <si>
    <t>Physical Therapy in the Treatment of Myofascial Pain</t>
  </si>
  <si>
    <t>U1111-1243-0614</t>
  </si>
  <si>
    <t>Bruna Scheffer Bueno</t>
  </si>
  <si>
    <t>bruna-scheffer@hotmail.com</t>
  </si>
  <si>
    <t>Acute and chronic effects of High Intensity Interval Training associated with Sodium Nitrate Supplementation on Aerobic Parameters and Performance of Physically Active Subjects</t>
  </si>
  <si>
    <t>U1111-1246-7860</t>
  </si>
  <si>
    <t>Cardiorespiratory fitness</t>
  </si>
  <si>
    <t>Willemax Santos Santos</t>
  </si>
  <si>
    <t>willemaxsantos@gmail.com</t>
  </si>
  <si>
    <t>Effect of intravenous Methadone compared to Morphine on the quality of anesthesia recovery after laparoscopic gastroplasty surgery: prospective randomized and controlled clinical trial</t>
  </si>
  <si>
    <t>U1111-1224-3365</t>
  </si>
  <si>
    <t>Clínica de Anestesia Santa Genoveva</t>
  </si>
  <si>
    <t>coremesantagenoveva@gmail.com</t>
  </si>
  <si>
    <t>Complexo Hospitalar Santa Genoveva</t>
  </si>
  <si>
    <t>Efficacy of Fractionated Radiofrequency Micro Ablation in the treatment of Genito-Urinary Syndrome in women with Breast Cancer: randomized trial</t>
  </si>
  <si>
    <t>U1111-1242-4055</t>
  </si>
  <si>
    <t>Thamara Heloisa Rizzi Donato Thamara Donato</t>
  </si>
  <si>
    <t>CAMPINAS</t>
  </si>
  <si>
    <t>thamaradonato@gmail.com</t>
  </si>
  <si>
    <t>Pharmacokinetic/pharmacodynamic (PK/PD) model on the influence of P450 (CYP2C9) genetic polymorphism of non-steroidal anti-inflammatory drugs and major metabolites from saliva samples by LC MS/MS and their role in prescribing personalization</t>
  </si>
  <si>
    <t>U111112448247</t>
  </si>
  <si>
    <t>Investigation of cytochrome P450 polymorphisms,especially CYP2C9,and their role in the metabolism of non-steroidal anti-inflammatory drugs (NSAIDs)</t>
  </si>
  <si>
    <t>Adriana Maria Calvo</t>
  </si>
  <si>
    <t>dricalvo@usp.br</t>
  </si>
  <si>
    <t>Transcranial Direct Current Stimulation associated (tDCS) with Prompts for Restructuring Oral Muscle Phonetic Targets (PROMPT) in Apraxia of Speech in young people with Trisomy 21</t>
  </si>
  <si>
    <t>U1111-1245-9010</t>
  </si>
  <si>
    <t>Apraxia</t>
  </si>
  <si>
    <t>Ester Miyuki Nakamura Palacios</t>
  </si>
  <si>
    <t>Vitoria</t>
  </si>
  <si>
    <t>emnpalacios@gmail.com</t>
  </si>
  <si>
    <t>Analysis of the effectiveness of endodontic procedures in the reduction of microorganisms and their by-products</t>
  </si>
  <si>
    <t>U1111-1226-4480</t>
  </si>
  <si>
    <t>Rogério  de Castilho Jacinto</t>
  </si>
  <si>
    <t>rogeriocastilho@hotmail.cm</t>
  </si>
  <si>
    <t>Faculdade de Odontologia de Araçatuba - Universidade Estadual Paulista</t>
  </si>
  <si>
    <t>Effect of Fractionated Microablative Radiofrequency and Pelvic Floor Muscle Training in the Treatment of Women with Vaginal Laxity: Randomized Clinical Trial</t>
  </si>
  <si>
    <t>U1111-1242-1636</t>
  </si>
  <si>
    <t>Glaucia Miranda Varella Pereira</t>
  </si>
  <si>
    <t>55 037 999977771</t>
  </si>
  <si>
    <t>glauciavarella@gmail.com</t>
  </si>
  <si>
    <t>Faculdade de Ciência Médicas da Universidade Estadual de Campinas</t>
  </si>
  <si>
    <t>Transcutaneous electrical nerve stimulation and primary dysmenorrhea syndrome: Is there a correlation between intervention time and pain relief?</t>
  </si>
  <si>
    <t>U1111-1245-7323</t>
  </si>
  <si>
    <t>Effects of photobiomodulation versus ischemia on protection against excentric exercise-induced muscle damage: a randomized controlled and double-blind trial</t>
  </si>
  <si>
    <t>U1111-1245-1730</t>
  </si>
  <si>
    <t>Mikhail  Santos Cerqueira</t>
  </si>
  <si>
    <t>mikalsantosc@hotmail.com</t>
  </si>
  <si>
    <t>Evaluation of Different Clusters in Patients with Chronic Obstructive Pulmonary Disease - COPD</t>
  </si>
  <si>
    <t>U1111-1193-9925</t>
  </si>
  <si>
    <t>Chronic Obstructive Pulmonary Disease,Exacerbation of Disease</t>
  </si>
  <si>
    <t>José William Zucchi</t>
  </si>
  <si>
    <t>+55 (14) 996676417</t>
  </si>
  <si>
    <t>jwzucchi@hotmail.com</t>
  </si>
  <si>
    <t>Universidade Estadual Paulista Júlio de Mesquita Filho UNESP</t>
  </si>
  <si>
    <t>Comparison of eficacy of glucose and reflexotherapy in newborn pain relief in Neonatal Intensive Therapy Unit: A clinical trial</t>
  </si>
  <si>
    <t>U1111-1245-7690</t>
  </si>
  <si>
    <t>+55(84)999367260</t>
  </si>
  <si>
    <t>Effectiveness of at-home bleaching with 10% Hydrogen Peroxide applied on the palatal face. Randomized clinical trial</t>
  </si>
  <si>
    <t>U1111-1233-3871</t>
  </si>
  <si>
    <t>deposits in the teeth</t>
  </si>
  <si>
    <t>Ítalo Augusto  da Costa Lacerda</t>
  </si>
  <si>
    <t>italolacerda.odo@gmail.com</t>
  </si>
  <si>
    <t>Faculdade de Odontologia da Universidade Federal do Amazonas</t>
  </si>
  <si>
    <t>Efficacy of vaginal monoplar focused radiofrequency vaginal estrogenic therapy or vaginal polyacrylic acid for the treatment of genito urinary syndrome fo menopause (GSM): randomized clinical trial</t>
  </si>
  <si>
    <t>02/18/2020</t>
  </si>
  <si>
    <t>U1111-1236-2868</t>
  </si>
  <si>
    <t>Anna Valéria Gueldini de Moraes</t>
  </si>
  <si>
    <t>+55(019)35219306</t>
  </si>
  <si>
    <t>annagueldini@gmail.com</t>
  </si>
  <si>
    <t>Faculdade de Ciências Médicas da Universidade Estadual de Campinas,Unicamp</t>
  </si>
  <si>
    <t>Impact of Obesity on endothelial response to Mental Stress mediated Angiotensin II</t>
  </si>
  <si>
    <t>U1111-1245-6822</t>
  </si>
  <si>
    <t>Natalia Galito Rocha</t>
  </si>
  <si>
    <t>nataliagalito@id.uff.br</t>
  </si>
  <si>
    <t>Effects of protein supplementation on body composition and functionality of oldest old residents in a Long-Term Care Facility</t>
  </si>
  <si>
    <t>U1111-1243-8102</t>
  </si>
  <si>
    <t>Liziane da Rosa Camargo</t>
  </si>
  <si>
    <t>liziane_camargo@hotmail.com</t>
  </si>
  <si>
    <t>A cross-sectional study to determine susceptibility to hepatitis A among men who have sex with men in Rio de Janeiro (HEPAGAY)</t>
  </si>
  <si>
    <t>U1111-1220-4511</t>
  </si>
  <si>
    <t>Hepatitis A Antibodies</t>
  </si>
  <si>
    <t>Alberto dos Santos de Lemos</t>
  </si>
  <si>
    <t>alberto.lemos@ini.fiocruz.br</t>
  </si>
  <si>
    <t>Instituto Nacional de Infectologia Evandro Chagas - Fundação Oswaldo Cruz</t>
  </si>
  <si>
    <t>A prospective study of the efficacy of anterior and posterior knee alcohol neurolysis for the treatment of knee osteoarthrosis pain</t>
  </si>
  <si>
    <t>U1111-1231-9363</t>
  </si>
  <si>
    <t>Gonarthrosis,knee arthrosis,Chronic Pain</t>
  </si>
  <si>
    <t>Gabriel Beligni Campi</t>
  </si>
  <si>
    <t>gabriel.campi@yahoo.com.br</t>
  </si>
  <si>
    <t>Effects of Virtual Reality Training on Sedentary and / or Overweight teenagers</t>
  </si>
  <si>
    <t>U1111-1244-3117</t>
  </si>
  <si>
    <t>Maria Luísa Melo Barbosa</t>
  </si>
  <si>
    <t>luisamelo1513@hotmail.com</t>
  </si>
  <si>
    <t>Comparison of the effects of Passive and Active Myofascial Release Technique on the pressure pain threshold and range of motion in individuals with cervical mobility restriction</t>
  </si>
  <si>
    <t>U1111-1243-7845</t>
  </si>
  <si>
    <t>Vítor Dias Ferreira</t>
  </si>
  <si>
    <t>vitor.d.ferreira@gmail.com</t>
  </si>
  <si>
    <t>Association between phototherapy and a protocol of Physical Exercises in pacients with knee Osteoarthritis</t>
  </si>
  <si>
    <t>U1111-1248-2023</t>
  </si>
  <si>
    <t>women with knee osteoarthritis</t>
  </si>
  <si>
    <t>+55 14 3402-1300</t>
  </si>
  <si>
    <t>Quality of life functional capacity body composition and heart rate variability in Kidney Transplant recipients undergoing Physical Exercise Program</t>
  </si>
  <si>
    <t>U1111-1247-8954</t>
  </si>
  <si>
    <t>Alessandra de Magalhães Campos Garcia</t>
  </si>
  <si>
    <t>+55 98 3272-9062</t>
  </si>
  <si>
    <t>amcgarcia1@yahoo.com.br</t>
  </si>
  <si>
    <t>Single or Cluster Photobiomodulation associated with the Eccentric Exercise Protocol in patients with patellar and Achilles tendinopathy</t>
  </si>
  <si>
    <t>09/24/2018</t>
  </si>
  <si>
    <t>U1111-1211-1820</t>
  </si>
  <si>
    <t>Carlos Eduardo Pinfildi</t>
  </si>
  <si>
    <t>cepinfildi@hotmail.com</t>
  </si>
  <si>
    <t>Analysis of the therapeutic effect of propolis in patients with joint pain</t>
  </si>
  <si>
    <t>U1111-1239-6871</t>
  </si>
  <si>
    <t>Camila Moura Sales</t>
  </si>
  <si>
    <t>+55(82)999297656</t>
  </si>
  <si>
    <t>camila.mourasales@gmail.com</t>
  </si>
  <si>
    <t>Pós Graduação em Ciências da Saúde</t>
  </si>
  <si>
    <t>Auriculotherapy in patients with sequelae of Chikungunya Fever: An approach in primary care</t>
  </si>
  <si>
    <t>U1111-1235-6571</t>
  </si>
  <si>
    <t>José Felipe Costa da Silva</t>
  </si>
  <si>
    <t>felipedoshalom@yahoo.com.br</t>
  </si>
  <si>
    <t>The value of Gadoxetic Acid as a hepatobiliary-specific contrast agent in Magnetic Resonance Imaging in the assessment of focal liver lesions</t>
  </si>
  <si>
    <t>02/13/2020</t>
  </si>
  <si>
    <t>U1111-1247-9655</t>
  </si>
  <si>
    <t>Daniel Alvarenga Fernandes</t>
  </si>
  <si>
    <t>daniel_alvafer@yahoo.com.br</t>
  </si>
  <si>
    <t>Sports mouthguards: evaluation of microbial contamination and effectiveness of chlorhexidine spray as a method of disinfection</t>
  </si>
  <si>
    <t>U1111-1247-8393</t>
  </si>
  <si>
    <t>Faculdade de Odontologia Ribeirao Preto Universidade de São Paulo</t>
  </si>
  <si>
    <t>55 16 3315-3955</t>
  </si>
  <si>
    <t>yurijivago@usp.br</t>
  </si>
  <si>
    <t>Prediction between generalized movements and level of truk control manual reach and fine motricity of pre-term infants</t>
  </si>
  <si>
    <t>U1111-1246-8057</t>
  </si>
  <si>
    <t>Kaitiana Martins da Silva</t>
  </si>
  <si>
    <t>+5513 32290100</t>
  </si>
  <si>
    <t>kaitianafisio@hotmail.com</t>
  </si>
  <si>
    <t>Impact assessment of preoperative audiovisual education during pre-anesthetic evaluation on Anxiety of patients undergoing cholecystectomy</t>
  </si>
  <si>
    <t>U 1111-1244-4647</t>
  </si>
  <si>
    <t>Unspecified anxiety disorder</t>
  </si>
  <si>
    <t>Andrezza Monteiro Rodrigues Silva</t>
  </si>
  <si>
    <t>andrezza_monteiro@bol.com.br</t>
  </si>
  <si>
    <t>Efficacy of the Hypolipid Diet to control Dyslipidemia in patients with Antiphospholipid Syndrome - APS</t>
  </si>
  <si>
    <t>U1111-1242-4151</t>
  </si>
  <si>
    <t>Fernanda Loureiro de Andrade Orsi</t>
  </si>
  <si>
    <t>nutricao@unicamp.br</t>
  </si>
  <si>
    <t>Centro de Hematologia e Hemoterapia de Campinas - Hemocentro</t>
  </si>
  <si>
    <t>Influence of an educational program to promote physical activity cognitive and cardiorespiratory performance in sedentary older adults</t>
  </si>
  <si>
    <t>U1111-1240-9209</t>
  </si>
  <si>
    <t>Augusto César Alves de Oliveira</t>
  </si>
  <si>
    <t>acaofisio@yahoo.com</t>
  </si>
  <si>
    <t>Erector Spinae Block Produces Better Postoperative Analgesia and Prevents Chronic Pain in Patients Undergoing Mastectomy Associated With Axillary Limphadenectomy? Prospective Randomized Study</t>
  </si>
  <si>
    <t>U1111-1230-2654</t>
  </si>
  <si>
    <t>Breast Cancer</t>
  </si>
  <si>
    <t>Eduardo  Sakai</t>
  </si>
  <si>
    <t>esakai@gmail.com</t>
  </si>
  <si>
    <t>AC Camargo Cancer Center</t>
  </si>
  <si>
    <t>Longitudinal clinical study of teeth restored with metal-free ceramic systems. Prospective study about the post-operative dental hypersensitivity</t>
  </si>
  <si>
    <t>U1111-1174-7976</t>
  </si>
  <si>
    <t>Eduardo Passos Rocha</t>
  </si>
  <si>
    <t>1rocha.eduardo@gmail.com</t>
  </si>
  <si>
    <t>Genetic determinants of gastrointestinal hemorrhage associated with the use of acetylsalicylic acid as an antiplatelet agent: a case-control study</t>
  </si>
  <si>
    <t>U1111-1247-3332</t>
  </si>
  <si>
    <t>Marcela Forgerini</t>
  </si>
  <si>
    <t>+55(35)991956789</t>
  </si>
  <si>
    <t>marcelaforgerini@gmail.com</t>
  </si>
  <si>
    <t>Ceramic veneers cemented on no prep teeth. Prospective and longitudinal clinical study of marginal adaptation and evaluation of periodontal behavior using biomarkers of gingival crevicular fluid</t>
  </si>
  <si>
    <t>U1111-1247-2580</t>
  </si>
  <si>
    <t>Glauco Issamu Miyahara</t>
  </si>
  <si>
    <t>Effect of a sports training level running program on the body composition of Overweight and Obesity adults</t>
  </si>
  <si>
    <t>U1111-1246-1067</t>
  </si>
  <si>
    <t>Mateus Duarte Ribeiro</t>
  </si>
  <si>
    <t>mateus.duarte@hotmail.com</t>
  </si>
  <si>
    <t>Aerobic exercise in post-stroke motor performance</t>
  </si>
  <si>
    <t>1111-1237-7247</t>
  </si>
  <si>
    <t>Raíssa Souza Taveira</t>
  </si>
  <si>
    <t>Fagundes</t>
  </si>
  <si>
    <t>raissa.taveira.rt@gmail.com</t>
  </si>
  <si>
    <t>Metaraminol bolus to prevent hypotension during tracheal intubation in patients admitted to ICU</t>
  </si>
  <si>
    <t>07/25/2019</t>
  </si>
  <si>
    <t>U1111-1227-0746</t>
  </si>
  <si>
    <t>Fernando da Silveira</t>
  </si>
  <si>
    <t>+55(51)981957353</t>
  </si>
  <si>
    <t>fernandodasilveira7@gmail.com</t>
  </si>
  <si>
    <t>Intervention in physical education classes to reduce sedentary behavior and improve cognitive function</t>
  </si>
  <si>
    <t>08/21/2018</t>
  </si>
  <si>
    <t>U1111-1206-9512</t>
  </si>
  <si>
    <t>Mauro Virgílio Gomes de Barros</t>
  </si>
  <si>
    <t>+55 81 3183 3775</t>
  </si>
  <si>
    <t>mauro.barros@upe.br</t>
  </si>
  <si>
    <t>Escola Superior de Educação Física - Universidade de Pernambuco</t>
  </si>
  <si>
    <t>Itraconazole versus Pentamidine for the treatment of Tegumentary Leishmaniasis caused by Leishmania guyanensis in Amazonas - randomized controlled clinical trial</t>
  </si>
  <si>
    <t>U1111-1243-0077</t>
  </si>
  <si>
    <t>Cutaneous Leishmaniasis</t>
  </si>
  <si>
    <t>Melissa de Sousa Melo Cavalcante</t>
  </si>
  <si>
    <t>melfsmelo@hotmail.com</t>
  </si>
  <si>
    <t>Fund. de Medicina Tropical Dr Heitor Vieira Dourado</t>
  </si>
  <si>
    <t>Evaluation of exodontic technique with minimally traumatic extractor</t>
  </si>
  <si>
    <t>U1111-1227-0880</t>
  </si>
  <si>
    <t>Post-operative pain,comfort</t>
  </si>
  <si>
    <t>Copaiba Oil in prevention and treatment of Oral Mucositis</t>
  </si>
  <si>
    <t>U1111-1245-6352</t>
  </si>
  <si>
    <t>Neoplasia,Stomatitis</t>
  </si>
  <si>
    <t>Aurora Karla de Lacerda Vidal</t>
  </si>
  <si>
    <t>aurorakarla@gmail.com</t>
  </si>
  <si>
    <t>Effectiveness of Peanut Ball Use on Maternal Fatigue During Labor</t>
  </si>
  <si>
    <t>U1111-1243-1990</t>
  </si>
  <si>
    <t>Women in labor</t>
  </si>
  <si>
    <t>Alexandre Magno Delgado</t>
  </si>
  <si>
    <t>alexmagno_d@hotmail.com</t>
  </si>
  <si>
    <t>Associação Vitoriense de Educação,Ciências Cultura</t>
  </si>
  <si>
    <t>GRAU: Group-based interventions for the treatment of anxiety among university students with Acceptance and Commitment Therapy (ACT) and Cognitive Behavioral Therapy (CBT)</t>
  </si>
  <si>
    <t>U1111-1241-7030</t>
  </si>
  <si>
    <t>Lauro Miranda Demenech</t>
  </si>
  <si>
    <t>55 53 8114-3893</t>
  </si>
  <si>
    <t>Lauro_demenech@hotmail.com</t>
  </si>
  <si>
    <t>Effects of  Mind Body Therapy on behavioral and neuroendocrine markers of stress in infertile women and also on reducing the body mass index after diet and exercise guidance in those with overweight and obesity</t>
  </si>
  <si>
    <t>04/25/2016</t>
  </si>
  <si>
    <t>U1111-1172-1818</t>
  </si>
  <si>
    <t>infertility ,obesity</t>
  </si>
  <si>
    <t>Fernando Marcos Reis</t>
  </si>
  <si>
    <t>+55(31)34099264</t>
  </si>
  <si>
    <t>reis.ufmg@gmail.com</t>
  </si>
  <si>
    <t>Hospital das Clínicas da Universidade Federal de Minas Gerais</t>
  </si>
  <si>
    <t>Cognitive stimulation in older adults through a game based on virtual reality: pre and post intervention study</t>
  </si>
  <si>
    <t>U1111-1247-8550</t>
  </si>
  <si>
    <t>Walewska Zukoski</t>
  </si>
  <si>
    <t>pgpsicologia@ufpr.br</t>
  </si>
  <si>
    <t>Follitropin Delta plus Menotropin for Ovarian Stimulation during In Vitro Fertilization treatments in patients at risk of ovarian poor response: a prospective clinical trial</t>
  </si>
  <si>
    <t>U1111-1247-3260</t>
  </si>
  <si>
    <t>Infertility</t>
  </si>
  <si>
    <t>Oscar Barbosa Duarte-Filho</t>
  </si>
  <si>
    <t>+55(11)3149-9455</t>
  </si>
  <si>
    <t>oscar.filho@vidabemvinda.com.br</t>
  </si>
  <si>
    <t>Clinica Vidabemvinda</t>
  </si>
  <si>
    <t>Mobile Health (mHealth) Intervention assessment for the treatment of periodontal diseases</t>
  </si>
  <si>
    <t>U1111-1243-4639</t>
  </si>
  <si>
    <t>gingivitis,periodontitis,oral hygiene</t>
  </si>
  <si>
    <t>Mirian Paola Toniazzo</t>
  </si>
  <si>
    <t>+55 47 999842528</t>
  </si>
  <si>
    <t>mirianptoniazzo@gmail.com</t>
  </si>
  <si>
    <t>Efficacy of 1% Lidocaine infiltration in Preemptive Analgesia in Microsurgical Varicocelectomy</t>
  </si>
  <si>
    <t>U1111-1243-0698</t>
  </si>
  <si>
    <t>Varicocele: Male Infertility</t>
  </si>
  <si>
    <t>Filipe Tenorio Lira Neto</t>
  </si>
  <si>
    <t>filipe.lira@uol.com.br</t>
  </si>
  <si>
    <t>Assessment of students and professionals knowledge and the psychological aspects dental needs and treatment and follow-up of dental implants in patients with hereditary coagulopathies</t>
  </si>
  <si>
    <t>U1111-1244-6316</t>
  </si>
  <si>
    <t>Mateus Bertolini Fernandes dos Santos</t>
  </si>
  <si>
    <t>mateusbertolini@yahoo.com.br</t>
  </si>
  <si>
    <t>Retrospective study of the analgesic effect of denervation of sacroiliac joints with radiofrequency in patients with sacral pain</t>
  </si>
  <si>
    <t>U1111-1235-4736</t>
  </si>
  <si>
    <t>Ligia Ferreira de Toledo Kawamoto</t>
  </si>
  <si>
    <t>ligiatoledo_med@hotmail.com</t>
  </si>
  <si>
    <t>Biomarkers and clinical scores in critically ill patients at the emergency department</t>
  </si>
  <si>
    <t>U1111-1238-2174</t>
  </si>
  <si>
    <t>Delirium</t>
  </si>
  <si>
    <t>Julio Cesar Garcia de Alencar</t>
  </si>
  <si>
    <t>Fundação de Amparo a Pesquisa do Estado de São Paulo</t>
  </si>
  <si>
    <t>Minoxidil 5 mg oral versus Minoxidil 5% topical solution for Treatment of Male Androgenetic Alopecia: Randomized Clinical Trial</t>
  </si>
  <si>
    <t>U1111-1246-0016</t>
  </si>
  <si>
    <t>male androgenetic alopecia</t>
  </si>
  <si>
    <t>Mariana Alvares Penha</t>
  </si>
  <si>
    <t>marianapenha@hotmail.com</t>
  </si>
  <si>
    <t>Brief group intervention to reduce alcohol use in men: Randomized Clinical Trial</t>
  </si>
  <si>
    <t>U1111-1205-8313</t>
  </si>
  <si>
    <t>Hazardous alcohol use,alcoholism</t>
  </si>
  <si>
    <t>Erika Gisseth Leon Ramirez</t>
  </si>
  <si>
    <t>egleonr@usp.br</t>
  </si>
  <si>
    <t>Escola de Enfermagem Universidade de São Paulo</t>
  </si>
  <si>
    <t>Evaluation of Behavioral and Psychological Symptoms in Dementia: Psycho-Educational Intervention in caregivers in Long-Term Permanent Institutions</t>
  </si>
  <si>
    <t>U1111-1242-0580</t>
  </si>
  <si>
    <t>Dementia,depression</t>
  </si>
  <si>
    <t>Alessandro Ferrari Jacinto</t>
  </si>
  <si>
    <t>alessandrojacinto@uol.com.br</t>
  </si>
  <si>
    <t>Development of an Interdisciplinary Health Promotion Program for People with Fibromyalgia - Fribros Friends</t>
  </si>
  <si>
    <t>U1111-1246-4864</t>
  </si>
  <si>
    <t>Mateus Dias Antunes</t>
  </si>
  <si>
    <t>mateusantunes@usp.br</t>
  </si>
  <si>
    <t>Effects of an exercise protocol for work-related musculoskeletal disorders on grape collectors in the São Francisco Valley</t>
  </si>
  <si>
    <t>U1111-1243-2386</t>
  </si>
  <si>
    <t>Unspecific low back pain</t>
  </si>
  <si>
    <t>rodrigo cappato de araújo</t>
  </si>
  <si>
    <t>+55 87 96334858</t>
  </si>
  <si>
    <t>Effect of a homemade salivary substitute based on Chamomile (Matricaria chamomilla) and Linseed (Linum usitatissimum) in relieving the symptoms of Burning Mouth Syndrome</t>
  </si>
  <si>
    <t>U1111-1244-3972</t>
  </si>
  <si>
    <t>Juan Pablo Aitken Saavedra</t>
  </si>
  <si>
    <t>juanpabloaitken@gmail.com</t>
  </si>
  <si>
    <t>Faculdade de Odontologia Universidade Federal de Pelotas</t>
  </si>
  <si>
    <t>Evaluation of fluoride in saliva after using toothpaste incorporated with Brazilian red propolis</t>
  </si>
  <si>
    <t>U1111-1245-8255</t>
  </si>
  <si>
    <t>Dental Caries,Gingival Diseases</t>
  </si>
  <si>
    <t>Lidia Audrey Rocha Valadas Marques</t>
  </si>
  <si>
    <t>lidiavaladas@gmail.com</t>
  </si>
  <si>
    <t>Efficacy of Virtual Reality Training as a Complement to Rehabilitation in PET/MAH Patients: Randomized Clinical Trial</t>
  </si>
  <si>
    <t>U1111-1222-0792</t>
  </si>
  <si>
    <t>Carrier of human T-lymphotropic virus type- 1 [HTLV-1] infection</t>
  </si>
  <si>
    <t>Alex Tadeu Viana da Cruz</t>
  </si>
  <si>
    <t>Ananindeua</t>
  </si>
  <si>
    <t>alextadeu2009@hotmail.com</t>
  </si>
  <si>
    <t>Effects of Melatonin supplementation on Sarcopenic aged individuals submitted to a Physical Exercise program</t>
  </si>
  <si>
    <t>U1111-1246-0580</t>
  </si>
  <si>
    <t>Rafael Herling Lambertucci</t>
  </si>
  <si>
    <t>rlambertucci@unifesp.br</t>
  </si>
  <si>
    <t>Effects of Maxillary Protraction with Facemask on Class III Orthopedic Treatment between patients with and without Complete Unilateral Cleft Lip and Palate through Tomographic Comparison</t>
  </si>
  <si>
    <t>U1111-1245-7151</t>
  </si>
  <si>
    <t>Larissa Menezes Costa</t>
  </si>
  <si>
    <t>larissa_odonto@yahoo.com.br</t>
  </si>
  <si>
    <t>Effect of a health education program on reducing musculoskeletal complaints in long-term computer workers: a randomized controlled trial</t>
  </si>
  <si>
    <t>U1111-1245-6412</t>
  </si>
  <si>
    <t>Felipe Lima Rebelo</t>
  </si>
  <si>
    <t>(82) 3215-5000</t>
  </si>
  <si>
    <t>Centro Universitário Cesmac</t>
  </si>
  <si>
    <t>Evaluation of the effectiveness of Photodynamic Therapy in non-surgical Periodontal Therapy: randomized clinical trial</t>
  </si>
  <si>
    <t>U1111-1218-9754</t>
  </si>
  <si>
    <t>Rafael Paschoal Esteves Lima</t>
  </si>
  <si>
    <t>rafaelpaschoalesteves@yahoo.com.br</t>
  </si>
  <si>
    <t>Evaluation of position angulation and morphological aspects of the condylar process in patients submitted to surgery</t>
  </si>
  <si>
    <t>U1111-1243-4678</t>
  </si>
  <si>
    <t>Andrea Gonçalves</t>
  </si>
  <si>
    <t>55-016-3301-6300</t>
  </si>
  <si>
    <t>andrea.goncalves@unesp.br</t>
  </si>
  <si>
    <t>Faculdade de Odontologia de Araraquara - FoAr - Unesp</t>
  </si>
  <si>
    <t>Effectiveness of hepatic compression maneuver on internal jugular vein distention and its influence on intra-abdominal pressure and cardiac index of mechanically ventilated children</t>
  </si>
  <si>
    <t>U1111-1233-5815</t>
  </si>
  <si>
    <t>Effect of FortiFit PRO® supplement associated with resistance exercise and diet in muscle function of independent elderly with Sarcopenia</t>
  </si>
  <si>
    <t>U1111-1246-9837</t>
  </si>
  <si>
    <t>Livia Victorino de Souza</t>
  </si>
  <si>
    <t>livia@ibramep.com.br</t>
  </si>
  <si>
    <t>Ibramep - Instituto Brasileiro de Medicina e PEsquisa</t>
  </si>
  <si>
    <t>Use of a Calotropis procera latex protein biomembrane for the treatment of plantar ulcers in people with type 2 diabetes mellitus: randomized clinical trial</t>
  </si>
  <si>
    <t>U1111-1246-3676</t>
  </si>
  <si>
    <t>Luciana Catunda Gomes Menezes</t>
  </si>
  <si>
    <t>55-085-32066400</t>
  </si>
  <si>
    <t>dra.lucianacatunda@yahoo.com.br</t>
  </si>
  <si>
    <t>Faculdade Metropolitana da Grande Fortaleza</t>
  </si>
  <si>
    <t>Stimulus to healthy food consumption and the expansion of the food universe during early childhood: intervention study</t>
  </si>
  <si>
    <t>U1111-1246-0004</t>
  </si>
  <si>
    <t>Camila Pinheiro Coura</t>
  </si>
  <si>
    <t>camila.coura.gastronomia@nutricao.ufrj.br</t>
  </si>
  <si>
    <t>Evaluation of the use of the Levonorgestrel-releasing Intrauterine Device to control Abnormal Uterine Bleeding in patients with hereditary coagulopathy</t>
  </si>
  <si>
    <t>U1111-1245-7031</t>
  </si>
  <si>
    <t>Effectiveness and safety of a new cryotherapy vest to reduce core temperature in athletes (healthy volunteers) after aerobic activity: Crossover Randomized Trial</t>
  </si>
  <si>
    <t>U1111-1238-8539</t>
  </si>
  <si>
    <t>Raphael Einsfeld Simões Ferreira</t>
  </si>
  <si>
    <t>medicina@saocamilo-sp.br</t>
  </si>
  <si>
    <t>Bladder Neck Mobility after Physiotherapeutic Intervention in Women with Stress-Urinary Urinary Incontinence: A Randomized Trial</t>
  </si>
  <si>
    <t>Urinary Incontinence. Pelvic Floor. Ultrasonography</t>
  </si>
  <si>
    <t>Agda Ramyli da silva sousa</t>
  </si>
  <si>
    <t>santana</t>
  </si>
  <si>
    <t>agdaramyli@gmail.com</t>
  </si>
  <si>
    <t>Promotion of Vocal and Communication Skills for Public Speaking in University Students</t>
  </si>
  <si>
    <t>U1111-1219-3625</t>
  </si>
  <si>
    <t>Generalized anxiety/Anxiety</t>
  </si>
  <si>
    <t>Daniel Lucas Picanço Marchand</t>
  </si>
  <si>
    <t>danielmarchand@live.com</t>
  </si>
  <si>
    <t>Bulk fill composite resins: randomized and double-blind clinical trial</t>
  </si>
  <si>
    <t>U1111-1209-4325</t>
  </si>
  <si>
    <t>Vicente de Paulo Aragão Saboia</t>
  </si>
  <si>
    <t>+55 (85) 98807.4623</t>
  </si>
  <si>
    <t>vpsaboia@yahoo.com</t>
  </si>
  <si>
    <t>Pulp Therapy in deciduos molars using Antimicrobial Pulps: a randomized controlled trial</t>
  </si>
  <si>
    <t>01/31/2020</t>
  </si>
  <si>
    <t>U1111-1225-1479</t>
  </si>
  <si>
    <t>Valdeci Elias Santos</t>
  </si>
  <si>
    <t>+55 81 31833782</t>
  </si>
  <si>
    <t>valdeciodonto@gmail.com</t>
  </si>
  <si>
    <t>Evaluation of Glycemic Variability and Hypoglycemic Episodes in type 2 Diabetics with Chronic Renal Failure</t>
  </si>
  <si>
    <t>U1111-1243-8199</t>
  </si>
  <si>
    <t>diabetes,chronic renal failure</t>
  </si>
  <si>
    <t>Cassio Slompo Ramos</t>
  </si>
  <si>
    <t>cjramos75@hotmail.com</t>
  </si>
  <si>
    <t>Effect of Peripheral Muscular Training on Muscular Force Functional Capacity and Quality of Life in individuals after Coronary Artery Bypass Graft</t>
  </si>
  <si>
    <t>U1111-1246-4353</t>
  </si>
  <si>
    <t>Jaqueline Lúcio Vaz</t>
  </si>
  <si>
    <t>+55(35)99188-1563</t>
  </si>
  <si>
    <t>jaqueline-vaz@live.com</t>
  </si>
  <si>
    <t>Avaliação de dentifrício de própolis vermelha brasileira sobre redução de bactérias orais e gengivite em adolescentes em tratamento ortodôntico</t>
  </si>
  <si>
    <t>U1111-1246-2167</t>
  </si>
  <si>
    <t>Assessment of the incidence and risk factors of surgical complications in patients with non-metastatic MELANOMA from the case study of the CNMR(Registro Nacional Clínico de Melanoma)</t>
  </si>
  <si>
    <t>U1111-1246-1921</t>
  </si>
  <si>
    <t>skin cancer melanoma</t>
  </si>
  <si>
    <t>Romina Spina</t>
  </si>
  <si>
    <t>Padova</t>
  </si>
  <si>
    <t>Italy</t>
  </si>
  <si>
    <t>romina.spina@iov.veneto.it</t>
  </si>
  <si>
    <t>Veneto Institute of Oncology IOV</t>
  </si>
  <si>
    <t>Evaluation of long-term effects of fractional radiofrequency and microneedling on external genitalia in menopausal women</t>
  </si>
  <si>
    <t>U1111-1242-8225</t>
  </si>
  <si>
    <t>Ana Katherine da Silveira Gonçalves</t>
  </si>
  <si>
    <t>Evaluation of rapid maxillary expansion effects with tooth-borne and tooth-bone-borne expanders: skeletal dental and periodontal alterations</t>
  </si>
  <si>
    <t>U1111-1245-3052</t>
  </si>
  <si>
    <t>João Batista de Paiva</t>
  </si>
  <si>
    <t>Mobile medical device evaluation - Tytocare - for telemedicine validation through pediatric teleinter consultation</t>
  </si>
  <si>
    <t>U1111-1244-6746</t>
  </si>
  <si>
    <t>Fabio Araujo Motta</t>
  </si>
  <si>
    <t>fabio.motta.hpp@gmail.com</t>
  </si>
  <si>
    <t>Hospital Pequeno Principe</t>
  </si>
  <si>
    <t>Study of Long Latency Auditory Evoked Potential (P300) pre and post intervention on phonological processing in children with Reading and Writing Disorder</t>
  </si>
  <si>
    <t>U1111-1243-1157</t>
  </si>
  <si>
    <t>Marisa Tomoe Hebihara Fukuda</t>
  </si>
  <si>
    <t>ribeirao Preto</t>
  </si>
  <si>
    <t>+55 16 36022395</t>
  </si>
  <si>
    <t>mafukuda@fmrp.usp.br</t>
  </si>
  <si>
    <t>Faculdade de Medicina de Ribeirão Preto da Universidade de São Paulos</t>
  </si>
  <si>
    <t>Study of the role of hydroxychloroquine in immunomodulation and control of hypercoagulability in patients diagnosed with Primary antiphospholipid syndrome</t>
  </si>
  <si>
    <t>U1111-1238-0560</t>
  </si>
  <si>
    <t>Fernanda Andrade Orsi</t>
  </si>
  <si>
    <t>ferorsi@unicamp.br</t>
  </si>
  <si>
    <t>Hemocentro- Universidade Estadual de Campinas</t>
  </si>
  <si>
    <t>The effect of Vitamin D supplementation on recurrence of Benign Paroxysmal Positional Vertigo in the elderly</t>
  </si>
  <si>
    <t>01/30/2020</t>
  </si>
  <si>
    <t>U1111-1245-8869</t>
  </si>
  <si>
    <t>Benign Paroxysmal Positional Vertigo. Vitamin D Deficiency</t>
  </si>
  <si>
    <t>Paulo Roberto Rocha Júnior</t>
  </si>
  <si>
    <t>55 018 35027010</t>
  </si>
  <si>
    <t>luana.altrao@gmail.com</t>
  </si>
  <si>
    <t>Centro Universitário de Adamantina (UNIFAI)</t>
  </si>
  <si>
    <t>Efficacy and pharmacokinetics of new topical local anesthetic formulations for the oral mucosa</t>
  </si>
  <si>
    <t>U1111-1243-6273</t>
  </si>
  <si>
    <t>Giovana  Tofoli</t>
  </si>
  <si>
    <t>55 19 3211-3600</t>
  </si>
  <si>
    <t>giovanatofoli@slmandic.edu.br</t>
  </si>
  <si>
    <t>Effectiveness of ozonated water mouthrinse in early plaque formation and gingival inflammation: a crossover randomized clinical trial</t>
  </si>
  <si>
    <t>U1111-1234-2687</t>
  </si>
  <si>
    <t>chronic gingivitis</t>
  </si>
  <si>
    <t>Alessandra Cardoso Nicolini</t>
  </si>
  <si>
    <t>alessandrac_nicolini@hotmail.com</t>
  </si>
  <si>
    <t>Oral condition assessment of patients with autism spectrum disorder</t>
  </si>
  <si>
    <t>U1111-1244-7011</t>
  </si>
  <si>
    <t>Letícia Helena Theodoro</t>
  </si>
  <si>
    <t>+55 (18) 3636-2860</t>
  </si>
  <si>
    <t>Faculdade de Odontologia de Araçatuba FOA</t>
  </si>
  <si>
    <t>Minimally clinically important difference for pain and menstrial symptoms in women with primary dysmenorreia: randomized clinical test</t>
  </si>
  <si>
    <t>U1111-1242-3468</t>
  </si>
  <si>
    <t>Primary dysmenorrhea</t>
  </si>
  <si>
    <t>Patricia Driusso</t>
  </si>
  <si>
    <t>+55 16 3351-8111</t>
  </si>
  <si>
    <t>pdriusso@ufscar.br</t>
  </si>
  <si>
    <t>Intervention in pain and insomnia in women with fibromyalgia in the postmenopausal period</t>
  </si>
  <si>
    <t>U1111-1240-2597</t>
  </si>
  <si>
    <t>Luziane de Fátima Kirchner</t>
  </si>
  <si>
    <t>luzianefk@gmail.com</t>
  </si>
  <si>
    <t>Universidade Católica Dom Bosco</t>
  </si>
  <si>
    <t>The influence of preservation of retropatellar fat pad on the positioning of the tibial component in Total Knee Arthroplasty</t>
  </si>
  <si>
    <t>U1111-1209-8875</t>
  </si>
  <si>
    <t>Osteoarthrosis of the knee,pain in the knee,instability of the patella</t>
  </si>
  <si>
    <t>Influence of positioning on intrarenal pressure during percutaneous nephrolithotripsy</t>
  </si>
  <si>
    <t>U1111-1243-6896</t>
  </si>
  <si>
    <t>Nephrolithiasis</t>
  </si>
  <si>
    <t>Leila de Lourdes Martins Perobelli</t>
  </si>
  <si>
    <t>nep@htejz.spdm.org.br</t>
  </si>
  <si>
    <t>Hospital Brigadeiro UGA V-SP</t>
  </si>
  <si>
    <t>Comparison between Rotary and Manual Instrumentation in primary molar Biopulpectomies</t>
  </si>
  <si>
    <t>U1111-1245-9046</t>
  </si>
  <si>
    <t>Vivien  Thiemy Sakai</t>
  </si>
  <si>
    <t>vivien.sakai@unifal-mg.edu.br</t>
  </si>
  <si>
    <t>Effects of a sports-based intervention on different health indicators of overweight students</t>
  </si>
  <si>
    <t>U1111-1243-4762</t>
  </si>
  <si>
    <t>Gabriel Gustavo Bergmann</t>
  </si>
  <si>
    <t>+55 53 999903926</t>
  </si>
  <si>
    <t>gabrielgbergmann@gmail.com</t>
  </si>
  <si>
    <t>Laser Doppler Flowmetry evaluation in the genius region in patients undergoing antineoplastic therapy</t>
  </si>
  <si>
    <t>u1111-1243-8397</t>
  </si>
  <si>
    <t>Vestibular Evaluation and Rehabilitation in Diseases</t>
  </si>
  <si>
    <t>U1111-1241-5034</t>
  </si>
  <si>
    <t>Meniere Disease</t>
  </si>
  <si>
    <t>Bianca Simone Zeilgelboim</t>
  </si>
  <si>
    <t>biancacwb@yahoo.com.br</t>
  </si>
  <si>
    <t>A 24-week randomized prospective triple-blinded placebo-controlled trial investigating the efficacy of 10 mg biotin in the treatment of chronic effluvium telogen in women</t>
  </si>
  <si>
    <t>U1111-1230-4606</t>
  </si>
  <si>
    <t>Telogen effluvium</t>
  </si>
  <si>
    <t>Paulo Müller Ramos</t>
  </si>
  <si>
    <t>+55 (43) 3256 9898</t>
  </si>
  <si>
    <t>dermato.paulo@gmail.com</t>
  </si>
  <si>
    <t>Faculdade Medicina da Universidade Estadual Paulista - UNESP</t>
  </si>
  <si>
    <t>Evaluation and treatment strategies for individuals with spinocerebelar ataxia (SCA)</t>
  </si>
  <si>
    <t>U1111-1245-9884</t>
  </si>
  <si>
    <t>Spinocerebellar Degenerations</t>
  </si>
  <si>
    <t>Camilla Polonini Martins</t>
  </si>
  <si>
    <t>polonini.c@gmail.com</t>
  </si>
  <si>
    <t>Centro Universitário Augusto Motta - UNISUAM</t>
  </si>
  <si>
    <t>Polychemotherapy in Patients with Multibacillary Leprosy Treated with OMS / 12 doses Scheme: Evaluation of Statin Effect on Events After Treatment</t>
  </si>
  <si>
    <t>U1111-1245-4235</t>
  </si>
  <si>
    <t>Cristiane Cardoso Domingues</t>
  </si>
  <si>
    <t>+55 21 2562-1588</t>
  </si>
  <si>
    <t>cris.c.dom@gmail.com</t>
  </si>
  <si>
    <t>Effect of respiratory muscle training on respiratory muscle strength capacity function and quality of life in patients with peripheral obstructive arterial disease</t>
  </si>
  <si>
    <t>U1111-1243-8929</t>
  </si>
  <si>
    <t>Vera Lúcia dos Santos Alves</t>
  </si>
  <si>
    <t>fisioterapiasc@uol.com.br</t>
  </si>
  <si>
    <t>Irmandade da Santa Casa de Misericórdia de São Paulo</t>
  </si>
  <si>
    <t>Comparison of quadriceps and hamstring muscle strength after exercise at 30% of maximal strength with and without peripheral vascular occlusion in the anterior cruciate ligament postoperative period: a randomized controlled trial</t>
  </si>
  <si>
    <t>U1111-1242-8567</t>
  </si>
  <si>
    <t>Rafael Francisco Vieira de Melo</t>
  </si>
  <si>
    <t>melorfv@gmail.com</t>
  </si>
  <si>
    <t>Comparison between Active Heat and Passive Heat as Supporting in Training Hamstring flexibility passive: randomized controlled trial</t>
  </si>
  <si>
    <t>U1111-1239-2397</t>
  </si>
  <si>
    <t>Luiz Henrique Telles da Rosa</t>
  </si>
  <si>
    <t>55-51-993341085</t>
  </si>
  <si>
    <t>luisr@ufcspa.edu.br</t>
  </si>
  <si>
    <t>Universidade de Ciências da Saúde de Porto Alegre-UFCSPA</t>
  </si>
  <si>
    <t>Study to promote physical activity as a smoking cessation strategy: PROAFC</t>
  </si>
  <si>
    <t>U1111-1234-0090</t>
  </si>
  <si>
    <t>The study will be conducted in smokers</t>
  </si>
  <si>
    <t>Caroline Pereira Santos</t>
  </si>
  <si>
    <t>carolinepereirasantos@yahoo.com.br</t>
  </si>
  <si>
    <t>Faculdade de Ciências e Tecnologia - Universidade Estadual Paulista</t>
  </si>
  <si>
    <t>Analysis of the order of a Concurrent Exercise Session of the Blood Pressure of controlled Hypertense Elderly</t>
  </si>
  <si>
    <t>U1111-1245-0135</t>
  </si>
  <si>
    <t>Denise Rodrigues Fernandes</t>
  </si>
  <si>
    <t>denise.r.fernandes@hotmail.com</t>
  </si>
  <si>
    <t>Combined supplementation of Ramified Chain and Omega 3 Amino Acids: clinical-nutritional cardiorespiratory metabolic impact and quality of life in pre-cachectic / cachectic patients</t>
  </si>
  <si>
    <t>U1111-1242-8720</t>
  </si>
  <si>
    <t>Alexsandro Ferreira dos Santos</t>
  </si>
  <si>
    <t>+55(98)32728538</t>
  </si>
  <si>
    <t>fs_alexsandro@yahoo.com.br</t>
  </si>
  <si>
    <t>Effect of Transcutaneous Electrical Nerve Stimulation (TENS) in Chronic Migraine: Randomized Clinical Trial Placebo-Controlled</t>
  </si>
  <si>
    <t>U1111-1244-7130</t>
  </si>
  <si>
    <t>Migraine disorders,Headache</t>
  </si>
  <si>
    <t>Josimari Melo De Santana</t>
  </si>
  <si>
    <t>+55(79)999946944</t>
  </si>
  <si>
    <t>desantanajm@gmail.com</t>
  </si>
  <si>
    <t>Exploratory study to assess glycemic control through CGM in patients with type 2 diabetes treated with basal insulin randomized to insulin Glargine 300U / ml or Glargine 100 U / ml: a 21-week single site study with parallel arms</t>
  </si>
  <si>
    <t>U1111-1242-6908</t>
  </si>
  <si>
    <t>Diabetes mellitus insulino-dependente</t>
  </si>
  <si>
    <t>Freddy Goldberg Eliaschewitz</t>
  </si>
  <si>
    <t>freddy.g@uol.com.br</t>
  </si>
  <si>
    <t>CPCLIN - Centro de Pesquisas Clinicas LTDA</t>
  </si>
  <si>
    <t>The impact of mindfulness on health professionals quality of life anxiety burnout levels and empathy: a randomized controlled trial</t>
  </si>
  <si>
    <t>U1111-1245-1006</t>
  </si>
  <si>
    <t>55 014 38801366</t>
  </si>
  <si>
    <t>pavao@fmb.unesp.br</t>
  </si>
  <si>
    <t>Faculdade de Medicina de Botucatu (FMB-UNESP)</t>
  </si>
  <si>
    <t>Effects of Cross Over Training on the health related physical fitness of children and adolescents with chronic diseases: a randomized clinical trial</t>
  </si>
  <si>
    <t>U1111-1240-0996</t>
  </si>
  <si>
    <t>Ana Claudia Mattiello Sverzut</t>
  </si>
  <si>
    <t>acms@fmrp.usp.br</t>
  </si>
  <si>
    <t>Faculdade de Medicina de Ribeirão Preto da Universidade de São Paulo - FMRP-USP</t>
  </si>
  <si>
    <t>Evaluation of the effect of systemic lupus erythematosus on the activity of the OATP1B1 transporter using atorvastatin PK-PD</t>
  </si>
  <si>
    <t>U1111-1245-5298</t>
  </si>
  <si>
    <t>Systemic lupus erythematosus</t>
  </si>
  <si>
    <t>Faculdade de Ciências Farmacêuticas de Ribeirão Preto da Universidade de São Paulo</t>
  </si>
  <si>
    <t>A Randomized Study with the use of Melatonin as Adjuvant to the Analgesic Regimen in Intensive Care: Analysis of Serum Levels</t>
  </si>
  <si>
    <t>U1111-1222-0043</t>
  </si>
  <si>
    <t>Acute effects of thoraco-lumbar Fascial Mobilization on tissue displacement pain and function of individuals with Chronic Low Back Pain: crossover clinical trial</t>
  </si>
  <si>
    <t>U1111-1234-0916</t>
  </si>
  <si>
    <t>Fábio Martins Martins</t>
  </si>
  <si>
    <t>fmartins.ufvjm@gmail.com</t>
  </si>
  <si>
    <t>Evaluation of markers microbiological and functions of children and adolescents with Cystic Fibrosis and the effects of Curcumin supplementation</t>
  </si>
  <si>
    <t>U1111-1233-6956</t>
  </si>
  <si>
    <t>Cystic fibrosis</t>
  </si>
  <si>
    <t>Izabela Zibetti Albuquerque</t>
  </si>
  <si>
    <t>zibetti.izabela@gmail.com</t>
  </si>
  <si>
    <t>Hospital das Clínicas da Universidade Federal de Goiâs</t>
  </si>
  <si>
    <t>Use of photoliasis and topical antioxidants in the treatment of actinic keratosis and skin cancer field: a randomized controlled trial</t>
  </si>
  <si>
    <t>U1111-1245-6490</t>
  </si>
  <si>
    <t>actinic keratosis</t>
  </si>
  <si>
    <t>Bruno Augusto Alvares</t>
  </si>
  <si>
    <t>+55 14 981052222</t>
  </si>
  <si>
    <t>brunoalvares_91@hotmail.com</t>
  </si>
  <si>
    <t>Faculdade de Medicina de Botucatu - UNESP</t>
  </si>
  <si>
    <t>Percutaneous Tibial Nerve Stimulation in patients with Urinary Incontinence after Prostatectomy</t>
  </si>
  <si>
    <t>U1111-1245-0296</t>
  </si>
  <si>
    <t>Urinary Incontinence after prostatectomy</t>
  </si>
  <si>
    <t>Jordana Antes Fernandes</t>
  </si>
  <si>
    <t>jordana_fernandes@yahoo.com.br</t>
  </si>
  <si>
    <t>Effects of Ozone Therapy and Kinesiotherapy on the treatment of Rheumatoid Arthritis of the hands</t>
  </si>
  <si>
    <t>U1111-1242-4253</t>
  </si>
  <si>
    <t>Leonardo  Saraiva</t>
  </si>
  <si>
    <t>Clinical behavior of single increment composites: randomized controlled longitudinal study</t>
  </si>
  <si>
    <t>U1111-1243-8462</t>
  </si>
  <si>
    <t>Clinical conditions of tooth restoration (due dental caries)</t>
  </si>
  <si>
    <t>Daniela Araujo Veloso Popoff</t>
  </si>
  <si>
    <t>Montes claros</t>
  </si>
  <si>
    <t>+55 (38) 3229-8000</t>
  </si>
  <si>
    <t>danielavelloso@yahoo.com.br</t>
  </si>
  <si>
    <t>Universidade de Estadual de Montes Claros</t>
  </si>
  <si>
    <t>Effectiveness of family nursing interventions for children care undergoing elective surgeries: a randomized controlled superiority trial</t>
  </si>
  <si>
    <t>U1111-1239-2605</t>
  </si>
  <si>
    <t>Andréia Cascaes Cruz</t>
  </si>
  <si>
    <t>deiacascaes@gmail.com</t>
  </si>
  <si>
    <t>Universidade Federal de São Paulo,Escola Paulista de Enfermagem</t>
  </si>
  <si>
    <t>Sentinel lymph node biopsy versus no axillary surgery in early breast cancer clinically and ultrasonographically node-negative</t>
  </si>
  <si>
    <t>U1111-1230-8272</t>
  </si>
  <si>
    <t>Giuliano Mendes Duarte</t>
  </si>
  <si>
    <t>+55 19 35219305</t>
  </si>
  <si>
    <t>giulianomduarte@gmail.com</t>
  </si>
  <si>
    <t>Hospital da Mulher Prof. Dr. Jose Aristodemo Pinotti - CAISM - UNICAMP</t>
  </si>
  <si>
    <t>To identify the gain in extensibility of ischiotibial muscles after Cryostretching in sedentary women</t>
  </si>
  <si>
    <t>U1111-1235-6381</t>
  </si>
  <si>
    <t>Muscle stiffness</t>
  </si>
  <si>
    <t>gladson_ricardo@yahoo.com.br</t>
  </si>
  <si>
    <t>Universidade Estadual do Oeste do Paraná (UNIOESTE)</t>
  </si>
  <si>
    <t>Immediate effects of lateral walking treadmill training in individuals with Parkinson disease: randomized controlled trial</t>
  </si>
  <si>
    <t>01/24/2020</t>
  </si>
  <si>
    <t>U1111-1236-7276</t>
  </si>
  <si>
    <t>raquellindquist@gmail.com</t>
  </si>
  <si>
    <t>Effects of resistance training with instability on clinical outcomes Spinal Mechanisms and Brain Metrics in individuals with freezing of gait in Parkinsons Disease</t>
  </si>
  <si>
    <t>06/28/2018</t>
  </si>
  <si>
    <t>U1111-1215-9956</t>
  </si>
  <si>
    <t>Effect of application time of 4% Hydrogen Peroxide on the efficacy of and dental sensitivity to At-home Bleaching: a blind parallel randomized clinical trial</t>
  </si>
  <si>
    <t>U1111-1223-2274</t>
  </si>
  <si>
    <t>+55(45)32203740</t>
  </si>
  <si>
    <t>A Prospective Non-Interventional Study of Bleeding Episodes Factor VIII Infusions and Patient-Reported Outcomes in Individuals with Severe Hemophilia A</t>
  </si>
  <si>
    <t>U1111-1219-5694</t>
  </si>
  <si>
    <t>Severe Hemophilia A</t>
  </si>
  <si>
    <t>Margareth Castro Ozelo</t>
  </si>
  <si>
    <t>+55 019 35218936</t>
  </si>
  <si>
    <t>margaret@unicamp.br</t>
  </si>
  <si>
    <t>Centro de Hematologia e Hemoterapia - HEMOCENTRO</t>
  </si>
  <si>
    <t>Implant-supported fixed prosthesis rehabilitation made by digital and conventional workflow</t>
  </si>
  <si>
    <t>01/22/2020</t>
  </si>
  <si>
    <t>U1111-1243-4162</t>
  </si>
  <si>
    <t>Total edentulous</t>
  </si>
  <si>
    <t>+55(84)991284398</t>
  </si>
  <si>
    <t>Evaluation of gynecological proctological and dermatological acceptability of product for health under normal conditions of use_mklab</t>
  </si>
  <si>
    <t>U1111-1245-4147</t>
  </si>
  <si>
    <t>Rectal absorption</t>
  </si>
  <si>
    <t>Effects of sildenafil on exercise responses in symptomatic individuals with evidence of tobacco-associated pulmonary microvascular disease: randomized double-blind clinical trial</t>
  </si>
  <si>
    <t>U1111-1245-4121</t>
  </si>
  <si>
    <t>Tobacco use,dyspnea</t>
  </si>
  <si>
    <t>Paulo de Tarso Guerrero Müller</t>
  </si>
  <si>
    <t>Hospital Universitário de Mato Grosso do Sul</t>
  </si>
  <si>
    <t>Evaluation and analysis of motor performance and biopsychosocial conditions in young volleyball players</t>
  </si>
  <si>
    <t>U1111-1239-5042</t>
  </si>
  <si>
    <t>Dernival  Bertoncello</t>
  </si>
  <si>
    <t>dernival.bertoncello@uftm.edu.br</t>
  </si>
  <si>
    <t>Efficacy and Durability of Botulinum Toxin in the Treatment of Bruxism - Double Randomized Blind Clinical Study</t>
  </si>
  <si>
    <t>U1111-1235-5386</t>
  </si>
  <si>
    <t>patients wit bruxism</t>
  </si>
  <si>
    <t>Juliana Alves Ramalho</t>
  </si>
  <si>
    <t>Chácara Flora</t>
  </si>
  <si>
    <t>+55 - 11 - 5690 7900</t>
  </si>
  <si>
    <t>dra.julianaramalho@gmail.com</t>
  </si>
  <si>
    <t>Universidade Ibirapuera</t>
  </si>
  <si>
    <t>Palbociclib plus letrozole treatment for women with ER/PR-positive ovarian cancer after progression to second line chemotherapy</t>
  </si>
  <si>
    <t>U1111-1239-9539</t>
  </si>
  <si>
    <t>Secondary malignant neoplasms of ovary</t>
  </si>
  <si>
    <t>Gustavo Werutsky</t>
  </si>
  <si>
    <t>+55 51 3384 5334</t>
  </si>
  <si>
    <t>gustavo.werutsky@lacog.org.br</t>
  </si>
  <si>
    <t>Latin American Cooperative Oncology Group</t>
  </si>
  <si>
    <t>Perimplant Mucosa Thickness Modification with Xenogen Acellular Collagen Matrix (Mucoderm): Randomized Split-Mouth Clinical Trial</t>
  </si>
  <si>
    <t>U1111-1242-6606</t>
  </si>
  <si>
    <t>RENATA CIMÕES JOVINO SILVEIRA</t>
  </si>
  <si>
    <t>RECIFE</t>
  </si>
  <si>
    <t>+55 81 8831-0501</t>
  </si>
  <si>
    <t>renata.cimoes@globo.com</t>
  </si>
  <si>
    <t>Comparative study between Dexamethasone co-administered with Nimesulide and Dexamethasone co-administered with Paracetamol in postoperative Pain control Edema and Trismus</t>
  </si>
  <si>
    <t>U1111-1241-5638</t>
  </si>
  <si>
    <t>Erasmo Freitas de Souza Junior</t>
  </si>
  <si>
    <t>+55(84) 3315-2248</t>
  </si>
  <si>
    <t>erasmo_jn@hotmail.com</t>
  </si>
  <si>
    <t>Assessment of implant success survival postoperative pain and marginal bone alterations using a single bur versus multiple drilling: Randomized clinical trial</t>
  </si>
  <si>
    <t>U1111-1244-3281</t>
  </si>
  <si>
    <t>Accuracy analysis of jaws position in orthognathic surgery using intermediate guides supported on zygomatic bones</t>
  </si>
  <si>
    <t>U1111-1242-9401</t>
  </si>
  <si>
    <t>Orthognathic Surgery</t>
  </si>
  <si>
    <t>LILIANE ELZE FALCÃO LINS KUSTERER</t>
  </si>
  <si>
    <t>Selecione</t>
  </si>
  <si>
    <t>+55(71)992700660</t>
  </si>
  <si>
    <t>lkusterer@gmail.com</t>
  </si>
  <si>
    <t>Faculdade de Medicina da Bahia,Universidade Federal da Bahia</t>
  </si>
  <si>
    <t>Modulação neurobiológica Reac em lesões pós traumáticas</t>
  </si>
  <si>
    <t>U1111-1232-4067</t>
  </si>
  <si>
    <t>Contusion of knee</t>
  </si>
  <si>
    <t>96 4004 000</t>
  </si>
  <si>
    <t>Phase III multicenter double-blind randomized controlled 12-week parallel-group superiority trial to compare the efficacy and safety of the triple fixed combination of dorzolamide hydrochloride (2%) + brimonidine tartrate (0.2%) + timolol maleate (0.5%) versus COMBIGAN® (double fixed combination of 0.2% brimonidine tartrate + 0.5% timolol maleate) in reducing intraocular pressure (IOP) in adult patients with primary open-angle glaucoma or ocular hypertension</t>
  </si>
  <si>
    <t>U1111-1244-8802</t>
  </si>
  <si>
    <t>ocular hypertension</t>
  </si>
  <si>
    <t>Laura Credidio</t>
  </si>
  <si>
    <t>laurabio@gmail.com</t>
  </si>
  <si>
    <t>Effect of chest tube insertion site on ventilatory function in patients undergoing elective myocardial revascularization surgery: a clinical trial</t>
  </si>
  <si>
    <t>U1111-1159-4447</t>
  </si>
  <si>
    <t>Miocardial Infarction</t>
  </si>
  <si>
    <t>sandra  simon</t>
  </si>
  <si>
    <t>sanfelara@yahoo.com.br</t>
  </si>
  <si>
    <t>Fundação Universitária de Cardiologia do Rio Grande do Sul</t>
  </si>
  <si>
    <t>Effects of isolated versus combined perineal preparation methods on perineal distensibility and muscle strength</t>
  </si>
  <si>
    <t>U1111-1246-5323</t>
  </si>
  <si>
    <t>Alana Leandro Cabral</t>
  </si>
  <si>
    <t>alanaleandrocabral@hotmail.com</t>
  </si>
  <si>
    <t>Effect of Coffee Mouth Rinse on cycling performance: an randomized cross-over clinical trial</t>
  </si>
  <si>
    <t>01/16/2020</t>
  </si>
  <si>
    <t>U1111-1245-6138</t>
  </si>
  <si>
    <t>Lara Lima Nabuco</t>
  </si>
  <si>
    <t>+55(62)982827187</t>
  </si>
  <si>
    <t>laranabuco@hotmail.com</t>
  </si>
  <si>
    <t>Platelet Rich Plasma (PRP) and Tranexamic Acid (TXA) Applied in Total Knee Arthroplasty</t>
  </si>
  <si>
    <t>U1111-1187-8385</t>
  </si>
  <si>
    <t>Joao Paulo Fernandes Guerreiro</t>
  </si>
  <si>
    <t>drjoaopauloguerreiro@gmail.com</t>
  </si>
  <si>
    <t>Irmandade Santa Casa de Londrina</t>
  </si>
  <si>
    <t>Effects of Transcranial Direct Current Stimulation in Social Anxiety symptoms: a clinical trial</t>
  </si>
  <si>
    <t>U1111-1245-8304</t>
  </si>
  <si>
    <t>Social phobia</t>
  </si>
  <si>
    <t>Gleiciano Rodrigo Morais de Sousa</t>
  </si>
  <si>
    <t>sousagrm@hotmail.com</t>
  </si>
  <si>
    <t>Universidade Federal da Paraíba - UFPB</t>
  </si>
  <si>
    <t>Effects of a combined physical exercise program on cardiac function and biochemical and cardiovascular genetic markers of patients with heart failure</t>
  </si>
  <si>
    <t>U1111-1243-7942</t>
  </si>
  <si>
    <t>+55(14)38801171</t>
  </si>
  <si>
    <t>Aussie current application in low back pain patients</t>
  </si>
  <si>
    <t>U1111-1244-7566</t>
  </si>
  <si>
    <t>The effect of music on blood donor anxiety: a randomized clinical trial</t>
  </si>
  <si>
    <t>06/19/2017</t>
  </si>
  <si>
    <t>U1111-1193-9164</t>
  </si>
  <si>
    <t>open randomized study for safety evaluation and pharmacokinetic parameters comparing dispersible tablets and efavirenz oral solution in pediatric population</t>
  </si>
  <si>
    <t>U1111-1178-3687</t>
  </si>
  <si>
    <t>(HIV+)</t>
  </si>
  <si>
    <t>André Bastos Daher</t>
  </si>
  <si>
    <t>+55 (21) 38829239</t>
  </si>
  <si>
    <t>andredaher@gmail.com</t>
  </si>
  <si>
    <t>VPPLR- Plataforma de Pesquisa Clínica - FIOCRUZ</t>
  </si>
  <si>
    <t>Effects of supplementation of Babassu Coconut Oil in the fatigue and quality of life of women with breast cancer</t>
  </si>
  <si>
    <t>10/24/2017</t>
  </si>
  <si>
    <t>U1111-1201-7495</t>
  </si>
  <si>
    <t>Fatigue,women,breast neoplasm</t>
  </si>
  <si>
    <t>Study of the association of aerobic physical training with Enalapril Maleate and Losartan on different cardiovascular parameters in hypertensive women before and after menopause</t>
  </si>
  <si>
    <t>U1111-1234-2970</t>
  </si>
  <si>
    <t>Application of Electrothermalphototerapeutic Current in patients with Lumbar Pain</t>
  </si>
  <si>
    <t>U1111-1215-9274</t>
  </si>
  <si>
    <t>Influence of the Height of the Mandibular Ridge on the functional adaptation with Dentures</t>
  </si>
  <si>
    <t>05/25/2018</t>
  </si>
  <si>
    <t>U1111-1213-8874</t>
  </si>
  <si>
    <t>Complete denture wearers,jaw edentulous,normal saliva flow</t>
  </si>
  <si>
    <t>Ana Carolina Pero</t>
  </si>
  <si>
    <t>anacarolpero@foar.unesp.br</t>
  </si>
  <si>
    <t>Efficacy of Floral Therapy in the Anxiety of Overweight or Obese adults</t>
  </si>
  <si>
    <t>01/16/2018</t>
  </si>
  <si>
    <t>U1111-1190-6690</t>
  </si>
  <si>
    <t>Anxiety in individuals with obesity or overweight</t>
  </si>
  <si>
    <t>Suzimar Benato Fusco</t>
  </si>
  <si>
    <t>Sbenato@gmail.com</t>
  </si>
  <si>
    <t>Eletrocinesiographic evaluation of masticatory performance and satisfaction of complete denture wearers after use of two adhesives</t>
  </si>
  <si>
    <t>02/17/2014</t>
  </si>
  <si>
    <t>U1111-1140-0807</t>
  </si>
  <si>
    <t>Tooth loss</t>
  </si>
  <si>
    <t>Marco Antonio Compagnoni</t>
  </si>
  <si>
    <t>compagno@foar.unesp.br</t>
  </si>
  <si>
    <t>Synergic effect in the setting of non-elastic mechanisms compression in the treatment of lymphedema</t>
  </si>
  <si>
    <t>U1111-1121-0038</t>
  </si>
  <si>
    <t>Lymphedema of the lower limb</t>
  </si>
  <si>
    <t>Maria de Fatima Guerreiro Godoy</t>
  </si>
  <si>
    <t>São Jose do Rio Preto</t>
  </si>
  <si>
    <t>55- 17 -32326362</t>
  </si>
  <si>
    <t>mfggodoy@gmail.com</t>
  </si>
  <si>
    <t>Vascular Laser Center-Clinica Godoy</t>
  </si>
  <si>
    <t>Use of positive pressure in morbidly obese patients undergoing gastroplasty</t>
  </si>
  <si>
    <t>U1111-1129-2189</t>
  </si>
  <si>
    <t>Pulmonary atelectasis,spirometry,blood gas analysis</t>
  </si>
  <si>
    <t>Letícia Baltieri</t>
  </si>
  <si>
    <t>+55(19)91316704</t>
  </si>
  <si>
    <t>lbaltieri@yahoo.com.br</t>
  </si>
  <si>
    <t>Universidade Metodista de Piracicaba - UNIMEP</t>
  </si>
  <si>
    <t>Effects of transcutaneous electrical nerve stimulation on pain mobility and pulmonary function in kidney donors</t>
  </si>
  <si>
    <t>12/20/2012</t>
  </si>
  <si>
    <t>U1111-1130-8587</t>
  </si>
  <si>
    <t>Richard  Liebano</t>
  </si>
  <si>
    <t>Tatuapé</t>
  </si>
  <si>
    <t>Universidade Cidade de São Paulo</t>
  </si>
  <si>
    <t>Pharmaceutical care Programme for inpatients with Chronic Obstructive Pulmonary Disease in a Tertiary Teaching Hospital in Southern Brazil</t>
  </si>
  <si>
    <t>U1111-1127-2456</t>
  </si>
  <si>
    <t>Juliane Monks Silva</t>
  </si>
  <si>
    <t>Julianemonks@hotmail.com</t>
  </si>
  <si>
    <t>Hospital de Clínicas de Porto Alegre - UFRGS</t>
  </si>
  <si>
    <t>The effects on cerebral structure social and cognitive abilities on children exposed to guri santa marcelina program at greater sao paulo: a quasi-experimental study</t>
  </si>
  <si>
    <t>U1111-1243-8071</t>
  </si>
  <si>
    <t>Graziela Bortz</t>
  </si>
  <si>
    <t>55 11 3393-8616</t>
  </si>
  <si>
    <t>g_bortz@hotmail.com</t>
  </si>
  <si>
    <t>Universidade estadual paulista júlio de mesquita filho</t>
  </si>
  <si>
    <t>Effects of probiotics supplementation on body adiposity insulin resistance lipid profile and blood pressure in obese hypertensive individuals during energy restriction</t>
  </si>
  <si>
    <t>01/14/2020</t>
  </si>
  <si>
    <t>U1111-1227-0350</t>
  </si>
  <si>
    <t>Essential (primary) hypertension. Insulin resistance. Hyperlipidemias. Obesity</t>
  </si>
  <si>
    <t>Márcia Regina Simas Torres Klein</t>
  </si>
  <si>
    <t>marciarsimas@gmail.com</t>
  </si>
  <si>
    <t>Effect of home-based exercise on aldosterone ventricular mass arterial stiffness in hemodialysis</t>
  </si>
  <si>
    <t>U1111-1222-7330</t>
  </si>
  <si>
    <t>Renal Insufficiency</t>
  </si>
  <si>
    <t>Bruna  Pianna</t>
  </si>
  <si>
    <t>+55(14)32381091</t>
  </si>
  <si>
    <t>brunapianna@gmail.com</t>
  </si>
  <si>
    <t>Universidade do Sagrado Coração</t>
  </si>
  <si>
    <t>Transcutaneous Electrical Stimulation (TENS) in the immediate postoperative period of anterior cruciate ligament (ACL) reconstruction: double blind randomized clinical trial</t>
  </si>
  <si>
    <t>U1111-1244-4675</t>
  </si>
  <si>
    <t>Knee injury</t>
  </si>
  <si>
    <t>Marcelo Baptista Dohnerrt</t>
  </si>
  <si>
    <t>+55 053 984632952</t>
  </si>
  <si>
    <t>mdohnert@hotmail.com</t>
  </si>
  <si>
    <t>Effect of topical eugenol application on dental sensitivity caused by in-office bleaching</t>
  </si>
  <si>
    <t>U1111-1245-8052</t>
  </si>
  <si>
    <t>+55 (42) 3220 3741</t>
  </si>
  <si>
    <t>Efficacy of Intramuscular Stimulation Techniques to Treat Chronic Myofascial Pain</t>
  </si>
  <si>
    <t>04/18/2017</t>
  </si>
  <si>
    <t>U1111-1190-6460</t>
  </si>
  <si>
    <t>Myofascial Pain</t>
  </si>
  <si>
    <t>Marlene Zuccolotto Moro</t>
  </si>
  <si>
    <t>marlenemoro@uol.com.br</t>
  </si>
  <si>
    <t>Universidade Estadual Paulista Julio de Mesquita Filho Faculdade de Medicina de Botucatu</t>
  </si>
  <si>
    <t>Therapeutic potencial of curcumin-loaded nanoparticles in the treatment of periodontitis: Double-blind split-mouth randomized clinical trial</t>
  </si>
  <si>
    <t>U1111-1222-9696</t>
  </si>
  <si>
    <t>CARLOS ROSSA JR</t>
  </si>
  <si>
    <t>+55 16 3301-6509</t>
  </si>
  <si>
    <t>c.rossa@unesp.br</t>
  </si>
  <si>
    <t>Faculdade de Odontologia de Araraquara - Universidade Estadual Paulista</t>
  </si>
  <si>
    <t>Effects of Neuromodulation of insular cortex on Blood Pressure of hypertenses submitted to Aerobic Exercise</t>
  </si>
  <si>
    <t>03/26/2019</t>
  </si>
  <si>
    <t>U1111-1226-1445</t>
  </si>
  <si>
    <t>Edson Meneses Silva Filho</t>
  </si>
  <si>
    <t>meneses.edson@yahoo.com.br</t>
  </si>
  <si>
    <t>The Influence of Musical Auditory Stimulation Associated with Insulin Use on Cardiac Autonomic Control of Diabetic People</t>
  </si>
  <si>
    <t>U1111-1242-4162</t>
  </si>
  <si>
    <t>Insulin Dependent Diabetes Mellitus</t>
  </si>
  <si>
    <t>Guilherme Correia Alcantara</t>
  </si>
  <si>
    <t>guilherme.gcaa@gmail.com</t>
  </si>
  <si>
    <t>Faculdade de Juazeiro do Norte</t>
  </si>
  <si>
    <t>Effects of Lower Extremities - Constraint Induced Therapy on gait and balance function in chronic hemipretic post-stroke patients</t>
  </si>
  <si>
    <t>08/20/2019</t>
  </si>
  <si>
    <t>U1111-1203-5798</t>
  </si>
  <si>
    <t>Stroke,not specified as haemorrhage or infarction,Sequelae of stroke,not specified as haemorrhage or infarction</t>
  </si>
  <si>
    <t>Elaine Menezes De Oliveira</t>
  </si>
  <si>
    <t>+55(11) 5576-0777</t>
  </si>
  <si>
    <t>elaine_m_oliveira@yahoo.com.br</t>
  </si>
  <si>
    <t>Associação de Assistência a Criança com Deficiência</t>
  </si>
  <si>
    <t>Effects of 940 nm laser photobiomodulation therapy on the control of trismus edema pain and paraesthesia after orthognathic surgery. Randomized clinical trial</t>
  </si>
  <si>
    <t>U1111-1242-6638</t>
  </si>
  <si>
    <t>Ricardo Pimenta Davila</t>
  </si>
  <si>
    <t>+55(11)98299-9494</t>
  </si>
  <si>
    <t>r.pimentadavila@gmail.com</t>
  </si>
  <si>
    <t>Influence of low-level laser therapy on clinical and subjective aspects after third molar extraction: a randomized clinical trial</t>
  </si>
  <si>
    <t>U1111-1243-6685</t>
  </si>
  <si>
    <t>Application of Hilotherm compared to conventional cold compresses in the postoperative control of third molar extraction</t>
  </si>
  <si>
    <t>U1111-1238-6209</t>
  </si>
  <si>
    <t>Comitê de Ética em Pesquisa do Instituto de Gestão Estratégica de Saúde do Distrito Federal</t>
  </si>
  <si>
    <t>cep@igesdf.org.br</t>
  </si>
  <si>
    <t>Instituto Hospital de Base</t>
  </si>
  <si>
    <t>Comparative Analysis between the Atraumatic and Conventional Anesthetic Technique in Third Molar Removal Surgery:Randomized Clinical Trial</t>
  </si>
  <si>
    <t>U1111-1244-5548</t>
  </si>
  <si>
    <t>Impacted teeth. Unerupted tooth. Tooth,Impacted. Third molar. Tooth,Unerupted</t>
  </si>
  <si>
    <t>Hugo Franklin Lima de Oliveira</t>
  </si>
  <si>
    <t>hugobmf@outlook.com</t>
  </si>
  <si>
    <t>CESMAC- Centro de Ensino Superior Maceió</t>
  </si>
  <si>
    <t>The influence of Kinesiotaping on the electromiographic activity and temperature of the quadriceps muscle</t>
  </si>
  <si>
    <t>U1111-1207-0996</t>
  </si>
  <si>
    <t>Paula Cristina Nogueira</t>
  </si>
  <si>
    <t>Divisa Nova</t>
  </si>
  <si>
    <t>paulafisiounifal@gmail.com</t>
  </si>
  <si>
    <t>Efficacy of Ibuprofen with Arginine co-administered with dexamethasone in the control of pain trismus and postoperative edema in third molar surgeries: a randomized triple blind trial</t>
  </si>
  <si>
    <t>U1111-1225-6248</t>
  </si>
  <si>
    <t>Acupuncture applied to facial aesthetics for wrinkles of expression: clinical trial</t>
  </si>
  <si>
    <t>U1111-1218-7710</t>
  </si>
  <si>
    <t>skin aging</t>
  </si>
  <si>
    <t>Cristiane Garcia Sanchez</t>
  </si>
  <si>
    <t>cristianesanchez@usp.br</t>
  </si>
  <si>
    <t>Horizontal and vertical bone augmentations in atrophic alveolar rims with guided bone regeneration: a retrospective observational clinical study</t>
  </si>
  <si>
    <t>U1111-1237-3188</t>
  </si>
  <si>
    <t>Effects of an intervention delivered by an application for increase acceptability of effective oral hygiene instructions in microbioty of young patients under orthodontic treatment</t>
  </si>
  <si>
    <t>U1111-1234-9378</t>
  </si>
  <si>
    <t>Raquel Lopes Santos</t>
  </si>
  <si>
    <t>raquellopesqls@hotmail.com</t>
  </si>
  <si>
    <t>Exercises of the Mat Pilates Method: efects on alignment and postural control in healthy children</t>
  </si>
  <si>
    <t>U1111-1196-6175</t>
  </si>
  <si>
    <t>Jessica Caroliny de Jesus Neves</t>
  </si>
  <si>
    <t>+55 (43) 99650-5643</t>
  </si>
  <si>
    <t>jessica_neves_3@hotmail.com</t>
  </si>
  <si>
    <t>Music in postoperative pain relief of tibial fracture surgery: clinical trial</t>
  </si>
  <si>
    <t>U1111-1244-9369</t>
  </si>
  <si>
    <t>Maria Cristina Leite Ferraz</t>
  </si>
  <si>
    <t>crislferraz@hotmail.com</t>
  </si>
  <si>
    <t>Effects of two types of Inspiratory Muscle Training on respiratory strength in patients undergoing Myocardial Revascularization</t>
  </si>
  <si>
    <t>U1111-1242-0482</t>
  </si>
  <si>
    <t>Effects of Vagus Nerve Transcutaneous Electric Stimulation on autonomic hemodynamic and inflammatory markers in patients with Metabolic Syndrome</t>
  </si>
  <si>
    <t>U1111-1235-0202</t>
  </si>
  <si>
    <t>Fernanda Marciano Consolim-Colombo</t>
  </si>
  <si>
    <t>Fernanda.consolim@uninove.br</t>
  </si>
  <si>
    <t>Universidade Nove de julho - Uninove</t>
  </si>
  <si>
    <t>Acute and subacute hemodynamic changes in individuals with chronic chagasic cardiopathy submitted to different respiratory muscular training protocols - Clinical trial</t>
  </si>
  <si>
    <t>U1111-1231-7931</t>
  </si>
  <si>
    <t>Chagas disease (chronic) with heart involvement</t>
  </si>
  <si>
    <t>+55 21 38659648</t>
  </si>
  <si>
    <t>Comparison between Radioembolization with 131I-Lipiodol and Transarterial chemoembolization in Hepatocellular carcinoma treatment</t>
  </si>
  <si>
    <t>U1111-1245-2805</t>
  </si>
  <si>
    <t>hepatocellular carcinoma</t>
  </si>
  <si>
    <t>Fernando Gomes Romeiro</t>
  </si>
  <si>
    <t>fgromeiro@gmail.com</t>
  </si>
  <si>
    <t>Faculdade de Medicina de Botucatu/ Universidade Estadual Paulista</t>
  </si>
  <si>
    <t>Food intake of children and adolescents with atopic Dermatitis and its relationship with disease severity</t>
  </si>
  <si>
    <t>U1111-1239-8178</t>
  </si>
  <si>
    <t>atopic dermatitis</t>
  </si>
  <si>
    <t>Faculdade de Engenharia de Alimentos</t>
  </si>
  <si>
    <t>posfea@unicamp.br</t>
  </si>
  <si>
    <t>CO2 Laser Therapy vs Urogynecology Physioterapy in SUI: prospective randomized non inferiority study</t>
  </si>
  <si>
    <t>U1111-1229-4652</t>
  </si>
  <si>
    <t>Unspecified Urinary Incontinence</t>
  </si>
  <si>
    <t>Luiz Gustavo Oliveira Brito  Brito</t>
  </si>
  <si>
    <t>(19) 35219147</t>
  </si>
  <si>
    <t>lgobrito@unicamp.br</t>
  </si>
  <si>
    <t>Unicamp</t>
  </si>
  <si>
    <t>Does the association of Nsaids whit arthrocentesis for 30 days improve the mouth opening and painfull symptoms in temporomandibular joint dysfunction</t>
  </si>
  <si>
    <t>U1111-1242-1163</t>
  </si>
  <si>
    <t>Alexander Pomares Cueto</t>
  </si>
  <si>
    <t>+55 21 998564792</t>
  </si>
  <si>
    <t>alexander.maxilofacial@gmail.com</t>
  </si>
  <si>
    <t>Faculdade de Odontologia da Universidade Estadual do Rio de Janeiro</t>
  </si>
  <si>
    <t>General anesthesia with or without thoracic wall blocks. How can we improve the quality of postoperative recovery of breast cancer surgeries</t>
  </si>
  <si>
    <t>U1111-1241-4745</t>
  </si>
  <si>
    <t>Vanessa Henriques Carvalho</t>
  </si>
  <si>
    <t>vanessahcarvalho74@gmail.com</t>
  </si>
  <si>
    <t>Faculdade de ciências médicas da universidade estadual de campinas</t>
  </si>
  <si>
    <t>Impact of orthodontic and orthopedic forces in the radicular resorption of deciduous teeth</t>
  </si>
  <si>
    <t>U1111-1240-4906</t>
  </si>
  <si>
    <t>Effect of hydrotherapy compared with decongestive complex therapy for reduction of lymphedema in lower limb</t>
  </si>
  <si>
    <t>U1111-1234-8798</t>
  </si>
  <si>
    <t>Lower limb lymphedema</t>
  </si>
  <si>
    <t>Maria do Amparo Andrade</t>
  </si>
  <si>
    <t>mamparoandrade@yahoo.com</t>
  </si>
  <si>
    <t>Effects of a low-intensity resistance exercise program with vascular occlusion on muscle function and microcirculation in older people with Sarcopenia</t>
  </si>
  <si>
    <t>U1111-1191-5171</t>
  </si>
  <si>
    <t>Karynne Grutter Lopes</t>
  </si>
  <si>
    <t>kjgolrj@gmail.com</t>
  </si>
  <si>
    <t>Laboratório de Atividade Física e Promoção da Saúde (LABSAU) do Instituto de Educação Física e Desportos da Universidade do Estado do Rio de Janeiro (UERJ)</t>
  </si>
  <si>
    <t>Effects of an early-progressing cardiac rehabilitation program in hospitalized patients after acute myocardial infarction</t>
  </si>
  <si>
    <t>U1111-1241-3124</t>
  </si>
  <si>
    <t>Acute Myocardial Infarction</t>
  </si>
  <si>
    <t>Carolina Nigro Di Leone</t>
  </si>
  <si>
    <t>+55(21) 28688577</t>
  </si>
  <si>
    <t>caroll_nigro@hotmail.com</t>
  </si>
  <si>
    <t>Effect of Low-Intensity Electrical Current on orthodontic movement acceleration and pain perception</t>
  </si>
  <si>
    <t>U1111-1241-5429</t>
  </si>
  <si>
    <t>Paula Caroline Barsi Batistelli</t>
  </si>
  <si>
    <t>+ 55 14 981748116</t>
  </si>
  <si>
    <t>paulabarsi@hotmail.com</t>
  </si>
  <si>
    <t>The effect of mirror therapy associated with electrostimulation on patient upper limb functionality after stroke</t>
  </si>
  <si>
    <t>U1111-1240-7773</t>
  </si>
  <si>
    <t>hemiparesis</t>
  </si>
  <si>
    <t>Patrícia Lima do Amaral Santos</t>
  </si>
  <si>
    <t>patricia.santos@ung.br</t>
  </si>
  <si>
    <t>Universidade de Guarulhos</t>
  </si>
  <si>
    <t>Effect of a telerehabilitation exercise protocol in subjects with chronic neck pain: a randomized controlled trial</t>
  </si>
  <si>
    <t>U1111-1233-6786</t>
  </si>
  <si>
    <t>neck pain</t>
  </si>
  <si>
    <t>Luiz Fernando Approbato Selistre</t>
  </si>
  <si>
    <t>lfaselistre@gmail.com</t>
  </si>
  <si>
    <t>The effectiveness of Transcutaneous Electrical Nerve Stimulation (TENS) in vocal therapy of dysphonic women: a randomized controlled double-blind clinical trial</t>
  </si>
  <si>
    <t>U1111-1245-1066</t>
  </si>
  <si>
    <t>Humanization of trans men`s care: A pilot study</t>
  </si>
  <si>
    <t>U1111-1241-1646</t>
  </si>
  <si>
    <t>HIV. Gynecological diseases</t>
  </si>
  <si>
    <t>Carina Beppu Yoshida</t>
  </si>
  <si>
    <t>carinabeppuyoshida@gmail.com</t>
  </si>
  <si>
    <t>Projeto Praça Onze</t>
  </si>
  <si>
    <t>Effects of different levels of resistance training intensity in relation to the physical hemodynamic and glycemic capacities of different groups</t>
  </si>
  <si>
    <t>U1111-1241-8903</t>
  </si>
  <si>
    <t>Victor Silveira Coswig</t>
  </si>
  <si>
    <t>Castanhal</t>
  </si>
  <si>
    <t>(+55) 913201-7127</t>
  </si>
  <si>
    <t>vcoswig@gmail.com</t>
  </si>
  <si>
    <t>Antisocial behavior in childhood: psycometric properties of measures and proposal for a mother intervention program</t>
  </si>
  <si>
    <t>U1111-1242-7654</t>
  </si>
  <si>
    <t>Darlene Pinho Fernandes de Moura</t>
  </si>
  <si>
    <t>55 085 996501213</t>
  </si>
  <si>
    <t>darlene.fernandes@ufc.br</t>
  </si>
  <si>
    <t>Effect of Sildenafil on mechanical ventilation mechanical ventilation and dyspnea during exercise with mild to moderate COPD</t>
  </si>
  <si>
    <t>11/30/2018</t>
  </si>
  <si>
    <t>U1111-1221-1852</t>
  </si>
  <si>
    <t>Danilo Cortozi Berton</t>
  </si>
  <si>
    <t>+55 51 3359 8000</t>
  </si>
  <si>
    <t>dcberton@gmail.com</t>
  </si>
  <si>
    <t>Effect of cinnamon (Cinnamomum sp) intake on metabolic syndrome and its components in elderly</t>
  </si>
  <si>
    <t>U1111-1140-7888</t>
  </si>
  <si>
    <t>Comparison between Transcutaneous Tibial Nerve Eletrical Stimulation and Transvaginal Eletrical Stimulation to treat Urge Urinary Incontinence in elderly women</t>
  </si>
  <si>
    <t>11/28/2019</t>
  </si>
  <si>
    <t>U1111-1133-7310</t>
  </si>
  <si>
    <t>Urgence urinary incontinence</t>
  </si>
  <si>
    <t>Carla Schwanke</t>
  </si>
  <si>
    <t>schwanke@pucrs.br</t>
  </si>
  <si>
    <t>Pontifícia Universidade Católica do Rio Grande do Sul - Pucrs</t>
  </si>
  <si>
    <t>Effects of photobiomodulation on pressure injury stages 2 and 3 clinical controlled randomized blinded study</t>
  </si>
  <si>
    <t>U1111-1240-7279</t>
  </si>
  <si>
    <t>Rita de Cássia Ferreira</t>
  </si>
  <si>
    <t>rcassiadermato@gmail.com</t>
  </si>
  <si>
    <t>São Paulo Secretaria da Saúde</t>
  </si>
  <si>
    <t>Influence of microphone directionality and modulation of duration of electrical pulse in speech perception and discrimination of pitch in cochlear implant users</t>
  </si>
  <si>
    <t>U1111-1241-9567</t>
  </si>
  <si>
    <t>Marcos Roberto Banhara</t>
  </si>
  <si>
    <t>55-71-33101381</t>
  </si>
  <si>
    <t>marcos.banhara@irmadulce.org.br</t>
  </si>
  <si>
    <t>Obras Sociais Irmã Dulce</t>
  </si>
  <si>
    <t>Evaluation of the efficacy of SGLT2 inhibitor for Non-alcoholic Fatty Liver Disease in diabetics and non-diabetics: clinical trial</t>
  </si>
  <si>
    <t>U1111-1231-2928</t>
  </si>
  <si>
    <t>Debora Goncalves da Silva</t>
  </si>
  <si>
    <t>Joao Pinheiro</t>
  </si>
  <si>
    <t>endocrinodebora@gmail.com</t>
  </si>
  <si>
    <t>Centro Educacional Hyarte</t>
  </si>
  <si>
    <t>Promoting quality of Surgical Hand Preparation with Alcohol Solution for prevention of Surgical Site Infection in thoracic cardiac and orthopedic surgery</t>
  </si>
  <si>
    <t>U1111-1234-7196</t>
  </si>
  <si>
    <t>Ana Elisa Ricci Lopes</t>
  </si>
  <si>
    <t>55-016-36022319</t>
  </si>
  <si>
    <t>anaelisarl@gmail.com</t>
  </si>
  <si>
    <t>Impact of an intervention program on nonadherence to drugs in Ulcerative Colitis Patients: randomized clinical trial</t>
  </si>
  <si>
    <t>U1111-1228-8487</t>
  </si>
  <si>
    <t>Genoile Oliveira Santana Silva</t>
  </si>
  <si>
    <t>milabahia@yahoo.com.br</t>
  </si>
  <si>
    <t>Programa de Pós-Graduação em Ciências Farmacêuticas - PPGFARMA</t>
  </si>
  <si>
    <t>Evaluation of Isoniazid 300 mg Implementation for the Treatment of Latent Tuberculosis Infection in Brazil</t>
  </si>
  <si>
    <t>12/27/2019</t>
  </si>
  <si>
    <t>U1111-1237-3031</t>
  </si>
  <si>
    <t>Latent Tuberculosis</t>
  </si>
  <si>
    <t>Thiago Nascimento do Prado</t>
  </si>
  <si>
    <t>thiagonprado@gmail.com</t>
  </si>
  <si>
    <t>Universidade Federal do Espirito Santo</t>
  </si>
  <si>
    <t>Chinese herbal medicine to reduce occupational stress in nursing: Randomized clinical trial</t>
  </si>
  <si>
    <t>U1111-1230-1592</t>
  </si>
  <si>
    <t>Gisele Kuba</t>
  </si>
  <si>
    <t>gisele.kuba@gmail.com</t>
  </si>
  <si>
    <t>Effects of Laser Therapy and Microcurrent on Pressure Ulcer healing process: a randomized double blind placebo study</t>
  </si>
  <si>
    <t>U1111-1244-4764</t>
  </si>
  <si>
    <t>Scar</t>
  </si>
  <si>
    <t>Monitoring peripheral perfusion in Sepsis associated acute kidney injury: prognostic temporal evolution and fluid balance analysis</t>
  </si>
  <si>
    <t>U1111-1239-3915</t>
  </si>
  <si>
    <t>ANA CAROLINA DE MIRANDA</t>
  </si>
  <si>
    <t>55-041-96772585</t>
  </si>
  <si>
    <t>Hospital das clínicas da Ufpr</t>
  </si>
  <si>
    <t>Pragmatic unicentric open-label phase 2 non-inferiority randomized controlled trial to evaluate the efficacy and safety of teleconsultation compared to face-to-face consultation of patients with Diabetes Mellitus referred from primary care to specialized care in the single health system</t>
  </si>
  <si>
    <t>U1111-1236-3491</t>
  </si>
  <si>
    <t>Roberta  Rabelo</t>
  </si>
  <si>
    <t>robertar@haoc.com.br</t>
  </si>
  <si>
    <t>Clinical simulation of cardiorespiratory and cerebral arrest in adults: evaluation with undergraduate nursing students</t>
  </si>
  <si>
    <t>U1111-1236-2709</t>
  </si>
  <si>
    <t>Francisco Mayron Morais Soares</t>
  </si>
  <si>
    <t>mayronenfo@gmai.com</t>
  </si>
  <si>
    <t>Universidade de Fortaleza</t>
  </si>
  <si>
    <t>Evaluation of gynecological and dermatological acceptability of health product under normal use with measurement of PH microbiota and Swab collection</t>
  </si>
  <si>
    <t>U1111-1240-4495</t>
  </si>
  <si>
    <t>Administration,Intravaginal</t>
  </si>
  <si>
    <t>Effects of lavender essential oil inhalation on sleep quality in postmenopausal women with insomnia</t>
  </si>
  <si>
    <t>U1111-1234-4672</t>
  </si>
  <si>
    <t>Helena Hachul Campos</t>
  </si>
  <si>
    <t>+55011 2149-0155</t>
  </si>
  <si>
    <t>helenahachul@gmail.com</t>
  </si>
  <si>
    <t>Prevention of skin lesions by surgical positioning: randomized clinical trial</t>
  </si>
  <si>
    <t>U111112441629</t>
  </si>
  <si>
    <t>Pressure Ulcer,Patient Positioning</t>
  </si>
  <si>
    <t>Different weekly frequencies of pelvic floor muscle training for women with stress urinary incontinence: a ramdomized controlled trial with economic evaluation</t>
  </si>
  <si>
    <t>U1111-1231-9820</t>
  </si>
  <si>
    <t>+55 16 3351-8448</t>
  </si>
  <si>
    <t>rodrigues.anarocha@gmail.com</t>
  </si>
  <si>
    <t>Peripheral blood thrombosis biomarkers after great saphenous vein reflux treatment using polidocanol foam chemical ablation and conventional saphenectomy</t>
  </si>
  <si>
    <t>U1111-1242-0694</t>
  </si>
  <si>
    <t>Varicose veins without ulcer or inflamation</t>
  </si>
  <si>
    <t>Marcelo Bellini Dalio</t>
  </si>
  <si>
    <t>+55 16 3602 25 93</t>
  </si>
  <si>
    <t>mbdalio@usp.br</t>
  </si>
  <si>
    <t>Effect analysis of combined therapy with repetitive Transcranial Magnetic Stimulation (rTMS) and gametherapy on motor and cognitive functional capacity of individuals with PD</t>
  </si>
  <si>
    <t>U1111-1240-4582</t>
  </si>
  <si>
    <t>Maíra  Lopes</t>
  </si>
  <si>
    <t>+55(83)987621343</t>
  </si>
  <si>
    <t>mairalopesc@gmail.com</t>
  </si>
  <si>
    <t>Respiratory muscular metabolic effects and body perception of a Pilates protocol: Randomized Clinical Trial</t>
  </si>
  <si>
    <t>U1111-1235-4219</t>
  </si>
  <si>
    <t>Kathylce Jaqueline Vital Vieira</t>
  </si>
  <si>
    <t>Machado</t>
  </si>
  <si>
    <t>+55(35)999829407</t>
  </si>
  <si>
    <t>kathylce@hotmail.com</t>
  </si>
  <si>
    <t>Universidade Federal de Alfenas - Unidade II</t>
  </si>
  <si>
    <t>The influence of educational measures and low-level laser phototherapy on temporomandibular disorders: effects on pain mandibular mobility and quality of life</t>
  </si>
  <si>
    <t>U1111-1202-9621</t>
  </si>
  <si>
    <t>Solange Mongelli de Fantini</t>
  </si>
  <si>
    <t>smfantin@usp.br</t>
  </si>
  <si>
    <t>Effect of home based exercises to people with Down syndrome</t>
  </si>
  <si>
    <t>12/19/2019</t>
  </si>
  <si>
    <t>U1111-1242-5036</t>
  </si>
  <si>
    <t>Down síndrome</t>
  </si>
  <si>
    <t>Flavio Rodrigo Xavier Pires Cichon</t>
  </si>
  <si>
    <t>flavio.cichon@hc.fm.usp.br</t>
  </si>
  <si>
    <t>Multicenter study of the natural history and therapeutic responses of patients with Chikungunya focusing on acute and chronic musculoskeletal manifestations</t>
  </si>
  <si>
    <t>U1111-1241-9040</t>
  </si>
  <si>
    <t>Influence of lactose-free diet on metabolic syndrome: role of polymorphisms in the genes for lactase adiponectin and its receptor GIP and its receptor TCF7L2 TNF-alpha IL-6 and NFK-B</t>
  </si>
  <si>
    <t>U1111-1238-0293</t>
  </si>
  <si>
    <t>Lactose Intolerance. Metabolic Syndrome. Amplified Fragment Length Polymorphism Analysis. Polymorphism,Single Nucleotide</t>
  </si>
  <si>
    <t>Edilene Maria Queiroz Araújo</t>
  </si>
  <si>
    <t>emaraujo@uneb.br</t>
  </si>
  <si>
    <t>Effects of resistance exercise on biochemical physiological cognitive and behavioral parameters in elderly with different sarcopenia levels</t>
  </si>
  <si>
    <t>U1111-1239-7541</t>
  </si>
  <si>
    <t>Cristina Pelegrino Baena</t>
  </si>
  <si>
    <t>cristina.baena@pucpr.br</t>
  </si>
  <si>
    <t>Effects of gic luting agents on the clinical performance of metal free crowns - a randomized clinical trial</t>
  </si>
  <si>
    <t>U1111-1238-0702</t>
  </si>
  <si>
    <t>Evaluation of the effects of rapid maxillary expansion anchored on mini-implants</t>
  </si>
  <si>
    <t>U1111-1233-5867</t>
  </si>
  <si>
    <t>Daniela  G. Thys Cavallazzi</t>
  </si>
  <si>
    <t>55-048-988548742</t>
  </si>
  <si>
    <t>dgthys@gmail.com</t>
  </si>
  <si>
    <t>Comparison of the treatment of chronic ulcers with platelet rich plasma in patients with venous insufficiency</t>
  </si>
  <si>
    <t>U1111-1241-8542</t>
  </si>
  <si>
    <t>Stephany Cares Huber</t>
  </si>
  <si>
    <t>stephany_huber@yahoo.com.br</t>
  </si>
  <si>
    <t>Open lable phase II study of metformin activity in patients with primary myelofibrosis post-polycythemia vera and post-essential thrombocythemia</t>
  </si>
  <si>
    <t>U1111-1240-7088</t>
  </si>
  <si>
    <t>Chronic myeloproliferative disease</t>
  </si>
  <si>
    <t>Fabiana Cardoso Pereira Valera</t>
  </si>
  <si>
    <t>+55(16)3963-6487</t>
  </si>
  <si>
    <t>facpvalera@fmrp.usp.br</t>
  </si>
  <si>
    <t>Unidade de Pesquisa Clínica do Hospital das Clínicas de Ribeirão Preto</t>
  </si>
  <si>
    <t>Double-blind crossing over and randomized clinical trial on analgesic effects in migraneous by transcutaneous irradiation in radial artery with 660 nm laser</t>
  </si>
  <si>
    <t>U1111-1235-1480</t>
  </si>
  <si>
    <t>Patients with migraine or e,a pathological condition of nervous system</t>
  </si>
  <si>
    <t>Nivaldo Antonio Parizotto</t>
  </si>
  <si>
    <t>nivaldoaparizotto@hotmail.com</t>
  </si>
  <si>
    <t>Universidade de Araraquara</t>
  </si>
  <si>
    <t>Impact of Low-Intensity Extracorporeal Shock Wave Therapy in the treatment of Erectile Dysfunction in patients undergoing Radical Prostatectomy</t>
  </si>
  <si>
    <t>09/22/2017</t>
  </si>
  <si>
    <t>U1111-1201-2924</t>
  </si>
  <si>
    <t>Erectile Dysfunction,prostate cancer,men</t>
  </si>
  <si>
    <t>Cristiano  Pazeto</t>
  </si>
  <si>
    <t>cristianolinckpazet@gmail.com</t>
  </si>
  <si>
    <t>Effect of Educational intervention on Addressing elderly to fall preventive Measures: almost experimental study</t>
  </si>
  <si>
    <t>U1111-1241-4828</t>
  </si>
  <si>
    <t>Joana Darc Chaves Cardoso</t>
  </si>
  <si>
    <t>+55(65)99273-4459</t>
  </si>
  <si>
    <t>joana-qtal@hotmail.com</t>
  </si>
  <si>
    <t>Bioactive compounds supplementation effects on the gene expression of inflammatory markers and macrophage infiltration in obese women</t>
  </si>
  <si>
    <t>U1111-1233-3168</t>
  </si>
  <si>
    <t>Flavia Campos Corgosinho</t>
  </si>
  <si>
    <t>+55 011 949614847</t>
  </si>
  <si>
    <t>flaviacorgosinho@hotmail.com</t>
  </si>
  <si>
    <t>Faculdade de Nutrição - Universidade Federal de Goiás (FANUT-UFG)</t>
  </si>
  <si>
    <t>Effects of a single session of Aerobic Exercise on blood pressure at rest in response to stressful stimuli and in ambulatory conditions in Hypertensive patients with Rheumatoid Arthritis</t>
  </si>
  <si>
    <t>12/13/2019</t>
  </si>
  <si>
    <t>U1111-1237-8020</t>
  </si>
  <si>
    <t>Rheumatoid arthritis,unspecified,hypertension</t>
  </si>
  <si>
    <t>Tiago Peçanha</t>
  </si>
  <si>
    <t>pecanhatiago@gmail.com</t>
  </si>
  <si>
    <t>Faculdade de Medicina,Universidade de São Paulo</t>
  </si>
  <si>
    <t>Effect of prolonged use of Pentoxifylline on myocardial perfusion abnormalities arrhythmic events and the evolution of left ventricular systolic dysfunction in chronic chagasic cardiomyopathy</t>
  </si>
  <si>
    <t>U1111-1236-5360</t>
  </si>
  <si>
    <t>Marcus Vinícius Simões</t>
  </si>
  <si>
    <t>msimoes@fmrp.usp.br</t>
  </si>
  <si>
    <t>Randomized Clinical Trial of the antibacterial effect clinical and radiographic success of endodontic treatment in primary teeth using different root canal irrigants and chemical auxiliaries</t>
  </si>
  <si>
    <t>U1111-1238-0347</t>
  </si>
  <si>
    <t>Valdineia Maria Tognetti</t>
  </si>
  <si>
    <t>vtognetti@gmail.com</t>
  </si>
  <si>
    <t>Universidade Estadual de Campinas - Faculdade de Odontologia de Piracicaba</t>
  </si>
  <si>
    <t>Evaluation of the effect of Photobiomodulation on the control of symptoms of patients with Burning mouth syndrome: controlled randomized and double-blinded study</t>
  </si>
  <si>
    <t>U1111-1238-8263</t>
  </si>
  <si>
    <t>Bruno Munhoz Marotta</t>
  </si>
  <si>
    <t>bruno.marotta@usp.br</t>
  </si>
  <si>
    <t>Life Skills in Medical Students</t>
  </si>
  <si>
    <t>1111-1243-6802</t>
  </si>
  <si>
    <t>Laís Moreira Borges Araujo</t>
  </si>
  <si>
    <t>+55 (034) 991914181</t>
  </si>
  <si>
    <t>laismba@unipam.edu.br</t>
  </si>
  <si>
    <t>Effects of center and/or home-based multicomponent exercise program in community elderly</t>
  </si>
  <si>
    <t>U1111-1243-0753</t>
  </si>
  <si>
    <t>Older adults</t>
  </si>
  <si>
    <t>scosta713@gmail.com</t>
  </si>
  <si>
    <t>Evaluation of therapeutic efficacy of Cetorolaco Trometamol in comparison of Physiotherapic treatment in patients with Temporomandibular Dyfunction</t>
  </si>
  <si>
    <t>U1111-1239-2111</t>
  </si>
  <si>
    <t>José Henrique Linhares</t>
  </si>
  <si>
    <t>jhlinhares@hotmail.com</t>
  </si>
  <si>
    <t>Physical therapy in burn patients</t>
  </si>
  <si>
    <t>U1111-1225-5917</t>
  </si>
  <si>
    <t>Hypertrophic scar</t>
  </si>
  <si>
    <t>Thays Tavares do Bomfim</t>
  </si>
  <si>
    <t>BRASÍLIA</t>
  </si>
  <si>
    <t>thays_tavares@hotmail.com</t>
  </si>
  <si>
    <t>Evaluation of implant-retained temporary crowns made by conventional and 3D printed materials: Randomized clinical trial</t>
  </si>
  <si>
    <t>U1111-1243-4993</t>
  </si>
  <si>
    <t>Supplementation of bioactive compounds in hemodialysis patients</t>
  </si>
  <si>
    <t>U1111-1213-3081</t>
  </si>
  <si>
    <t>Ana Tereza Vaz do Souza Freitas</t>
  </si>
  <si>
    <t>anatvaz@gmail.com</t>
  </si>
  <si>
    <t>Faculdade de Nutrição - Universidade Federal de Goiás</t>
  </si>
  <si>
    <t>Analysis of the influence of a xenogenic bone substitute particles diameter on reparation of fresh dental alveoli submitted to alveolar preservation. Randomized clinical study</t>
  </si>
  <si>
    <t>U1111-1236-3743</t>
  </si>
  <si>
    <t>Atrophy of edentulous alveolar ridge</t>
  </si>
  <si>
    <t>Fernando Fusari Bento de Lima</t>
  </si>
  <si>
    <t>fernando.fusari@uol.com.br</t>
  </si>
  <si>
    <t>RCR Project - Prototype for Basic Life Support</t>
  </si>
  <si>
    <t>U1111-1241-8836</t>
  </si>
  <si>
    <t>Paulo Alberto Tayar Peres</t>
  </si>
  <si>
    <t>pauloperes@uni9.pro.br</t>
  </si>
  <si>
    <t>Machine Learning Techniques for Modeling the Aerobic System</t>
  </si>
  <si>
    <t>U1111-1227-5387</t>
  </si>
  <si>
    <t>Maria Cecília Moraes Frade</t>
  </si>
  <si>
    <t>mariaceciliafrade@gmail.com</t>
  </si>
  <si>
    <t>Efficacy of Ion Z glass cement in microbin control in carie inclusive interior dentina</t>
  </si>
  <si>
    <t>U1111-1241-2891</t>
  </si>
  <si>
    <t>Josiane Ferreira Corteleti</t>
  </si>
  <si>
    <t>+55 27 999888226</t>
  </si>
  <si>
    <t>josianecorteleti@hotmail.com</t>
  </si>
  <si>
    <t>Development of a cream containing leucine and lactic acid to increase facial muscle tone in adult women</t>
  </si>
  <si>
    <t>U1111-1241-4606</t>
  </si>
  <si>
    <t>Effects of a school-based intervention on executive function sedentary behavior and nutritional status of adolescents</t>
  </si>
  <si>
    <t>U1111-1231-1592</t>
  </si>
  <si>
    <t>Grasiela Piuvezam</t>
  </si>
  <si>
    <t>gpiuvezam@yahoo.com.br</t>
  </si>
  <si>
    <t>Effects of the movement of the teeth with orthodontic appliance in graft bone regions</t>
  </si>
  <si>
    <t>U1111-1236-9708</t>
  </si>
  <si>
    <t>Effects of a Formulated Drink on post exercise Recovery</t>
  </si>
  <si>
    <t>U1111-1241-5422</t>
  </si>
  <si>
    <t>Cristiano Diniz da Silva</t>
  </si>
  <si>
    <t>cristianodiniz.silva@gmail.com</t>
  </si>
  <si>
    <t>Effect of musical hearing on anxiety pain and cardiorespiratory parameters in cardiac surgery: a randomized controlled trial</t>
  </si>
  <si>
    <t>U1111-1238-1227</t>
  </si>
  <si>
    <t>Aesthetic elastomeric orthodontic ligatures: Evaluation of Elastic Properties Color Change and Ultra Surface Structure</t>
  </si>
  <si>
    <t>U1111-1236-6031</t>
  </si>
  <si>
    <t>Karla Carpio Horta</t>
  </si>
  <si>
    <t>hortakc@gmail.com</t>
  </si>
  <si>
    <t>Envelhecimento saudável com oficinas de culinária e horta: um estudo de intervenção para idosos da coorte EPIDOSO</t>
  </si>
  <si>
    <t>U1111-1236-0614</t>
  </si>
  <si>
    <t>Luciana Yuki Tomita</t>
  </si>
  <si>
    <t>+55-11-55764876 (voip 18560)</t>
  </si>
  <si>
    <t>luciana.tomita@unifesp.br</t>
  </si>
  <si>
    <t>Is it safe to prescribe antibiotics in tablets dosage form for bariatric patients? Oral bioavailability study of amoxicillin</t>
  </si>
  <si>
    <t>U1111-11896216</t>
  </si>
  <si>
    <t>Elza Kimura Grimshaw</t>
  </si>
  <si>
    <t>+55(44)3011-9201</t>
  </si>
  <si>
    <t>ekimura@uem.br</t>
  </si>
  <si>
    <t>Núcleo de Pesquisa Clínica e Bioequivalência</t>
  </si>
  <si>
    <t>Effects of an Aquatic Physical Activity program on clinical-functional parameters peripheral modulation of epigenetic mechanisms inflammatory markers and Brain Derived Neurotrophic Factor (BNDF) levels in individuals with Parkinsons Disease</t>
  </si>
  <si>
    <t>U1111-1239-5895</t>
  </si>
  <si>
    <t>Prospective randomized trial comparing the incidence of adverse events between pure cut and endocut cutting modes employed in endoscopic sphincterotomy</t>
  </si>
  <si>
    <t>U1111-1241-7832</t>
  </si>
  <si>
    <t>Mateus Pereira Funari</t>
  </si>
  <si>
    <t>mateusfunari@gmail.com</t>
  </si>
  <si>
    <t>Faculdade de Medicina da Universidade São Paulo</t>
  </si>
  <si>
    <t>Effects of alveolar recruitment maneuver on complications pulmonary disorders in children in the immediate postoperative Congenital Heart Diseases: A Randomized Trial</t>
  </si>
  <si>
    <t>U1111-1237-0114</t>
  </si>
  <si>
    <t>Claudiane Ferreira dos Santos</t>
  </si>
  <si>
    <t>claudianefsantos@gmail.com</t>
  </si>
  <si>
    <t>Hospital martagão gesteira</t>
  </si>
  <si>
    <t>tDCS Associated Functional Exercise Program in pain functional Performance and quality of Life of Fibromyalgia Patients: Randomized placebo-controlled Double-Blind Clinical Trial</t>
  </si>
  <si>
    <t>U1111-1242-4937</t>
  </si>
  <si>
    <t>ppgfis@ccs.com.br</t>
  </si>
  <si>
    <t>Effect of Brazil Nut (Bertholletia excelsa H.B.K.) consumption on Selenocomposites in the chronic use of Statins</t>
  </si>
  <si>
    <t>U1111-1198-5543</t>
  </si>
  <si>
    <t>Nutritional alterations,mineral deficiency</t>
  </si>
  <si>
    <t>Anderson Marliere Navarro</t>
  </si>
  <si>
    <t>+55(16)33153367</t>
  </si>
  <si>
    <t>navarro@fmrp.usp.br</t>
  </si>
  <si>
    <t>Effect of the stimulation of the whole body vibration in parameters neuroendocrine-inflammatory and redox status of elderly people in different stages of sarcopenia</t>
  </si>
  <si>
    <t>U1111-1240-8802</t>
  </si>
  <si>
    <t>Fabiana angelica de Paula</t>
  </si>
  <si>
    <t>fabianaangelicadepaula@yahoo.com.br</t>
  </si>
  <si>
    <t>Use of Anti-Microbial Photodynamic Therapy in the treatment of Oral Candidose: Clinical controlled and randomized test</t>
  </si>
  <si>
    <t>U1111-1227-4700</t>
  </si>
  <si>
    <t>Candidiasis,Oral</t>
  </si>
  <si>
    <t>Éricka Janine Dantas Silveira</t>
  </si>
  <si>
    <t>ericka_janine@yahoo.com.br</t>
  </si>
  <si>
    <t>Clinical evaluation of the toxicity and efficiency of Dental Bleaching associated with Ozone gas</t>
  </si>
  <si>
    <t>U1111-1230-1357</t>
  </si>
  <si>
    <t>Dentin sensitivity to tooth whitening,Dentin Sensitivity,Molar,Third</t>
  </si>
  <si>
    <t>Anna Caroliny Detogni</t>
  </si>
  <si>
    <t>55 045999275639</t>
  </si>
  <si>
    <t>annadetogni456@gmail.com</t>
  </si>
  <si>
    <t>Effectiveness of a supervised early exercise program in patients with arthroscopic rotator cuff repair: Randomized clinical trial</t>
  </si>
  <si>
    <t>U1111-1224-4143</t>
  </si>
  <si>
    <t>Shoulder rotator cuff tendon tear</t>
  </si>
  <si>
    <t>Retarded surgery following neoadjuvant chemotherapy in advanced ovarian cancer</t>
  </si>
  <si>
    <t>U1111-1241-0133</t>
  </si>
  <si>
    <t>Larissa Aparecida Gonçalves</t>
  </si>
  <si>
    <t>11 38933543</t>
  </si>
  <si>
    <t>larissa.aparecida@hc.fm.usp.br</t>
  </si>
  <si>
    <t>Instituto do Cancer do Estado de Sao Paulo</t>
  </si>
  <si>
    <t>Aerobic training at different times of day: Vascular and autonomic adaptations in hypertensive elderly</t>
  </si>
  <si>
    <t>U1111-1242-4972</t>
  </si>
  <si>
    <t>Claudia Lucia de Moraes Forjaz</t>
  </si>
  <si>
    <t>+55(11)96335567</t>
  </si>
  <si>
    <t>cforjaz@usp.br</t>
  </si>
  <si>
    <t>Escola de Educação Física e Esporte da Universidade de São Paulo - EEFEUSP</t>
  </si>
  <si>
    <t>Cardiovascular Effects of Dynamic Isometric and Combined (Dynamic + Isometric) Resistance Training in Hypertension</t>
  </si>
  <si>
    <t>U1111-1243-3526</t>
  </si>
  <si>
    <t>Effectiveness of a nursing intervention instrument for fall prevention in hypertensive elderly</t>
  </si>
  <si>
    <t>U1111-1243-0459</t>
  </si>
  <si>
    <t>FRANCISCA VALÚZIA GUEDES GUERRA</t>
  </si>
  <si>
    <t>(85) 986251950</t>
  </si>
  <si>
    <t>valuziagudesguerra@gmail.com</t>
  </si>
  <si>
    <t>Effect of non-surgical periodontal Treatment in patients with periodontitis and Refractory Arterial Hypertension</t>
  </si>
  <si>
    <t>U1111-1237-8038</t>
  </si>
  <si>
    <t>Accuracy of Cone-Beam Computed Tomography in Defining the Type of Furcation Injury in Upper Molars</t>
  </si>
  <si>
    <t>U1111-1240-5053</t>
  </si>
  <si>
    <t>VIRGÍLIO MOREIRA RORIZ</t>
  </si>
  <si>
    <t>+55 (62) 981332347</t>
  </si>
  <si>
    <t>UNIVERSIDADE FEDERAL DE GOIÁS</t>
  </si>
  <si>
    <t>The effect of aged garlic extract on the blood pressure of hypertensive patients and their relationship to the nutritional status of vitamins b6 b9 and b12</t>
  </si>
  <si>
    <t>U1111-1231-5555</t>
  </si>
  <si>
    <t>Kiriaque Barra Ferreira Barbosa</t>
  </si>
  <si>
    <t>kiribarra@yahoo.com.br</t>
  </si>
  <si>
    <t>Assessment of Gynecological and Dermatological Acceptability of Health Product under Normal Conditions of Use_MKLAB</t>
  </si>
  <si>
    <t>U1111-1240-2436</t>
  </si>
  <si>
    <t>qualified volunteers</t>
  </si>
  <si>
    <t>Randomized double-blind clinical trial to evaluate inflammation following intravitreal injection</t>
  </si>
  <si>
    <t>U1111-1238-9497</t>
  </si>
  <si>
    <t>Iridocyclitis</t>
  </si>
  <si>
    <t>Michel Eid Farah</t>
  </si>
  <si>
    <t>mefarah@uol.com.br</t>
  </si>
  <si>
    <t>University extension project on Atraumatic Restorative Treatment: from assistance to sustainability interaction between university and public health</t>
  </si>
  <si>
    <t>U1111-1244-4925</t>
  </si>
  <si>
    <t>Aline Borges Luiz Monnerat</t>
  </si>
  <si>
    <t>RESENDE</t>
  </si>
  <si>
    <t>alinelmonnerat@gmail.com</t>
  </si>
  <si>
    <t>Surgically assisted rapid maxillary expansion (ERMAC): dental and skeletal effects assessed by cone-beam computed tomography</t>
  </si>
  <si>
    <t>U1111-1242-4579</t>
  </si>
  <si>
    <t>Physical Training in Postmenopausal Obese Women: Evaluation and Intervention</t>
  </si>
  <si>
    <t>U1111-1242-3148</t>
  </si>
  <si>
    <t>Breno Batista Da Silva</t>
  </si>
  <si>
    <t>+55 (34) 32191726</t>
  </si>
  <si>
    <t>brenobatista@ufu.br</t>
  </si>
  <si>
    <t>Faculdade de Educação Física e Fisioterapia</t>
  </si>
  <si>
    <t>Effect of flexibility training on postural control in older women</t>
  </si>
  <si>
    <t>U1111-1242-1487</t>
  </si>
  <si>
    <t>Elciana de Paiva Lima Vieira</t>
  </si>
  <si>
    <t>elcianavieira@yahoo.com.br</t>
  </si>
  <si>
    <t>Health education on quality of life functional capacity and fatigue of patients with digestive system neoplasia in antineoplastic chemotherapy: a quasi experimental study</t>
  </si>
  <si>
    <t>U1111-1238-9690</t>
  </si>
  <si>
    <t>Efficacy of different analgesy protocols in the extraction of mandibular third molars</t>
  </si>
  <si>
    <t>U1111-1239-2936</t>
  </si>
  <si>
    <t>Oral surgery</t>
  </si>
  <si>
    <t>Eulália Mendes de Oliveira</t>
  </si>
  <si>
    <t>Santa Quitéria</t>
  </si>
  <si>
    <t>+55 088 996202304</t>
  </si>
  <si>
    <t>eulaliamendes-sq@hotmail.com</t>
  </si>
  <si>
    <t>Universidade Federal do Ceará- Campus Sobral</t>
  </si>
  <si>
    <t>Study of safety and immunogenicity of the vaccine against human papillomavirus (HPV) in patients with Systemic Lupus Erythematosus (JSLE) and Juvenile Dermatomyositis (JMD)</t>
  </si>
  <si>
    <t>U1111-1238-2895</t>
  </si>
  <si>
    <t>Gecilmara Salviato Pileggi</t>
  </si>
  <si>
    <t>gecilmara@gmail.com</t>
  </si>
  <si>
    <t>Departamento de Pediatria e Puericultura da Faculdade de Medicina de Ribeirão Preto da Universidade de São Paulo</t>
  </si>
  <si>
    <t>Responses and Adaptations of a Resistance Training Program in reducing Cardiovascular Risk Factors and their relationship with Post-exercise Hypotension in school adolescents in the city of Lagarto-SE</t>
  </si>
  <si>
    <t>U1111-1240-4413</t>
  </si>
  <si>
    <t>Anderson Carlos Marçal</t>
  </si>
  <si>
    <t>acmarcal@yahoo.com.br</t>
  </si>
  <si>
    <t>Effects of orthodontic treatment with clear aligner and fixed appliance: randomized clinical trial</t>
  </si>
  <si>
    <t>U1111-1231-9997</t>
  </si>
  <si>
    <t>malocclusion</t>
  </si>
  <si>
    <t>Paula Vanessa Pedron Oltramari</t>
  </si>
  <si>
    <t>pvoltramari@hotmail.com</t>
  </si>
  <si>
    <t>Unopar</t>
  </si>
  <si>
    <t>Analysis of metabolic and respiratory changes in adolescent football athletes</t>
  </si>
  <si>
    <t>U1111-1234-8454</t>
  </si>
  <si>
    <t>Claudio Spinola Najas</t>
  </si>
  <si>
    <t>cnjas@gmail.com</t>
  </si>
  <si>
    <t>UNIVERSIDADE DO OESTE PAULISTA</t>
  </si>
  <si>
    <t>Analysis of the implantation of the home mechanical ventilation (VMD) in services of the better at home program</t>
  </si>
  <si>
    <t>U1111-1236-3605</t>
  </si>
  <si>
    <t>Roberta Rabelo</t>
  </si>
  <si>
    <t>Effects of physical exercise on health outcomes and epileptic seizure control of people with epilepsy: a randomized clinical trial</t>
  </si>
  <si>
    <t>11/29/2019</t>
  </si>
  <si>
    <t>U1111-1234-0893</t>
  </si>
  <si>
    <t>Epilepsy</t>
  </si>
  <si>
    <t>Marcelo Cozzensa da Silva</t>
  </si>
  <si>
    <t>+55 53 32732752</t>
  </si>
  <si>
    <t>cozzensa@terra.com.br</t>
  </si>
  <si>
    <t>Escola Superior de Educação Física da Universidade Federal de Pelotas</t>
  </si>
  <si>
    <t>Trial evaluating the clinical efficacy of cefixime for treatment of early syphilis in non-pregnant women</t>
  </si>
  <si>
    <t>04/26/2019</t>
  </si>
  <si>
    <t>U1111-1225-6121</t>
  </si>
  <si>
    <t>Syphilis</t>
  </si>
  <si>
    <t>Angelica Espinosa Miranda</t>
  </si>
  <si>
    <t>+55-27 4009-2222</t>
  </si>
  <si>
    <t>angelica.miranda@ufes.br</t>
  </si>
  <si>
    <t>Strategies for notifying sexual partners of people with sexually transmitted infections</t>
  </si>
  <si>
    <t>U1111-1229-8127</t>
  </si>
  <si>
    <t>Elani Graça Ferreira Cavalcante</t>
  </si>
  <si>
    <t>55-853366-8455</t>
  </si>
  <si>
    <t>elanigfc@gmail.com</t>
  </si>
  <si>
    <t>Performance transfer between real and virtual environment in post stroke people</t>
  </si>
  <si>
    <t>U1111-1240-8719</t>
  </si>
  <si>
    <t>Escola de Artes,Ciências e Humanidades-EACH/USP</t>
  </si>
  <si>
    <t>mmediate effects of myofascial release compared to proprioceptive neuromuscular facilitation in balance and power range of motion and flexibility of knee flexors of amateur soccer players</t>
  </si>
  <si>
    <t>U1111-1230-3012</t>
  </si>
  <si>
    <t>Rodrigo Okubo</t>
  </si>
  <si>
    <t>+55 48 98837-3399</t>
  </si>
  <si>
    <t>rokubo@ymail.com</t>
  </si>
  <si>
    <t>Universidade do Estado de Santa Catarina UDESC</t>
  </si>
  <si>
    <t>Characterizantion of food habits in women with Temporomandibular joint disorders (rdc/tmd)</t>
  </si>
  <si>
    <t>11/27/2019</t>
  </si>
  <si>
    <t>U11111239-2751</t>
  </si>
  <si>
    <t>Tereza Nicolle Burgos Nunes</t>
  </si>
  <si>
    <t>nicolleburgosn@gmail.com</t>
  </si>
  <si>
    <t>Departamento de Odontologia Restauradora da Universidade Federal do Ceará</t>
  </si>
  <si>
    <t>Pain and analgesic consumption after surgical periodontal treatment</t>
  </si>
  <si>
    <t>11/25/2019</t>
  </si>
  <si>
    <t>U1111-1241-6205</t>
  </si>
  <si>
    <t>Parkinsons Disease and Physical Therapy: Repercussion analysis of intervention programs with Terrestrial and Aquatic Physical Activities - Fisiopark</t>
  </si>
  <si>
    <t>U1111-1211-6613</t>
  </si>
  <si>
    <t>Bruna Yamaguchi</t>
  </si>
  <si>
    <t>+55 (41) 9699 9328</t>
  </si>
  <si>
    <t>brunayamaguchi@hotmail.com</t>
  </si>
  <si>
    <t>Immediate effects of cupping on pain and range of motion of the lumbar spine</t>
  </si>
  <si>
    <t>U1111-1233-9075</t>
  </si>
  <si>
    <t>Acute effect of a strength-based Alternative Training session on Blood Pressure in hypertensive elderly: a randomized crossover trial</t>
  </si>
  <si>
    <t>U1111-1242-8608</t>
  </si>
  <si>
    <t>Rodrigo Sudatti Delevattid</t>
  </si>
  <si>
    <t>+55 48 991084365</t>
  </si>
  <si>
    <t>Dexamethasone effect on the duration of interescalenic brachial plexus block guided by ultrasound for videoarthroscopic shoulder surgery</t>
  </si>
  <si>
    <t>U1111-1177-4356</t>
  </si>
  <si>
    <t>Rotator cuff syndrome. Shoulder joint. Elective Surgical Procedures</t>
  </si>
  <si>
    <t>Patricia Marchioro</t>
  </si>
  <si>
    <t>+55(48)91578525</t>
  </si>
  <si>
    <t>patty_smb@hotmail.com</t>
  </si>
  <si>
    <t>Sianest</t>
  </si>
  <si>
    <t>Functional and biological evaluation of subjects with chronic obstructive pulmonary disease submited to protocols of physical training</t>
  </si>
  <si>
    <t>03/31/2016</t>
  </si>
  <si>
    <t>U1111-1159-7179</t>
  </si>
  <si>
    <t>Rehabilitation,Chronic obstructive pulmonary disease</t>
  </si>
  <si>
    <t>(+55)18-32295545</t>
  </si>
  <si>
    <t>ercy@fct.unesp.br</t>
  </si>
  <si>
    <t>Universidade estadual paulista- UNESP</t>
  </si>
  <si>
    <t>Cohort study of children born in Campinas and Paulínia-SP</t>
  </si>
  <si>
    <t>U1111-1179-8973</t>
  </si>
  <si>
    <t>Congenital malformations. Neoplasms. Diabetes Complications. Autistic Disorder. environmental origin Disorders</t>
  </si>
  <si>
    <t>Maria Aparecida Vedovato</t>
  </si>
  <si>
    <t>+55(19)3755-9207</t>
  </si>
  <si>
    <t>vedovato@boldrini.org.br</t>
  </si>
  <si>
    <t>Instituto de Pediatria</t>
  </si>
  <si>
    <t>Effect of mechanical periodontal therapy in microbiological imunocelular immunoglobulins and pro and anti inflamatory cytokines dosage in periferal blood and saliva from type 2 diabet persons</t>
  </si>
  <si>
    <t>U1111-1175-7948</t>
  </si>
  <si>
    <t>Chronic periodontitis,Diabetes type 2</t>
  </si>
  <si>
    <t>Priscilla Farias Naiff</t>
  </si>
  <si>
    <t>pri_naiff@yahoo.com</t>
  </si>
  <si>
    <t>Comparative study between action observation training and hydrotherapy in upper limb recovery after stroke: randomized clinical trial</t>
  </si>
  <si>
    <t>03/23/2016</t>
  </si>
  <si>
    <t>U1111-1169-5171</t>
  </si>
  <si>
    <t>+55 (67) 3345 7837</t>
  </si>
  <si>
    <t>Universidade Federal de Mato Grosso do sul</t>
  </si>
  <si>
    <t>Comparison of two surgical techniques for treatment of uterine prolapse: sacrospinous vault fixation and use anterior mesh with colpopromontofixation</t>
  </si>
  <si>
    <t>U1111-1169-6983</t>
  </si>
  <si>
    <t>Uterine prolapse,Quality of life</t>
  </si>
  <si>
    <t>Lúcia Helena Simões da Costa Paiva</t>
  </si>
  <si>
    <t>55 19 35219306</t>
  </si>
  <si>
    <t>gineco@caism.unicamp.br</t>
  </si>
  <si>
    <t>Cognitive behavioral therapy in the treatment of children with attention-deficit hyperactivity disorder (ADHD)</t>
  </si>
  <si>
    <t>03/18/2016</t>
  </si>
  <si>
    <t>U1111-1145-6707</t>
  </si>
  <si>
    <t>Attention Deficit Disorder with Hyperactivity</t>
  </si>
  <si>
    <t>Monica Carolina Miranda</t>
  </si>
  <si>
    <t>+55(11)55496899</t>
  </si>
  <si>
    <t>mirandambr@yahoo.com.br</t>
  </si>
  <si>
    <t>Effects of physical training and diet control on muscle strength cardiorespiratory fitness biochemical variables and body composition in postmenopausal women</t>
  </si>
  <si>
    <t>U1111-1172-2719</t>
  </si>
  <si>
    <t>Menopausal women. Sedentary Lifestyle</t>
  </si>
  <si>
    <t>Reproductive Physiological Phenomena</t>
  </si>
  <si>
    <t xml:space="preserve">Carlos Ugrinowitsch </t>
  </si>
  <si>
    <t>+55(11)30918796</t>
  </si>
  <si>
    <t>Universidade de São Paulo - Escola de educação Física e esporte</t>
  </si>
  <si>
    <t>Physiotherapy techniques and preparation for normal delivery: A protocol at a pre natal reference care at the region of the Caetes northeast of Pará</t>
  </si>
  <si>
    <t>U1111-1213-8318</t>
  </si>
  <si>
    <t>João Paolo Bilibio</t>
  </si>
  <si>
    <t>+55 091 32419864</t>
  </si>
  <si>
    <t>joaopaolobilibio@yahoo.com.br</t>
  </si>
  <si>
    <t>Núcleo de Medicina Tropical/Universidade Federal do Pará</t>
  </si>
  <si>
    <t>Suplementation of Zinc and Coenzyme Q10 in individuals with Down Syndrome</t>
  </si>
  <si>
    <t>U1111-1234-1799</t>
  </si>
  <si>
    <t>Downs syndrome</t>
  </si>
  <si>
    <t>Maria das Graças Almeida</t>
  </si>
  <si>
    <t>mgalmeida84@gmail.com</t>
  </si>
  <si>
    <t>Randomized clinical trial of nocturnal wrist orthosis therapy in the function and symptoms of carpal tunnel syndrome</t>
  </si>
  <si>
    <t>03/15/2016</t>
  </si>
  <si>
    <t>U1111-1157-7290</t>
  </si>
  <si>
    <t>55 13 981588730</t>
  </si>
  <si>
    <t>helgatucci@gmail.com</t>
  </si>
  <si>
    <t>Comparison of physiotherapy aquatic and dry land exercise associated with low level laser therapy in perception of pain flexibility and life daily activities in elderly with knee osteoarthritis: randomized clinical trial</t>
  </si>
  <si>
    <t>U1111-1175-7793</t>
  </si>
  <si>
    <t>osteoarthrosis</t>
  </si>
  <si>
    <t>Rodrigo Leal de Paiva Carvalho</t>
  </si>
  <si>
    <t>+55 (14) 21077199</t>
  </si>
  <si>
    <t>rodrigo.carvalho@usc.br</t>
  </si>
  <si>
    <t>Dance and Pilates in Cerebral Palsy</t>
  </si>
  <si>
    <t>U1111-1224-8636</t>
  </si>
  <si>
    <t>Lavínia Teixeira- Machado</t>
  </si>
  <si>
    <t>teixeiramachado@icloud.com</t>
  </si>
  <si>
    <t>Acute effect of Coffee in the Endothelial Function of Overweight and Obesity individuals: A double-blind randomized cross-over clinical trial</t>
  </si>
  <si>
    <t>U1111-1226-1568</t>
  </si>
  <si>
    <t>Patrícia Chagas</t>
  </si>
  <si>
    <t>patriciachagas@ufsm.br</t>
  </si>
  <si>
    <t>The Trainability of Neuromuscular Adaptations of Older Women and Youth</t>
  </si>
  <si>
    <t>11/22/2019</t>
  </si>
  <si>
    <t>U1111-1239-8356</t>
  </si>
  <si>
    <t>Management of thoracotosmy tube with lung ultrasound</t>
  </si>
  <si>
    <t>U111112398267</t>
  </si>
  <si>
    <t>Pneumthorax,Hemothorax</t>
  </si>
  <si>
    <t>Alexandre Zanchenko Fonseca</t>
  </si>
  <si>
    <t>alexandre@azfonseca.com.br</t>
  </si>
  <si>
    <t>Hospital Geral do Grajau</t>
  </si>
  <si>
    <t>Effects of a single session of Blood Flow Restriction Training on hemodynamic autonomic and vascular responses in individuals with Knee Osteoarthritis</t>
  </si>
  <si>
    <t>U1111-1238-7349</t>
  </si>
  <si>
    <t>Comparative analysis of the use of non-steroidal Photobiomodulation and Anti-inflammatory after surgical removal of Lower Lip Lesions with High Power Diode Laser</t>
  </si>
  <si>
    <t>U1111-1238-6200</t>
  </si>
  <si>
    <t>Progressive Resistive Training combined with Inspiratory Muscle Training in Coronariopathy with Diastolic Dysfunction: Clinico-functional cardiovascular outcomes</t>
  </si>
  <si>
    <t>U1111-1237-5044</t>
  </si>
  <si>
    <t>Eduardo Conceição Reigota</t>
  </si>
  <si>
    <t>+55(67)33457001</t>
  </si>
  <si>
    <t>eduardoreigota@gmail.com</t>
  </si>
  <si>
    <t>Hospital Universitário Maria Rosa Pedrossian</t>
  </si>
  <si>
    <t>Comparison between training of upper limb respiratory and peripheral resistance on the respiratory function of patients with Parkinsons disease: a randomized clinical trial</t>
  </si>
  <si>
    <t>U1111-1232-3015</t>
  </si>
  <si>
    <t>Daniel Dominguez Ferraz</t>
  </si>
  <si>
    <t>danieldf@ufba.br</t>
  </si>
  <si>
    <t>Instituto de Ciências da Saúde da Universidade Federal da Bahia</t>
  </si>
  <si>
    <t>Kinematic evaluation in upper limb neurofunctional rehabilitation in patients with chronic stroke</t>
  </si>
  <si>
    <t>U1111-1240-5784</t>
  </si>
  <si>
    <t>Fellipe Bandeira Lima</t>
  </si>
  <si>
    <t>MARINGÁ</t>
  </si>
  <si>
    <t>lima_fisioterapia@hotmail.com</t>
  </si>
  <si>
    <t>Universidade Estadual de Maringa</t>
  </si>
  <si>
    <t>Effects of therapeutic resources on vascularization and healing of diabetic foot</t>
  </si>
  <si>
    <t>U1111-1240-1907</t>
  </si>
  <si>
    <t>Effects of Periodized Concurrent Physical Training on hemodynamic and biochemical variables of elderly Hypertensive patients</t>
  </si>
  <si>
    <t>U1111-1234-8524</t>
  </si>
  <si>
    <t>Vitor Ulisses De Melo</t>
  </si>
  <si>
    <t>+55(79)991212889</t>
  </si>
  <si>
    <t>vumelo@gmail.com</t>
  </si>
  <si>
    <t>Facudade Estácio de Sergipe - FASE</t>
  </si>
  <si>
    <t>Implications of using epi in preparation for vaginal delivery</t>
  </si>
  <si>
    <t>U1111-1232-0759</t>
  </si>
  <si>
    <t>Performance of pelvic physiotherapy in the transgender population</t>
  </si>
  <si>
    <t>U1111-1220-7548</t>
  </si>
  <si>
    <t>Physiological Sexual Dysfunctions. Pelvic Diaphragm. Vagina. Pelvic Floor Disorders</t>
  </si>
  <si>
    <t>Erica Feio Carneiro Nunes</t>
  </si>
  <si>
    <t>ericacarneiro@uepa.br</t>
  </si>
  <si>
    <t>Efficacy of conventional and BoNTA treatment in patients with Temporomandibular (TMD) chronic pain</t>
  </si>
  <si>
    <t>U1111-1243-3559</t>
  </si>
  <si>
    <t>Temporomandibular disorder</t>
  </si>
  <si>
    <t>Giancarlo De la Torre</t>
  </si>
  <si>
    <t>Faculdade de Odontologia de Piracicaba,Universidade estadual de Campinas</t>
  </si>
  <si>
    <t>Effect of exercise training in inflammatory process control mediated by Th17/Treg response in patients with chronic obstructive pulmonary disease</t>
  </si>
  <si>
    <t>U1111-1237-6230</t>
  </si>
  <si>
    <t>Fernanda Degobbi Tenorio Quirino dos Santos Lopes</t>
  </si>
  <si>
    <t>fernandadtqsl@gmail.com</t>
  </si>
  <si>
    <t>The Effect Of Interferential Current (IC) Transcutaneous Electrical Nerve Stimulation (TENS) Australian Current (Aussie) On Pain Function And Quality Of Life Maintenance On Individuals With Knee Osteoarthritis (OA)- Clinical Trial</t>
  </si>
  <si>
    <t>U1111-1198-0487</t>
  </si>
  <si>
    <t>Unilateral knee osteoarthritis,Bilateral knee osteoarthritis,pain</t>
  </si>
  <si>
    <t>Camila Cadena Almeida</t>
  </si>
  <si>
    <t>cadenacamila@gmail.com</t>
  </si>
  <si>
    <t>Effects of yoga on heart rate variability electroencephalogram quality of life salivary cortisol and functional neuroimaging by magnetic resonance in healthy adults</t>
  </si>
  <si>
    <t>11/18/2019</t>
  </si>
  <si>
    <t>U1111-1239-3708</t>
  </si>
  <si>
    <t>Fernanda Palhano Xavier Fontes</t>
  </si>
  <si>
    <t>fernandapalhano@neuro.ufrn.br</t>
  </si>
  <si>
    <t>Effects of different Concurrent Exercise Training protocols in health indicators of Obese adults</t>
  </si>
  <si>
    <t>U1111-1208-7167</t>
  </si>
  <si>
    <t>Giovani Firpo Del Duca</t>
  </si>
  <si>
    <t>gfdelduca@gmail.com</t>
  </si>
  <si>
    <t>Effect of occlusal plaque on the progression of abfration lesions</t>
  </si>
  <si>
    <t>U1111-1240-0306</t>
  </si>
  <si>
    <t>Regina Guenka Palma Dibb</t>
  </si>
  <si>
    <t>rgpalma@usp.br</t>
  </si>
  <si>
    <t>Validation of the reliability of the optical fluorescence method for the diagnosis of dental biofilm after application of antimicrobial photodynamic therapy in young permanent molars: A randomized controlled clinical trial</t>
  </si>
  <si>
    <t>U1111-1228-9591</t>
  </si>
  <si>
    <t>Aretusa Cardoso Mazzini</t>
  </si>
  <si>
    <t>aretusa@usp.br</t>
  </si>
  <si>
    <t>Immunological and clinical evaluation of local use of Simvastatin in patients with Chronic Periodontitis a randomized double masked clinical trial</t>
  </si>
  <si>
    <t>U1111-1228-3218</t>
  </si>
  <si>
    <t>Marília Camargo Gomes</t>
  </si>
  <si>
    <t>maricg@usp.br</t>
  </si>
  <si>
    <t>Faculdade de Odontologia da USP</t>
  </si>
  <si>
    <t>Effects of the intervention of the method to combat hypertension through diet (DASH) on cardiovascular risk factors endothelial function and intestinal microbiota in patients with cardiovascular disease</t>
  </si>
  <si>
    <t>1111-1240-9797</t>
  </si>
  <si>
    <t>Taianah Almeida Barroso</t>
  </si>
  <si>
    <t>+55 021 26299608</t>
  </si>
  <si>
    <t>taa_barroso@hotmail.com</t>
  </si>
  <si>
    <t>Centro de Atenção à Saúde do Idoso e Cuidador</t>
  </si>
  <si>
    <t>Analysis of Cognitive Functions in people with Multiple Sclerosis in Virtual Activities</t>
  </si>
  <si>
    <t>U1111-1240-3082</t>
  </si>
  <si>
    <t>Acupuncture in Hemophilic Patients with Chronic Pain</t>
  </si>
  <si>
    <t>U1111-1240-9670</t>
  </si>
  <si>
    <t>Hemophilic A,Hemophilic B,Chronic Pain</t>
  </si>
  <si>
    <t>Karen Cristina Pires Oliveira</t>
  </si>
  <si>
    <t>valinhos</t>
  </si>
  <si>
    <t>karencpo@terra.com.br</t>
  </si>
  <si>
    <t>Faculdade de odontologia de piracicaba</t>
  </si>
  <si>
    <t>Effect of using osteopathic techniques on pain and nasal congestion symptoms in adult patients with chronic rhinosinusitis: randomized and controlled clinical trial</t>
  </si>
  <si>
    <t>U1111-1191-4610</t>
  </si>
  <si>
    <t>chronic sinusitis</t>
  </si>
  <si>
    <t>Leonardo Gomes Furtado de Mendonça</t>
  </si>
  <si>
    <t>+55 (32) 32323830</t>
  </si>
  <si>
    <t>leoterapeuta@yahoo.com.br</t>
  </si>
  <si>
    <t>Protocol of treatment for mixed urinary incontinence through kinesiotherapy and virtual reality - Wii Fit Plus</t>
  </si>
  <si>
    <t>06/16/2016</t>
  </si>
  <si>
    <t>U1111-1179-5886</t>
  </si>
  <si>
    <t>mixed urinary incontinence</t>
  </si>
  <si>
    <t>+55(84)9986-5469</t>
  </si>
  <si>
    <t>maria.thereza.micussi@gmail.com</t>
  </si>
  <si>
    <t>Effect of hydrogen peroxide 35% bioglass nanoparticles-containing on tooth sensitivity for in-office bleaching: A randomized triple blind clinical study</t>
  </si>
  <si>
    <t>11/15/2019</t>
  </si>
  <si>
    <t>U1111-1243-1037</t>
  </si>
  <si>
    <t>Alessandro Dourado Loguércio</t>
  </si>
  <si>
    <t>+55(42)3220-3740</t>
  </si>
  <si>
    <t>Effects of eight weeks of traditional versus cluster set training on muscle strength and power</t>
  </si>
  <si>
    <t>U1111-1239-6048</t>
  </si>
  <si>
    <t>Cristiano Behenck Hahn</t>
  </si>
  <si>
    <t>+55 21 25862505</t>
  </si>
  <si>
    <t>cristianobehenck@gmail.com</t>
  </si>
  <si>
    <t>Destacamento Desportivo da Vila Militar</t>
  </si>
  <si>
    <t>Does the low-level laser therapy in combination with therapeutic exercises improve pain and function of patients with knee osteoarthritis? A randomized clinical trial</t>
  </si>
  <si>
    <t>U1111-1215-6510</t>
  </si>
  <si>
    <t>Tania de Fátima Salvini</t>
  </si>
  <si>
    <t>tania@ufscar.br</t>
  </si>
  <si>
    <t>Departamento de Fisioterapia (DFisio) da UFSCar</t>
  </si>
  <si>
    <t>Photobiomodulation in Cutaneous Lesion Caused by the Use of Circular External Fixator: Clinical Study Placebo Controlled and Randomized</t>
  </si>
  <si>
    <t>U1111-1235-7643</t>
  </si>
  <si>
    <t>Fracture,Ilizarov Technique</t>
  </si>
  <si>
    <t>Virgínia Mendes Matias Rodrigues</t>
  </si>
  <si>
    <t>virginiammr@yahoo.com.br</t>
  </si>
  <si>
    <t>Associação Educacional Nove de Julho</t>
  </si>
  <si>
    <t>Analysis of cortisol and melatonin in daytime nursing workers in the management of stress pain sleep and occupational coping strategies after the use of massage: a randomized clinical trial</t>
  </si>
  <si>
    <t>U1111-1219-9226</t>
  </si>
  <si>
    <t>Psychological stress. Physiological stress. Sleep. Pain</t>
  </si>
  <si>
    <t>Talita Pavarini Borges de Souza</t>
  </si>
  <si>
    <t>talita.pavarini@gmail.com</t>
  </si>
  <si>
    <t>Hospital Beneficência Portuguesa de São Paulo</t>
  </si>
  <si>
    <t>Influence of genotype of cytochrome P450 (CYP2C9) on clinical efficacy and pharmacokinetics of Piroxicam after lower third molar surgery</t>
  </si>
  <si>
    <t>U1111-1155-3545</t>
  </si>
  <si>
    <t>Maristela Petenuci Ferrari</t>
  </si>
  <si>
    <t>mferrari@fob.usp.br</t>
  </si>
  <si>
    <t>Pharmacogenetic study and PK / PD after infiltrative application of lidocaine with or without adrenaline in saliva samples by LC MS / MS</t>
  </si>
  <si>
    <t>U1111-1242-8070</t>
  </si>
  <si>
    <t>Periodontitis,Cytochrome P-450 Enzyme System</t>
  </si>
  <si>
    <t>Gabriela de Moraes Oliveira</t>
  </si>
  <si>
    <t>+55 14 3226-6105</t>
  </si>
  <si>
    <t>gab.moraes@usp.br</t>
  </si>
  <si>
    <t>Impact of Pilates treatment on the clinical and immunological profile of patients with Paraparesis tropical spasticity / lymphotropic virus-associated myelopathy</t>
  </si>
  <si>
    <t>U1111-1242-5507</t>
  </si>
  <si>
    <t>Antonio Carlos Rosário Vallinoto</t>
  </si>
  <si>
    <t>+55(91)32018412</t>
  </si>
  <si>
    <t>vallinoto@ufpa.br</t>
  </si>
  <si>
    <t>Effect of diazepam on facilitating the placement of devices during tubal sterilization procedure by hysteroscopy: a randomized controlled trial</t>
  </si>
  <si>
    <t>U1111-1227-9641</t>
  </si>
  <si>
    <t>Tubal sterilization</t>
  </si>
  <si>
    <t>Departamento de Ginecologia e Obstetrícia HCRP</t>
  </si>
  <si>
    <t>ppg.go@usp.br</t>
  </si>
  <si>
    <t>Hospital das Clínicas de Ribeirão Preto - HCRP</t>
  </si>
  <si>
    <t>Up Hold x Splentis in the treatment of advanced Pelvic Organ Prolapse: Prospective and Randomized Study</t>
  </si>
  <si>
    <t>U1111-1230-6142</t>
  </si>
  <si>
    <t>Raphael de Jesus Moreira</t>
  </si>
  <si>
    <t>raphaeljm@hotmail.com</t>
  </si>
  <si>
    <t>Hospital Maternidade Escola Vila Nova Cachoeirinha</t>
  </si>
  <si>
    <t>Evaluation of organic propolis types 4 and 6 as coadjuvant in the prevention and treatment of oral mucositis in patients undergoing radiotherapy in the head and neck region</t>
  </si>
  <si>
    <t>U1111-1232-4195</t>
  </si>
  <si>
    <t>faalves@accamargo.org.br</t>
  </si>
  <si>
    <t>Fundação Antônio Prudente</t>
  </si>
  <si>
    <t>Development validation and effectiveness of an Educative Booklet in promoting healthy lifestyle in the context of Arterial Hypertension for people with HIV/Aids</t>
  </si>
  <si>
    <t>U1111-1236-9891</t>
  </si>
  <si>
    <t>Maria Amanda Correia Lima</t>
  </si>
  <si>
    <t>amandalima2015.1@hotmail.com</t>
  </si>
  <si>
    <t>Effects of Brain Electric Stimulation associated with Aerobic Exercise in the treatment of Food Compulsion</t>
  </si>
  <si>
    <t>U1111-1234-8989</t>
  </si>
  <si>
    <t>Milena Artifon</t>
  </si>
  <si>
    <t>milena.artifon@gmail.com</t>
  </si>
  <si>
    <t>Oral stereognosis in subjects with tongue lesions</t>
  </si>
  <si>
    <t>U1111-1242-2852</t>
  </si>
  <si>
    <t>Ana Paula Gadonski</t>
  </si>
  <si>
    <t>+55 19 21065295</t>
  </si>
  <si>
    <t>ana.gadonski@hotmail.com</t>
  </si>
  <si>
    <t>Protection targets to women crack users</t>
  </si>
  <si>
    <t>U1111-1188-6555</t>
  </si>
  <si>
    <t>Rodrigo Grassi-Oliveira</t>
  </si>
  <si>
    <t>+55 (51) 3320 3633</t>
  </si>
  <si>
    <t>rodrigo.grassi@pucrs.br</t>
  </si>
  <si>
    <t>Effects of leucine supplementation on nutritional status sarcopenia and quality of life of cancer patients</t>
  </si>
  <si>
    <t>U1111-1236-8999</t>
  </si>
  <si>
    <t>Jéssika Dayane Pereira Soares</t>
  </si>
  <si>
    <t>jessikadayanenutri@gmail.com</t>
  </si>
  <si>
    <t>Evaluation of angiogenic and antiangiogenic factors for differential diagnosis of preeclampsia and systemic lupus erythematosus with nephritis</t>
  </si>
  <si>
    <t>U1111-1231-3719</t>
  </si>
  <si>
    <t>systemic lupus erythematosus,preeclampsia</t>
  </si>
  <si>
    <t>Guilherme Ribeiro Ramires de Jesús</t>
  </si>
  <si>
    <t>guilhermedejesus@gmail.com</t>
  </si>
  <si>
    <t>Universidade do Estado do Rio de Janeiro - Faculdade de Ciências Médicas</t>
  </si>
  <si>
    <t>Acute effects of Photobiomodulation by Leds (light-emitting diodes) on the Functional Capacity of patients Admitted to Hospital  Intensive Care Unit</t>
  </si>
  <si>
    <t>U1111-1241-4974</t>
  </si>
  <si>
    <t>Comparative analysis of maxilar sinus lift by the atramatic and osseodensification techniques - prospective randomized controlled and split mouth study</t>
  </si>
  <si>
    <t>U1111-1236-7061</t>
  </si>
  <si>
    <t>Bruno Fernando Candido</t>
  </si>
  <si>
    <t>brunocandiido@gmail.com</t>
  </si>
  <si>
    <t>Fatigue Prevention and Management in Mine Workers</t>
  </si>
  <si>
    <t>U1111-1232-7875</t>
  </si>
  <si>
    <t>Occupational Stress,fatigue</t>
  </si>
  <si>
    <t>Raimundo Marques do Nascimento Neto</t>
  </si>
  <si>
    <t>ufopraimundo@gmail.com</t>
  </si>
  <si>
    <t>Universidade Federal de Ouro Preto (UFOP)</t>
  </si>
  <si>
    <t>Comparison of postoperative pain incidence in endodontic treatments performed on Pulp Necrosis teeth with or without apical lesion using two mechanized instrumentation systems and two apical instrumentation limits</t>
  </si>
  <si>
    <t>U1111-1230-9410</t>
  </si>
  <si>
    <t>Aline de Oliveira Escócio</t>
  </si>
  <si>
    <t>+55 (19) 3211-3600</t>
  </si>
  <si>
    <t>alineescocio@hotmail.com</t>
  </si>
  <si>
    <t>Effect of an Aerobic Exercise Program on the Levels of Pro Inflammatory Cytokines in Individuals Hypertensive</t>
  </si>
  <si>
    <t>U1111-1232-9293</t>
  </si>
  <si>
    <t>Homeopathy on primary care of cocaine-related disorders</t>
  </si>
  <si>
    <t>U1111-1242-6631</t>
  </si>
  <si>
    <t>Ubiratan Cardinalli Adler</t>
  </si>
  <si>
    <t>+55 16 3351-8926</t>
  </si>
  <si>
    <t>ubiadler@outlook.com</t>
  </si>
  <si>
    <t>Unidade de Saúde Escola da Universidade Federal de São Carlos</t>
  </si>
  <si>
    <t>Effects of Respiratory Muscle Training and Peripheral in the physical fitness of individuals with Chronic Kidney Disease</t>
  </si>
  <si>
    <t>U1111-1238-5646</t>
  </si>
  <si>
    <t>Eli Maria Pazzianotto Forti</t>
  </si>
  <si>
    <t>eli.forti@unimep.br</t>
  </si>
  <si>
    <t>Conservative Treatment of Caries Lesions in Posterior Permanent Teeth: A Randomized Controlled Trial</t>
  </si>
  <si>
    <t>U1111-1240-5691</t>
  </si>
  <si>
    <t>Juliana Jobim Jardim</t>
  </si>
  <si>
    <t>jujobim@yahoo.com</t>
  </si>
  <si>
    <t>Universidade Federal do Rio Grande do Sul - UFRGS</t>
  </si>
  <si>
    <t>Effects of Periodontal Treatment in renal outcomes of Pre-Dialytic patients: randomized controlled trial of 12 months of follow-up</t>
  </si>
  <si>
    <t>U1111-1234-9106</t>
  </si>
  <si>
    <t>Alex Nogueira Haas</t>
  </si>
  <si>
    <t>alexnhaas@gmail.com</t>
  </si>
  <si>
    <t>Comparative analysis between two Lingual Frenotomy surgical techniques</t>
  </si>
  <si>
    <t>U1111-1233-3076</t>
  </si>
  <si>
    <t>Ankyloglossia</t>
  </si>
  <si>
    <t>Christian de Escobar Prado</t>
  </si>
  <si>
    <t>christianprado@icloud.com</t>
  </si>
  <si>
    <t>Universidade do Extremo Sul Catarinense (UNESC)</t>
  </si>
  <si>
    <t>Effect of the consumption of a mix of dried fruit and oilseeds and bitter chocolate (70% cocoa) on the modulation of craving in smokers on abstinence treatment</t>
  </si>
  <si>
    <t>U1111-1232-2687</t>
  </si>
  <si>
    <t>Arthur Silva Gomes</t>
  </si>
  <si>
    <t>arthurdasilvagomes@gmail.com</t>
  </si>
  <si>
    <t>Assessment of thermal irritability accumulation and sensitization of health products by patch test _ mklab</t>
  </si>
  <si>
    <t>U1111-1240-2518</t>
  </si>
  <si>
    <t>Randomized clinical trial of restoration with different direct technique in endodontically treated molars</t>
  </si>
  <si>
    <t>U1111-1230-1470</t>
  </si>
  <si>
    <t>Bianca Soares Zambiasi</t>
  </si>
  <si>
    <t>55 51 982283601</t>
  </si>
  <si>
    <t>bsoareszambiasi@gmail.com</t>
  </si>
  <si>
    <t>Transdermal use of testosterone nanoemulsion in women with desire hypoactive sex disorder and quality of life: a double-blind randomized clinical trial</t>
  </si>
  <si>
    <t>U1111-1237-5134</t>
  </si>
  <si>
    <t>Lack or loss of sexual desire</t>
  </si>
  <si>
    <t>Marcela Furlan Margato</t>
  </si>
  <si>
    <t>mahmargato@gmail.com</t>
  </si>
  <si>
    <t>Local effect of slow oxygen release on wound healing: third molars</t>
  </si>
  <si>
    <t>U1111-1236-1740</t>
  </si>
  <si>
    <t>Third Molar,Mucosa</t>
  </si>
  <si>
    <t>+55 (41) 3360-4053</t>
  </si>
  <si>
    <t>rafaela_scariot@yahoo.com.br</t>
  </si>
  <si>
    <t>Effects of grape juice consumption on biomarkers functionality and cognitive function of individuals with Parkinsons disease who perform aquatic physiotherapy: A randomized crossover clinical trial</t>
  </si>
  <si>
    <t>U1111-1237-9969</t>
  </si>
  <si>
    <t>Effects of consumption of white or red grape juice on oxidative stress and muscular fatigue in rugby athletes: A randomized crossover clinical trial</t>
  </si>
  <si>
    <t>U1111-1238-0054</t>
  </si>
  <si>
    <t>Effects of the volume and intensity of the Physical Exercise comparing the complexity of the Motor Task on the cognitive capacity of elderly persons with Mild Cognitive Impairment</t>
  </si>
  <si>
    <t>10/30/2019</t>
  </si>
  <si>
    <t>U1111-1241-9679</t>
  </si>
  <si>
    <t>Chrystianne Barros Saretto</t>
  </si>
  <si>
    <t>chrystianne.saretto@unoesc.edu.br</t>
  </si>
  <si>
    <t>Universidade do Oeste de Santa Catarina - Unoesc</t>
  </si>
  <si>
    <t>Study of the prevalence of Raynauds phenomenon in a healthy population in the midwest region of Brazil with morphological and anatomical evaluation of patients microcirculation through videocapilaroscopy</t>
  </si>
  <si>
    <t>U1111-1241-5564</t>
  </si>
  <si>
    <t>Raynauds disease</t>
  </si>
  <si>
    <t>SECRETARIA DE ESTADO DE SAÚDE DO DIS HBDF IGESDF</t>
  </si>
  <si>
    <t>comitedeetica.secretaria@gmail.com</t>
  </si>
  <si>
    <t>Hospital de Base do Distrito Federal</t>
  </si>
  <si>
    <t>Effects of regular lumbopelvic stability exercise on postural control strategies</t>
  </si>
  <si>
    <t>U1111-1235-8023</t>
  </si>
  <si>
    <t>Audrea Regina Ferro Lara</t>
  </si>
  <si>
    <t>audrea.lara@usp.br</t>
  </si>
  <si>
    <t>Universidade de São paulo</t>
  </si>
  <si>
    <t>Physiological and immunological responses of different models and intensities of Exercise in acute and chronic period of training in people living with HIV</t>
  </si>
  <si>
    <t>U1111-1231-1846</t>
  </si>
  <si>
    <t>Adquired Immunodeficiency Syndrome (aids),lipodystrophy</t>
  </si>
  <si>
    <t>Sidney Barnabé Peres</t>
  </si>
  <si>
    <t>sbperes@gmail.com</t>
  </si>
  <si>
    <t>Phase I monocentric open-label clinical trial to determine the pharmacokinetics and pharmacodynamics of subcutaneous recombinant human erythropoietin in healthy adult male population</t>
  </si>
  <si>
    <t>U1111-1241-6509</t>
  </si>
  <si>
    <t>José Pedrazzoli Júnior</t>
  </si>
  <si>
    <t>09/21/2015</t>
  </si>
  <si>
    <t>U1111-1148-9750</t>
  </si>
  <si>
    <t>Crack cocaine addiction</t>
  </si>
  <si>
    <t>Rodrigo Grassi de Oliveira</t>
  </si>
  <si>
    <t>Heart Rate Variability Modulation in Virtual Reality game in athletes with Spinal Cord Injury</t>
  </si>
  <si>
    <t>U1111-1235-3299</t>
  </si>
  <si>
    <t>The comparative effect of topical anesthesia on patients with different levels of dental anxiety</t>
  </si>
  <si>
    <t>U1111-1240-1740</t>
  </si>
  <si>
    <t>Emanuela Prado Ferraz</t>
  </si>
  <si>
    <t>+55(11) 2648-8038</t>
  </si>
  <si>
    <t>emanuelaferraz@usp.br</t>
  </si>
  <si>
    <t>Use of Glutamine in the prevention and control of Radio Induced Oral Mucositis</t>
  </si>
  <si>
    <t>U1111-1241-3605</t>
  </si>
  <si>
    <t>Analysis of motor performance in virtual reality tasks in football practicing children</t>
  </si>
  <si>
    <t>U1111-1233-1150</t>
  </si>
  <si>
    <t>Functional Laterality</t>
  </si>
  <si>
    <t>Heart rate in newborns exposed to melody during fetal period – controlled clinical trial</t>
  </si>
  <si>
    <t>U1111-1239-4156</t>
  </si>
  <si>
    <t>João Guilherme Bezerra Alves</t>
  </si>
  <si>
    <t>joaoguilherme@imip.org.br</t>
  </si>
  <si>
    <t>Instituto de Medicina Integral Prof Fernando Figueira</t>
  </si>
  <si>
    <t>Physical therapy for muscle strengthening and endurance associated with pain education</t>
  </si>
  <si>
    <t>U1111-1239-0663</t>
  </si>
  <si>
    <t>Julia Maria dos Santos</t>
  </si>
  <si>
    <t>juliasantos@ufu.br</t>
  </si>
  <si>
    <t>Effect of melatonin on sleep and metabolism of overweight night workers</t>
  </si>
  <si>
    <t>U1111-1238-7395</t>
  </si>
  <si>
    <t>Elaine Cristina Marqueze</t>
  </si>
  <si>
    <t>ecmarqueze@gmail.com</t>
  </si>
  <si>
    <t>Acute effect of Physiotherapy on Cell Markers of Postoperative Fracture patients</t>
  </si>
  <si>
    <t>U1111-1240-0368</t>
  </si>
  <si>
    <t>Clarissa Rodrigues Assis</t>
  </si>
  <si>
    <t>Novo Hamburgo</t>
  </si>
  <si>
    <t>clarissassis2@hotmail.com</t>
  </si>
  <si>
    <t>Universidade Feevale</t>
  </si>
  <si>
    <t>Flexibility Muscular Strength and Balance in Physically Active Climatest Women and Menopause</t>
  </si>
  <si>
    <t>U1111-1234-1984</t>
  </si>
  <si>
    <t>Suellen Silvestre Gonzaga</t>
  </si>
  <si>
    <t>Pirapozinho</t>
  </si>
  <si>
    <t>+55 (18) 981313341</t>
  </si>
  <si>
    <t>suhsg06@hotmail.com</t>
  </si>
  <si>
    <t>Cervical dentin hypersensitivity: prevalence and treatment</t>
  </si>
  <si>
    <t>U1111-1235-2320</t>
  </si>
  <si>
    <t>Ana Cláudia Dalmolin</t>
  </si>
  <si>
    <t>anaclaudiadalmolin@gmail.com</t>
  </si>
  <si>
    <t>Analysis of two anesthetic techniques in the appearance of postoperative delirium of cancer patients submitted to surgeries of videolaparoscopy in trendelenburg position</t>
  </si>
  <si>
    <t>U1111-1203-9689</t>
  </si>
  <si>
    <t>Postoperative delirium</t>
  </si>
  <si>
    <t>Giane Nakamura</t>
  </si>
  <si>
    <t>55-11-21895000</t>
  </si>
  <si>
    <t>gianenakamura@hotmail.com</t>
  </si>
  <si>
    <t>The effect of an educational intervention for nursing teaching on enteral nutritional therapy</t>
  </si>
  <si>
    <t>10/28/2019</t>
  </si>
  <si>
    <t>U1111-1237-3200</t>
  </si>
  <si>
    <t>Rodrigo Caetano Alves</t>
  </si>
  <si>
    <t>(19) 3521.8936</t>
  </si>
  <si>
    <t>cep@unicamp.br</t>
  </si>
  <si>
    <t>Evaluation of experimental dentifrices based on essential oils for total prosthesis hygiene - in vitro and in vivo studies</t>
  </si>
  <si>
    <t>U111112419427</t>
  </si>
  <si>
    <t>Helena de Freitas Oliveira Paranhos</t>
  </si>
  <si>
    <t>helenpar@forp.usp.br</t>
  </si>
  <si>
    <t>Faculdade de Odontologia de Ribeirâo Preto</t>
  </si>
  <si>
    <t>Microbiological evaluation endotoxin quantification and analysis of immunological expression and polymorphism of endodontic infections</t>
  </si>
  <si>
    <t>U1111-1240-9151</t>
  </si>
  <si>
    <t>Diabetes mellitus type 2</t>
  </si>
  <si>
    <t>Cinthya Cristina Gomes</t>
  </si>
  <si>
    <t>cinthyagomes@gmail.com</t>
  </si>
  <si>
    <t>Programa de pós graduação em Odontologia do Instituto de Saúde de Nova Friburgo</t>
  </si>
  <si>
    <t>Impact of a Multiprofissional Intervention Program on patients with recent Diabetes diagnosis type 2</t>
  </si>
  <si>
    <t>U1111-1238-7491</t>
  </si>
  <si>
    <t>Tatiana Carvalho Reis Martins</t>
  </si>
  <si>
    <t>tatycnn@hotmail.com</t>
  </si>
  <si>
    <t>Universidade Federal do Mato Grosso do Sul</t>
  </si>
  <si>
    <t>Clinical phase II assessment to assess the effectiveness safety and tolerability of the peel extract of Passiflora edulis in the reduction of blood pressure in patients with Arterial Hypertension stage I</t>
  </si>
  <si>
    <t>U1111-1234-4108</t>
  </si>
  <si>
    <t>Silvana Maria Zucolotto Langassner</t>
  </si>
  <si>
    <t>55-84-81160002</t>
  </si>
  <si>
    <t>szucolotto@hotmail.com</t>
  </si>
  <si>
    <t>Effect of exergames practice on children and adolescents during physical education classes in school</t>
  </si>
  <si>
    <t>U1111-1239-7646</t>
  </si>
  <si>
    <t>Acerto project: impact on hospital care</t>
  </si>
  <si>
    <t>U1111-1238-5546</t>
  </si>
  <si>
    <t>acute appendicitis</t>
  </si>
  <si>
    <t>Acute Appendicitis</t>
  </si>
  <si>
    <t>Mauricio Adam Feitosa Sampaio</t>
  </si>
  <si>
    <t>mauricioadam@gmail.com</t>
  </si>
  <si>
    <t>Comparison of an aquatic physiotherapy vs conventional physiotherapy protocol in the risk of falling in the elderly</t>
  </si>
  <si>
    <t>U1111-1237-5429</t>
  </si>
  <si>
    <t>Christye Ramos da Silva</t>
  </si>
  <si>
    <t>christyeramos@yahoo.com.br</t>
  </si>
  <si>
    <t>Núcleo de Atividade em Saúde (fisioterapia) – Universidade Veiga de Almeida</t>
  </si>
  <si>
    <t>A phase III double-blind placebo-controlled randomized study of Ipatasertib in combination with Atezolizumab and Paclitaxel as a treatment for patients with locally advanced unresectable or metastatic triple-negative breast cancer</t>
  </si>
  <si>
    <t>U1111-1230-6305</t>
  </si>
  <si>
    <t>Mayara Kanashiro</t>
  </si>
  <si>
    <t>55-11-964717953</t>
  </si>
  <si>
    <t>mayara.kanashiro@roche.com</t>
  </si>
  <si>
    <t>Produtos Roche Químicos e Farmacêuticos S.A</t>
  </si>
  <si>
    <t>Analysis of the efficacy of the Russian current in the treatment of lower back pain through muscle hypertrophy</t>
  </si>
  <si>
    <t>10/24/2019</t>
  </si>
  <si>
    <t>U1111-1241-4776</t>
  </si>
  <si>
    <t>Comparative evaluation of the mandible head / mandibular fossa relationship in asymptomatic and symptomatic adult individuals in the centric and maximal intercuspal clearance through cone beam computed tomography</t>
  </si>
  <si>
    <t>U1111-1239-0617</t>
  </si>
  <si>
    <t>temporomandibular joint disorder</t>
  </si>
  <si>
    <t>larissa kattiney oliveira violatti</t>
  </si>
  <si>
    <t>55-34-991841704</t>
  </si>
  <si>
    <t>kattineylarissa@gmail.com</t>
  </si>
  <si>
    <t>Postoperative hematimetric evaluation of total knee arthroplasty with and without suction drain</t>
  </si>
  <si>
    <t>U1111-1238-8599</t>
  </si>
  <si>
    <t>Janaine Cunha Polese</t>
  </si>
  <si>
    <t>janainepolese@yahoo.com.br</t>
  </si>
  <si>
    <t>Faculdade Ciências Médicas de Minas Gerais</t>
  </si>
  <si>
    <t>Influence the blue light filter in the nighttime period on the perception of sleep quality and clinical parameters of critically ill patients</t>
  </si>
  <si>
    <t>U1111-1240-2839</t>
  </si>
  <si>
    <t>Ariane Ferreira Machado Avelar</t>
  </si>
  <si>
    <t>+55(11)983526567</t>
  </si>
  <si>
    <t>ariane.machado@unifesp.br</t>
  </si>
  <si>
    <t>Escola Paulista de Enfermagem</t>
  </si>
  <si>
    <t>Effects of Hammock Positioning in the NICU for pain relief and stress and improvement of motor development</t>
  </si>
  <si>
    <t>U1111-1230-4361</t>
  </si>
  <si>
    <t>Other preterm infants</t>
  </si>
  <si>
    <t>Luciana Sayuri Sanada</t>
  </si>
  <si>
    <t>luciana.sanada@udesc.br</t>
  </si>
  <si>
    <t>The Effect Of Virtual Reality on the Static and Dynamic Balance on Patients with Stroke</t>
  </si>
  <si>
    <t>U1111-1239-7822</t>
  </si>
  <si>
    <t>Patricia Lima do Amaral Santos</t>
  </si>
  <si>
    <t>UNG - Universidade Guarulhos</t>
  </si>
  <si>
    <t>Effect of Acupuncture on the Mononuclear Fraction of Peripheral Blood and Language Aspect in Women with Breast Cancer During Chemotherapy: Randomized Clinical Trial</t>
  </si>
  <si>
    <t>09/26/2019</t>
  </si>
  <si>
    <t>U1111-1216-3921</t>
  </si>
  <si>
    <t>Carmen Sylvia Varella Alliz</t>
  </si>
  <si>
    <t>Escola Paulista de Medicina da Universidade Federal de São Paulo</t>
  </si>
  <si>
    <t>Randomized double-blind clinical trial of carotid angioplasty with distal cerebral protection filter comparing closed-cell stent with double-layer stent</t>
  </si>
  <si>
    <t>U1111-1206-6519</t>
  </si>
  <si>
    <t>José Ricardo Vanzin</t>
  </si>
  <si>
    <t>jrvanzin@gmail.com</t>
  </si>
  <si>
    <t>Hospital da Cidade de Passo Fundo</t>
  </si>
  <si>
    <t>Effects of segmental stabilization and functional elastic bandage in patients with lumbar disc herniation</t>
  </si>
  <si>
    <t>10/22/2019</t>
  </si>
  <si>
    <t>U1111-1235-4598</t>
  </si>
  <si>
    <t>Impact of intuitive eating program on obese women with ambulatory follow-up: randomized clinical trial</t>
  </si>
  <si>
    <t>U1111-1228-1181</t>
  </si>
  <si>
    <t>Mônica Leila Portela de Santana</t>
  </si>
  <si>
    <t>+55(71)32837721</t>
  </si>
  <si>
    <t>monicalp@ufba.br</t>
  </si>
  <si>
    <t>Effectiveness of bleaching with 37% carbamide peroxide with and without sonic activation and genotoxic effect: a randomized clinical trial</t>
  </si>
  <si>
    <t>U1111-1241-4256</t>
  </si>
  <si>
    <t>Geotherapy and Non-specific Low back Pain: an application study</t>
  </si>
  <si>
    <t>U1111-1239-6932</t>
  </si>
  <si>
    <t>Nonspecific low back pain</t>
  </si>
  <si>
    <t>Graciela Mendoça da Silva de Medeiros</t>
  </si>
  <si>
    <t>+55 (48)32791000</t>
  </si>
  <si>
    <t>gracielamedoncamedeiros@gmail.com</t>
  </si>
  <si>
    <t>Skin contact with scheduled caesareans and a companion. Utopia or reality</t>
  </si>
  <si>
    <t>U1111-1238-8710</t>
  </si>
  <si>
    <t>Maria Dolores Hernandez Prieto</t>
  </si>
  <si>
    <t>mariad.hernandez.prieto.sspa@juntadeandalucia.es</t>
  </si>
  <si>
    <t>Hospital Universitario Virgen Macarena</t>
  </si>
  <si>
    <t>Anesthetic efficacy of 4% Articaine with 1: 100.000 Epinephrine by the Vestibular Infiltration Technique</t>
  </si>
  <si>
    <t>U1111-1232-6175</t>
  </si>
  <si>
    <t>Marcelo Capitanio</t>
  </si>
  <si>
    <t>marcelocapitanioo@gmail.com</t>
  </si>
  <si>
    <t>Universidade Estadual de Maringá - UEM</t>
  </si>
  <si>
    <t>Role of the Intestinal Microbiota for management of Metabolic syndrome and Obesity</t>
  </si>
  <si>
    <t>U1111-1223-6951</t>
  </si>
  <si>
    <t>Alberto Machado da Ponte Neto</t>
  </si>
  <si>
    <t>albertomachadoneto@gmail.com</t>
  </si>
  <si>
    <t>Effect of different currents of electrostimulation in the tibial nerve in women with urinary incontinence: Randomized clinical trial</t>
  </si>
  <si>
    <t>U1111-1233-2201</t>
  </si>
  <si>
    <t>Comparison of different strengthening protocols associated with blood flow restriction to increase handgrip strength</t>
  </si>
  <si>
    <t>U1111--1237-3056</t>
  </si>
  <si>
    <t>Vivian Carla Florianovicz</t>
  </si>
  <si>
    <t>vflorianovicz@gmail.com</t>
  </si>
  <si>
    <t>Universidade Federal de Santa Catarina- UFSC</t>
  </si>
  <si>
    <t>Evaluation of postoperative pain in patients undergoing arthroscopic knee anterior cruciate ligament reconstruction with intraarticular analgesic solutions</t>
  </si>
  <si>
    <t>U1111-1237-1087</t>
  </si>
  <si>
    <t>Marcos George Souza Leao</t>
  </si>
  <si>
    <t>mgselao@uol.com.br</t>
  </si>
  <si>
    <t>Fundacao Hospital Adriano Jorge</t>
  </si>
  <si>
    <t>Preoperative assessment of respiratory muscle strength in open hepatectomy and postoperative inspiratory muscle training</t>
  </si>
  <si>
    <t>U1111-1236-4194</t>
  </si>
  <si>
    <t>Marcelo Gustavo Pereira</t>
  </si>
  <si>
    <t>ft.marcelogustavo@hotmail.com</t>
  </si>
  <si>
    <t>Association assessment between oxytocin and borderline personality disorder</t>
  </si>
  <si>
    <t>U1111-1219-6880</t>
  </si>
  <si>
    <t>Brisa Burgos Dias Macedo</t>
  </si>
  <si>
    <t>brisaburgos@hotmail.com</t>
  </si>
  <si>
    <t>Evaluation of Plasma-Lyte and 0.9% Sodium Chloride Administration in Hydroelectrolytic Balance Acid-Base and Renal Function in Neurosurgery: Randomized Trial</t>
  </si>
  <si>
    <t>U1111-1240-1678</t>
  </si>
  <si>
    <t>Patients with intracranial tumor or aneurysm</t>
  </si>
  <si>
    <t>Norma Sueli Pinheiro Módolo</t>
  </si>
  <si>
    <t>55-14-38801407</t>
  </si>
  <si>
    <t>norma.p.modolo@unesp.br</t>
  </si>
  <si>
    <t>Impact of colostrum administration on the oral mucosa of preterm and very low weight on the sepsis rate: Randomized controlled trial</t>
  </si>
  <si>
    <t>09/27/2018</t>
  </si>
  <si>
    <t>U1111-1203-3393</t>
  </si>
  <si>
    <t>daiane oliveira Pereira vergani</t>
  </si>
  <si>
    <t>dopverga@ucs.br</t>
  </si>
  <si>
    <t>Universidade de Caxias do Sul</t>
  </si>
  <si>
    <t>Uniprofessional and interprofessional high fidelity simulation for the development of collaborative competencies: randomized clinical trial</t>
  </si>
  <si>
    <t>10/18/2019</t>
  </si>
  <si>
    <t>U1111-1239-2501</t>
  </si>
  <si>
    <t>Health occupation students,Healthcare crew resourse management,working environment</t>
  </si>
  <si>
    <t>Alexandra Daniela Marion Martins</t>
  </si>
  <si>
    <t>amarionmartins@gmail.com</t>
  </si>
  <si>
    <t>UNIEURO - Centro Universitário Euro-Americano</t>
  </si>
  <si>
    <t>Spinal anesthesia for elective cesarean section. Use of the Bupivacaine Association at Different doses of Fentanyl. Randomized Clinical Trial</t>
  </si>
  <si>
    <t>U1111-1199-0285</t>
  </si>
  <si>
    <t>Angélica de Fátima de Assunção Braga</t>
  </si>
  <si>
    <t>afbraga@fcm.unicamp.br</t>
  </si>
  <si>
    <t>Centro de Atenção Integral à Saúde da Mulher - Universidade Estadual de Campinas</t>
  </si>
  <si>
    <t>Randomized double-blind Pioglitazone repositioning trial combined with Antifungals for treatment of Cryptococcal Meningitis</t>
  </si>
  <si>
    <t>10/17/2019</t>
  </si>
  <si>
    <t>U1111-1226-1535</t>
  </si>
  <si>
    <t>Cryptococcal meningitis</t>
  </si>
  <si>
    <t>Daniel de Assis Santos</t>
  </si>
  <si>
    <t>dasufmg@gmail.com</t>
  </si>
  <si>
    <t>Using Health and Wellness Coaching techniques to change parameters of health</t>
  </si>
  <si>
    <t>U1111-1237-3957</t>
  </si>
  <si>
    <t>Obesity,diabetes,high pressure</t>
  </si>
  <si>
    <t>Ana Paula Troccoli Noronha</t>
  </si>
  <si>
    <t>anapaula.athayde@gmail.com</t>
  </si>
  <si>
    <t>Escola de Educação Física e Esportes da Universidade de São Paulo</t>
  </si>
  <si>
    <t>Effects of the selective strengthening technique for intrinsic skin musculature in diabetic volunteers of type II. Randomized and controlled study</t>
  </si>
  <si>
    <t>U1111-1235-3768</t>
  </si>
  <si>
    <t>Volunteers with medical diagnosis of type 2 diabetes</t>
  </si>
  <si>
    <t>Effect of sport exercises and functional training in levels of physical activity physical fitness pleasure and quality of life of adults with visual impairment</t>
  </si>
  <si>
    <t>U1111-1225-8203</t>
  </si>
  <si>
    <t>Rafael Barbosa Porcellis da Silva</t>
  </si>
  <si>
    <t>rbarbosavolei11@gmail.com</t>
  </si>
  <si>
    <t>Effectiveness of a 6% potassium nitrate gel on sensitivity during and after office bleaching in adults</t>
  </si>
  <si>
    <t>U1111-1240-2340</t>
  </si>
  <si>
    <t>Paulo Victor de Araújo Martinho</t>
  </si>
  <si>
    <t>drpvmartinho@gmail.com</t>
  </si>
  <si>
    <t>Intervention on the systemic adverse effects of modified intravascular laser irradiation of blood chemotherapy</t>
  </si>
  <si>
    <t>U1111-1238-4153</t>
  </si>
  <si>
    <t>Silvia Cristina Mangini Bocchi</t>
  </si>
  <si>
    <t>55 - 14 - 38801314</t>
  </si>
  <si>
    <t>silvia.bocchi@unesp.br</t>
  </si>
  <si>
    <t>Unesp- Universidade Estadual Paulista</t>
  </si>
  <si>
    <t>Pharmaceutical Care for patients with Diabetes mellitus treated with Insulin</t>
  </si>
  <si>
    <t>U1111-1237-4401</t>
  </si>
  <si>
    <t>Gerusa Halila Possagno</t>
  </si>
  <si>
    <t>gerusach@hotmail.com</t>
  </si>
  <si>
    <t>Use of photodynamic therapy with methyl-aminolevulinic acid preventing recurrence and improving quality of live in patients with keloid scars: a protocol for a randomized controlled trial</t>
  </si>
  <si>
    <t>U1111-1237-3898</t>
  </si>
  <si>
    <t>Keloid scars</t>
  </si>
  <si>
    <t>Edgard da Silva Neto</t>
  </si>
  <si>
    <t>dr.edgardneto@gmail.com</t>
  </si>
  <si>
    <t>Effectiveness of minfulness in comparison to  cognitive behavioral therapy in smoking cessation</t>
  </si>
  <si>
    <t>U1111-1239-0739</t>
  </si>
  <si>
    <t>Tobacco use disorder</t>
  </si>
  <si>
    <t>Mariana Sponholz Araujo</t>
  </si>
  <si>
    <t>+55(41)33601800</t>
  </si>
  <si>
    <t>mari_sponholz@yahoo.com.br</t>
  </si>
  <si>
    <t>Use of negative wound pressure device in surgical treatment of Pilonidal Cyst in closed technique</t>
  </si>
  <si>
    <t>U1111-1232-4343</t>
  </si>
  <si>
    <t>Pylonidal Cyst</t>
  </si>
  <si>
    <t>Silvio Gabor</t>
  </si>
  <si>
    <t>coontato@silviogabor.com.br</t>
  </si>
  <si>
    <t>universidade de santo amaro</t>
  </si>
  <si>
    <t>Immediate effects of hypertonic saline and Dornase alfa on respiratory mechanics in children with cystic fibrosis</t>
  </si>
  <si>
    <t>U1111-1168-5597</t>
  </si>
  <si>
    <t>cystic fibrosis</t>
  </si>
  <si>
    <t>Renata Maba Gonçalves Wamosy</t>
  </si>
  <si>
    <t>renata.maba@gmail.com</t>
  </si>
  <si>
    <t>Efficacy of tranexamic acid in reducing bleeding in patients undergoing total knee arthroplasty</t>
  </si>
  <si>
    <t>U1111-1237-2534</t>
  </si>
  <si>
    <t>Study of the Application of a bundle in the prevention of peri-intraventricular haemorragia in preterm newborns</t>
  </si>
  <si>
    <t>U1111-1227-4634</t>
  </si>
  <si>
    <t>Peri-intraventricular hemorrhage in preterm newborns</t>
  </si>
  <si>
    <t>rhanna emanuela fontenele lima de carvalho</t>
  </si>
  <si>
    <t>55-85991491293</t>
  </si>
  <si>
    <t>rhannalima@gmail.com</t>
  </si>
  <si>
    <t>Effect of sleep duration on high performance poor visually impaired athletes on physical performance and hormonal responses</t>
  </si>
  <si>
    <t>U1111-1220-0951</t>
  </si>
  <si>
    <t>Faculdade de Ciências Aplicadas FCA- UNICAMP Secretaria de Pesquisa</t>
  </si>
  <si>
    <t>+55- 019 3701-6711</t>
  </si>
  <si>
    <t>marina.schulze@fca.unicamp.br</t>
  </si>
  <si>
    <t>Influence of the use of health applications on eating practices of adults and elderly individuals from Passo Fundo (RS)</t>
  </si>
  <si>
    <t>U1111-1239-1652</t>
  </si>
  <si>
    <t>Luísa Victória Biasi</t>
  </si>
  <si>
    <t>luisavicc@gmail.com</t>
  </si>
  <si>
    <t>Universidade de Passo Fundo (UPF)</t>
  </si>
  <si>
    <t>Effects of Osteopathic Manipulative Treatment on the Signs and Symptoms of Low Back Pain volunteers</t>
  </si>
  <si>
    <t>U1111-1240-6533</t>
  </si>
  <si>
    <t>Charlini Simoni Hartz</t>
  </si>
  <si>
    <t>charlinih@hotmail.com</t>
  </si>
  <si>
    <t>Evaluation of the Effectiveness of Behavioral Interventions aimed at Self-Care in Diabetes Mellitus</t>
  </si>
  <si>
    <t>U1111-1233-5108</t>
  </si>
  <si>
    <t>heloisa carvalho torres</t>
  </si>
  <si>
    <t>heloisa.ufmg@gmail.com</t>
  </si>
  <si>
    <t>Comparative study between esternal closure with sternal plate fixation versus steel wire in patients submitted to previous bilateral transverse thoracosternotomy (clamshell incision) for bilateral pulmonary transplantation</t>
  </si>
  <si>
    <t>U1111-1237-6305</t>
  </si>
  <si>
    <t>Herbert Félix Costa</t>
  </si>
  <si>
    <t>herbertfc@gmail.com</t>
  </si>
  <si>
    <t>Instituto do Coração/Faculdade de Medicina do Estado de São Paulo</t>
  </si>
  <si>
    <t>Physiotherapeutic performance in the treatment of Mastalgia in women of the Center for Care of Women and Children (CASMUC)</t>
  </si>
  <si>
    <t>U1111-1228-7560</t>
  </si>
  <si>
    <t>Marcelo Marques Cardoso</t>
  </si>
  <si>
    <t>marcelomc@ufpa.br</t>
  </si>
  <si>
    <t>Stomach mobility and motility trunk posture and osteopathic manipulation in adults with chronic gastritis</t>
  </si>
  <si>
    <t>U1111-1223-6867</t>
  </si>
  <si>
    <t>Chronic gastritis</t>
  </si>
  <si>
    <t>Thania Maion Melo</t>
  </si>
  <si>
    <t>+55(81)981151111</t>
  </si>
  <si>
    <t>thaniamaion@hotmail.com</t>
  </si>
  <si>
    <t>Dietary supplementation of Omega 3 and the participation in the placentary vascular resistance mechanism in pregnant people: a comparison with normal pregnant women without use of Omega chronic hypertensions in use of AAS and pregnants with thrombophilia and use Heparina or AAS</t>
  </si>
  <si>
    <t>U1111-1215-5962</t>
  </si>
  <si>
    <t>Juliana Barroso Zimmermmann</t>
  </si>
  <si>
    <t>julianabz@uol.com.br</t>
  </si>
  <si>
    <t>Faculdade de Medicina de Barbacena</t>
  </si>
  <si>
    <t>Analysis of type IV hypersensitivity cytokines and their correlation with the concentration of nickel ions in saliva and urine of patients under orthodontic treatment</t>
  </si>
  <si>
    <t>U1111-1171-0690</t>
  </si>
  <si>
    <t>Monarko Nunes de Azevedo</t>
  </si>
  <si>
    <t>monarckoazevedo@gmail.com</t>
  </si>
  <si>
    <t>Use of high concentration Carbamide Peroxide to minimize Postoperative Sensitivity and obtain good Bleaching Results</t>
  </si>
  <si>
    <t>U1111-1234-1032</t>
  </si>
  <si>
    <t>Implementation of a quality improvement program for cardiac enzymes ordering in critically ill patients</t>
  </si>
  <si>
    <t>U1111-1240-8064</t>
  </si>
  <si>
    <t>Leandro Utino Taniguchi</t>
  </si>
  <si>
    <t>leandrout@hotmail.com</t>
  </si>
  <si>
    <t>Instituto Sírio-Libanês de Ensino e Pesquisa</t>
  </si>
  <si>
    <t>Medical journalism: evidence-based healthcare teaching for journalism students as a tool to improve the quality of information</t>
  </si>
  <si>
    <t>U1111-1240-1836</t>
  </si>
  <si>
    <t>Maria Regina Torloni</t>
  </si>
  <si>
    <t>ginecologia@terra.com.br</t>
  </si>
  <si>
    <t>Auditory function assessment in elderly with presbycusis before and after hearing rehabilitation</t>
  </si>
  <si>
    <t>U1111-1233-9143</t>
  </si>
  <si>
    <t>presbycusis</t>
  </si>
  <si>
    <t>Yara Bagali Alcântara</t>
  </si>
  <si>
    <t>+55 (14) 3402-1300</t>
  </si>
  <si>
    <t>yarabagali_@hotmail.com</t>
  </si>
  <si>
    <t>Universidade Estadual Paulista UNESP- Campus de Marília</t>
  </si>
  <si>
    <t>Evaluation of the efficacy of Dipyrone in preemptive analgesia through the reduction of postoperative Adenotonsillectomy pain in children</t>
  </si>
  <si>
    <t>U1111-1227-9399</t>
  </si>
  <si>
    <t>Maira Isis dos Santos Stangler</t>
  </si>
  <si>
    <t>mairastangler@yahoo.com.br</t>
  </si>
  <si>
    <t>Hospital da Criança Santo Antônio</t>
  </si>
  <si>
    <t>Determination of pharmacokinetic profile of Amoxicillin tablets in overweight volunteers</t>
  </si>
  <si>
    <t>U1111-1233-2964</t>
  </si>
  <si>
    <t>Effects of tibial and parasacral nerve stimulation techniques in women with hyperactive neurogenic bladder after stroke</t>
  </si>
  <si>
    <t>U1111-1222-3979</t>
  </si>
  <si>
    <t>Stroke,Urinary Incontinence</t>
  </si>
  <si>
    <t>Vanessa Pereira Baldon</t>
  </si>
  <si>
    <t>pereiravans@gmail.com</t>
  </si>
  <si>
    <t>Instrumentation of informal caregivers of care-dependent patients during hospital-to-home transition</t>
  </si>
  <si>
    <t>U1111-1236-9156</t>
  </si>
  <si>
    <t>Cremilde Aparecida Trindade Radovanovic</t>
  </si>
  <si>
    <t>maringá</t>
  </si>
  <si>
    <t>kikanovic2010@hotmail.com</t>
  </si>
  <si>
    <t>Analysis of lumbar spine movement mobilization versus pressure movement mobilization</t>
  </si>
  <si>
    <t>U1111-1235-8408</t>
  </si>
  <si>
    <t>Sedative effect of the association between Valeriana officinalis L and Humulus lupulus L. on anxiety control in patients submitted to mandibular mandibular third molar extractions</t>
  </si>
  <si>
    <t>U1111-1222-4466</t>
  </si>
  <si>
    <t>Liane Maciel de Almeida Souza</t>
  </si>
  <si>
    <t>Restoration of caries-free cervical lesions with composite bulk fill resin - clinical randomized and blind study</t>
  </si>
  <si>
    <t>U1111-1224-0300</t>
  </si>
  <si>
    <t>Cervical free lesions of caries</t>
  </si>
  <si>
    <t>Other specified diseases of hard tissues of teeth</t>
  </si>
  <si>
    <t>Veridiana  Camilotti</t>
  </si>
  <si>
    <t>+55 45 3037-2206</t>
  </si>
  <si>
    <t>Universidade Estaudual do Oeste do Paraná</t>
  </si>
  <si>
    <t>Evaluation of the efficacy of different doses of dipyrone in third molar surgery: clinical trial</t>
  </si>
  <si>
    <t>U1111-1235-4649</t>
  </si>
  <si>
    <t>Tooth not erupted</t>
  </si>
  <si>
    <t>Emerson Filipe de Carvalho Nogueira</t>
  </si>
  <si>
    <t>+55 (81) 3183-3674</t>
  </si>
  <si>
    <t>emerson_filipe@hotmail.com</t>
  </si>
  <si>
    <t>Impact of Green Tea supplementation and its relationship in the prevention of Colorretal Cancer in a western population</t>
  </si>
  <si>
    <t>U1111-1232-9618</t>
  </si>
  <si>
    <t>Melissa Sardenberg Rotatori</t>
  </si>
  <si>
    <t>melissa_rotatori@hotmail.com</t>
  </si>
  <si>
    <t>A.C.Camargo Cancer Center</t>
  </si>
  <si>
    <t>Effects of virtual reality based exercises on mental health physical performance muscular quality inflammatory profile and cerebral activity of elderly resident in long-term care facility: double-blind randomized controled trial</t>
  </si>
  <si>
    <t>U1111-1233-4200</t>
  </si>
  <si>
    <t>Aging,neurocognitive impairments,postural balance</t>
  </si>
  <si>
    <t>Luciana Mendes Oliveira</t>
  </si>
  <si>
    <t>(38)3229-8103</t>
  </si>
  <si>
    <t>cdbacharel@hotmail.com</t>
  </si>
  <si>
    <t>Pain Neuroscience Eucation for the older people with chronic low back pain: randomized controlled trial</t>
  </si>
  <si>
    <t>U1111-1190-673</t>
  </si>
  <si>
    <t>Estefani Serafim Rossetti</t>
  </si>
  <si>
    <t>Brotas</t>
  </si>
  <si>
    <t>tetirossetti@hotmail.com</t>
  </si>
  <si>
    <t>Evaluation of the effectiveness of a single session of Solution Focused Brief Therapy to improve specialized treatment adherence in users of alcohol and other drugs</t>
  </si>
  <si>
    <t>U1111-1239-4082</t>
  </si>
  <si>
    <t>Drug Users</t>
  </si>
  <si>
    <t>Cristiana Nelise de Paula Araujo</t>
  </si>
  <si>
    <t>crisnelise@yahoo.com.br</t>
  </si>
  <si>
    <t>Faculdade de Filosofia,Ciências e Letras de Ribeirão Preto</t>
  </si>
  <si>
    <t>Effect of a fluoride calcium and phosphate dentifrice on the treatment of dentin hypersensitivity</t>
  </si>
  <si>
    <t>U111112390628</t>
  </si>
  <si>
    <t>Ricardo Danil Guiraldo</t>
  </si>
  <si>
    <t>rdguiraldo@gmail.com</t>
  </si>
  <si>
    <t>Universidade Norte do Paraná - UNOPAR</t>
  </si>
  <si>
    <t>Immersive virtual reality in the rehabilitation of elderly with postural balance alteration: randomized clinical trial</t>
  </si>
  <si>
    <t>U1111-1236-5267</t>
  </si>
  <si>
    <t>Effect of an educational intervention on the emotional or psychological distress and quality of life of family caregivers of elderly with neuropsychiatric symptoms</t>
  </si>
  <si>
    <t>U1111-1234-0468</t>
  </si>
  <si>
    <t>Stress psychological</t>
  </si>
  <si>
    <t>Luana Baldin Storti</t>
  </si>
  <si>
    <t>+55(16)33153416</t>
  </si>
  <si>
    <t>luanabaldinstorti@gmail.com</t>
  </si>
  <si>
    <t>Internet - based nutrition education versus conventional nutrition education: A randomized clinical trial</t>
  </si>
  <si>
    <t>U1111-1238-8176</t>
  </si>
  <si>
    <t>Ingrid Sofia Melo</t>
  </si>
  <si>
    <t>Satuba</t>
  </si>
  <si>
    <t>ingrid.melo@ifal.edu.br</t>
  </si>
  <si>
    <t>Instituto Federal de Alagoas</t>
  </si>
  <si>
    <t>Clinical microbiological and patient-centered evaluation of different denture retention adhesives. Randomized crossover clinical study</t>
  </si>
  <si>
    <t>U1111-1238-7623</t>
  </si>
  <si>
    <t>Cláudia Helena Lovato da Silva</t>
  </si>
  <si>
    <t>chl@forp.usp.br</t>
  </si>
  <si>
    <t>Phytochemical study and development of human supplementation based on biochemical parameters with a standardized extract of Nasturtium officinale R.Br. Brassicaceae</t>
  </si>
  <si>
    <t>U1111-1224-1070</t>
  </si>
  <si>
    <t>Marlis Dallarmi Miguel</t>
  </si>
  <si>
    <t>dallarmi@ufpr.br</t>
  </si>
  <si>
    <t>Universidade Federal do Pararna</t>
  </si>
  <si>
    <t>Acute and chronic comparison of different methods of training in kinanthrometric parameters Cardiovascular biochemical and metabolic disorders of diabetics</t>
  </si>
  <si>
    <t>U1111-1237-5864</t>
  </si>
  <si>
    <t>Jorge Luiz de Brito Gomes</t>
  </si>
  <si>
    <t>jorgelbritog@hotmail.com</t>
  </si>
  <si>
    <t>Mothers of premature and premature newborns hospitalized in a neonatal ICU under intervention of Bach florals: clinical trial triple blind randomized</t>
  </si>
  <si>
    <t>U1111-1235-5502</t>
  </si>
  <si>
    <t>Tatiana Carneiro de Resende</t>
  </si>
  <si>
    <t>tatibrazao@hotmail.com</t>
  </si>
  <si>
    <t>Dermatological assessment of primary dermal irritability accumulated and sensitization</t>
  </si>
  <si>
    <t>U1111-1233-3912</t>
  </si>
  <si>
    <t>The effect of aerobic exercise associated with Modified Constraint Induced Movement Therapy in chronic hemiparetic subjects: Randomized clinical trial</t>
  </si>
  <si>
    <t>U1111-1227-7341</t>
  </si>
  <si>
    <t>Sequelae of stroke not specified as hemorrhagic or ischemic</t>
  </si>
  <si>
    <t>+55 16 33066702</t>
  </si>
  <si>
    <t>thiagoluizrusso@gmail.com</t>
  </si>
  <si>
    <t>Randomized clinical trial to evaluate the migration rate of fully covered self-expanding metal stent with anti-migration systems compared to fully covered self-expanding metal stent without anti-migration system in the Endoscopic Treatment of Fluid Pancreatic Collections</t>
  </si>
  <si>
    <t>U1111-1223-8841</t>
  </si>
  <si>
    <t>Pancreatic pseudocyst,acute necrotizing pancreatitis,organized pancreatic necrosis</t>
  </si>
  <si>
    <t>Clinical evolution of pre-school children with feeding difficulties supplemented during six months: a prospective controlled study</t>
  </si>
  <si>
    <t>U1111-1223-7015</t>
  </si>
  <si>
    <t>Carlos Alberto Nogueira de Almeida</t>
  </si>
  <si>
    <t>dr.nogueira@ufscar.br</t>
  </si>
  <si>
    <t>Prospective randomize study of inguinodinia and recurrence after videolaparoscopic inguinal hernioplasty by transabdominal technique comparing mesh fixation with tackers glue or no fixation</t>
  </si>
  <si>
    <t>U1111-1240-4549</t>
  </si>
  <si>
    <t>Inguinal Hernia</t>
  </si>
  <si>
    <t>Mauricio  Andrade Azevedo</t>
  </si>
  <si>
    <t>dr.mauricioazevedo@gmail.com</t>
  </si>
  <si>
    <t>Hospital de Transplantes Euryclides de Jesus Zerbini</t>
  </si>
  <si>
    <t>Effect of different duration times of application of myofascial release on quadriceps femoris strength: A randomized experimental study</t>
  </si>
  <si>
    <t>U1111-1233-4261</t>
  </si>
  <si>
    <t>Julio Guilherme Silva</t>
  </si>
  <si>
    <t>+55 21 98121-4557</t>
  </si>
  <si>
    <t>jgsilva@hucff.ufrj.br</t>
  </si>
  <si>
    <t>Comparison between the effects of fnp-based training and virtual rehabilitation in the treatment of Parkinsons disease patients</t>
  </si>
  <si>
    <t>U1111-1215-6704</t>
  </si>
  <si>
    <t>Fleury Ferreira Neto</t>
  </si>
  <si>
    <t>+55(71)982580161</t>
  </si>
  <si>
    <t>fleury.neto@ufba.br</t>
  </si>
  <si>
    <t>Effect of a physical activity intervention - home based on cardiometabolic risk factors in adolescents</t>
  </si>
  <si>
    <t>U1111-1239-3949</t>
  </si>
  <si>
    <t>Antonio Stabelini Neto</t>
  </si>
  <si>
    <t>Jacarezinho - PR</t>
  </si>
  <si>
    <t>(+55) 4335112600</t>
  </si>
  <si>
    <t>asneto@uenp.edu.br</t>
  </si>
  <si>
    <t>Universidade Estadual do Norte do Paraná(UENP) - Centro de Ciências da Saúde - CCS</t>
  </si>
  <si>
    <t>Effect of musical stimulation on the reduction of adverse symptoms and hemodynamics (blood pressure and heart rate) in patients with breast cancer in chemotherapy treatment</t>
  </si>
  <si>
    <t>U1111-1228-7605</t>
  </si>
  <si>
    <t>Ductal carcinoma of the breast</t>
  </si>
  <si>
    <t>Assessment of Primary Accumulated Dermal Irritability and Health Product Sensitivity by Patch Test _Mklab</t>
  </si>
  <si>
    <t>U1111-1240-2177</t>
  </si>
  <si>
    <t>Artificial tooth</t>
  </si>
  <si>
    <t>Oral hygiene in critically ill patients - a randomized controlled trial</t>
  </si>
  <si>
    <t>U1111-1237-9508</t>
  </si>
  <si>
    <t>Paula Cunha Vieira</t>
  </si>
  <si>
    <t>drapaulacunhavieira@gmail.com</t>
  </si>
  <si>
    <t>A prospective study of the acceptance of the multimodal accelerated recovery protocol Fast-Trackin patients submitted to videoolaparoscopic colorectal surgery</t>
  </si>
  <si>
    <t>1111-1203-1204</t>
  </si>
  <si>
    <t>Fábio Lopes Queiroz</t>
  </si>
  <si>
    <t>fabiolopesq@hotmail.com</t>
  </si>
  <si>
    <t>Hospital Felicio Rocho</t>
  </si>
  <si>
    <t>Maternal neuropsychiatric disorders in the pregnancy-puerperal cycle: detection and early intervention and its consequences in the family triad</t>
  </si>
  <si>
    <t>U1111-1227-9789</t>
  </si>
  <si>
    <t>Luciana de Avila Quevedo</t>
  </si>
  <si>
    <t>+ 55 (53) 2128-8000</t>
  </si>
  <si>
    <t>lu.quevedo@bol.com.br</t>
  </si>
  <si>
    <t>Effect of Physical Activity on postprandial blood glucose in individuals with type 2 Diabetes Mellitus</t>
  </si>
  <si>
    <t>U1111-1233-2769</t>
  </si>
  <si>
    <t>Yuri Alberto Freire de Assis</t>
  </si>
  <si>
    <t>+55 (85) 3366 9217</t>
  </si>
  <si>
    <t>yuriadg@hotmail.com</t>
  </si>
  <si>
    <t>Instituto de Educação Física e Esportes - Universidade Federal do Ceará</t>
  </si>
  <si>
    <t>Randomized blind prospective study: a comparison of midazolan morphine or clonidine as premedication for cardiac surgery</t>
  </si>
  <si>
    <t>02/13/2012</t>
  </si>
  <si>
    <t>U1111-1122-4484</t>
  </si>
  <si>
    <t>Patients with cardiac disease who will undergo cardiac surgery</t>
  </si>
  <si>
    <t>Ari Tadeu Santos</t>
  </si>
  <si>
    <t>+51(51)9306-8437</t>
  </si>
  <si>
    <t>aritadeu@via-rs.net</t>
  </si>
  <si>
    <t>IC-FUC RS</t>
  </si>
  <si>
    <t>Restricted energy for weight loss with different proportions of carbohydrates in the diet of fighters: impact on health and sports performance</t>
  </si>
  <si>
    <t>U1111-1176-3855</t>
  </si>
  <si>
    <t>Healthy Volunteers. Athletes</t>
  </si>
  <si>
    <t>Raquel Simões Mendes Netto</t>
  </si>
  <si>
    <t>+55 (79) 3194 6662</t>
  </si>
  <si>
    <t>raquelufs@gmail.com</t>
  </si>
  <si>
    <t>Universidade Federal de Sergipe - UFS</t>
  </si>
  <si>
    <t>Effect of amazonian oil intake on Metabolic Syndrome patients</t>
  </si>
  <si>
    <t>U1111-1241-3252</t>
  </si>
  <si>
    <t>Metabolic syndrome</t>
  </si>
  <si>
    <t>Lívia Martins Costa e Silva</t>
  </si>
  <si>
    <t>+55 91 3201-8861</t>
  </si>
  <si>
    <t>liviacostaesilva@hotmail.com</t>
  </si>
  <si>
    <t>Effect of strength training in different kinetic chains in pain quality of life the pattern of muscle recruitment during ascent and descent of stairs and joint position sense in patients with osteoarthritis of the knee</t>
  </si>
  <si>
    <t>07/15/2013</t>
  </si>
  <si>
    <t>U1111-1124-9453</t>
  </si>
  <si>
    <t>Valdeci Carlos Dionisio</t>
  </si>
  <si>
    <t>vcdionisio@gmail.com</t>
  </si>
  <si>
    <t>Formation for a prospective cohort study of dengue in a child population</t>
  </si>
  <si>
    <t>02/21/2014</t>
  </si>
  <si>
    <t>U1111-1146-9336</t>
  </si>
  <si>
    <t>dengue</t>
  </si>
  <si>
    <t>Patrícia  Brasil</t>
  </si>
  <si>
    <t>+55(21)38659115</t>
  </si>
  <si>
    <t>patricia.brasil@ipec.fiocruz.br</t>
  </si>
  <si>
    <t>Fundação Oswaldo Cruz-Fiocruz</t>
  </si>
  <si>
    <t>Effects of a Respiratory and Motor Physiotherapy Protocol on Chronic Renal Patients During Hemodialysis: Randomized and Controlled Clinical Trial</t>
  </si>
  <si>
    <t>U1111-1229-9399</t>
  </si>
  <si>
    <t>End-stage renal disease</t>
  </si>
  <si>
    <t>Aline Daiane Schlindwein</t>
  </si>
  <si>
    <t>+55 (48) 3279 1167</t>
  </si>
  <si>
    <t>alineds10@yahoo.com.br</t>
  </si>
  <si>
    <t>Tongue frenulum: Speech therapy follow-up after surgical intervention</t>
  </si>
  <si>
    <t>U1111-1194-0425</t>
  </si>
  <si>
    <t>Lingual frenum,ankyloglossia</t>
  </si>
  <si>
    <t>Erissandra  Gomes</t>
  </si>
  <si>
    <t>erifono@hotmail.com</t>
  </si>
  <si>
    <t>The influence of subepithelial connective tissue graft thickness on root coverage outcomes. A randomized controlled clinical trial</t>
  </si>
  <si>
    <t>U1111-1236-8339</t>
  </si>
  <si>
    <t>João Batista César Neto</t>
  </si>
  <si>
    <t>55 11 3091-7833</t>
  </si>
  <si>
    <t>jbcesarneto@usp.br</t>
  </si>
  <si>
    <t>Effects of Neuromuscular Electrical Stimulation in Patients After Stroke: Are There Evidences for Plasticity in The Spinal Cord Circuitry Associated With Spasticity</t>
  </si>
  <si>
    <t>U1111-1130-7901</t>
  </si>
  <si>
    <t>Stroke. Spasticity. Hemiplegia</t>
  </si>
  <si>
    <t>Anna Amélia Pereira da Motta Oishi</t>
  </si>
  <si>
    <t>+55(18)9639-3838</t>
  </si>
  <si>
    <t>annapmotta@gmail.com</t>
  </si>
  <si>
    <t>Faculdade de Ciências e Tecnologia da Universidade Estadual Paulista Julio de Mesquita Filho</t>
  </si>
  <si>
    <t>Debriefing techniques as a help tool for diagnostic reasoning of nursing students randomized clinical trial</t>
  </si>
  <si>
    <t>U1111-1232-5569</t>
  </si>
  <si>
    <t>Marcella Ferroni Gouveia</t>
  </si>
  <si>
    <t>maferronii@gmail.com</t>
  </si>
  <si>
    <t>Evaluation of dermatological acceptability of health products under normal use</t>
  </si>
  <si>
    <t>U1111-1231-5282</t>
  </si>
  <si>
    <t>Ischemic Compression in the Treatment of Myofascial Pain Syndrome</t>
  </si>
  <si>
    <t>09/29/2019</t>
  </si>
  <si>
    <t>U1111-1237-3056</t>
  </si>
  <si>
    <t>Myofascial Pain Syndrome</t>
  </si>
  <si>
    <t>Analysis of the clinical evolution of the Patient with Non-specific Chronic Neck Pain as a Choice of Treatment Choice. A randomized clinical trial</t>
  </si>
  <si>
    <t>U1111-1224-6670</t>
  </si>
  <si>
    <t>Hygiene protocols for the treatment of Denture-related stomatitis analysis of local and systemic parameters: a randomized clinical trial</t>
  </si>
  <si>
    <t>U1111-1219-5141</t>
  </si>
  <si>
    <t>Faculdade de Odontologia de Ribeirão Preto - USP</t>
  </si>
  <si>
    <t>Study of the metabolic and molecular changes involved in Caloric Restriction and in the Hypoprotein Diet in humans</t>
  </si>
  <si>
    <t>07/26/2018</t>
  </si>
  <si>
    <t>U1111-1198-4095</t>
  </si>
  <si>
    <t>Rafael Ferraz-Bannitz</t>
  </si>
  <si>
    <t>11-949865149</t>
  </si>
  <si>
    <t>rafaelferrazepm@yahoo.br</t>
  </si>
  <si>
    <t>Immunochemioprophylaxis in the prevention of Leprosy contacts in children under 15 years of age</t>
  </si>
  <si>
    <t>U1111-1225-5986</t>
  </si>
  <si>
    <t>Leprosy [Hansens disease]</t>
  </si>
  <si>
    <t>Camila Massae Sato</t>
  </si>
  <si>
    <t>+55 (65) 999615892</t>
  </si>
  <si>
    <t>camila_sato@hotmail.com</t>
  </si>
  <si>
    <t>Hyperbaric oxygen therapy facilitates the healing of chronic wounds on the feet of diabetic patients</t>
  </si>
  <si>
    <t>U1111-1237-1630</t>
  </si>
  <si>
    <t>Jocefábia Reika Alves Lopes</t>
  </si>
  <si>
    <t>reika.lopes@bol.com.br</t>
  </si>
  <si>
    <t>Faculdade de Medicina do ABC - SP</t>
  </si>
  <si>
    <t>Pain perception during Scaling and Root Planing in patients with systemic chronic diseases using Local Anesthesia</t>
  </si>
  <si>
    <t>U1111-1235-0428</t>
  </si>
  <si>
    <t>Fábio André dos Santos</t>
  </si>
  <si>
    <t>+55 (42) 32203104</t>
  </si>
  <si>
    <t>fasantos11@gmail.com</t>
  </si>
  <si>
    <t>Single-session temporal effect of cluster phototherapy on lower limb muscle fatigue in sedentary young adults</t>
  </si>
  <si>
    <t>U1111-1235-6225</t>
  </si>
  <si>
    <t>Development of containing Ora-Pro-Nobis (Pereskia aculeata Mill.) Product and its influence on intestinal microbiota antioxidant capacity anti-inflammatory biochemical and anthropometric parameters in adults</t>
  </si>
  <si>
    <t>U1111-1237-7404</t>
  </si>
  <si>
    <t>Roberta Ribeiro Silva</t>
  </si>
  <si>
    <t>betaribeiro@hotmail.com</t>
  </si>
  <si>
    <t>Evaluation of Photobiomodulation in Bone Repair after tooth extraction in patients submitted to Head and Neck Radiotherapy</t>
  </si>
  <si>
    <t>U1111-1218-8637</t>
  </si>
  <si>
    <t>Folic acid excess: effects on vitamins B2 and B6 metabolism tryptophan catabolism and immune response</t>
  </si>
  <si>
    <t>U1111-1240-6397</t>
  </si>
  <si>
    <t>Elvira Maria Guerra Shinohara</t>
  </si>
  <si>
    <t>55 11 30913785</t>
  </si>
  <si>
    <t>emguerra@usp.br</t>
  </si>
  <si>
    <t>Effect Of The Bad Ragaz Method On The Functionality Of Diabetic Elderly</t>
  </si>
  <si>
    <t>09/17/2019</t>
  </si>
  <si>
    <t>U1111-1230-4839</t>
  </si>
  <si>
    <t>PARNAÍBA</t>
  </si>
  <si>
    <t>UNIVERSIDADE FEDERAL DO PIAUÍ</t>
  </si>
  <si>
    <t>Effect of Respiratory Muscle Training on expiratory muscle strength and abdominal electrical activity in the acute phase of Stroke: randomized clinical trial</t>
  </si>
  <si>
    <t>U1111-1239-3846</t>
  </si>
  <si>
    <t>Lorena Cristina Sartor</t>
  </si>
  <si>
    <t>lorenasartor@hotmail.com</t>
  </si>
  <si>
    <t>Hospital das Clínicas da Faculdade de Medicina de Botucatu - UNESP</t>
  </si>
  <si>
    <t>Analysis of the effectiveness of cinnamon (Cinnamomum verum) in the reduction of glycemic and lipidic levels of adults with type 2 Diabetes</t>
  </si>
  <si>
    <t>U1111-1225-4329</t>
  </si>
  <si>
    <t>Marta Maria Coelho Damasceno</t>
  </si>
  <si>
    <t>85 3366-8464</t>
  </si>
  <si>
    <t>profamartamcdamasceno@gmail.com</t>
  </si>
  <si>
    <t>Abreviation of the fasting pre-operative in the cesarean elective</t>
  </si>
  <si>
    <t>U1111-1235-5712</t>
  </si>
  <si>
    <t>Amílcar Sabino Damazo</t>
  </si>
  <si>
    <t>CUIABA</t>
  </si>
  <si>
    <t>coordenacao.ppgcs@gmail.com</t>
  </si>
  <si>
    <t>Assessment of muscle stress in patients with moderate to severe COPD</t>
  </si>
  <si>
    <t>U111112377812</t>
  </si>
  <si>
    <t>Vivian Taciana Simioni Santana</t>
  </si>
  <si>
    <t>vivi12fisio@gmail.com</t>
  </si>
  <si>
    <t>Clinical and radiographic evaluation of the efficacy of the application of an enamel matrix derivative (Emdogain) in regenerative endodontics: a randomized clinical study</t>
  </si>
  <si>
    <t>U1111-1223-5687</t>
  </si>
  <si>
    <t>Dental pulp necrosis/regeneration</t>
  </si>
  <si>
    <t>Karime Tavares Lima da Silva</t>
  </si>
  <si>
    <t>karimelima@hotmail.com</t>
  </si>
  <si>
    <t>Efficacy of codeine/paracetamol-associated to a desensitizer in tooth sensitivity induced by office bleaching: a randomized controlled triple-blind clinical trial</t>
  </si>
  <si>
    <t>U1111-1230-7417</t>
  </si>
  <si>
    <t>Isabela Dantas Torres de Araújo</t>
  </si>
  <si>
    <t>isabeladta@gmail.com</t>
  </si>
  <si>
    <t>Immediate and late effect of cryotherapy on the static balance the joint position sense and the electromyographic activity in young and healthy men</t>
  </si>
  <si>
    <t>U1111-1234-6498</t>
  </si>
  <si>
    <t>Esperanza Herrera</t>
  </si>
  <si>
    <t>Bucaramanga</t>
  </si>
  <si>
    <t>Colombia</t>
  </si>
  <si>
    <t>eshevi@uis.edu.co</t>
  </si>
  <si>
    <t>Universidad Industrial de Santander</t>
  </si>
  <si>
    <t>Mechanism of ômega-3 fatty acids in the inflammatory process via GPR120 in blood cells of Overweight individuals with Non-Alcoholic Fatty Liver Disease</t>
  </si>
  <si>
    <t>U1111-1229-8526</t>
  </si>
  <si>
    <t>Inflammatory liver disease,unspecified</t>
  </si>
  <si>
    <t>Ellencristina Batista Fidalgo</t>
  </si>
  <si>
    <t>ellencristinasb@yahoo.com.br</t>
  </si>
  <si>
    <t>UNiversidade federal de sergipe</t>
  </si>
  <si>
    <t>Acute Effects of different stabilization techniques of Proprioceptive Neuromuscular Facilitation on the Balance of Sedentary Elderly</t>
  </si>
  <si>
    <t>U1111-1234-0125</t>
  </si>
  <si>
    <t>Jéssica Becker Correia</t>
  </si>
  <si>
    <t>55 51 991460120</t>
  </si>
  <si>
    <t>je_becker02@hotmail.com</t>
  </si>
  <si>
    <t>UFRGS/ESEFID</t>
  </si>
  <si>
    <t>Impact of intervention aiming for greater acceptance and adhesion to school feeding: community-based trial in Sumidouro - RJ</t>
  </si>
  <si>
    <t>U1111-1226-0791</t>
  </si>
  <si>
    <t>Rafael Lavourinha Pinto</t>
  </si>
  <si>
    <t>+55(21)979225465</t>
  </si>
  <si>
    <t>rlavourinhap@gmail.com</t>
  </si>
  <si>
    <t>Universidade do Estado do Rio de Janeiro - Instituto de Medicina Social</t>
  </si>
  <si>
    <t>Influence of brief intervention directed to pregnant women on smoking cessation during pregnancy and after delivery</t>
  </si>
  <si>
    <t>U1111-1238-6603</t>
  </si>
  <si>
    <t>André Luis Bertani</t>
  </si>
  <si>
    <t>andrelubert@gmail.com</t>
  </si>
  <si>
    <t>Evaluation of application protocol of the 4% Hydrogen Peroxide for at-home bleaching - a randomized double-blind study</t>
  </si>
  <si>
    <t>U1111-1238-5372</t>
  </si>
  <si>
    <t>Effects of the combination of Dry Needling and Therapeutic Ultrasound on the treatment of Trigger Points in the upper trapezius muscle</t>
  </si>
  <si>
    <t>U1111-1195-5357</t>
  </si>
  <si>
    <t>guilherme henrique costa serpa</t>
  </si>
  <si>
    <t>guilherme-serpa@live.com</t>
  </si>
  <si>
    <t>Centro Universitário de Anápolis</t>
  </si>
  <si>
    <t>Influence of chitosan on the biomodification of eroded dentin. Clinical and photographic longitudinal analysis of restorations</t>
  </si>
  <si>
    <t>U1111-1214-9556</t>
  </si>
  <si>
    <t>Tooth erosion</t>
  </si>
  <si>
    <t>Effect of prebiotics on intestinal transit and inflammation profile of patients with Pre-Dialytic Chronic Renal Disease</t>
  </si>
  <si>
    <t>U1111-1225-5716</t>
  </si>
  <si>
    <t>Marina Nogueira Berbel Bufarah</t>
  </si>
  <si>
    <t>mnberbel@fmb.unesp.br</t>
  </si>
  <si>
    <t>Skeletal and dental arch changes following rapid maxillary expansion: a prospective randomized controlled study</t>
  </si>
  <si>
    <t>08/17/2017</t>
  </si>
  <si>
    <t>U1111-1185-7694</t>
  </si>
  <si>
    <t>Malocclusion/ Cross bite</t>
  </si>
  <si>
    <t>Thais Maria Freire Fernandes Poleti</t>
  </si>
  <si>
    <t>+55 (43) 33717991</t>
  </si>
  <si>
    <t>thaismaria@hotmail.com</t>
  </si>
  <si>
    <t>Universidade Norte do Paraná (UNOPAR)</t>
  </si>
  <si>
    <t>The effect of Protein supply on critical cancer patients</t>
  </si>
  <si>
    <t>09/27/2019</t>
  </si>
  <si>
    <t>U1111-1235-1979</t>
  </si>
  <si>
    <t>Jerusa Marcia Toloi</t>
  </si>
  <si>
    <t>jerusatoloi@gmail.com</t>
  </si>
  <si>
    <t>Randomized clinical trial of the performance of materials for treatment of hypersensitivity caused by Molar Incisor Hypomineralization (HMI)</t>
  </si>
  <si>
    <t>U1111-1237-6720</t>
  </si>
  <si>
    <t>Fernanda Lyrio Mendonca</t>
  </si>
  <si>
    <t>+55 071 999198449</t>
  </si>
  <si>
    <t>flyriom@gmail.com</t>
  </si>
  <si>
    <t>Evaluation of musculoskeletal pain and collagen production in patients with vitamin C supplemented osteogenesis imperfecta: pilot study of a randomized controlled trial</t>
  </si>
  <si>
    <t>U1111-1234-4010</t>
  </si>
  <si>
    <t>osteogenesis imperfecta</t>
  </si>
  <si>
    <t>+55(48)3279-1167</t>
  </si>
  <si>
    <t>Longitudinal repercussions of a Physiotherapeutic Intervention protocol associated to Kangaroo Positioning in Preterm Newborns:randomised clinical trial</t>
  </si>
  <si>
    <t>U1111-1233-8790</t>
  </si>
  <si>
    <t>Premature,other preterm infants</t>
  </si>
  <si>
    <t>Mariane de Oliveira Nunes Reco</t>
  </si>
  <si>
    <t>+55(67)991806299</t>
  </si>
  <si>
    <t>anereco@hotmail.com</t>
  </si>
  <si>
    <t>Effect of a family-centred intervention program on motor and cognitive development of preterm infant of Neonatal Intensive Care Unit: randomized clinical trial</t>
  </si>
  <si>
    <t>U1111-1233-3796</t>
  </si>
  <si>
    <t>Preterm infant. Child Development. Neonatal Intensive Care Units</t>
  </si>
  <si>
    <t>Daniela Garbellini</t>
  </si>
  <si>
    <t>daniela_garbellini@yahoo.com.br</t>
  </si>
  <si>
    <t>Health education in the first quarter of pregnancy: promoting breastfeeding among pregnant women in limoeiro</t>
  </si>
  <si>
    <t>U1111-1231-1361</t>
  </si>
  <si>
    <t>Bruna Yhang da Costa Silva</t>
  </si>
  <si>
    <t>bruna.yhang@ifce.edu.br</t>
  </si>
  <si>
    <t>Instituto Federal de Educação,Ciência e Tecnologia do Ceará</t>
  </si>
  <si>
    <t>Effect of different Supportive Periodontal Therapy protocols on the incidence of perimplant biological complications</t>
  </si>
  <si>
    <t>U1111-1208-9725</t>
  </si>
  <si>
    <t>Eduardo Jorge Feres Filho</t>
  </si>
  <si>
    <t>55-021-984413522</t>
  </si>
  <si>
    <t>eduferes@yahoo.com.br</t>
  </si>
  <si>
    <t>Faculdade de Odontologia da Universidade Federal do Rio de Janeiro</t>
  </si>
  <si>
    <t>Effect of an interdisciplinary intervention on the consumption of ultra-processed foods in overweight women</t>
  </si>
  <si>
    <t>U1111-1238-8375</t>
  </si>
  <si>
    <t>Nutritional follow-up in patients with head neck and esophageal Cancer undergoing radiotherapy treatment (chemo)</t>
  </si>
  <si>
    <t>U1111-1238-7187</t>
  </si>
  <si>
    <t>Sheila Cristina Pootz</t>
  </si>
  <si>
    <t>+55(54)3218-2829</t>
  </si>
  <si>
    <t>cep-ucs@ucs.br</t>
  </si>
  <si>
    <t>The biology of Ergogenic Caffeine Effects</t>
  </si>
  <si>
    <t>U1111-1234-2079</t>
  </si>
  <si>
    <t>Aderbal  Silva Aguiar Junior</t>
  </si>
  <si>
    <t>55-48-37216255</t>
  </si>
  <si>
    <t>The intervention of Induced Congestion Therapy in children with Brachial Palsy Obstetric: a blind controlled and randomized study</t>
  </si>
  <si>
    <t>U1111-1233-9485</t>
  </si>
  <si>
    <t>Ana carolina Rodrigues Da silva</t>
  </si>
  <si>
    <t>+55(11)5576-0947</t>
  </si>
  <si>
    <t>ancsilva@aacd.org.br</t>
  </si>
  <si>
    <t>Associação de assistência á criança deficiente</t>
  </si>
  <si>
    <t>Estudo clínico da efetividade de sabonetes líquidos desinfetantes no controle do biofilme presente em próteses totais</t>
  </si>
  <si>
    <t>U1111-1212-2144</t>
  </si>
  <si>
    <t>Complete denture wearers</t>
  </si>
  <si>
    <t>Camilla Olga Tasso</t>
  </si>
  <si>
    <t>+55(16)991710264</t>
  </si>
  <si>
    <t>camillaotasso@gmail.com</t>
  </si>
  <si>
    <t>Post-operative sensitivity in posterior composite restorations: a double-blind randomized clinical trial of a Glutaraldeyhe-based desensitizer</t>
  </si>
  <si>
    <t>09/25/2019</t>
  </si>
  <si>
    <t>U1111-1238-6139</t>
  </si>
  <si>
    <t>PONTA GROSSA</t>
  </si>
  <si>
    <t>Evaluation of inhalation inteventions to attenuate the abnormalities of respiratory mechanics during patients exercise whit pulmonary arterial hypertension</t>
  </si>
  <si>
    <t>U1111-1231-0674</t>
  </si>
  <si>
    <t>pulmonary arterial hypertension</t>
  </si>
  <si>
    <t>Elisa Schroeder</t>
  </si>
  <si>
    <t>elisasc.es@gmail.com</t>
  </si>
  <si>
    <t>Metabolic effects of pecan nut consumption in adults with Obesity: a randomized controlled trial</t>
  </si>
  <si>
    <t>U1111-1222-8937</t>
  </si>
  <si>
    <t>Possible Effects of Stiperterapia in Cases of Pain in the Cervical Spine in Academics of Dentistry</t>
  </si>
  <si>
    <t>U1111-1232-7141</t>
  </si>
  <si>
    <t>Neck Pain,Dentistry</t>
  </si>
  <si>
    <t>Livia Crespo Drago</t>
  </si>
  <si>
    <t>liviacdrago@gmail.com</t>
  </si>
  <si>
    <t>Study of the therapeutic effect of nanoestrutured pharmaceutical preparation incorporated with Pequi Oil (Caryocar Coriaceum) in the functionality of patients with Gonartrosis</t>
  </si>
  <si>
    <t>04/29/2018</t>
  </si>
  <si>
    <t>U1111-1207-2771</t>
  </si>
  <si>
    <t>Lucindo José Quintans Júnior</t>
  </si>
  <si>
    <t>lucindojr@gmail.com</t>
  </si>
  <si>
    <t>Application of a Physiotherapeutic Protocol for nonspecific muscle tension-associated Headache in students of a public university</t>
  </si>
  <si>
    <t>U1111-1236-1981</t>
  </si>
  <si>
    <t>Ediléa Monteiro De Oliveira</t>
  </si>
  <si>
    <t>cep_uepa@hotmail.com</t>
  </si>
  <si>
    <t>Radiographic and microbiological evaluation of periimplant bone surface. Clinical study comparing Immediate-Loaded Implants and Late-Loaded Implants</t>
  </si>
  <si>
    <t>U1111-1235-2031</t>
  </si>
  <si>
    <t>Tatiana Miranda Deliberador</t>
  </si>
  <si>
    <t>tdeliberador@gmail.com</t>
  </si>
  <si>
    <t>The efficacy of cranial electroacupuncture and sleep quality in patients with Parkinsons disease: assessment of pre and post-intervention balance</t>
  </si>
  <si>
    <t>U1111-1231-4190</t>
  </si>
  <si>
    <t>Rogério Romualdo Mehret</t>
  </si>
  <si>
    <t>55 41 99962-3929</t>
  </si>
  <si>
    <t>romehret@gmail.com</t>
  </si>
  <si>
    <t>Effects of pulmonary rehabilitation-associated melatonin on dyspnea respiratory muscle strength functional capacity and sleep quality in individuals with chronic obstructive pulmonary disease</t>
  </si>
  <si>
    <t>U1111-12256264</t>
  </si>
  <si>
    <t>Veralice Meireles Sales de Bruin</t>
  </si>
  <si>
    <t>veralicebruin@gmail.com</t>
  </si>
  <si>
    <t>Universidade Federal do Ceará,Faculdade de Medicina,Departamento de Medicina Clínica</t>
  </si>
  <si>
    <t>Clinical evaluation of 20% hydrogen peroxide in-office bleaching gel effectiveness with and without sonic activation in adults</t>
  </si>
  <si>
    <t>09/23/2019</t>
  </si>
  <si>
    <t>U1111-1225-2398</t>
  </si>
  <si>
    <t>tooth discolouration</t>
  </si>
  <si>
    <t>Luciana Mendonça da Silva Martins</t>
  </si>
  <si>
    <t>luciana.mendonca@gmail.com</t>
  </si>
  <si>
    <t>Adherence to self-care in leprosy in the light of Everett Rogers Theory</t>
  </si>
  <si>
    <t>U1111-1187-2246</t>
  </si>
  <si>
    <t>Karen Krystine Gonçalves Brito</t>
  </si>
  <si>
    <t>karenbrito.enf@gmail.com</t>
  </si>
  <si>
    <t>Programa de Pós-Graduação em Enfermagem da Universidade Federal da Paraíba</t>
  </si>
  <si>
    <t>Nursing educational technology for the promotion of the mother-child bond in a neonatal intensive care unit</t>
  </si>
  <si>
    <t>U1111-1228-1462</t>
  </si>
  <si>
    <t>Neonatal Nursing,Maternal Behavior</t>
  </si>
  <si>
    <t>Edna Maria Camelo Chaves</t>
  </si>
  <si>
    <t>ednacam3@hotmail.com</t>
  </si>
  <si>
    <t>Effect of the transcranial direct current stimulation (tDCS) associated with Physical Therapy on freezing of gait and functionality after Parkinsons disease</t>
  </si>
  <si>
    <t>U1111-1237-4635</t>
  </si>
  <si>
    <t>Fernando Zanela da Silva Âreas</t>
  </si>
  <si>
    <t>Evaluation of In-Office Desensitizing Agents used during 35% Hydrogen Peroxide Bleaching: randomized clinical trial</t>
  </si>
  <si>
    <t>U111-1236-3405</t>
  </si>
  <si>
    <t>Dental hypersensitivity</t>
  </si>
  <si>
    <t>+55 (19)3518-3601</t>
  </si>
  <si>
    <t>marcelo.napimoga@slmandic.edu.br</t>
  </si>
  <si>
    <t>São Leopoldo Mandic - SL Mandic</t>
  </si>
  <si>
    <t>Evaluation of the effectiveness of toothpastes in reducing gum bleeding</t>
  </si>
  <si>
    <t>U1111-1239-8562</t>
  </si>
  <si>
    <t>Chronic gingivitis</t>
  </si>
  <si>
    <t>Faculdade de Odontologia de Universidade de São Paulo</t>
  </si>
  <si>
    <t>Evaluation of the implementation and effectiveness of the Healthy Eating Program in Primary Health Care</t>
  </si>
  <si>
    <t>09/22/2019</t>
  </si>
  <si>
    <t>U1111-1205-6490</t>
  </si>
  <si>
    <t>Aline Cristine Souza Lopes</t>
  </si>
  <si>
    <t>55 31 34099179</t>
  </si>
  <si>
    <t>Comparative study between two techniques of Dry Needling applying on trigger points in young adults with Neck Pain</t>
  </si>
  <si>
    <t>U1111-1239-0467</t>
  </si>
  <si>
    <t>Christina Paramustchak Cruz Cepeda</t>
  </si>
  <si>
    <t>+55 41 3317-3214</t>
  </si>
  <si>
    <t>christina.cepeda@up.com.br</t>
  </si>
  <si>
    <t>Usability and efficacy evaluation of a web-based tailored intervention to prevent dating violence</t>
  </si>
  <si>
    <t>U1111-1237-5639</t>
  </si>
  <si>
    <t>Intimate partner violence</t>
  </si>
  <si>
    <t>Sheila Giardini Murta</t>
  </si>
  <si>
    <t>giardini@unb.br</t>
  </si>
  <si>
    <t>Different focus of attention on improvement of upper limb motor performance post-stroke</t>
  </si>
  <si>
    <t>U1111-1237-4988</t>
  </si>
  <si>
    <t>Camila Lobo de Aguiar Gomes</t>
  </si>
  <si>
    <t>Santa Cruz -RN</t>
  </si>
  <si>
    <t>camilalobofisio@gmail.com</t>
  </si>
  <si>
    <t>Faculdade de Ciências da Saúde do Trairi (Facisa)</t>
  </si>
  <si>
    <t>Study about the influence of pelvic floor exercises orientation regarding urinary loss prevention on postpartum period</t>
  </si>
  <si>
    <t>01/26/2012</t>
  </si>
  <si>
    <t>U1111-1125-1467</t>
  </si>
  <si>
    <t>Cinara Sacomori</t>
  </si>
  <si>
    <t>csacomori@yahoo.com.br</t>
  </si>
  <si>
    <t>Stress and metabolic markers in response to acute exercise in women between 25 and 40 years of age</t>
  </si>
  <si>
    <t>07/31/2017</t>
  </si>
  <si>
    <t>U1111-1198-1584</t>
  </si>
  <si>
    <t>Healthy conditions</t>
  </si>
  <si>
    <t>Charles Phillipe Lucena</t>
  </si>
  <si>
    <t>+55 (84) 987022727</t>
  </si>
  <si>
    <t>charles.lucena1@hotmail.com</t>
  </si>
  <si>
    <t>Hospital Universirtário Onofre Lopes</t>
  </si>
  <si>
    <t>Effect of different protocols of high intensity interval exercise with low volume on the cardiorespiratory capacity of inactive adults</t>
  </si>
  <si>
    <t>U1111-1236-8138</t>
  </si>
  <si>
    <t>Mental health in Heart Failure: prevalent diagnoses and psychological intervention from short-term psychoanalytic listening</t>
  </si>
  <si>
    <t>U1111-1236-6151</t>
  </si>
  <si>
    <t>Isaura Cristina Azambuja de Oliveira Rocha</t>
  </si>
  <si>
    <t>isaura.rocha@uol.com.br</t>
  </si>
  <si>
    <t>POSSIBLE SHIATSU EFFECTS ON PAIN AND FAILURE IN PEOPLE WITH MULTIPLE SCLEROSIS</t>
  </si>
  <si>
    <t>U1111-1229-4421</t>
  </si>
  <si>
    <t>Michelle Moreira Abujamra Fillis</t>
  </si>
  <si>
    <t>+55 43 991615577</t>
  </si>
  <si>
    <t>micmoreira@gmail.com</t>
  </si>
  <si>
    <t>Centro Universitário Filadélfia</t>
  </si>
  <si>
    <t>Muscular expiratory training in children with cleft lip and/or cleft palate: Randomized Controlled Trial</t>
  </si>
  <si>
    <t>U1111-1234-8620</t>
  </si>
  <si>
    <t>Cleft lip. Cleft Palate</t>
  </si>
  <si>
    <t>Gustavo Jungblut Kniphoff</t>
  </si>
  <si>
    <t>kniphoff_8@hotmail.com</t>
  </si>
  <si>
    <t>Impact of Community Health Agents Capacitation on Food Education: pilot study in Vitória/ES</t>
  </si>
  <si>
    <t>U1111-1232-4086</t>
  </si>
  <si>
    <t>Maria del Carmen Bisi Molina</t>
  </si>
  <si>
    <t>+55 (027) 999416756</t>
  </si>
  <si>
    <t>mdmolina@uol.com.br</t>
  </si>
  <si>
    <t>Immersion anesthesia in total knee arthroplasty: a new proposal to reduce pain and opioid consumption. Randomized clinical trial</t>
  </si>
  <si>
    <t>U1111-1239-2055</t>
  </si>
  <si>
    <t>Allopurinol versus Trimetazidine as a Third-Drug Therapy for Angina. A Randomized Clinical Trial</t>
  </si>
  <si>
    <t>U1111-1217-5287</t>
  </si>
  <si>
    <t>Aterosclerosis,Angina,Acute myocardial infarction,Coronary artery disease</t>
  </si>
  <si>
    <t>Rodrigo Morel Vieira de Melo</t>
  </si>
  <si>
    <t>rodimorel@yahoo.com.br</t>
  </si>
  <si>
    <t>Impact of a nurse-oriented educational strategy on the reduction of hospital readmissions in patients with heart failure: a randomized clinical trial</t>
  </si>
  <si>
    <t>U1111-1216-7045</t>
  </si>
  <si>
    <t>eduesley.santos@gmail.com</t>
  </si>
  <si>
    <t>Walk Again Project: development of a Robotic Orthosis Controlled by Biological Signals to restore the ambulation in patients with Spinal Cord Injury</t>
  </si>
  <si>
    <t>U1111-1228-8397</t>
  </si>
  <si>
    <t>Spinal cord injury sequelae</t>
  </si>
  <si>
    <t>Adriana Ragoni Jorge Ferreira</t>
  </si>
  <si>
    <t>adriana@aasdap.org.br</t>
  </si>
  <si>
    <t>Associação Alberto Santos Dumont para Apoio à Pesquisa</t>
  </si>
  <si>
    <t>Acute Effect of Interval and Continuous Aerobic Training of Moderate Intensity on Blood Glucose Blood Pressure and Flow-Mediated Dilatation of Type 2 Diabetics Hypertensive subjects</t>
  </si>
  <si>
    <t>U1111-1236-1262</t>
  </si>
  <si>
    <t>Diabetes,hypertension</t>
  </si>
  <si>
    <t>Iago Vilela Dantas</t>
  </si>
  <si>
    <t>iagovilelad@gmail.com</t>
  </si>
  <si>
    <t>Alveolar Recruitment Maneuver in the Post Operative Heart Surgery: Randomized Clinical Trial</t>
  </si>
  <si>
    <t>U1111-1227-8525</t>
  </si>
  <si>
    <t>Thoracic Surgery. Myocardial Ischemia. Physical Therapy Specialty. Cardiovascular diseases. Lung Diseases</t>
  </si>
  <si>
    <t>Helena Correia França</t>
  </si>
  <si>
    <t>lenafran@gmail.com</t>
  </si>
  <si>
    <t>Departamento de Fisioterapia Instituto de Ciências da Saúde</t>
  </si>
  <si>
    <t>Effect of the Aussie current on localized fat and abdominal resistance</t>
  </si>
  <si>
    <t>U1111-1235-9131</t>
  </si>
  <si>
    <t>Effect of a balance training in the static postural control in patients during hemodialysis</t>
  </si>
  <si>
    <t>U1111-1239-1137</t>
  </si>
  <si>
    <t>Miguel Nunes Fam Neto</t>
  </si>
  <si>
    <t>fam.neto@gmail.com</t>
  </si>
  <si>
    <t>Mindfulness and Storytelling with elementary students and Perception of practice by teachers family and students</t>
  </si>
  <si>
    <t>U1111-1231-9461</t>
  </si>
  <si>
    <t>Executives Functions</t>
  </si>
  <si>
    <t>Ana Lucia de Moraes Horta</t>
  </si>
  <si>
    <t>(11) 5576-4430</t>
  </si>
  <si>
    <t>ana.horta@unifesp.br</t>
  </si>
  <si>
    <t>Effect of geotherapy combined with kinesiotherapy and resistance exercise in knee osteoarthritis: single-blinded randomized study</t>
  </si>
  <si>
    <t>U1111-1233-8570</t>
  </si>
  <si>
    <t>Natália Cristina de Oliveira Vargas e Silva</t>
  </si>
  <si>
    <t>nataliaovs@gmail.com</t>
  </si>
  <si>
    <t>Centro Universitário Adventista de São Paulo</t>
  </si>
  <si>
    <t>Randomized controlled trial comparing the Efficacy of two components in the Phenol-croton oil formula</t>
  </si>
  <si>
    <t>U1111-1213-7703</t>
  </si>
  <si>
    <t>Carlos Gustavo Wambier</t>
  </si>
  <si>
    <t>cwambier@alumni.usp.br</t>
  </si>
  <si>
    <t>Dermatology Department - Yale University</t>
  </si>
  <si>
    <t>Effect of juçara pulp (Euterpe edulis Martius) in epigenetic modifications and inflammatory status in monocytes of obese adults</t>
  </si>
  <si>
    <t>U1111-1195-0464</t>
  </si>
  <si>
    <t>Luciana Pellegrini Pisani</t>
  </si>
  <si>
    <t>+55 013 98144-0230</t>
  </si>
  <si>
    <t>lucianapisani@gmail.com</t>
  </si>
  <si>
    <t>Universidade Federal de São Paulo - UNIFESP campus Baixada Santista</t>
  </si>
  <si>
    <t>Effects of a physical activity program on very old people with systemic arterial hypertension</t>
  </si>
  <si>
    <t>U1111-1218-2526</t>
  </si>
  <si>
    <t>Patrícia Silva Carneiro</t>
  </si>
  <si>
    <t>pcarneiropos@gmail.com</t>
  </si>
  <si>
    <t>Universidade Federal de Goiás/ Faculdade de Medicina</t>
  </si>
  <si>
    <t>Use of CO2 Laser therapy for the treatment of Vulvar Atrophic Sclerosis Lichen</t>
  </si>
  <si>
    <t>U1111-1232-1057</t>
  </si>
  <si>
    <t>Hakayna Calegaro Salgado</t>
  </si>
  <si>
    <t>hakaynasalgado@hotmail.com</t>
  </si>
  <si>
    <t>Hospital Universitário da Universidade Federal de Juiz de Fora - UFJF</t>
  </si>
  <si>
    <t>Executive function and verbal fluency assessment in patients with Parkinson disease</t>
  </si>
  <si>
    <t>U1111-1228-7351</t>
  </si>
  <si>
    <t>Parkinson´s disease</t>
  </si>
  <si>
    <t>FERNANDA FREITAG</t>
  </si>
  <si>
    <t>Timbó</t>
  </si>
  <si>
    <t>nanda.freitag@gmail.com</t>
  </si>
  <si>
    <t>Hospital das Clínicas da Faculdade de Medicina</t>
  </si>
  <si>
    <t>Evaluation of adhesive strategy of universal adhesives in Non-Carious Cervical Lesions: a randomized clinical trial</t>
  </si>
  <si>
    <t>U1111-1234-9289</t>
  </si>
  <si>
    <t>Rossana Aboud Matos de Almeida</t>
  </si>
  <si>
    <t>+55 98 991281955</t>
  </si>
  <si>
    <t>rossana.almeida@yahoo.com.br</t>
  </si>
  <si>
    <t>CEUMA - Centro Universitário do Maranhão</t>
  </si>
  <si>
    <t>Comparison between maximal insufflation technique associated with expiratory muscle training with maximmum isolated insufflation in patients with neuromuscular diseases</t>
  </si>
  <si>
    <t>U1111-1237-2074</t>
  </si>
  <si>
    <t>Cognitive Behavioral Therapy and Geriatric Depression: A Clinical Trial</t>
  </si>
  <si>
    <t>U1111-1238-9454</t>
  </si>
  <si>
    <t>José Antônio Spencer Hartmann Júnior</t>
  </si>
  <si>
    <t>jose_spencer@yahoo.com.br</t>
  </si>
  <si>
    <t>Effect of Sodium Bicarbonate intake on performance and fatigue following a repeated sprint session in soccer players</t>
  </si>
  <si>
    <t>U1111-1221-8574</t>
  </si>
  <si>
    <t>João Felipe Mota</t>
  </si>
  <si>
    <t>55-062-32096270</t>
  </si>
  <si>
    <t>jfemota@gmail.com</t>
  </si>
  <si>
    <t>Evaluation of Three Multivariate Models for Predicting Difficult Intubation During Anesthesia</t>
  </si>
  <si>
    <t>U1111-1128-4259</t>
  </si>
  <si>
    <t>Difficult airway in anesthesia</t>
  </si>
  <si>
    <t>Gustavo Prosperi Bicalho</t>
  </si>
  <si>
    <t>+55(31)32804000</t>
  </si>
  <si>
    <t>gpbicalho@gmail.com</t>
  </si>
  <si>
    <t>Hospital Lifecenter</t>
  </si>
  <si>
    <t>Evaluation of Dermal and Gynecological Acceptability of a Medical Device (Irritability and Sensitization in the Genital Mucosa) and Evaluation of the Moisturizing Potential by Corneometry</t>
  </si>
  <si>
    <t>09/16/2019</t>
  </si>
  <si>
    <t>U1111-1228-4415</t>
  </si>
  <si>
    <t>Carolina Barreiros Trevisan</t>
  </si>
  <si>
    <t>carolina@semina.com.br</t>
  </si>
  <si>
    <t>Semina Industria e Comercio LTDA</t>
  </si>
  <si>
    <t>Functional consequences and therapeutic intervention in hampered production of cysteine glutathione and taurine in classical homocystinuria</t>
  </si>
  <si>
    <t>U1111-1228-4499</t>
  </si>
  <si>
    <t>Classical Homocystinuria (CBS deficiency)</t>
  </si>
  <si>
    <t>Ida Vanessa Doederlein Schwartz</t>
  </si>
  <si>
    <t>idadschwartz@gmail.com</t>
  </si>
  <si>
    <t>Effects of MBI (Mindfulness-Based Intervention) on the well-being of college students</t>
  </si>
  <si>
    <t>U1111-1231-3954</t>
  </si>
  <si>
    <t>Giovana Gonçalves Gallo</t>
  </si>
  <si>
    <t>gallo_giovana@yahoo.com.br</t>
  </si>
  <si>
    <t>U1111-1232-0774</t>
  </si>
  <si>
    <t>Tayná Castilho</t>
  </si>
  <si>
    <t>taynacastilho@hotmail.com</t>
  </si>
  <si>
    <t>Centro de Ciências da Saúde e do Esporte</t>
  </si>
  <si>
    <t>Photodynamic action in the treatment of streptococcal pharyngotonsillitis</t>
  </si>
  <si>
    <t>U1111-1224-0204</t>
  </si>
  <si>
    <t>Kate Cristina Blanco</t>
  </si>
  <si>
    <t>blancokate@gmail.com</t>
  </si>
  <si>
    <t>Clinical efficacy of oral and topical treatments based on olive oil extract titrated in hydroxytyrosol to melasma control</t>
  </si>
  <si>
    <t>U1111-1227-2308</t>
  </si>
  <si>
    <t>Chloasma (Melasma)</t>
  </si>
  <si>
    <t>Julia de Toledo Bagatin</t>
  </si>
  <si>
    <t>+55(16)996259233</t>
  </si>
  <si>
    <t>julia.bagatin@hotmail.com</t>
  </si>
  <si>
    <t>Faculdade de Ciências Farmacêuticas de Riberão Preto - USP</t>
  </si>
  <si>
    <t>Effects of joint manipulation of the spine</t>
  </si>
  <si>
    <t>U1111-1227-7280</t>
  </si>
  <si>
    <t>Spine</t>
  </si>
  <si>
    <t>Jaisson Agne Estrazulas</t>
  </si>
  <si>
    <t>jaissonagne@hotmail.com</t>
  </si>
  <si>
    <t>Vitamin D supplementation in patients with Cystic Fibrosis</t>
  </si>
  <si>
    <t>U1111-1229-8807</t>
  </si>
  <si>
    <t>+55(51)33203350</t>
  </si>
  <si>
    <t>Neuromuscular Electrical Stimulation and Exercises for calf for healing lower limb Venous Ulcers</t>
  </si>
  <si>
    <t>U1111-1228-2872</t>
  </si>
  <si>
    <t>Varicose veins of the lower limbs with venous ulcers</t>
  </si>
  <si>
    <t>+55 (84) 8841 7829</t>
  </si>
  <si>
    <t>Investigation of the efficacy of Kinesio Taping method with an exercise protocol to the treatment of Patellofemoral Pain: A randomised double-blind controlled clinical trial</t>
  </si>
  <si>
    <t>09/13/2019</t>
  </si>
  <si>
    <t>U1111-1232-1624</t>
  </si>
  <si>
    <t>Patellofemoral disorders,Chondromalacia patellae,Patellofemoral Pain Syndrome,Women</t>
  </si>
  <si>
    <t>The use of virtual reality as a physiotherapist in the rehabilitation of hemiparetics</t>
  </si>
  <si>
    <t>U1111-1228-8258</t>
  </si>
  <si>
    <t>Soanne Chyara da Silva Soares</t>
  </si>
  <si>
    <t>soanne.chyara@gmail.com</t>
  </si>
  <si>
    <t>Efficacy of 1.23% acidulated phosphate fluoride gel on incipient enamel lesions: a randomized clinical trial</t>
  </si>
  <si>
    <t>05/14/2018</t>
  </si>
  <si>
    <t>U1111-1211-2764</t>
  </si>
  <si>
    <t>Dental caries. Dental Caries Activity Tests</t>
  </si>
  <si>
    <t>Buried or exposed K-wires in distal radius fractures - What causes more infection? A randomized clinical trial</t>
  </si>
  <si>
    <t>U1111-1200-7841</t>
  </si>
  <si>
    <t>Fracture of lower end of radius,Bone Wires,Surgical Wound Infection</t>
  </si>
  <si>
    <t>Evaluation of the remaining alveolar ridge height the masticatory efficiency and success rate of implants in patients with Kennedy Class I arches rehabilitated with removable partial dentures supported by implants</t>
  </si>
  <si>
    <t>U1111-1126-2680</t>
  </si>
  <si>
    <t>Removable Partial Denture,Mastication</t>
  </si>
  <si>
    <t>Adriana Fonte Carreiro</t>
  </si>
  <si>
    <t>(84) 32154104</t>
  </si>
  <si>
    <t>Sacrospinous ligament fixation using the Splentis anchoring system versus traditional technique for women with apical vaginal prolapse: a randomized controlled trial</t>
  </si>
  <si>
    <t>U1111-1229-8684</t>
  </si>
  <si>
    <t>Rodrigo Aquino Castro</t>
  </si>
  <si>
    <t>+55(11)33854100</t>
  </si>
  <si>
    <t>rodrigo.castro@uol.com.br</t>
  </si>
  <si>
    <t>Transcranial Direct Current Stimulation (TDCS) and its therapeutic potentiality in different populations</t>
  </si>
  <si>
    <t>U1111-1237-8755</t>
  </si>
  <si>
    <t>Aging cognition physical exercises and cognitive stimulation as preventive and therapeutic strategies for cognitive decline associated with age</t>
  </si>
  <si>
    <t>U1111-1233-6349</t>
  </si>
  <si>
    <t>Naina Yuki Vieira Jardim</t>
  </si>
  <si>
    <t>naina.jardim@gmail.com</t>
  </si>
  <si>
    <t>Instituto de Ciências Biológicas da Universidade Federal do Pará</t>
  </si>
  <si>
    <t>Use of transdermal Testosterone Nanoemulsion in women with Hypoactive sexual desire and tendency for aggressiveness: a double blind randomized clinical trial</t>
  </si>
  <si>
    <t>U1111-1236-9080</t>
  </si>
  <si>
    <t>Maria Eugenia de Cassia Lopes Cardoso</t>
  </si>
  <si>
    <t>+55(11)55496174</t>
  </si>
  <si>
    <t>mariae_clc@hotmail.com</t>
  </si>
  <si>
    <t>Effect of a training program on body composition glycemic profile blood pressure inflammatory process and oxidative stress in type 2 diabetics</t>
  </si>
  <si>
    <t>U1111-1232-7794</t>
  </si>
  <si>
    <t>Valter Azevedo Pereira</t>
  </si>
  <si>
    <t>valtera@ccs.ufpb.br</t>
  </si>
  <si>
    <t>Axillary web syndrome - Clinical trial of physiotherapeutic conduct after Breast cancer surgery</t>
  </si>
  <si>
    <t>U1111-1230-8375</t>
  </si>
  <si>
    <t>Departamento Ginecologia UNIFESP</t>
  </si>
  <si>
    <t>(55 11) 5576-4848 VOIP 2856</t>
  </si>
  <si>
    <t>ginecologia.epm@gmail.com</t>
  </si>
  <si>
    <t>Acute and chronic adaptations of different resistance training protocols and concurrent</t>
  </si>
  <si>
    <t>U1111-1223-6429</t>
  </si>
  <si>
    <t>Sarcopenia. Sedentary Behavior</t>
  </si>
  <si>
    <t>Itamar Pedro Vieira</t>
  </si>
  <si>
    <t>Itamarpef@gmail.com</t>
  </si>
  <si>
    <t>Faculdade de Nutrição-Universidade Federal de Goias</t>
  </si>
  <si>
    <t>Effects of an educational intervention on adolescent knowledge attitude and practice regarding cervical Cancer prevention</t>
  </si>
  <si>
    <t>U1111-1232-6330</t>
  </si>
  <si>
    <t>Nara Sibério Pinho Silveira</t>
  </si>
  <si>
    <t>narapsilveira@hotmail.com</t>
  </si>
  <si>
    <t>Universidade Federal do Ceará - UFC</t>
  </si>
  <si>
    <t>Does intrathecal Ketamine produces superior inferior or similar analgesia compared to Morphine in Abdominal Hysterectomy surgery</t>
  </si>
  <si>
    <t>U1111-1239-1718</t>
  </si>
  <si>
    <t>Camila Athayde Carpi</t>
  </si>
  <si>
    <t>cpcarpi@gmail.com</t>
  </si>
  <si>
    <t>Hospital São José do Avaí</t>
  </si>
  <si>
    <t>Active Life: discovering healthy paths</t>
  </si>
  <si>
    <t>U1111-1231-3141</t>
  </si>
  <si>
    <t>Renato Pereira Moro</t>
  </si>
  <si>
    <t>+55 (48) 3721-9217</t>
  </si>
  <si>
    <t>renato.moto@ufsc.br</t>
  </si>
  <si>
    <t>Metabolomic analysis in Polycystic Ovarian Syndrome and its application in a randomized clinical trial with calcium and vitamin D supplementation</t>
  </si>
  <si>
    <t>U1111-1231-3594</t>
  </si>
  <si>
    <t>Karina Braga Gomes</t>
  </si>
  <si>
    <t>+55 (31) 3409-6895</t>
  </si>
  <si>
    <t>karinabgb@gmail.com</t>
  </si>
  <si>
    <t>The use of Platelet Rich Plasma in the treatment of skin aging</t>
  </si>
  <si>
    <t>U1111-1226-6093</t>
  </si>
  <si>
    <t>Facial ageing</t>
  </si>
  <si>
    <t>Letícia Queiroz da Silva</t>
  </si>
  <si>
    <t>queiroz.leticia1994@gmail.com</t>
  </si>
  <si>
    <t>Evaluation of clinical parameters oxidative stress markers and quality of life in mandibular third molar surgeries under different preemptive analgesia protocols: randomized factorial clinical trial</t>
  </si>
  <si>
    <t>U1111-1235-0628</t>
  </si>
  <si>
    <t>Effects of Respiratory Kinesiotherapy in children with Leukemia undergoing treatment on Cardiac Autonomy</t>
  </si>
  <si>
    <t>U1111-1233-6138</t>
  </si>
  <si>
    <t>Vitor Engrácia Valenti</t>
  </si>
  <si>
    <t>55-14-34021300</t>
  </si>
  <si>
    <t>vitor.valenti@gmail.com</t>
  </si>
  <si>
    <t>Efficacy and Safety of Cinnamaldehyde in the Treatment of Buccal Candidiasis associated with the use of dental prostheses: Clinical Trial Randomized Controlled and Blind</t>
  </si>
  <si>
    <t>U1111-1235-0399</t>
  </si>
  <si>
    <t>Stomatitis under prosthesis</t>
  </si>
  <si>
    <t>Danielle da Nóbrega Alves</t>
  </si>
  <si>
    <t>dnobregaalves@msn.com</t>
  </si>
  <si>
    <t>Safety and immunogenicity in intramuscular injection of vaccine without aspiration prior to injection: a randomized clinical trial</t>
  </si>
  <si>
    <t>U1111-1235-4853</t>
  </si>
  <si>
    <t>Alanna Michella Oliveira de Albuquerque da Silva</t>
  </si>
  <si>
    <t>+55(82)32141171</t>
  </si>
  <si>
    <t>alanna-michella@hotmail.com</t>
  </si>
  <si>
    <t>Universidade Federal de Alagoas - UFAL</t>
  </si>
  <si>
    <t>Effects of a mindfulness based intervention in the quality of life of mental health professionals</t>
  </si>
  <si>
    <t>U1111-1216-1386</t>
  </si>
  <si>
    <t>High-energy dose of therapeutic ultrasound in the treatment of patellar tendinopathy: a controlled randomized and blinded clinical trial</t>
  </si>
  <si>
    <t>05/18/2018</t>
  </si>
  <si>
    <t>U1111-1211-7511</t>
  </si>
  <si>
    <t>Julio Fernandes Jesus</t>
  </si>
  <si>
    <t>julio.fisio@yahoo.com.be</t>
  </si>
  <si>
    <t>Functional training for fallers older adults: randomized clinical trial</t>
  </si>
  <si>
    <t>U1111-1233-5128</t>
  </si>
  <si>
    <t>Waléria Christiane Rezende Fett</t>
  </si>
  <si>
    <t>fettwaleria@gmail.com</t>
  </si>
  <si>
    <t>Hospital Universitário Julio Muller</t>
  </si>
  <si>
    <t>Effects of functional training and mat pilates in elderly patients with Parkinsons disease: a randomized controlled trial</t>
  </si>
  <si>
    <t>08/30/2019</t>
  </si>
  <si>
    <t>U1111-1223-6745</t>
  </si>
  <si>
    <t>Camilla Zamfolini Hallal</t>
  </si>
  <si>
    <t>camillazhallal@ufu.br</t>
  </si>
  <si>
    <t>Faculdade de Educação Física da Universidade Federal de Uberlândia</t>
  </si>
  <si>
    <t>Metabolic and inflammatory results of reducing preoperative fasting time in preschool children undergoing inguinal hernia repair</t>
  </si>
  <si>
    <t>U1111-1236-4337</t>
  </si>
  <si>
    <t>Preschool children with inguinal hernia</t>
  </si>
  <si>
    <t>Carlos Augusto Leite de Barros Carvalho</t>
  </si>
  <si>
    <t>cautocba@hotmail.com</t>
  </si>
  <si>
    <t>Santa Casa de Misericórdia de Cuiabá</t>
  </si>
  <si>
    <t>Rehabilitation pre-and post-operative of Rotator Cuff injury</t>
  </si>
  <si>
    <t>U1111-1230-5629</t>
  </si>
  <si>
    <t>Traumatic rotator cuff tear</t>
  </si>
  <si>
    <t>Luane Landim de Almeida</t>
  </si>
  <si>
    <t>(+55)32984309449</t>
  </si>
  <si>
    <t>lua_landim@hotmail.com</t>
  </si>
  <si>
    <t>Faculdade de Ciências Médicas e da Saude de Juiz de Fora - Suprema</t>
  </si>
  <si>
    <t>A phase III prospective double blind placebo controlled randomized study of adjuvant MEDI4736 in completely ressected Non-Small Cell Lung Cancer</t>
  </si>
  <si>
    <t>U1111-1238-5923</t>
  </si>
  <si>
    <t>Malignant neoplasm of bronchus or lung,unspecified</t>
  </si>
  <si>
    <t>Alan Arrieira Azambuja</t>
  </si>
  <si>
    <t>+55(51)33789927</t>
  </si>
  <si>
    <t>alanazambuja1@gmail.com</t>
  </si>
  <si>
    <t>Centro de Pesquisa do Hospital do Câncer Mãe de Deus - Serviço de Oncologia</t>
  </si>
  <si>
    <t>Effects of the Acupuncture application on the delayed onset muscle soreness (DOMS) and in the muscle contraction capacity</t>
  </si>
  <si>
    <t>U1111-1234-9553</t>
  </si>
  <si>
    <t>Andre Luiz Felix Rodacki</t>
  </si>
  <si>
    <t>rodacki@ufpr.br</t>
  </si>
  <si>
    <t>Effects of beer on autonomic heart rate control recovery following submaximal aerobic exercise</t>
  </si>
  <si>
    <t>U1111-1236-6855</t>
  </si>
  <si>
    <t>Cicero Jonas Rodrigues Benjamim</t>
  </si>
  <si>
    <t>Juazeiro do Norte</t>
  </si>
  <si>
    <t>jonasbenjam1m@hotmail.com</t>
  </si>
  <si>
    <t>Effectiveness of Respiratory Muscle Training of patients with Mucopolissacaridose in toracoabdominal kinematics respiratory function and mechanics functionality and quality of life</t>
  </si>
  <si>
    <t>U1111-1235-0227</t>
  </si>
  <si>
    <t>Bárbara Bernardo Silva Figueirêdo</t>
  </si>
  <si>
    <t>barbara_bernardo@hotmail.com</t>
  </si>
  <si>
    <t>Cultural adaptation of the Expected Consequences of Hearing aid Ownership (ECHO) questionnaire for Brazilian Portuguese</t>
  </si>
  <si>
    <t>U1111-1229-1023</t>
  </si>
  <si>
    <t>Stefanie Vitória Rodrigues Pereira</t>
  </si>
  <si>
    <t>+55 (14) 32358332</t>
  </si>
  <si>
    <t>stefanievrp@hotmail.com</t>
  </si>
  <si>
    <t>Evaluation of Cardiorespiratory and Metabolic Variables in Patients submitted to different types of Interval Training: randomized clinical trial</t>
  </si>
  <si>
    <t>08/29/2018</t>
  </si>
  <si>
    <t>U1111-1219-5368</t>
  </si>
  <si>
    <t>Camila Simões Seguro</t>
  </si>
  <si>
    <t>miaseguro@gmail.com</t>
  </si>
  <si>
    <t>Randomized double blind clinical trial using different materials in deciduous teeth of children by the ART technique: two years of follow-up</t>
  </si>
  <si>
    <t>U1111-1216-9852</t>
  </si>
  <si>
    <t>+55 4232203740</t>
  </si>
  <si>
    <t>Effect of the XP-endo Finisher Instrument on the reduction of Periapical Lesions in posterior teeth: randomized controlled trial</t>
  </si>
  <si>
    <t>U1111-1215-9283</t>
  </si>
  <si>
    <t>Chronic Apical Periodontitis</t>
  </si>
  <si>
    <t>André Luís Faria e Silva</t>
  </si>
  <si>
    <t>+55(79)991424251</t>
  </si>
  <si>
    <t>fariaesilva.andre@gmail.com</t>
  </si>
  <si>
    <t>Evaluation of redox status inflammatory response telomeres and gene expression in anesthesiologists</t>
  </si>
  <si>
    <t>U1111-1191-8853</t>
  </si>
  <si>
    <t>Kátina Meneghetti de Souza</t>
  </si>
  <si>
    <t>katinameneghetti@gmail.com</t>
  </si>
  <si>
    <t>Aerobic training effectiveness in functional parameters in cessation of smoking</t>
  </si>
  <si>
    <t>U1111-1187-2721</t>
  </si>
  <si>
    <t>smoking,smokers,cessation of tobacco use</t>
  </si>
  <si>
    <t>Progression of early proximal caries lesions on primary molars after Sealing with Resin Infiltration: longitudinal follow up</t>
  </si>
  <si>
    <t>U1111-1175-4501</t>
  </si>
  <si>
    <t>Dental Caries,deciduous theeth,incipient lesion in the proximal surface</t>
  </si>
  <si>
    <t>+55(51)33085493</t>
  </si>
  <si>
    <t>Faculdade de odontologia da Universidade Federal do Rio Grande do Sul</t>
  </si>
  <si>
    <t>Damage assessment in the genetic material in anesthesiologists</t>
  </si>
  <si>
    <t>03/25/2015</t>
  </si>
  <si>
    <t>U1111-1153-4653</t>
  </si>
  <si>
    <t>DNA damage of anesthesiologists</t>
  </si>
  <si>
    <t>Randomized trial about the application of an early mobilization protocol in comparison with early mobilization associated with neuromuscular electrical stimulation in critically ill patients</t>
  </si>
  <si>
    <t>U1111-1199-1231</t>
  </si>
  <si>
    <t>Disuse hypotrophy,Delirium</t>
  </si>
  <si>
    <t>Débora Ribeiro Campos</t>
  </si>
  <si>
    <t>RIBEIRAO PRETO</t>
  </si>
  <si>
    <t>+55(16)982268183</t>
  </si>
  <si>
    <t>deboraribcampos@gmail.com</t>
  </si>
  <si>
    <t>The efficacy and safety of a whitening mouthrinse: randomized controlled clinical trial</t>
  </si>
  <si>
    <t>08/27/2019</t>
  </si>
  <si>
    <t>U1111-1238-2774</t>
  </si>
  <si>
    <t>Comparison of effectiveness in the control of transoperatory pain between articaine 4% with adrenaline 1:100.000 and lidocaina 2% with adrenaline 1:100.000 in inferior third molars extractions: randomized clinical study</t>
  </si>
  <si>
    <t>U1111-1235-9434</t>
  </si>
  <si>
    <t>Non-erupted third molars</t>
  </si>
  <si>
    <t>Josfran Ferreira Filho</t>
  </si>
  <si>
    <t>+ 55 088 997623464</t>
  </si>
  <si>
    <t>josfranf@hotmail.com</t>
  </si>
  <si>
    <t>Faculdade de Odontologia da Universidade Federal do Ceará campus Sobral</t>
  </si>
  <si>
    <t>Emotional states Physical Exercise and cognitive functions in people with Alcohol and Drug use Disorder in the CAPS ad</t>
  </si>
  <si>
    <t>U1111-1234-0033</t>
  </si>
  <si>
    <t>Osvaldo Tadeu Da Silva Junior</t>
  </si>
  <si>
    <t>LinsLins</t>
  </si>
  <si>
    <t>osvaldo.tadeu@gmail.com</t>
  </si>
  <si>
    <t>Centro Universitário Católico Salesiano Auxilium</t>
  </si>
  <si>
    <t>Comparison between the effects of plyometric training and virtual training on electromyographic activity kinematics and functional performance of the trunk and lower limb</t>
  </si>
  <si>
    <t>U1111-1226-6475</t>
  </si>
  <si>
    <t>Prevention</t>
  </si>
  <si>
    <t>Anxiety in children undergoing dental treatment: a randomized clinical trial</t>
  </si>
  <si>
    <t>U1111-1237-2692</t>
  </si>
  <si>
    <t>Cláudia Silveira Vieira</t>
  </si>
  <si>
    <t>clausvieira@gmail.com</t>
  </si>
  <si>
    <t>Parameterization of mechanical ventilator alarms before body hygiene of patients on invasive mechanical ventilation</t>
  </si>
  <si>
    <t>U1111-1238-3849</t>
  </si>
  <si>
    <t>patients on artificial respiration</t>
  </si>
  <si>
    <t>Fabrício dos Santos</t>
  </si>
  <si>
    <t>rio de janeiro</t>
  </si>
  <si>
    <t>f.s.1986@hotmail.com</t>
  </si>
  <si>
    <t>Universidade Federal do Estado do Rio de Janeiro (UNIRIO)</t>
  </si>
  <si>
    <t>Comparison between Lumbar Quadrant Blockade and intrathecal Morphine for postoperative analgesia in Cesarean Section</t>
  </si>
  <si>
    <t>U1111-1232-4423</t>
  </si>
  <si>
    <t>caesarean,pregnant women</t>
  </si>
  <si>
    <t>Karoline Moura de Araújo</t>
  </si>
  <si>
    <t>karol.mouradearaujo@gmail.com</t>
  </si>
  <si>
    <t>Efficiency and efficacy study of a new family of monofocal and multifocal intraocular lenses in the Cataract Personalized Solution Project</t>
  </si>
  <si>
    <t>U111112340772</t>
  </si>
  <si>
    <t>Vinicius Monteiro de Castro</t>
  </si>
  <si>
    <t>viniciuscastro77@gmail.com</t>
  </si>
  <si>
    <t>Hospital Evangélico de Belo Horizonte</t>
  </si>
  <si>
    <t>Use of melatonin as an analgesic adjuvant in face fractures</t>
  </si>
  <si>
    <t>U1111-1228-1410</t>
  </si>
  <si>
    <t>Effect of using a Vibrating Application Device compared to the Conventional Application of a Self-Etch Adhesive System in the retention of Composite Resin Restorations in patients with Non-Carious Cervical Lesions: double blind randomized clinical trial</t>
  </si>
  <si>
    <t>U1111-1232-1032</t>
  </si>
  <si>
    <t>Dental cavity</t>
  </si>
  <si>
    <t>Effect of coffee consumption on clinical variables intestinal microbiota oxidative stress and esteatose degree in patients with Non-Alcoholic Fatty Liver disease with or without polymorphism in gene PNPLA3</t>
  </si>
  <si>
    <t>U1111-1236-1636</t>
  </si>
  <si>
    <t>Non-Alcoholic Fatty Liver Disease</t>
  </si>
  <si>
    <t>Wilza Arantes Ferreira Peres</t>
  </si>
  <si>
    <t>(21) 3938-6599</t>
  </si>
  <si>
    <t>wilza@nutricao.ufrj.br</t>
  </si>
  <si>
    <t>Rabies pre-exposure prophylaxis: Cost-effectiveness analysis of three (03) vaccination strategies</t>
  </si>
  <si>
    <t>08/23/2019</t>
  </si>
  <si>
    <t>U1111-1237-0345</t>
  </si>
  <si>
    <t>Marcellus Dias Costa</t>
  </si>
  <si>
    <t>+55(21)38659124</t>
  </si>
  <si>
    <t>marcellus.costa@ini.fiocruz.br</t>
  </si>
  <si>
    <t>Virtual reality during urological procedures</t>
  </si>
  <si>
    <t>U1111-1235-8825</t>
  </si>
  <si>
    <t>Diego Inácio Goergen</t>
  </si>
  <si>
    <t>diegogoergen@gmail.com</t>
  </si>
  <si>
    <t>Evaluation of the effect of inspiratory muscle training on inspiratory muscle strength and pulmonary function in patients with heart failure submitted to a cardiac rehabilitation program</t>
  </si>
  <si>
    <t>U1111-1233-2867</t>
  </si>
  <si>
    <t>Maiqueli - Arpini</t>
  </si>
  <si>
    <t>maiqueliarpini@hotmail.com</t>
  </si>
  <si>
    <t>Impact of Mindfulness-Based Intervention on pain and quality of life in women with Deep Endometriosis</t>
  </si>
  <si>
    <t>U1111-1233-4802</t>
  </si>
  <si>
    <t>Deep Endometriosis</t>
  </si>
  <si>
    <t>Marcelo França Moreira</t>
  </si>
  <si>
    <t>+55 (21) 2868-8488</t>
  </si>
  <si>
    <t>mfmfisio@icloud.com</t>
  </si>
  <si>
    <t>Effects of Perineal Stretching in pregnant women performing Pelvic Floor Muscle Training: A Randomized Controlled Trial</t>
  </si>
  <si>
    <t>08/22/2019</t>
  </si>
  <si>
    <t>U1111-1236-5765</t>
  </si>
  <si>
    <t>Leticia Rodrigues Silva</t>
  </si>
  <si>
    <t>leticiars22@hotmail.com</t>
  </si>
  <si>
    <t>Effect of artistic and complementary therapies on the reduction of anxiety TMD and sleep disturbances</t>
  </si>
  <si>
    <t>U1111-1230-4398</t>
  </si>
  <si>
    <t>Anxiety. Temporomandibular Joint Dysfunction Syndrome. Sleep Wake Disorders</t>
  </si>
  <si>
    <t>Andréa Candido dos Reis</t>
  </si>
  <si>
    <t>andreare73@yahoo.com.br</t>
  </si>
  <si>
    <t>Clinical evaluation of direct and indirect restorations of composite resin in posterior tooth clinical and randomized study</t>
  </si>
  <si>
    <t>U1111-1213-6352</t>
  </si>
  <si>
    <t>Clinical evaluation of restorations in posterior teeth using bulk fill ormocer composite - a randomized clinical trial</t>
  </si>
  <si>
    <t>U1111-1238-0604</t>
  </si>
  <si>
    <t>Post-operative pain control with the use of Dexamethasone4mg in patients submitted to endodontic treatment with foraminal enlargement</t>
  </si>
  <si>
    <t>U1111-1236-4583</t>
  </si>
  <si>
    <t>José Flavio Affonso de Almeida</t>
  </si>
  <si>
    <t>jfa.almeida@gmail.com</t>
  </si>
  <si>
    <t>Effects of Oncotherad Intravesical Imunotherapy in the treatment of Bacillus Calmette-Guérin (BCG)-Refractory and Relapsed Non-Muscle Invasive Bladder Cancer patients</t>
  </si>
  <si>
    <t>U1111-1226-9096</t>
  </si>
  <si>
    <t>Recurrent Malignant Neoplasm of Bladder</t>
  </si>
  <si>
    <t>Wagner José Fávaro</t>
  </si>
  <si>
    <t>favarowj@unicamp.br</t>
  </si>
  <si>
    <t>Universidade Estadual de Campinas (UNICAMP)</t>
  </si>
  <si>
    <t>Analysis of the Cluster apparatus in the treatment of Chronic Neck Pain without specific etiology</t>
  </si>
  <si>
    <t>U1111-1235-3698</t>
  </si>
  <si>
    <t>Non-specific neck pain</t>
  </si>
  <si>
    <t>Cardiac Variability in Aerobic and Resistant Training of patients with Stroke</t>
  </si>
  <si>
    <t>U1111-1231-6678</t>
  </si>
  <si>
    <t>Laércio da Silva Paiva</t>
  </si>
  <si>
    <t>laercio.paiva@fmabc.br</t>
  </si>
  <si>
    <t>Centro Universitário Saúde ABC</t>
  </si>
  <si>
    <t>Comparison between isolated and associated with Codeine Paracetamol in pain con-trol of Acute Apical Abscess: a randomized clinical trial</t>
  </si>
  <si>
    <t>08/19/2019</t>
  </si>
  <si>
    <t>U1111-1229-0931</t>
  </si>
  <si>
    <t>Periapical Abscess,Dental Pulp Necrosis,Pain,Pain Measurement</t>
  </si>
  <si>
    <t>Marcus Vínicius Reis Só</t>
  </si>
  <si>
    <t>+55(51)33085357</t>
  </si>
  <si>
    <t>endo-so@hotmail.com</t>
  </si>
  <si>
    <t>Auriculotherapy with silicon tablets and placebo for stress anxiety and improvement of quality of life: Randomized clinical trial</t>
  </si>
  <si>
    <t>U1111-1232-0661</t>
  </si>
  <si>
    <t>Leonice Fumiko Sato Kurebayashi</t>
  </si>
  <si>
    <t>fumieibez@gmail.com</t>
  </si>
  <si>
    <t>Instituto Terapia Integrada e Oriental</t>
  </si>
  <si>
    <t>Effect of Otosporin on dental sensitivity induced by bleaching</t>
  </si>
  <si>
    <t>08/16/2019</t>
  </si>
  <si>
    <t>U1111-1232-4103</t>
  </si>
  <si>
    <t>Influence of functional capacity and health parameters on responses psychophysiology of the elderly</t>
  </si>
  <si>
    <t>U1111-1235-5410</t>
  </si>
  <si>
    <t>Raul Cosme Ramos Prado</t>
  </si>
  <si>
    <t>55+11+3091-8157</t>
  </si>
  <si>
    <t>raulprado@usp.br</t>
  </si>
  <si>
    <t>Analgesic efficacy of cryotherapy in sedentary women with primary dysmenorrhea</t>
  </si>
  <si>
    <t>08/15/2019</t>
  </si>
  <si>
    <t>U1111-1235-7412</t>
  </si>
  <si>
    <t>Friendly and cost-effective ovarian stimulation for women at high risk for ovarian hyperstimulation syndrome: a randomized controlled trial</t>
  </si>
  <si>
    <t>U1111-1228-3771</t>
  </si>
  <si>
    <t>Female Infertility,risk of ovarian hyperstimulation</t>
  </si>
  <si>
    <t>Paula Andréa de Albuquerque Salles Navarro</t>
  </si>
  <si>
    <t>pnavarro@fmrp.usp.br</t>
  </si>
  <si>
    <t>Glucose and blood pressure responses after an interval exercise session in women with and without Hypertension</t>
  </si>
  <si>
    <t>U1111-1233-9014</t>
  </si>
  <si>
    <t>Luciana Carletti</t>
  </si>
  <si>
    <t>lucianacarletti@gmail.com</t>
  </si>
  <si>
    <t>Efficacy of laser and desensitizing agents in the treatment ofDentin Hypersensitivity</t>
  </si>
  <si>
    <t>08/14/2019</t>
  </si>
  <si>
    <t>U1111-1235-0862</t>
  </si>
  <si>
    <t>Erika Soares Pantuzzo</t>
  </si>
  <si>
    <t>erikapantuzzo@gmail.com</t>
  </si>
  <si>
    <t>Effects of mechanical vibration on oscillating/vibration platform in patients with Chronic obstructive pulmonary disease</t>
  </si>
  <si>
    <t>1111-1235-0655</t>
  </si>
  <si>
    <t>Mario Bernardo Filho</t>
  </si>
  <si>
    <t>bernardofilhom@gmail.com</t>
  </si>
  <si>
    <t>Postoperative Analgesia: Intrathecal Morphine versus Femoral Block</t>
  </si>
  <si>
    <t>U1111-1230-2852</t>
  </si>
  <si>
    <t>Anterior cruciate ligament injury of the knee</t>
  </si>
  <si>
    <t>Joana Zulian Fiorentin</t>
  </si>
  <si>
    <t>joanafiorentin@yahoo.com.br</t>
  </si>
  <si>
    <t>Sianest - Anestesia Florianópolis</t>
  </si>
  <si>
    <t>Effect of basic periodontal therapy of cpr and psa circulating levels in patients with prostate Cancer and Periodontitis</t>
  </si>
  <si>
    <t>U1111-1228-1790</t>
  </si>
  <si>
    <t>Faculdade de Odontologia Universidade Federal do Amazonas</t>
  </si>
  <si>
    <t>luizacamilott@hotmail.com</t>
  </si>
  <si>
    <t>Effects of osteopathy on pediatric workers with non-specific chronic low back pain</t>
  </si>
  <si>
    <t>U1111-1235-8892</t>
  </si>
  <si>
    <t>Effect of Reiki on anxiety level of nursing academics</t>
  </si>
  <si>
    <t>U1111-1220-5053</t>
  </si>
  <si>
    <t>Calíope Pilger</t>
  </si>
  <si>
    <t>Catalão</t>
  </si>
  <si>
    <t>caliopepilger2009@gmail.com</t>
  </si>
  <si>
    <t>Curso de Enfermagem do Instituto de Biotecnologia da Universidade Federal de Goiás - Regional Catalão</t>
  </si>
  <si>
    <t>Analysis of the analgesic effect of Low Level Laser Therapy in Chronic Tension Headache using Acupuncture points and its positive effects on the quality of life of students of the State University of Western Paraná</t>
  </si>
  <si>
    <t>U1111-1235-8314</t>
  </si>
  <si>
    <t>Tension headache</t>
  </si>
  <si>
    <t>Autonomic responses of coronary patients submitted to a protocol of osteopathic techniques: a crossover clinical trial</t>
  </si>
  <si>
    <t>U1111-1231-4901</t>
  </si>
  <si>
    <t>Mariana Paccini Docusse Luchesi</t>
  </si>
  <si>
    <t>+55 (18) 3222-4245</t>
  </si>
  <si>
    <t>mariana@escolaidot.com.br</t>
  </si>
  <si>
    <t>Núcleo de Pesquisa do Instituto Docusse de Osteopatia e Terapia Manual</t>
  </si>
  <si>
    <t>Weight-length ratio and body composition of term and late preterm newborns of a Brazilian cohort: comparison with Intergrowth 21st</t>
  </si>
  <si>
    <t>U1111-1230-1700</t>
  </si>
  <si>
    <t>Physiotherapy assistance in the immediate puerperium: a comparative study between normal birth and cesarean</t>
  </si>
  <si>
    <t>U1111-1229-1865</t>
  </si>
  <si>
    <t>Priscila de Oliveira Januário</t>
  </si>
  <si>
    <t>pri.januario@gmail.com</t>
  </si>
  <si>
    <t>Speech therapy intervention in patients with tuberculosis in the upper airways and digestive tract</t>
  </si>
  <si>
    <t>U111112299309</t>
  </si>
  <si>
    <t>Claudia Maria Valete Rosalino</t>
  </si>
  <si>
    <t>claudia.valete@ini.fiocruz.br</t>
  </si>
  <si>
    <t>Instituto Nacional de Infectologia</t>
  </si>
  <si>
    <t>The effect of Electrostimulation on Urinary Incontinence pelvic floor muscle strength and impact on daily life of patients after Radical Prostatectomy: controlled experiment blind double randomized</t>
  </si>
  <si>
    <t>U1111-1228-2445</t>
  </si>
  <si>
    <t>Patrícia Zaidan</t>
  </si>
  <si>
    <t>55(21)964484208</t>
  </si>
  <si>
    <t>patriciazaidan@gmail.com</t>
  </si>
  <si>
    <t>Universidade do Estado do Rio de Janeiro - UERJ</t>
  </si>
  <si>
    <t>Evaluation of degradation pH and patient satisfaction with 20-22% carbamide peroxide gel flavour in at-home bleaching: randomized clinical trial</t>
  </si>
  <si>
    <t>U1111-1215-9775</t>
  </si>
  <si>
    <t>Tooth</t>
  </si>
  <si>
    <t>Proteomic profile of endodontic infections</t>
  </si>
  <si>
    <t>U1111-1229-1157</t>
  </si>
  <si>
    <t>Comparison between 04% Oxibuprocaine corneal anesthesia applied by Eyedrops or Spray</t>
  </si>
  <si>
    <t>U1111-1230-9101</t>
  </si>
  <si>
    <t>Ocular Hypertension</t>
  </si>
  <si>
    <t>Carlos Eduardo dos Santos Merces</t>
  </si>
  <si>
    <t>policlinicarg@estacio.br</t>
  </si>
  <si>
    <t>The effects of Foot Reflexology and Auriculotherapy in the reduction of non - specific acute low back pain among health professors and students: a randomized clinical trial</t>
  </si>
  <si>
    <t>U1111-1230-9287</t>
  </si>
  <si>
    <t>Acute non-specific low back pain</t>
  </si>
  <si>
    <t>Graciela Mendonça da Silva de Medeiros</t>
  </si>
  <si>
    <t>gracielamendoncamedeiros@gmail.com</t>
  </si>
  <si>
    <t>Can sit-stand table usage affect the level of physical activity and body composition in office workers with overweight and obesity?</t>
  </si>
  <si>
    <t>03/28/2019</t>
  </si>
  <si>
    <t>U1111-1226-7526</t>
  </si>
  <si>
    <t>Dechristian França Barbieri</t>
  </si>
  <si>
    <t>+55 1633066700</t>
  </si>
  <si>
    <t>dechristian_fb@live.co.uk</t>
  </si>
  <si>
    <t>Clinical trial for the evaluation of the efficacy and safety of lactase different oral dosages upon intestinal symptoms and hydrogen breath excretion in patients with hypolactasia</t>
  </si>
  <si>
    <t>U1111-1184-4958</t>
  </si>
  <si>
    <t>Lactose Intolerance,Hypolactasia</t>
  </si>
  <si>
    <t>Alessandra Ferreira dos Santos</t>
  </si>
  <si>
    <t>+55(35)21022040</t>
  </si>
  <si>
    <t>alessandra.santos@icmpd.com.br</t>
  </si>
  <si>
    <t>Instituto Claudia Marques de Pesquisa e Desenvolvimento Ltda</t>
  </si>
  <si>
    <t>Therapeutic effect of high and low frequency transcutaneous nervous electric stimulation in pelvic pain caused by primary dismenorrhea syndrome: a comparative study</t>
  </si>
  <si>
    <t>07/31/2019</t>
  </si>
  <si>
    <t>U1111-1235-4465</t>
  </si>
  <si>
    <t>Intestine manipulation and functionality in patients with intestinal constipation: randomized controlled double blinded clinical trial</t>
  </si>
  <si>
    <t>U1111-1232-8281</t>
  </si>
  <si>
    <t>Hugo Pasin Neto</t>
  </si>
  <si>
    <t>(15)981179143</t>
  </si>
  <si>
    <t>hugo.pasini@cbosteopatia.com.br</t>
  </si>
  <si>
    <t>Colegio Brasileiro de Osteopatia</t>
  </si>
  <si>
    <t>The Effects of Diacutaneous fibrolysis in the assessment of pain mobility functional status and muscle activity in patients with Temporomandibular disorders</t>
  </si>
  <si>
    <t>06/13/2018</t>
  </si>
  <si>
    <t>U1111-1214-8171</t>
  </si>
  <si>
    <t>Alexandre Wesley Barbosa</t>
  </si>
  <si>
    <t>55-033-33011000</t>
  </si>
  <si>
    <t>willedri@gmail.com</t>
  </si>
  <si>
    <t>The Effect of Acupuncture on Anxiety in undergraduate students in the pre-examination period: a randomized cross-over study</t>
  </si>
  <si>
    <t>07/29/2019</t>
  </si>
  <si>
    <t>U1111-1235-0510</t>
  </si>
  <si>
    <t>Marcos Santos Almeida</t>
  </si>
  <si>
    <t>55 35 9 99119208</t>
  </si>
  <si>
    <t>marcosfisiobr@yahoo.com.br</t>
  </si>
  <si>
    <t>Evaluation of Effect of Aromatherapy with Essential Oil of Sweet Orange (Citrus sinensis L.) no Pain Relief in Pregnant Women in Labor</t>
  </si>
  <si>
    <t>U1111-1217-6169</t>
  </si>
  <si>
    <t>Jessica Carvalho Nascimento</t>
  </si>
  <si>
    <t>jessicacarci@gmail.com</t>
  </si>
  <si>
    <t>Evaluation of the specificity of the effect of post-exercise cold water immersion on subjective perception variables and on mechanical and physiological variables of neuromuscular origin after the application of tensional and metabolic physical stimulation</t>
  </si>
  <si>
    <t>U1111-1228-1343</t>
  </si>
  <si>
    <t>Gabriel Luiz Borghetti</t>
  </si>
  <si>
    <t>+55(45)3220-3092</t>
  </si>
  <si>
    <t>gabriel.borghetti@unioeste.br</t>
  </si>
  <si>
    <t>Acceptability and continued use of the etonogestrel-releasing contraceptive implant (Implanon) compared to the levonorgestrel-releasing intrauterine system (IU-LNG) the intrauterine device (IUD) TCu380A and short-term methods in the Brazilian public sector</t>
  </si>
  <si>
    <t>04/24/2019</t>
  </si>
  <si>
    <t>U1111-1227-8005</t>
  </si>
  <si>
    <t>+55(19)32892856</t>
  </si>
  <si>
    <t>bahamond@caism.unicamp.br</t>
  </si>
  <si>
    <t>Hospital da Mulher Professor Doutor José Aristodemo Pinotti - Centro de Atenção Integral à Saúde da Mulher - CAISM/ Unicamp</t>
  </si>
  <si>
    <t>Effect of simulation in the nursing students knowledge about cardiopulmonary resuscitation</t>
  </si>
  <si>
    <t>05/28/2016</t>
  </si>
  <si>
    <t>U1111-1174-0081</t>
  </si>
  <si>
    <t>Heart Arrest</t>
  </si>
  <si>
    <t>Genesis de Souza Barbosa</t>
  </si>
  <si>
    <t>+55 (22) 2796 2500</t>
  </si>
  <si>
    <t>genesisbarbosa@macae.ufrj.br</t>
  </si>
  <si>
    <t>Effects of the Aussie current on the strength gain of the quadriceps muscle</t>
  </si>
  <si>
    <t>07/24/2019</t>
  </si>
  <si>
    <t>U1111-1235-8365</t>
  </si>
  <si>
    <t>Application of cha inventory (knowledge skill and attitude) and intervention the use of multiparametric monitors in an intensive care unit</t>
  </si>
  <si>
    <t>U1111-1227-5272</t>
  </si>
  <si>
    <t>Knowledge. Aptitude. Attitude. Physiological Monitoring</t>
  </si>
  <si>
    <t>Study of vitamin D and perinatal outcomes in pregnant women with Gestational Diabetes: a controlled clinical trial</t>
  </si>
  <si>
    <t>U1111-1226-7944</t>
  </si>
  <si>
    <t>Effect of Paullinia Cupana on fatigue and quality of Life of women with Breast cancer</t>
  </si>
  <si>
    <t>U1111-1221-9347</t>
  </si>
  <si>
    <t>Fatigue,malignant neoplasm of the breast</t>
  </si>
  <si>
    <t>João Batista Santos Garcia</t>
  </si>
  <si>
    <t>jbgarcia@uol.com.br</t>
  </si>
  <si>
    <t>Effects of laserpuncture in the prevention of altered tactile sensory perception in women with breast cancer during chemotherapy: randomized clinical trial</t>
  </si>
  <si>
    <t>U1111-1232-8746</t>
  </si>
  <si>
    <t>Tactile Perception</t>
  </si>
  <si>
    <t>Tânia Couto Machado Chianca</t>
  </si>
  <si>
    <t>+55(31)3409-9829</t>
  </si>
  <si>
    <t>taniachianca@gmail.com</t>
  </si>
  <si>
    <t>Respiratory muscle training in COPD patients</t>
  </si>
  <si>
    <t>U1111-1229-6271</t>
  </si>
  <si>
    <t>muscle weakness</t>
  </si>
  <si>
    <t>Kelly Cristina da Silva Oliveira</t>
  </si>
  <si>
    <t>kel_sp_fisio@hotmail.com</t>
  </si>
  <si>
    <t>Universidade Estadual Paulista Rio Claro</t>
  </si>
  <si>
    <t>Light emitting diode (LED) Photobiomodulation action in the control of third molars Post Exodontia Pain</t>
  </si>
  <si>
    <t>U1111-1230-0313</t>
  </si>
  <si>
    <t>Acute Pain. Loss of teeth due to accident,extraction or localized periodontal diseases</t>
  </si>
  <si>
    <t>Allan Carlos Araújo de Oliveira</t>
  </si>
  <si>
    <t>+55(79)3194-6600</t>
  </si>
  <si>
    <t>allan_tapera@hotmail.com</t>
  </si>
  <si>
    <t>Homeopathy in knee osteoarthritis</t>
  </si>
  <si>
    <t>07/23/2019</t>
  </si>
  <si>
    <t>U1111-1230-8768</t>
  </si>
  <si>
    <t>Acupuncture and Phytotherapy in anxiety control with accompanying by the Bioeletrography technique</t>
  </si>
  <si>
    <t>U1111-1234-8962</t>
  </si>
  <si>
    <t>luzsousa@fop.unicamp.br</t>
  </si>
  <si>
    <t>Faculdade de Odontologia de Piracicaba - Universidade Estadual de Campinas (Unicamp)</t>
  </si>
  <si>
    <t>Preoperative doppler ultrasound of arteriovenous fistulas for hemodialysis: A study of viability for use in the Single Health System (SUS)</t>
  </si>
  <si>
    <t>01/26/2018</t>
  </si>
  <si>
    <t>U1111-1206-4443</t>
  </si>
  <si>
    <t>Effects of ischemic compression therapy at myofascial trigger points on pain mobility and muscle function of the shoulder complex in individuals with shoulder pain</t>
  </si>
  <si>
    <t>U1111-1198-9280</t>
  </si>
  <si>
    <t>Jose Diego Sales Nascimento</t>
  </si>
  <si>
    <t>zediegofisio@gmail.com</t>
  </si>
  <si>
    <t>Randomized double blind clinical trial using different materials on teeth By ART technique: three years of follow-up</t>
  </si>
  <si>
    <t>U1111-1198-3193</t>
  </si>
  <si>
    <t>partial versus complete removal of decayed tissue - a multicenter controlled randomized clinical trial</t>
  </si>
  <si>
    <t>10/24/2016</t>
  </si>
  <si>
    <t>U1111-1185-8201</t>
  </si>
  <si>
    <t>Joanna Pereira</t>
  </si>
  <si>
    <t>+55(51)8171-4591</t>
  </si>
  <si>
    <t>joannatpereira@hotmail.com</t>
  </si>
  <si>
    <t>Impact of preventive child oral health programs in Primary Health Care</t>
  </si>
  <si>
    <t>03/30/2015</t>
  </si>
  <si>
    <t>U1111-1150-6603</t>
  </si>
  <si>
    <t>Early Childhood Caries</t>
  </si>
  <si>
    <t>55(51) 9118-6467</t>
  </si>
  <si>
    <t>ddemetrio@gmail.com</t>
  </si>
  <si>
    <t>Effect of diuretic combination in patients with acutely decompensated heart failure - a randomized clinical trial</t>
  </si>
  <si>
    <t>U1111-1235-1593</t>
  </si>
  <si>
    <t>Diogo Silva Piardi</t>
  </si>
  <si>
    <t>dpiardi@gmail.com</t>
  </si>
  <si>
    <t>Evaluation of the efficacy of the topical formulation of Lidocaine / Articaine 4% and Lidocaine / Prilocaine 2.5% with and without Sodium Bicarbonate in palatal mucosa of upper canines</t>
  </si>
  <si>
    <t>U1111-1232-6694</t>
  </si>
  <si>
    <t>Use of Thermography as a Relevant Method in the Diagnosis of Trigger Points and in the Evaluation of Therapeutic Techniques</t>
  </si>
  <si>
    <t>U1111-1220-8995</t>
  </si>
  <si>
    <t>Luma Soares Lustosa</t>
  </si>
  <si>
    <t>luma_lustosa@hotmail.com</t>
  </si>
  <si>
    <t>The Association of Miltefosine and Pentoxifylline to Treat Mucocutaneous Leishmaniasis: A Clinical Trial in Brazil</t>
  </si>
  <si>
    <t>U1111-1228-7455</t>
  </si>
  <si>
    <t>Sofia Sales Martins</t>
  </si>
  <si>
    <t>sofiasalesm@gmail.com</t>
  </si>
  <si>
    <t>Pós Graduação de Ciências da Saúde - Universidade de Brasília</t>
  </si>
  <si>
    <t>Aerobic exercise for treating of Obstructive Sleep Apnea: effects of intensity on disease severity hemodynamics autonomic resposes and sleep quality</t>
  </si>
  <si>
    <t>U1111-1228-7396</t>
  </si>
  <si>
    <t>Ozeas Lins-Filho</t>
  </si>
  <si>
    <t>+5581 3183-3510</t>
  </si>
  <si>
    <t>ozeaslima@hotmail.com</t>
  </si>
  <si>
    <t>Programa de Pós Graduação em Ciências da Saúde da Universidade de Pernambuco</t>
  </si>
  <si>
    <t>Effects of Light-Emitting Diode therapy on physical performance on inflammatory and oxidative stress markers and on hemodynamic and cardiac autonomic responses of postmenopausal women submitted to a high intense exercise session</t>
  </si>
  <si>
    <t>U1111-1234-8873</t>
  </si>
  <si>
    <t>post-menopausal women</t>
  </si>
  <si>
    <t>Guilherme Morais Puga</t>
  </si>
  <si>
    <t>gmpuga@ufu.br</t>
  </si>
  <si>
    <t>Clinical and economic impact of pharmaceutical care in patients with type 1 diabetes mellitus seen through the judicial actions: a randomized clinical trial</t>
  </si>
  <si>
    <t>07/19/2019</t>
  </si>
  <si>
    <t>U1111-1230-0378</t>
  </si>
  <si>
    <t>Thays Santos Mendonça</t>
  </si>
  <si>
    <t>+55(37)991533976</t>
  </si>
  <si>
    <t>thayssm.farmacia@gmail.com</t>
  </si>
  <si>
    <t>Universidade Federal de São João Del Rei</t>
  </si>
  <si>
    <t>Application and effects of ICDAS in Dental Audit</t>
  </si>
  <si>
    <t>U1111-1232-5397</t>
  </si>
  <si>
    <t>Dental caries,unspecified</t>
  </si>
  <si>
    <t>Eliel Soares Orenha</t>
  </si>
  <si>
    <t>eliel@usp.br</t>
  </si>
  <si>
    <t>Dentistry School of Bauru. University of Sao Paulo. (FOB/USP)</t>
  </si>
  <si>
    <t>Occurrence of Psychiatric Disorders between Diabetics of type II in treatment with Insulin: A case-control study</t>
  </si>
  <si>
    <t>07/15/2019</t>
  </si>
  <si>
    <t>U1111-1232-4487</t>
  </si>
  <si>
    <t>João Paulo Behenck</t>
  </si>
  <si>
    <t>criciúma</t>
  </si>
  <si>
    <t>55 48 3431-2643</t>
  </si>
  <si>
    <t>joaobehenck@hotmail.com</t>
  </si>
  <si>
    <t>Universidade do extremo sul catarinense</t>
  </si>
  <si>
    <t>Immediate placement and provisionalization of implants in the aesthetic zone</t>
  </si>
  <si>
    <t>U1111-1224-1140</t>
  </si>
  <si>
    <t>Ain Yamazaki</t>
  </si>
  <si>
    <t>ainyama@gmail.com</t>
  </si>
  <si>
    <t>Faculdade de Odontologia - UERJ</t>
  </si>
  <si>
    <t>Effect of Robotic Therapy and of Kinesiotherapy on the Rehabilitation of the Upper Limb of Hemiparetic Individuals After Stroke in the Chronic Phase</t>
  </si>
  <si>
    <t>07/18/2019</t>
  </si>
  <si>
    <t>U1111-1228-1954</t>
  </si>
  <si>
    <t>Stroke,Hemiplegia,Stroke Rehabilitation</t>
  </si>
  <si>
    <t>Universidade Metodista de Piracicaba - Programa de Pós Graduação em Ciências do Movimento Humano</t>
  </si>
  <si>
    <t>Effect of Unripe Banana Flour on gut microbiota and uremic toxins in patients on Peritoneal Dialysis</t>
  </si>
  <si>
    <t>U1111-1219-9071</t>
  </si>
  <si>
    <t>Chronic Renal Insufficiency,peritoneal dialysis</t>
  </si>
  <si>
    <t>+55 11 59048499</t>
  </si>
  <si>
    <t>Effectiveness of foot orthoses in preventing injury in recreational runners: a randomized clinical trial</t>
  </si>
  <si>
    <t>U1111-1214-1985</t>
  </si>
  <si>
    <t>Cristiano Sena da Conceição</t>
  </si>
  <si>
    <t>+55(71)81315747</t>
  </si>
  <si>
    <t>cristianosena@gmail.com</t>
  </si>
  <si>
    <t>Escola Bahiana de Medicina e Saúde pública</t>
  </si>
  <si>
    <t>Effects of Transcutaneous Electrical Nerve Stimulation and Laryngeal Manual Therapy on Muscle Tension Dysphonia: Randomized Clinical Trial</t>
  </si>
  <si>
    <t>U1111-1229-2511</t>
  </si>
  <si>
    <t>Mauriceia Cassol</t>
  </si>
  <si>
    <t>m.cassol@ufcspa.edu.br</t>
  </si>
  <si>
    <t>Comparison between conventional partial inferior turbinectomy and radiofrequency ablation in the treatment of inferior turbinate hypertrophy</t>
  </si>
  <si>
    <t>U1111-1231-8600</t>
  </si>
  <si>
    <t>Nasal turbinates hypertrophy</t>
  </si>
  <si>
    <t>Mariana Ferreira Sbrana</t>
  </si>
  <si>
    <t>mariana.sbrana@yahoo.com.br</t>
  </si>
  <si>
    <t>Effect of Muscular Strengthening on different ranges of motion on passive stiffness of lateral hip rotators and lower limb kinematics of healthy and sedentary adults a randomized clinical trial</t>
  </si>
  <si>
    <t>07/17/2019</t>
  </si>
  <si>
    <t>U1111-1221-6444</t>
  </si>
  <si>
    <t>Luciana De Michellis Mendonça</t>
  </si>
  <si>
    <t>luciana.demichelis@ufvjm.edu.br</t>
  </si>
  <si>
    <t>Renal Function assessment among people who uses Pre-Exposure Prophylaxis (PrEP)</t>
  </si>
  <si>
    <t>U1111-1233-1455</t>
  </si>
  <si>
    <t>Tenofovir</t>
  </si>
  <si>
    <t>Effects of the Pilates Method on morphological functional and psycho-behavioral variables in the elderly of the university community of the Federal University of Bahia</t>
  </si>
  <si>
    <t>U1111-1228-6206</t>
  </si>
  <si>
    <t>The effects of Diacutaneous Fibrolysis in the evaluation of pain functional status and muscular activity in patients with Cervical pain</t>
  </si>
  <si>
    <t>U1111-1230-8852</t>
  </si>
  <si>
    <t>Carolina Fernanda Almeida dos Anjos</t>
  </si>
  <si>
    <t>dracarolinafernanda@yahoo.com.br</t>
  </si>
  <si>
    <t>UFJF - Universidade Federal de Juiz de Fora - MG</t>
  </si>
  <si>
    <t>Evaluation of postural control and functional capacity in children practicing regular exercise</t>
  </si>
  <si>
    <t>U1111-1225-7346</t>
  </si>
  <si>
    <t>Jeanne Karlette Merlo</t>
  </si>
  <si>
    <t>Ibiporã</t>
  </si>
  <si>
    <t>j_fisioedu@hotmail.com</t>
  </si>
  <si>
    <t>Unopar - Universidade Norte do Paraná</t>
  </si>
  <si>
    <t>Effect of Self-selected Intensity of Aerobic Exercise on adherence affective responses and factors associated with physical and mental health of adolescents with Obesity</t>
  </si>
  <si>
    <t>U1111-1199-1132</t>
  </si>
  <si>
    <t>Obesity,adolescent</t>
  </si>
  <si>
    <t>Thiago Ricardo dos Santos Tenório</t>
  </si>
  <si>
    <t>Garanhuns</t>
  </si>
  <si>
    <t>55-81-997256263</t>
  </si>
  <si>
    <t>thiago.esef@gmail.com</t>
  </si>
  <si>
    <t>Federal Institute of Sertão Pernambucano</t>
  </si>
  <si>
    <t>Evaluation of the effect of perioperative intravenous Lidocaine on pain intensity and IL-6 concentration in patients submitted to Laparoscopic Gastroplasty</t>
  </si>
  <si>
    <t>U1111-1231-8379</t>
  </si>
  <si>
    <t>Obesidade não especificada</t>
  </si>
  <si>
    <t>Caio Marcio Barros Oliveira</t>
  </si>
  <si>
    <t>caiomboliveira@hotmail.com</t>
  </si>
  <si>
    <t>Modifications in patients with subacute or chronic mechanical neck pain after osteopathic treatment and conventional physiotherapeutic treatment</t>
  </si>
  <si>
    <t>U1111-1231-4953</t>
  </si>
  <si>
    <t>Musculoskeletal manipulations</t>
  </si>
  <si>
    <t>Kiko Vera Serrano</t>
  </si>
  <si>
    <t>Chiclana de la Frontera</t>
  </si>
  <si>
    <t>kiko.fisio88@gmail.com</t>
  </si>
  <si>
    <t>Francisco José</t>
  </si>
  <si>
    <t>Influence of electroacupuncture parameters on cortical excitability in healthy individuals</t>
  </si>
  <si>
    <t>U1111-1173-1946</t>
  </si>
  <si>
    <t>Cleber Luz</t>
  </si>
  <si>
    <t>cleberluz@ufba.br</t>
  </si>
  <si>
    <t>Tomographic evaluation of palatal mucosa thickness in donor areas of connective tissue grafts filled with collagen matrix: a randomized split-mouth clinical study</t>
  </si>
  <si>
    <t>U1111-1234-4921</t>
  </si>
  <si>
    <t>TENS efficacy on the control of nausea vomiting and hyperemesis gravidarum in pregnant women: a randomized blind placebo-controlled clinical trial</t>
  </si>
  <si>
    <t>U1111-1234-0431</t>
  </si>
  <si>
    <t>Simone Botelho Pereira</t>
  </si>
  <si>
    <t>simone.botelho@unifal-mg.edu.br</t>
  </si>
  <si>
    <t>Clinical and radiographic comparison of peri bone remodelingimplant in external hexagon and cone morse implants rehabilitatedwith reduced platform and conventional platform</t>
  </si>
  <si>
    <t>U1111-1233-1499</t>
  </si>
  <si>
    <t>Dione Gonçalves Pinto</t>
  </si>
  <si>
    <t>dione_gp@hotmail.com</t>
  </si>
  <si>
    <t>The physical exercise in the treatment of non-specific chronic low back pain: a comparative study between bodybuilding and functional training</t>
  </si>
  <si>
    <t>U1111-1230-5315</t>
  </si>
  <si>
    <t>Camila Teixeira de Oliveira</t>
  </si>
  <si>
    <t>+55(11)5576-4848 Ramal 2760</t>
  </si>
  <si>
    <t>camilaolvpersonal@gmail.com</t>
  </si>
  <si>
    <t>Effects of the combination of the non-denatured collagen type II (UC-II®) and the Russian current muscle reinforcement on the pain and function of patients with osteoarthritis of the knee: a randomized double-blind clinical trial</t>
  </si>
  <si>
    <t>U1111-1235-0175</t>
  </si>
  <si>
    <t>Effects of the Use of Respiratory Instruments in the Rehabilitation of the Elderly with Dysphonia: A Randomized Clinical Trial</t>
  </si>
  <si>
    <t>U1111-1232-4862</t>
  </si>
  <si>
    <t>Jade Zaccarias Bello</t>
  </si>
  <si>
    <t>jadebello@gmail.com</t>
  </si>
  <si>
    <t>Effects of High-Intensity Interval Training (HIIT) on Metabolic Inflammatory Parameters Arterial Stiffness and Myocardial Deformation (STRAIN) in Obese women:a Randomized Clinical Trial</t>
  </si>
  <si>
    <t>U1111-1231-9753</t>
  </si>
  <si>
    <t>Rogério Toshiro Passos Okawa</t>
  </si>
  <si>
    <t>rogerokawa@uol.com.br</t>
  </si>
  <si>
    <t>Effects of Aquatic Physiotherapy on functional capacity quality of life and risk of falls in the elderly in Curitiba</t>
  </si>
  <si>
    <t>U1111-1222-9040</t>
  </si>
  <si>
    <t>+55 41 998801882</t>
  </si>
  <si>
    <t>nataliaboneti@hotmail.com</t>
  </si>
  <si>
    <t>Prematurity or Intrauterine Malnutrition? Clinical Trial for classification of the low-weight newborn through the optical properties of the skin a validation for the Preemie-Test</t>
  </si>
  <si>
    <t>U1111-1208-1860</t>
  </si>
  <si>
    <t>The role of Nitric Oxide pathway on vascular response to Mental Stress in Treatment-resistant Hypertension</t>
  </si>
  <si>
    <t>U1111-1235-6498</t>
  </si>
  <si>
    <t>Natália Galito Rocha</t>
  </si>
  <si>
    <t>+55 21 26292403</t>
  </si>
  <si>
    <t>A pilot study evaluating the efficacy of the 204 LEDs helmet in men with initial vertex Androgenetic Alopecia</t>
  </si>
  <si>
    <t>U1111-1232-8661</t>
  </si>
  <si>
    <t>Leonardo Spagnol Abraham</t>
  </si>
  <si>
    <t>55 61 3244-6734</t>
  </si>
  <si>
    <t>leosabraham@gmail.com</t>
  </si>
  <si>
    <t>Dermatological evaluation of photoirritant potential and topical photosensitizing</t>
  </si>
  <si>
    <t>U1111-1228-4610</t>
  </si>
  <si>
    <t>Sheila Jaime</t>
  </si>
  <si>
    <t>0049 1631641333</t>
  </si>
  <si>
    <t>sheila@semina.com.br</t>
  </si>
  <si>
    <t>The use of Biofeedback in reducing depressive symptoms in users of Psychiatric Outpatient Clinic and Psychosocial Care Center: a randomized clinical trial</t>
  </si>
  <si>
    <t>U1111-1211-0262</t>
  </si>
  <si>
    <t>Maria Cicera dos Santos de Albuquerque</t>
  </si>
  <si>
    <t>+55(82)988124544</t>
  </si>
  <si>
    <t>cicera.albuquerque@esenfar.ufal.br</t>
  </si>
  <si>
    <t>Use of music in pain relief during laser retinal photocoagulation in diabetics</t>
  </si>
  <si>
    <t>U1111-1233-7085</t>
  </si>
  <si>
    <t>NUBIA FRANCA RIBEIRO</t>
  </si>
  <si>
    <t>+55 (79) 998248560</t>
  </si>
  <si>
    <t>nubinhafranca88@hotmail.com</t>
  </si>
  <si>
    <t>NUBIA FRANCA PASSOS RIBEIRO</t>
  </si>
  <si>
    <t>Transcranial direct current stimulation and it´s therapeutc potentiality in diferent populations</t>
  </si>
  <si>
    <t>U1111-1231-3690</t>
  </si>
  <si>
    <t>Larissa Ramalho Dutra</t>
  </si>
  <si>
    <t>larissavarella@yahoo.com.br</t>
  </si>
  <si>
    <t>Invasive auricular acupuncture in sleep disorder in patients with rheumatoid Arthritis: a randomized clinical trial</t>
  </si>
  <si>
    <t>U1111-1223-3746</t>
  </si>
  <si>
    <t>Mirian Emi Inumar Kusano</t>
  </si>
  <si>
    <t>emi_inumar@yahoo.com.br</t>
  </si>
  <si>
    <t>Faculdade de Medicina de Marília</t>
  </si>
  <si>
    <t>Assessment of alar base after orthognathic surgery: comparison of two types of Nasal Plication</t>
  </si>
  <si>
    <t>U1111-1230-6054</t>
  </si>
  <si>
    <t>Thames Bruno Barbosa Cavalcanti</t>
  </si>
  <si>
    <t>thamesbruno@yahoo.com.br</t>
  </si>
  <si>
    <t>Impact of Maternal Supplementation with Double Megadose of Vitamin A administered at different intervals on the composition of the mothers milk and nutritional status of the mother-child binomial</t>
  </si>
  <si>
    <t>U1111-1226-6440</t>
  </si>
  <si>
    <t>Vitamin A deficiency</t>
  </si>
  <si>
    <t>Danielle Soares Bezerra</t>
  </si>
  <si>
    <t>+55-084 3291-2411</t>
  </si>
  <si>
    <t>dani_querubim@yahoo.com.br</t>
  </si>
  <si>
    <t>Study of pharmacotherapeutic from the Clinical Protocol and Therapeutic Guidelines (PCDT / MS) of dyslipidemia applied to the Pharmaceutical Care Service of the 4th Regional of Irati-PR and evaluation of service satisfaction: A pharmacoepidemiological approach</t>
  </si>
  <si>
    <t>06/27/2019</t>
  </si>
  <si>
    <t>U111112320048</t>
  </si>
  <si>
    <t>Fernanda Luize Faria</t>
  </si>
  <si>
    <t>Irati</t>
  </si>
  <si>
    <t>+55(42)999648141</t>
  </si>
  <si>
    <t>ferlfaria@yahoo.com.br</t>
  </si>
  <si>
    <t>Cardiovascular features in patients with Adrenal Incidentalomas associated or not with Possible Autonomous Cortisol Secretion or with Autonomous Cortisol Secretion</t>
  </si>
  <si>
    <t>U1111-1234-3209</t>
  </si>
  <si>
    <t>Maria Candida Barisson Villares Fragoso</t>
  </si>
  <si>
    <t>+55(11)26617512</t>
  </si>
  <si>
    <t>maria.villares@hc.fm.usp.br</t>
  </si>
  <si>
    <t>Hospital das Clínicas da Faculdade de Medicina da Universidade de São Paulo - HCFMUSP</t>
  </si>
  <si>
    <t>Acute effects of limbic touch on stress experienced by workers in the garment industry</t>
  </si>
  <si>
    <t>U1111-1229-9965</t>
  </si>
  <si>
    <t>Andrei Pereira Pernambuco</t>
  </si>
  <si>
    <t>Formiga</t>
  </si>
  <si>
    <t>+55-037 999059495</t>
  </si>
  <si>
    <t>pernambucoap@ymail.com</t>
  </si>
  <si>
    <t>Centro Universitário de Formiga</t>
  </si>
  <si>
    <t>The use of clobazam vs clonazepam as adjuvants in the treatment of focal epilepsy: effectiveness and adverse effects</t>
  </si>
  <si>
    <t>06/26/2019</t>
  </si>
  <si>
    <t>U1111-1233-4011</t>
  </si>
  <si>
    <t>CEP HC/UFPE</t>
  </si>
  <si>
    <t>+55 (81) 21263743</t>
  </si>
  <si>
    <t>Posneuro/UFPE</t>
  </si>
  <si>
    <t>Effects of physical training and psychological training on performance physiology and physical and psychological health of elite athletes</t>
  </si>
  <si>
    <t>U1111-1232-9345</t>
  </si>
  <si>
    <t>Evaluation of Pulmonary Mechanics of Patients with ARDS in Weaning Process from Mechanical Ventilation</t>
  </si>
  <si>
    <t>U1111-1231-8436</t>
  </si>
  <si>
    <t>Acute Respiratory Distress Syndrome</t>
  </si>
  <si>
    <t>Iuri Christmann Wawrzeniak</t>
  </si>
  <si>
    <t>iwawrzeniak@hcpa.edu.br</t>
  </si>
  <si>
    <t>Effect of the use of a mobile application on smoking cessation and satisfaction of participants in a Specialized Program</t>
  </si>
  <si>
    <t>U1111-1231-1331</t>
  </si>
  <si>
    <t>Ana Paula  Coelho Figueira Freire</t>
  </si>
  <si>
    <t>+5518 988029656</t>
  </si>
  <si>
    <t>Universidade Estadual Paulista Júlio Mesquita Filho</t>
  </si>
  <si>
    <t>Effects of a Periodized Combined Exercise Program on HAART patients for more than one year and attended at a university hospital: randomized controlled trial</t>
  </si>
  <si>
    <t>U1111-1232-0920</t>
  </si>
  <si>
    <t>Human immunodeficiency virus [HIV] disease</t>
  </si>
  <si>
    <t>Vitor Lopes Soares</t>
  </si>
  <si>
    <t>vitor.lopes.s@outlook.com</t>
  </si>
  <si>
    <t>Multicenter Open Randomized Controlled Trial to Compare the Efficacy of 3M™ Coban™ 2 Lite Two Layer Compression System to the Unna Boot in Patients with Venous Leg Ulcers</t>
  </si>
  <si>
    <t>06/25/2019</t>
  </si>
  <si>
    <t>U1111-1196-4463</t>
  </si>
  <si>
    <t>Cristiane  Franco</t>
  </si>
  <si>
    <t>55 19 38386492</t>
  </si>
  <si>
    <t>registros3m@mmm.com</t>
  </si>
  <si>
    <t>Effect of Photobiomodulation therapy in dental trauma of permanent anterior teethrandomized blind and controlled clinical trial</t>
  </si>
  <si>
    <t>06/24/2019</t>
  </si>
  <si>
    <t>U1111-1230-2687</t>
  </si>
  <si>
    <t>Dental Trauma</t>
  </si>
  <si>
    <t>Patricia Moreira Freitas</t>
  </si>
  <si>
    <t>pfreitas@usp.br</t>
  </si>
  <si>
    <t>USP</t>
  </si>
  <si>
    <t>Pulp repair response after the use of dental/pulp biostimulation bandaging in primary teeth: Randomized Clinical Trial</t>
  </si>
  <si>
    <t>U1111-1228-7707</t>
  </si>
  <si>
    <t>Thaís Marchini de Oliveira</t>
  </si>
  <si>
    <t>marchini@usp.br</t>
  </si>
  <si>
    <t>Effect of Nutritional Therapy on Renal Function of Individuals Undergoing Renal Transplantation: Evaluation of Nutritional Status and Quality of Life</t>
  </si>
  <si>
    <t>06/21/2019</t>
  </si>
  <si>
    <t>U1111-1231-6000</t>
  </si>
  <si>
    <t>Adriana Augusto Rezende</t>
  </si>
  <si>
    <t>+55 84 3342-9807</t>
  </si>
  <si>
    <t>adrirezende@yahoo.com</t>
  </si>
  <si>
    <t>The effect of music therapy in the reduction of fatigue of the patients undergoing hematopoietic stem cells transplantation autologous</t>
  </si>
  <si>
    <t>U1111-1231-1677</t>
  </si>
  <si>
    <t>multiple myeloma</t>
  </si>
  <si>
    <t>Carlos Antonio Dóro</t>
  </si>
  <si>
    <t>Curi9tiba</t>
  </si>
  <si>
    <t>cadoro10@gmail.com</t>
  </si>
  <si>
    <t>Complexo Hospital de Clinicas da Universidade Federal do Paraná</t>
  </si>
  <si>
    <t>Graded Motor Imagery as an aditional tool for rehabilitation in Temporomandibular disorders</t>
  </si>
  <si>
    <t>U1111-1234-2997</t>
  </si>
  <si>
    <t>Apical Periodontitis and Impact on Quality of Life</t>
  </si>
  <si>
    <t>U1111-1231-6823</t>
  </si>
  <si>
    <t>angela longo do nascimento</t>
  </si>
  <si>
    <t>angelalongo@gmail.com</t>
  </si>
  <si>
    <t>The Effects of Geotherapy on the symtoms of Gastroesophageal Reflux disease: pilot clinical trial</t>
  </si>
  <si>
    <t>U1111-1225-2219</t>
  </si>
  <si>
    <t>heartburn,peptic esophagiti</t>
  </si>
  <si>
    <t>Unisul Universidade do Sul de Santa Catarina Unisul</t>
  </si>
  <si>
    <t>(48) 3279 1000</t>
  </si>
  <si>
    <t>exchange.officefp@unisul.br</t>
  </si>
  <si>
    <t>Unisul</t>
  </si>
  <si>
    <t>Effects of Kinesiotherapy and Elastic Functional Banding on the upper limb of spastic hemiparetic patients</t>
  </si>
  <si>
    <t>U1111-1235-4539</t>
  </si>
  <si>
    <t>The use of ethyl cyanoacrylate glue (Super Glue®) to repair first degree perineal laceration in birth</t>
  </si>
  <si>
    <t>U1111-1201-7393</t>
  </si>
  <si>
    <t>Postpartum period,perineum</t>
  </si>
  <si>
    <t>Angela Megumi Ochiai</t>
  </si>
  <si>
    <t>55-11-30911020</t>
  </si>
  <si>
    <t>angelaochiai@usp.br</t>
  </si>
  <si>
    <t>Intervention to improve tracking in ambulatory care services for people with HIV</t>
  </si>
  <si>
    <t>06/20/2019</t>
  </si>
  <si>
    <t>U1111-1224-4363</t>
  </si>
  <si>
    <t>Ana Paula Loch</t>
  </si>
  <si>
    <t>ana.loch@crt.saude.sp.gov.br</t>
  </si>
  <si>
    <t>Programa Estadual de DST/AIDS</t>
  </si>
  <si>
    <t>Evaluation of the Analgesic Effects of 5% Lidocaine Adhesive in Post-operative Cesarean Section: Randomized Clinical Trial</t>
  </si>
  <si>
    <t>06/19/2019</t>
  </si>
  <si>
    <t>U1111-1231-1874</t>
  </si>
  <si>
    <t>Analgesia. Cesarean Section</t>
  </si>
  <si>
    <t>Vaniely Kaliny Pinheiro de Queiroz</t>
  </si>
  <si>
    <t>vanielyk@gmail.com</t>
  </si>
  <si>
    <t>Stereotactic ablation of Hypothalamic hamartomas for seizure treatment</t>
  </si>
  <si>
    <t>U1111-1210-6576</t>
  </si>
  <si>
    <t>Miguel San Martin</t>
  </si>
  <si>
    <t>smspolaris@gmail.com</t>
  </si>
  <si>
    <t>Reference values of parameters Pletismography and analysis of repercussion of institutional therapeutic toys in schools</t>
  </si>
  <si>
    <t>U1111-1194-2416</t>
  </si>
  <si>
    <t>preschool</t>
  </si>
  <si>
    <t>Paloma Lopes Parazzi</t>
  </si>
  <si>
    <t>palomaparazzi@yahoo.cm.br</t>
  </si>
  <si>
    <t>unicamp</t>
  </si>
  <si>
    <t>Randomized double blind clinical trial using Bulk Fill flow resin in deciduous teeth by minimally invasive technique: three years of follow-up</t>
  </si>
  <si>
    <t>U1111-1196-3132</t>
  </si>
  <si>
    <t>Sensory-motor profile socio-economic level and quality of life after Stroke</t>
  </si>
  <si>
    <t>U1111-1228-7258</t>
  </si>
  <si>
    <t>mariaterezaprado@hotmail.com</t>
  </si>
  <si>
    <t>Associação Prudentina de Educação e Cultura Apec</t>
  </si>
  <si>
    <t>Mock-up evaluation for aesthetic oral rehabilitation: guide design and patient satisfaction</t>
  </si>
  <si>
    <t>U1111-1234-0340</t>
  </si>
  <si>
    <t>Maysa Magalhães Vaz</t>
  </si>
  <si>
    <t>maysamagalhaesvaz@gmail.com</t>
  </si>
  <si>
    <t>Study of the mechanisms involved in the beneficial effects of aerobic physical training in patients with coronary microvascular dysfunction</t>
  </si>
  <si>
    <t>U1111-1229-4692</t>
  </si>
  <si>
    <t>Eduardo Elias Vieira de Carvalho</t>
  </si>
  <si>
    <t>eduardo.carvalho@uftm.edu.br</t>
  </si>
  <si>
    <t>Effect of scalp acupuncture on cortical electrical activity in patients with stroke - randomized clinical trial</t>
  </si>
  <si>
    <t>U1111-1228-1255</t>
  </si>
  <si>
    <t>Randomized clinical assay of use the Mta in Pulpar Therapy of deciduous teeth</t>
  </si>
  <si>
    <t>U1111-1227-7010</t>
  </si>
  <si>
    <t>Cássia Cilene Dezan - Garbelini</t>
  </si>
  <si>
    <t>dgcassia@gmail.com</t>
  </si>
  <si>
    <t>CCS - COU - Programa de Pós-Graduação em Odontologia</t>
  </si>
  <si>
    <t>Effectiveness of Dentifrice with Fluoride Controlled-release System for Remineralization of White spot: Randomized clinical study</t>
  </si>
  <si>
    <t>U1111-1227-9550</t>
  </si>
  <si>
    <t>Fábio Correia Sampaio</t>
  </si>
  <si>
    <t>+55 083 3216 7795</t>
  </si>
  <si>
    <t>fcsampa@gmail.com</t>
  </si>
  <si>
    <t>Validation and reliability of a goniometry application for mobile device (ANDROID): GONIOAPP</t>
  </si>
  <si>
    <t>06/15/2019</t>
  </si>
  <si>
    <t>U1111-1229-0288</t>
  </si>
  <si>
    <t>Rodrigo Boff Daitx</t>
  </si>
  <si>
    <t>rodrigo.roseta@hotmail.com</t>
  </si>
  <si>
    <t>Telenursing in the care of cancer patients under ambulatorial antineoplastic therapy: randomized clinical test</t>
  </si>
  <si>
    <t>06/14/2019</t>
  </si>
  <si>
    <t>U1111-1216-9982</t>
  </si>
  <si>
    <t>Andrea Bezerra Rodrigues</t>
  </si>
  <si>
    <t>andreabrodrigues@gmail.com</t>
  </si>
  <si>
    <t>Efficacy of the Protocol of patient Reconnection to the Mechanical Ventilator after success in the Spontaneous Breathing Test for Ventilatory Weaning</t>
  </si>
  <si>
    <t>U1111-1221-5845</t>
  </si>
  <si>
    <t>Glauco Adrieno Westphal</t>
  </si>
  <si>
    <t>+55(47)999642295</t>
  </si>
  <si>
    <t>glauco.ww@gmail.com</t>
  </si>
  <si>
    <t>Centro Hospitalar Unimed</t>
  </si>
  <si>
    <t>Mckenzie Method and Core stabilization exercises in lumbar pain due to disc protrusion</t>
  </si>
  <si>
    <t>U1111-1232-6089</t>
  </si>
  <si>
    <t>Displacement of the Intervertebral Disc</t>
  </si>
  <si>
    <t>Physiotherapeutic approach of dyspareunia in women with chronic pelvic pain: comparison between two techniques. A randomized clinical trial</t>
  </si>
  <si>
    <t>06/13/2019</t>
  </si>
  <si>
    <t>U1111-1211-5762</t>
  </si>
  <si>
    <t>Dor pélvica crônica,dispareunia</t>
  </si>
  <si>
    <t>Julio Cesar Rosa-e-Silva</t>
  </si>
  <si>
    <t>juliocrs@usp.br</t>
  </si>
  <si>
    <t>Effectiveness of sealing of caries lesions in the internal and external half in deciduous molars</t>
  </si>
  <si>
    <t>U1111-1223-1234</t>
  </si>
  <si>
    <t>Ana Carolina Del-Sarto Azevedo Maia</t>
  </si>
  <si>
    <t>+55(73)35289655</t>
  </si>
  <si>
    <t>acdelsarto@yahoo.com.br</t>
  </si>
  <si>
    <t>Effectiveness of a nursing intervention for the reduction of preoperative anxiety in patients scheduled for knee surgery: Randomized preventive controlled clinical tria</t>
  </si>
  <si>
    <t>U1111-1227-2198</t>
  </si>
  <si>
    <t>nursing intervention,preoperative anxiety,knee replacement surgery,Motivational Interviewing</t>
  </si>
  <si>
    <t>Mauricio Medina Garzon</t>
  </si>
  <si>
    <t>Bogota D.C</t>
  </si>
  <si>
    <t>(+57 1) 316 5000</t>
  </si>
  <si>
    <t>mamedinaga@unal.edu.co</t>
  </si>
  <si>
    <t>Universidad Nacional de Colombia</t>
  </si>
  <si>
    <t>Comparison Between Erector Spinal Plane Blocking Techniques versus Epidural Block for Postoperative Analgesia in Open Cholecystectomies: A Randomized Clinical Trial</t>
  </si>
  <si>
    <t>U1111-1229-7226</t>
  </si>
  <si>
    <t>Augusto Key Karazawa Takaschima</t>
  </si>
  <si>
    <t>takaschima@gmail.com</t>
  </si>
  <si>
    <t>Sianest Servicos Integrados de Anestesiologia</t>
  </si>
  <si>
    <t>Comparison Between the Locking Techniques of the Erector Spinal Muscle Plan with Spinal Anesthesia versus Isolated or Opioid Spinal Anesthesia for Analgesia in Inguinal Hernioplasties: a Randomized Clinical Trial</t>
  </si>
  <si>
    <t>U1111-1229-4482</t>
  </si>
  <si>
    <t>Roberto Henrique Benedetti</t>
  </si>
  <si>
    <t>rhbene@gmail.com</t>
  </si>
  <si>
    <t>Prototyping of a neuromuscular stimulator and transfer of technology for using during hospital stay in the context of Health Unic System of Federal District</t>
  </si>
  <si>
    <t>06/21/2016</t>
  </si>
  <si>
    <t>U1111-1178-6106</t>
  </si>
  <si>
    <t>João Luiz Durigan</t>
  </si>
  <si>
    <t>+55(61)3107-8421</t>
  </si>
  <si>
    <t>joaodurigan@gmail.com</t>
  </si>
  <si>
    <t>Faculdade de Ceilândia - UnB</t>
  </si>
  <si>
    <t>Transcutaneous Electrical Nerve Stimulation in Children with Bladder Bowel Dysfunction: A Randomized Clinical Trial</t>
  </si>
  <si>
    <t>U1111-1229-1959</t>
  </si>
  <si>
    <t>ubirajara de Oliveira Barroso Junior</t>
  </si>
  <si>
    <t>ubirajarabarroso@hotmail.com</t>
  </si>
  <si>
    <t>Escola Bahiana de Medicina e Saúde Peública</t>
  </si>
  <si>
    <t>Effect of vitamin D supplementation and resistance training on body composition physical capacity inflammatory parameters and bone mineral metabolism in maintenance hemodialysis patients: a randomized controlled trial</t>
  </si>
  <si>
    <t>U1111-1198-4936</t>
  </si>
  <si>
    <t>Barbara Perez Vogt</t>
  </si>
  <si>
    <t>barbara_pv@yahoo.com.br</t>
  </si>
  <si>
    <t>Associação Prudentina de Educação e Cultura APEC</t>
  </si>
  <si>
    <t>Kinesio tape in the injuries of the rotating sleeve: clinical test randomizado double blind</t>
  </si>
  <si>
    <t>U1111-1232-6029</t>
  </si>
  <si>
    <t>Rotador cuff injuries</t>
  </si>
  <si>
    <t>Use of Photobiomodulation in the Alveolar Repair of patients submitted to Exodontia after Radiotherapy in the head and neck region a double blind and randomized clinical study</t>
  </si>
  <si>
    <t>U1111-1231-0586</t>
  </si>
  <si>
    <t>Osteoradionecrosis</t>
  </si>
  <si>
    <t>Thyago Vicente Morais</t>
  </si>
  <si>
    <t>+55 81 996866091</t>
  </si>
  <si>
    <t>thyago_morais@hotmail.com</t>
  </si>
  <si>
    <t>Mhealth intervention for adherence to antihypertensive treatment through mobile technology</t>
  </si>
  <si>
    <t>U1111-1229-2894</t>
  </si>
  <si>
    <t>Amanda Caroline Sartori</t>
  </si>
  <si>
    <t>amanddacarolline@hotmail.com</t>
  </si>
  <si>
    <t>Centro Universitário de Maringá - UniCesumar</t>
  </si>
  <si>
    <t>Development of mouthwash containing chlorhexidine tetrapalmitate and clinical trial</t>
  </si>
  <si>
    <t>U1111-1232-2492</t>
  </si>
  <si>
    <t>Carla Maria Ribeiro Ferreira</t>
  </si>
  <si>
    <t>+55 16 3301-6962</t>
  </si>
  <si>
    <t>carla.ferreira@unesp.br</t>
  </si>
  <si>
    <t>Universidade Estadual Paulista (Unesp),Faculdade de Ciências Farmacêuticas,Araraquara</t>
  </si>
  <si>
    <t>Cardiac Autonomic Modulation in Postmenopausal Women with Dry Eye Syndrome</t>
  </si>
  <si>
    <t>U1111-1217-9914</t>
  </si>
  <si>
    <t>Dry Eye Syndromes,Menopause,Postmenopause,Climacteric,Heart rate,Autonomic Nervous System,Sympathetic Nervous System,Parasympathetic Nervous System</t>
  </si>
  <si>
    <t>Alvaro Dantas de Almeida Junior</t>
  </si>
  <si>
    <t>Fone: +55(81)21380080</t>
  </si>
  <si>
    <t>alvarodantas@usp.br</t>
  </si>
  <si>
    <t>Instituto de Cirurgia Ocular do Nordeste,ICONE</t>
  </si>
  <si>
    <t>Effects of an aerobic exercise program during intradialytic treatment in patients with chronic kidney disease</t>
  </si>
  <si>
    <t>U1111-1173-6199</t>
  </si>
  <si>
    <t>Francini Porcher Andrade</t>
  </si>
  <si>
    <t>(55-51) 8537-6802</t>
  </si>
  <si>
    <t>franp.andrade@gmail.com</t>
  </si>
  <si>
    <t>Hospital de Clínicas de Porto Alegre - HCPA / UFRGS</t>
  </si>
  <si>
    <t>Double-blind randomized clinical trial assessment of the benefits of MASQUELIERs Original OPCs within a farmer population highly exposed to pesticides in South Brazil</t>
  </si>
  <si>
    <t>U1111-1230-8843</t>
  </si>
  <si>
    <t>Toxic effect of pesticide,unspecified</t>
  </si>
  <si>
    <t>Sharbel Weidner Maluf</t>
  </si>
  <si>
    <t>+55 48 37218131</t>
  </si>
  <si>
    <t>0808swm@gmail.com</t>
  </si>
  <si>
    <t>Physical training in pulmonary disease with ventilatory support</t>
  </si>
  <si>
    <t>U1111-1234-7133</t>
  </si>
  <si>
    <t>Other specific forms of chronic obstructive pulmonary disease,Tolerance to exercise,Physiotherapy,Rehabilitation</t>
  </si>
  <si>
    <t>+55 (67) 3345 3149</t>
  </si>
  <si>
    <t>Hospital Universitario Maria Aparecida Pedrossian</t>
  </si>
  <si>
    <t>Effects of different Cementation strategies on clinical performance of Zirconia crowns-A randomized clinical trial</t>
  </si>
  <si>
    <t>U1111-1150-8294</t>
  </si>
  <si>
    <t>Subjective evaluation of the clinical efficacy of a nasal spray</t>
  </si>
  <si>
    <t>U1111-1232-1893</t>
  </si>
  <si>
    <t>Nose Diseases</t>
  </si>
  <si>
    <t>Total venous anaesthesia versus balanced anaesthesia in breast surgery</t>
  </si>
  <si>
    <t>U1111-1228-1152</t>
  </si>
  <si>
    <t>Marcio Matsumoto</t>
  </si>
  <si>
    <t>+55(11)33944779</t>
  </si>
  <si>
    <t>marciomatsumoto46@hotmail.com</t>
  </si>
  <si>
    <t>Hospital Sírio-Libanês</t>
  </si>
  <si>
    <t>Clinical and electrophysiological analysis of forels field h1 deep brain stimulation on motor symptoms cognitive variables and quality of life</t>
  </si>
  <si>
    <t>U1111-1210-6404</t>
  </si>
  <si>
    <t>Jamana Ferraz Barbosa</t>
  </si>
  <si>
    <t>jamanabarbosa@gmail.com</t>
  </si>
  <si>
    <t>Hospital Santa Marcelina</t>
  </si>
  <si>
    <t>The effectiveness of US-guided phenol block of the articular sensory branches of the obturator and femoral nerves for the relief of chronic pain in advanced osteoarthritis of the hip - A prospective study</t>
  </si>
  <si>
    <t>U1111-1227-2094</t>
  </si>
  <si>
    <t>Chronic pain,Osteoarthritis of the hip</t>
  </si>
  <si>
    <t>Vanessa Moreira Lima Finato</t>
  </si>
  <si>
    <t>vanessafinato@gmail.com</t>
  </si>
  <si>
    <t>Effects of interventions to control chronic diseases with biochemical environmental-occupational and sedentary behavior in military police: clinical study</t>
  </si>
  <si>
    <t>U1111-1231-1017</t>
  </si>
  <si>
    <t>Risk Factors / Non-Communicable Chronic Diseases,Metabolic Diseases,Professional diseases</t>
  </si>
  <si>
    <t>Aylton José Figueira Júnior</t>
  </si>
  <si>
    <t>+55 11 96089-1818</t>
  </si>
  <si>
    <t>prof.ayltonfigueira@usjt.br</t>
  </si>
  <si>
    <t>Implications of the Training with Volume Incentive Spirometry in the Postoperative Period of Myocardial Revascularization Surgery</t>
  </si>
  <si>
    <t>11/27/2017</t>
  </si>
  <si>
    <t>U1111-1204-4460</t>
  </si>
  <si>
    <t>Evaluation of a health product for the prevention of burns under normal conditions of use</t>
  </si>
  <si>
    <t>U1111-1232-2081</t>
  </si>
  <si>
    <t>Evaluation of efficacy for cryolipolysis membrane</t>
  </si>
  <si>
    <t>U1111-1233-3572</t>
  </si>
  <si>
    <t>Abdominal Fat</t>
  </si>
  <si>
    <t>Effect of an educational video for adherence to Vaccination against human papillomavirus: a randomized clinical trial</t>
  </si>
  <si>
    <t>U1111-1218-3222</t>
  </si>
  <si>
    <t>Iris Nayara da Conceição Souza Interaminense</t>
  </si>
  <si>
    <t>irisnarea@yahoo.com.br</t>
  </si>
  <si>
    <t>Pain evaluation during photodynamic therapy of the field of cancerization of the face and scalp comparing two different lighting techniques: a randomized clinical trial</t>
  </si>
  <si>
    <t>U1111-1200-7366</t>
  </si>
  <si>
    <t>Elisângela Ramos de Oliveira</t>
  </si>
  <si>
    <t>Jaú</t>
  </si>
  <si>
    <t>liicherry42@gmail.com</t>
  </si>
  <si>
    <t>Fundação Hospital Amaral Carvalho</t>
  </si>
  <si>
    <t>Effects of cryotherapy on the proprioception of pelvic floor muscles in women with urinary incontinence: a randomized blind crossover study</t>
  </si>
  <si>
    <t>U1111-1214-6714</t>
  </si>
  <si>
    <t>Ana Isabele Andrade Neves</t>
  </si>
  <si>
    <t>+55 (83) 99812-5880</t>
  </si>
  <si>
    <t>ana_isabele@hotmail.com</t>
  </si>
  <si>
    <t>Effect of inspiratory muscular training on quality of life of patients with traumatic spinal cord injury: a randomized clinical trial</t>
  </si>
  <si>
    <t>U1111-1221-2002</t>
  </si>
  <si>
    <t>spinal cord injury</t>
  </si>
  <si>
    <t>Graziella França Bernardelli Cipriano</t>
  </si>
  <si>
    <t>+ 55 61 3107-8937</t>
  </si>
  <si>
    <t>grafb@uol.com.br</t>
  </si>
  <si>
    <t>Universidade de Brasília-Faculdade de Ceilândia</t>
  </si>
  <si>
    <t>Clinical evaluation of a mouthwash based on Cinnamomum zeylanicum Blume (Cinnamon) on Candida species in patients with denture stomatitis</t>
  </si>
  <si>
    <t>U1111-1224-0726</t>
  </si>
  <si>
    <t>Oral candidiasis associated with the use of removable dental prosthesis</t>
  </si>
  <si>
    <t>Ricardo Dias Castro</t>
  </si>
  <si>
    <t>rcastro@ccs.ufpb.br</t>
  </si>
  <si>
    <t>Randomized controlled open and parellel trial to evaluate the efficiency and safety of intra-articular infiltration of Autologous Bone Marrow Concentrate (BMC) or Mesenchymal Stem Cell (MSC) associated with Platelet Rich Plasma (PRP) in patients with primary knee osteoarthritis</t>
  </si>
  <si>
    <t>U1111-1232-3572</t>
  </si>
  <si>
    <t>Gonarthrosis,Arthrosis of knee,Pain in joint</t>
  </si>
  <si>
    <t>Teresa Cristina Campos Mello</t>
  </si>
  <si>
    <t>+551140859000 R: 1086</t>
  </si>
  <si>
    <t>teresa.mello@preventsenior.com.br</t>
  </si>
  <si>
    <t>Prevent Senior Private Operadora de Saúde LTDA</t>
  </si>
  <si>
    <t>Active videogame and resistance training in older adults</t>
  </si>
  <si>
    <t>U1111-1232-1823</t>
  </si>
  <si>
    <t>Cognition,physical fitness,heart rate,quality of life</t>
  </si>
  <si>
    <t>Aline Rodrigues Barbosa</t>
  </si>
  <si>
    <t>+55(48)37212378</t>
  </si>
  <si>
    <t>aline.r.barbosa@ufsc.br</t>
  </si>
  <si>
    <t>Centro de Deportos da Universidade Federal de Santa Catarina</t>
  </si>
  <si>
    <t>Jabuticaba (Plinia jaboticaba) juice processed at high isostatic pressure and glycemic insulinemic and antioxidant response in a pilot clinical trial</t>
  </si>
  <si>
    <t>U1111-1231-6366</t>
  </si>
  <si>
    <t>Marina Vilar Geraldi</t>
  </si>
  <si>
    <t>marinavilar35@gmail.com</t>
  </si>
  <si>
    <t>randomized clinical trial of microneedling followed by 5-Fluorouracil 5% versus use of 5-Fluorouracil 5% or 0.5% isolated in actinic keratoses of the face</t>
  </si>
  <si>
    <t>U1111-1227-6373</t>
  </si>
  <si>
    <t>actinic keratoses</t>
  </si>
  <si>
    <t>Renato Marchiori Bakos</t>
  </si>
  <si>
    <t>rbakos@hcpa.edu.br</t>
  </si>
  <si>
    <t>Auriculotherapy in academics from an International University</t>
  </si>
  <si>
    <t>U1111-1230-9525</t>
  </si>
  <si>
    <t>Diego da Silva Ferreira</t>
  </si>
  <si>
    <t>+55 (85) 33326189</t>
  </si>
  <si>
    <t>diegoferreira@aluno.unilab.edu.br</t>
  </si>
  <si>
    <t>Electromyographic evaluation of respiratory muscles in children born Prematurely during Exercise Test</t>
  </si>
  <si>
    <t>U1111-1233-8454</t>
  </si>
  <si>
    <t>preterm,infant</t>
  </si>
  <si>
    <t>Josy  Davidson</t>
  </si>
  <si>
    <t>josydavidson@yahoo.com.br</t>
  </si>
  <si>
    <t>universidade federal de são paulo</t>
  </si>
  <si>
    <t>Assessment of Primary Dermal Irritability Dermal Irritability and Dermal Sensitization (HRIPT)</t>
  </si>
  <si>
    <t>U1111-1228-5007</t>
  </si>
  <si>
    <t>55 11 50147800</t>
  </si>
  <si>
    <t>qualidade@semina.com.br</t>
  </si>
  <si>
    <t>Semina Indústria e Comércio Ltda</t>
  </si>
  <si>
    <t>Convultion prediction with up to 24 hours of antecedence by simple and non-invasive method</t>
  </si>
  <si>
    <t>U1111-1225-6391</t>
  </si>
  <si>
    <t>Epilepsy/Seizure</t>
  </si>
  <si>
    <t>Adriano Barreto Nogueira</t>
  </si>
  <si>
    <t>+55 11 2661-7152</t>
  </si>
  <si>
    <t>adrianobarreto@uol.com.br</t>
  </si>
  <si>
    <t>Evaluation of the feasibility of the Brazilian Cardioprotective Nutritional Program in primary prevention</t>
  </si>
  <si>
    <t>U1111-1226-4541</t>
  </si>
  <si>
    <t>Adult subjects with at least one cardiovascular risk factor</t>
  </si>
  <si>
    <t>Juliana Dantas Oliveira</t>
  </si>
  <si>
    <t>jdoliveira@hcor.com.br</t>
  </si>
  <si>
    <t>Hospital do Coração/ Associação do Sanatório Sírio</t>
  </si>
  <si>
    <t>Different doses of laser in patients with chronic shoulder pain</t>
  </si>
  <si>
    <t>U1111-1227-7595</t>
  </si>
  <si>
    <t>chronic shoulder pain</t>
  </si>
  <si>
    <t>+55(13)3229-0100</t>
  </si>
  <si>
    <t>Comparison of satisfaction of hypertensive patientes in front of the different tools of health education</t>
  </si>
  <si>
    <t>U1111-1229-9047</t>
  </si>
  <si>
    <t>Efficacy and safety of Miltefosin in comparison with Liposomal Anfotericin B for the treatment of Leishmaniasis</t>
  </si>
  <si>
    <t>U1111-1205-2372</t>
  </si>
  <si>
    <t>Cutaneous mucosal Leishmaniasis</t>
  </si>
  <si>
    <t>cota@minas.fiocruz.br</t>
  </si>
  <si>
    <t>Prolongation of sensory block with the combination of Dexamethasone and Levobupivacaine in the brachial plexus block for shoulder arthroscopy</t>
  </si>
  <si>
    <t>U1111-1233-1159</t>
  </si>
  <si>
    <t>Effectiveness of the Brain Interface Associated Machine Functional Electrical Stimulation in Patients with Sequelae after AVE</t>
  </si>
  <si>
    <t>U1111-1231-8523</t>
  </si>
  <si>
    <t>Eddy Krueger</t>
  </si>
  <si>
    <t>+55 043 96238999</t>
  </si>
  <si>
    <t>ekrueger@uel.br</t>
  </si>
  <si>
    <t>Evaluation of the dental acceptability of the product for health under normal conditions of use</t>
  </si>
  <si>
    <t>U1111-1231-5346</t>
  </si>
  <si>
    <t>Benefits of Dry Needling in Muscle Performance of Elderly Active</t>
  </si>
  <si>
    <t>U1111-1230-2297</t>
  </si>
  <si>
    <t>Beatriz Mendes Tozim</t>
  </si>
  <si>
    <t>+55 (14) 34021300</t>
  </si>
  <si>
    <t>beatriztozim@yahoo.com.br</t>
  </si>
  <si>
    <t>Unesp</t>
  </si>
  <si>
    <t>Comparison of the Infrared LED compared to Respiratory Therapy Maneuvers in the Treatment of Community Pneumonia</t>
  </si>
  <si>
    <t>U1111-1229-1296</t>
  </si>
  <si>
    <t>Interstitial Lung Diseases</t>
  </si>
  <si>
    <t>PÂMELA CAMILA PEREIRA</t>
  </si>
  <si>
    <t>Anhembi Morumbi</t>
  </si>
  <si>
    <t>Autologous Chondrocyte Transplantation: validation of the therapy protocol for Joint Cartilage Lesions</t>
  </si>
  <si>
    <t>U1111-1229-4163</t>
  </si>
  <si>
    <t>Articular pain/knee</t>
  </si>
  <si>
    <t>Mario Ferretti</t>
  </si>
  <si>
    <t>+55(11)2151-1233</t>
  </si>
  <si>
    <t>mario.ferretti@einstein.br</t>
  </si>
  <si>
    <t>Evaluation of dental acceptability of product with appreciability for health under normal conditions of use</t>
  </si>
  <si>
    <t>U1111-1231-6403</t>
  </si>
  <si>
    <t>Opportunistic Mycoses</t>
  </si>
  <si>
    <t>Quadriceps strengthening associated with neuromuscular electrical stimulation versus quadriceps strengthening alone to the treatment of atraumatic patellar dislocation: A blind randomized clinical trial</t>
  </si>
  <si>
    <t>U1111-1232-1643</t>
  </si>
  <si>
    <t>Recurrent patellar dislocation,Patellar dislocation</t>
  </si>
  <si>
    <t>Evaluation of the gynecological and dermatological capacity of health products under normal conditions of use</t>
  </si>
  <si>
    <t>U1111-1231-6278</t>
  </si>
  <si>
    <t>Effect of adhesive strategy and different photoactivation protocols of a universal adhesive system on the longevity of composite resin restorations in patients with non-carious cervical lesions [LCNC] . Double-blind randomized clinical trial</t>
  </si>
  <si>
    <t>U1111-1232-3421</t>
  </si>
  <si>
    <t>Evaluation of success and survival rates marginal bone loss and complications of implants with different types of implant-prosthesis connections: Randomized clinical trial</t>
  </si>
  <si>
    <t>U1111-1232-3142</t>
  </si>
  <si>
    <t>Effects of educational technology for guiding female followers in labor in a reference maternity hospital in Fortaleza-Ceará</t>
  </si>
  <si>
    <t>U1111-1231-8695</t>
  </si>
  <si>
    <t>Laise Ramos e Silva</t>
  </si>
  <si>
    <t>+55 85 999612622</t>
  </si>
  <si>
    <t>laiseramos2@hotmail.com</t>
  </si>
  <si>
    <t>Dual-task Strength training: morphofunctional cognitive and hormonal adaptations in healthy elderly</t>
  </si>
  <si>
    <t>U1111-1230-8304</t>
  </si>
  <si>
    <t>Musculoskeletal Diseases (sarcopenia)</t>
  </si>
  <si>
    <t>Marco Carlos Uchida</t>
  </si>
  <si>
    <t>uchida@unicamp.br</t>
  </si>
  <si>
    <t>Auriculotherapy in the Treatment of Primary Dismenorriation</t>
  </si>
  <si>
    <t>U1111-1230-0753</t>
  </si>
  <si>
    <t>Menstruation,Colic,Fertile Period</t>
  </si>
  <si>
    <t>Fernanda Ferreira de Sousa</t>
  </si>
  <si>
    <t>Presidente Dutra</t>
  </si>
  <si>
    <t>fernandasousafsa@gmail.com</t>
  </si>
  <si>
    <t>Associação Teresinense de Ensino SC LTDA</t>
  </si>
  <si>
    <t>Evaluation of the pulpar vascular response after office dental whitening: randomized clinical test</t>
  </si>
  <si>
    <t>U1111-1199-1484</t>
  </si>
  <si>
    <t>Allana  da Silva e Silva</t>
  </si>
  <si>
    <t>55 98 32728572</t>
  </si>
  <si>
    <t>allana_silva@yahoo.com.br</t>
  </si>
  <si>
    <t>Impact of weekly speech therapy in the rehabilitation of stroke patients with Dysphagia</t>
  </si>
  <si>
    <t>U1111-1231-7794</t>
  </si>
  <si>
    <t>Klayne Cunha Matos</t>
  </si>
  <si>
    <t>+55(85)986239328</t>
  </si>
  <si>
    <t>klaynematos@hotmail.com</t>
  </si>
  <si>
    <t>Dissemination of technological innovation: Information System of the National Immunization</t>
  </si>
  <si>
    <t>U1111-1222-8724</t>
  </si>
  <si>
    <t>Samuel Barroso Rodrigues</t>
  </si>
  <si>
    <t>+55 16 98176 6010</t>
  </si>
  <si>
    <t>samuelbarroso88@gmail.com</t>
  </si>
  <si>
    <t>Reference values for tissue perfusion levels and use of Near-Infrared Spectroscopy (NIRS) in individuals with Diabetes</t>
  </si>
  <si>
    <t>U1111-1228-7686</t>
  </si>
  <si>
    <t>Danielle Aparecida Gomes Pereira</t>
  </si>
  <si>
    <t>+55(31) 3409-4783</t>
  </si>
  <si>
    <t>danielleufmg@gmail.com</t>
  </si>
  <si>
    <t>A Simplifield Vacuum Dressing System: a Randomised Clinical Trial</t>
  </si>
  <si>
    <t>U1111-1229-1740</t>
  </si>
  <si>
    <t>Fabiana Rosa Paim</t>
  </si>
  <si>
    <t>+55 (71) 3283-8885</t>
  </si>
  <si>
    <t>ics@ufba.br</t>
  </si>
  <si>
    <t>Effect of Probiotics on intestinal health in adults and healthy adults: Influence of the type of cepa dose and method of administration</t>
  </si>
  <si>
    <t>U1111-1219-0303</t>
  </si>
  <si>
    <t>Intestinal constipation</t>
  </si>
  <si>
    <t>Patrícia Borges Botelho</t>
  </si>
  <si>
    <t>+55 -061 981806716</t>
  </si>
  <si>
    <t>patriciaborges.nutri@gmail.com</t>
  </si>
  <si>
    <t>Sleep Disorders and associated factors in children and adolescents of the metropolitan region of Recife</t>
  </si>
  <si>
    <t>U1111-1220-3127</t>
  </si>
  <si>
    <t>Sleep Apnea</t>
  </si>
  <si>
    <t>Universidade de Pernambuco UPE</t>
  </si>
  <si>
    <t>(81) 3183-3674</t>
  </si>
  <si>
    <t>fop.posgraduacao@upe.br</t>
  </si>
  <si>
    <t>Effect of low power laser for reduction of bleaching-induced tooth sensitivity after in-office bleaching</t>
  </si>
  <si>
    <t>U1111-1228-3429</t>
  </si>
  <si>
    <t>+55 (042) 999030101</t>
  </si>
  <si>
    <t>Bariatric embolization: Safety and efficacy in weight reduction in patients with body mass index between 30 and 399</t>
  </si>
  <si>
    <t>U1111-1227-5233</t>
  </si>
  <si>
    <t>Miguel Madeira</t>
  </si>
  <si>
    <t>migmadeira@gmail.com</t>
  </si>
  <si>
    <t>Development of ursodeoxycholic acid 300 mg at Hospital das Clinicas of FMUSP</t>
  </si>
  <si>
    <t>U1111-1229-3040</t>
  </si>
  <si>
    <t>Primary Biliary Cholangitis/Cirrhosis (PBC)</t>
  </si>
  <si>
    <t>Cleuber Esteves Chaves</t>
  </si>
  <si>
    <t>+55-11-2661 6640</t>
  </si>
  <si>
    <t>cleuber.chaves@hc.fm.usp.br</t>
  </si>
  <si>
    <t>Effects of Hydrotherapy on Weight Gain in Preterm Infants</t>
  </si>
  <si>
    <t>U1111-1209-0852</t>
  </si>
  <si>
    <t>Franciane Rocha Anjos</t>
  </si>
  <si>
    <t>franciane.uti@gmail.com</t>
  </si>
  <si>
    <t>Comparison of different vancomycin administration regimens in patients with acute kidney injury in hemodialysis therapy: a clinical trial</t>
  </si>
  <si>
    <t>U1111-1224-1624</t>
  </si>
  <si>
    <t>Evaluation of the Neurofunctional Gain and Quality of Life of Elderly Patients submitted to Physiotherapeutic Care based on Multisensory Training</t>
  </si>
  <si>
    <t>U1111-1224-3416</t>
  </si>
  <si>
    <t>Natália Lujan Ferraz</t>
  </si>
  <si>
    <t>natalialfz@hotmail.com</t>
  </si>
  <si>
    <t>Impact of a nutritional intervention on overweight pregnant women under neonatal adiposity child development and maternal postpartum weight retention</t>
  </si>
  <si>
    <t>U1111-1230-5457</t>
  </si>
  <si>
    <t>Birth weight,adiposity,growth &amp; development</t>
  </si>
  <si>
    <t>Daniela Saes Sartorelli</t>
  </si>
  <si>
    <t>daniss@fmrp.usp.br</t>
  </si>
  <si>
    <t>Effects of osteopathic manipulative treatment on the neurovegetative system of patients with chronic low back pain</t>
  </si>
  <si>
    <t>U1111-1229-6863</t>
  </si>
  <si>
    <t>Low back pain,Low back pain</t>
  </si>
  <si>
    <t>Renan Omil Pravatta Pivetta</t>
  </si>
  <si>
    <t>Indaiatuba</t>
  </si>
  <si>
    <t>contato@renanpivetta.com.br</t>
  </si>
  <si>
    <t>Effects of a program to promote positive parenting practices in a socially vulnerable context</t>
  </si>
  <si>
    <t>U1111-1228-7551</t>
  </si>
  <si>
    <t>FLAVIA HELENA PEREIRA PADOVANI</t>
  </si>
  <si>
    <t>14-38802020</t>
  </si>
  <si>
    <t>flaviapad@yahoo.com.br</t>
  </si>
  <si>
    <t>Effect of Global Posture Reeducation on rehabilitation and sleep after stroke</t>
  </si>
  <si>
    <t>U1111-1228-0435</t>
  </si>
  <si>
    <t>Cristina  Frange</t>
  </si>
  <si>
    <t>São PAulo</t>
  </si>
  <si>
    <t>55 11 95443 2899</t>
  </si>
  <si>
    <t>cristina.frange15@gmail.com</t>
  </si>
  <si>
    <t>Evaluation of the efficacy of Ropivacaine injection in the anterior and middle scalene muscles guided by ultrasonography in the treatment of Thoracic Outlet Syndrome</t>
  </si>
  <si>
    <t>U1111-1232-7970</t>
  </si>
  <si>
    <t>Intervention Ultrasonography</t>
  </si>
  <si>
    <t>Thais Terranova</t>
  </si>
  <si>
    <t>jc.isprm@gmail.com</t>
  </si>
  <si>
    <t>Instituto de Medicina Fisica e Reabilitação - IMREA - HCFMUSP</t>
  </si>
  <si>
    <t>Cardiorespiratory musculoskeletal and aesthetic evaluation of pregnant women practicing the Pilates method</t>
  </si>
  <si>
    <t>U1111-1229-4237</t>
  </si>
  <si>
    <t>Kelly Christina de Faria</t>
  </si>
  <si>
    <t>kellynhafisiofaria@gmail.com</t>
  </si>
  <si>
    <t>Impact of Transcranial Direct Current Stimulation and physical training on the autonomic adaptations in hemiparetic patients due to the Stroke: Clinical Trial Controlled Randomized Double-blinded</t>
  </si>
  <si>
    <t>U1111-1222-4588</t>
  </si>
  <si>
    <t>UNINOVE</t>
  </si>
  <si>
    <t>Photobiomodulation by low level LASER therapy in patients with obstructive sleep apnea</t>
  </si>
  <si>
    <t>U1111-1230-9271</t>
  </si>
  <si>
    <t>Fernanda Cristina Ferreira de Camargo</t>
  </si>
  <si>
    <t>contato@ligadosono.com.br</t>
  </si>
  <si>
    <t>Effects of antioxidant supplementation on strength training-induced neuromuscular adaptations in breast cancer survivors</t>
  </si>
  <si>
    <t>U1111-1222-6511</t>
  </si>
  <si>
    <t>Filipe Dinato de Lima</t>
  </si>
  <si>
    <t>fdinatolima@gmail.com</t>
  </si>
  <si>
    <t>Single oral implant rehabilitation</t>
  </si>
  <si>
    <t>U1111-1231-4140</t>
  </si>
  <si>
    <t>Patrícia dos Santos Calderon</t>
  </si>
  <si>
    <t>patriciascalderon@yahoo.com.br</t>
  </si>
  <si>
    <t>3D virtual reality may enhance adherence in glaucoma patients using monotherapy - a randomized clinical trial</t>
  </si>
  <si>
    <t>U1111-1231-1769</t>
  </si>
  <si>
    <t>Marcos Balbino</t>
  </si>
  <si>
    <t>marcosbalbino@mac.com</t>
  </si>
  <si>
    <t>HCloe Clinica Oftalmológica Especializada</t>
  </si>
  <si>
    <t>Use of transcranial direct current stimulation in children and adolescents with cerebral palsy: effects on numerical cognition</t>
  </si>
  <si>
    <t>U1111-1231-4814</t>
  </si>
  <si>
    <t>Mauro Muszkat</t>
  </si>
  <si>
    <t>+55(11) 5549-6899</t>
  </si>
  <si>
    <t>mauromuszkat@uol.com</t>
  </si>
  <si>
    <t>Respiratory muscle training with Power Breathe® and Respiron® in healthy subjects</t>
  </si>
  <si>
    <t>ELIZABETH RODRIGUES DE MORAIS</t>
  </si>
  <si>
    <t>GOIANIA</t>
  </si>
  <si>
    <t>elizabeth.r.morais@hotmail.com</t>
  </si>
  <si>
    <t>PONTIFÍCIA UNIVERSIDADE CATÓLICA DE GOIÁS</t>
  </si>
  <si>
    <t>Efficacy of Task-Specific Training in changing neurotrophic factors and impact on clinical outcomes in individuals with Stroke: a randomized controlled trial</t>
  </si>
  <si>
    <t>U1111-1201-6910</t>
  </si>
  <si>
    <t>Disease of the nervous system,Stroke</t>
  </si>
  <si>
    <t>Paula Luciana Scalzo</t>
  </si>
  <si>
    <t>55-31-34092799</t>
  </si>
  <si>
    <t>scalzopl@gmail.com</t>
  </si>
  <si>
    <t>Strategies to optimize the access of adults with clinical indications to the 23-valent Pneumococcal Polysaccharide Vaccine within the Brazilian National Public Health System</t>
  </si>
  <si>
    <t>U1111-1233-8320</t>
  </si>
  <si>
    <t>Programas de Imunização</t>
  </si>
  <si>
    <t>Edison Iglesias de Oliveira Vidal</t>
  </si>
  <si>
    <t>edison.vidal@unesp.br</t>
  </si>
  <si>
    <t>UNESP</t>
  </si>
  <si>
    <t>Nutrition of very low birth weight preterm newborns using a concentrate with human milk lyophilisate - phase 1 and 2 study: safety tolerability and effectiveness</t>
  </si>
  <si>
    <t>U1111-1220-0550</t>
  </si>
  <si>
    <t>José Simon Camelo Junior</t>
  </si>
  <si>
    <t>jscamelo@fmrp.usp.br</t>
  </si>
  <si>
    <t>Transcutaneous electrical stimulation in TMD analgesia</t>
  </si>
  <si>
    <t>U1111-1231-8688</t>
  </si>
  <si>
    <t>Other specific joint disorders</t>
  </si>
  <si>
    <t>Effectiveness of a mobile application for the clinical and educationalcare for adhesion to treatment of adolescents with Diabetes Mellitus 1: randomized controlled clinical trial</t>
  </si>
  <si>
    <t>U1111-1227-7125</t>
  </si>
  <si>
    <t>Eline Saraiva Silveira Araújo</t>
  </si>
  <si>
    <t>85 997731020</t>
  </si>
  <si>
    <t>elinesaraiva@superig.com.br</t>
  </si>
  <si>
    <t>The influence of meditation practice focusing on breathing in the signs and symptoms of anxiety in the LGBT population</t>
  </si>
  <si>
    <t>U1111-1220-5875</t>
  </si>
  <si>
    <t>Verônica de Medeiros Alves</t>
  </si>
  <si>
    <t>veronica.ufal.arapiraca@gmail.com</t>
  </si>
  <si>
    <t>Patient Rehabilitation Program with Lombalgia: influence in disability scores heart rate variability fear Anxiety Depression and Resilience</t>
  </si>
  <si>
    <t>U1111-1212-1402</t>
  </si>
  <si>
    <t>Back Pain,Low back pain</t>
  </si>
  <si>
    <t>Physical therapy treatment of axillary web syndrome dysfunctions: a randomized controlled trial</t>
  </si>
  <si>
    <t>U1111-1211-5122</t>
  </si>
  <si>
    <t>Liana Gomide Matheus</t>
  </si>
  <si>
    <t>lbgomide@yahoo.com.br</t>
  </si>
  <si>
    <t>Immediate effects of myofascial self-release with roller on pain threshold at pressure range of motion and hamstring strength</t>
  </si>
  <si>
    <t>12/13/2018</t>
  </si>
  <si>
    <t>U1111-1224-5474</t>
  </si>
  <si>
    <t>Effectiveness of a Structured Physical Exercise Oriented Program on Strength Cardiorespiratory Fitness and Quality of Life in Women with Breast Cancer Submitted to Neoadjuvant Chemotherapy</t>
  </si>
  <si>
    <t>05/23/2019</t>
  </si>
  <si>
    <t>U1111-12215012</t>
  </si>
  <si>
    <t>Randomized clinical trial about multilayered soft silicone foam dressing to transparent polyurethane film Effectiveness in Pressure Ulcer prevention</t>
  </si>
  <si>
    <t>U1111-1196-0488</t>
  </si>
  <si>
    <t>Rhea Silvia Soares</t>
  </si>
  <si>
    <t>rheasilviasoares@yahoo.com.br</t>
  </si>
  <si>
    <t>Post-retrieval electroconvulsive therapy in the treatment of conditioned fear</t>
  </si>
  <si>
    <t>U1111-1178-9838</t>
  </si>
  <si>
    <t>Posttraumatic stress disorder</t>
  </si>
  <si>
    <t>Alvaro Cabral Araujo</t>
  </si>
  <si>
    <t>+55 (11) 2661-0000</t>
  </si>
  <si>
    <t>alvaroaraujo@yahoo.com.br</t>
  </si>
  <si>
    <t>Instituto de Psiquiatria do Hospital das Clínicas da Faculdade de Medicina da Universidade de São Paulo - IPq HCFMUSP</t>
  </si>
  <si>
    <t>The use of human stem cells for the treatment of stress urinary incontinence in women</t>
  </si>
  <si>
    <t>U1111-1230-8247</t>
  </si>
  <si>
    <t>Clinical efecctiveness and tooth sensitivity of at-home bleaching treatment with 35% carbamide peroxide versus 10% carbamide peroxide- a randomized double-blind clinical trial</t>
  </si>
  <si>
    <t>U1111-1230-3924</t>
  </si>
  <si>
    <t>Ultrasound guided quadratus lumborum block as an exclusive method of anesthesia on Extraperitoneal Laparoscopic correction of Inguinal Hernia</t>
  </si>
  <si>
    <t>U1111-1230-2274</t>
  </si>
  <si>
    <t>Murillo de Lima Favaro</t>
  </si>
  <si>
    <t>*55(11)982314969</t>
  </si>
  <si>
    <t>mlfavaro@prof.unisa.br</t>
  </si>
  <si>
    <t>Characterization of autonomical modulation and the functional profile of people with spinal cord injury</t>
  </si>
  <si>
    <t>U1111-1228-0481</t>
  </si>
  <si>
    <t>Celso Ferreira</t>
  </si>
  <si>
    <t>doutorcelsoferreira@gmail.com</t>
  </si>
  <si>
    <t>Comparison of a protocol for the training of pelvic floor muscles isolated and associated with the electrostimulation of posterior tibial nerve for mixed urinary incontinence: a clinical trial randomized and blind</t>
  </si>
  <si>
    <t>U1111-1229-6481</t>
  </si>
  <si>
    <t>Maria Albuquerque Micussi</t>
  </si>
  <si>
    <t>Effectiveness evaluation of the Education Program on Drug and Violence Resistance (PROERD) from de Militar Police of São Paulo State</t>
  </si>
  <si>
    <t>U1111-1226-6332</t>
  </si>
  <si>
    <t>+55(11)98934 8282</t>
  </si>
  <si>
    <t>Effectiveness of care provided by a professional caregiver in reducing the burden of family caregivers of dependent elderly: randomized controlled clinical trial</t>
  </si>
  <si>
    <t>U1111-1227-2969</t>
  </si>
  <si>
    <t>Gisele ODwyer</t>
  </si>
  <si>
    <t>55-21- 2598-2848</t>
  </si>
  <si>
    <t>odwyer@ensp.fiocruz.br</t>
  </si>
  <si>
    <t>Escola Nacional de Saúde Pública</t>
  </si>
  <si>
    <t>Effects of the Avaluation of Cardiorrespiratory Fitness at the level of activity and physical fitness of adults of the community</t>
  </si>
  <si>
    <t>U1111-1229-4221</t>
  </si>
  <si>
    <t>Victor Zuniga Dourado</t>
  </si>
  <si>
    <t>vzdourado@yahoo.com.br</t>
  </si>
  <si>
    <t>Universidade Federal São Paulo</t>
  </si>
  <si>
    <t>The dance as a resource of the occupational therapist with the elderly: contributions in the quality of life</t>
  </si>
  <si>
    <t>U1111-1227-4997</t>
  </si>
  <si>
    <t>Dance,Quality of Life,Older People</t>
  </si>
  <si>
    <t>Effectiveness of the Continued Approach to Cognitive Behavioral Therapy for Smoking Cessation</t>
  </si>
  <si>
    <t>U1111-1227-4273</t>
  </si>
  <si>
    <t>Nicotine dependence,Smoking,Tobacco Use Cessation,Cognitive Therapy,Mental disorders</t>
  </si>
  <si>
    <t>Gisele Odwyer</t>
  </si>
  <si>
    <t>+55(21)25982848</t>
  </si>
  <si>
    <t>Escola Nacional de Saúde Pública Sérgio Arouca/Fundação Oswaldo Cruz</t>
  </si>
  <si>
    <t>Resistance Training as a Strategy for Preventing Falls in the Older Adults: A Randomized Clinical Trial</t>
  </si>
  <si>
    <t>U1111-1227-9573</t>
  </si>
  <si>
    <t>Falls</t>
  </si>
  <si>
    <t>PETROLINA</t>
  </si>
  <si>
    <t>Acute effects of sugar beet intake on the vascular function of hypertensive patients</t>
  </si>
  <si>
    <t>U1111-1208-5541</t>
  </si>
  <si>
    <t>Mário Fritsch Toros Neves</t>
  </si>
  <si>
    <t>mariofneves@gmail.com</t>
  </si>
  <si>
    <t>Hospital Universitário Pedro Ernesto - HUPE</t>
  </si>
  <si>
    <t>Effects of laying on of hands in patients submitted to cardiac surgery: clinical trial</t>
  </si>
  <si>
    <t>U1111-1223-2747</t>
  </si>
  <si>
    <t>Ansiedade pré-operatória</t>
  </si>
  <si>
    <t>Eduardo TAvares Gomes</t>
  </si>
  <si>
    <t>Olinda</t>
  </si>
  <si>
    <t>Physioterapy in balance training of Parkinson´s disease pacients with Gametherapy</t>
  </si>
  <si>
    <t>U1111-1195-2251</t>
  </si>
  <si>
    <t>Evaluation of superiority on efficacy and safety of Penetro® solution for inhalation (eucalyptol terpin monohydrate and menthol) over placebo in the treatment of acute nasal obstruction in pediatric population 06-17 years old: a phase III national multicenter double blind and randomized clinical trial</t>
  </si>
  <si>
    <t>U1111-1230-6523</t>
  </si>
  <si>
    <t>Other specified diseases of the upper airways,nasal obstruction</t>
  </si>
  <si>
    <t>Carlos Sverdloff</t>
  </si>
  <si>
    <t>carlos.sverdloff@synovahealth.com</t>
  </si>
  <si>
    <t>Efficacy of dental anesthesia in patients with retromolar foramen observed through cone beam computed tomography</t>
  </si>
  <si>
    <t>U1111-1214-0960</t>
  </si>
  <si>
    <t>Camila Tirapelli</t>
  </si>
  <si>
    <t>catirapelli@forp.usp.br</t>
  </si>
  <si>
    <t>Faculdade de odontologia de Ribeirão Preto</t>
  </si>
  <si>
    <t>Effects of direct current stimulation (tDCS) on ventricular variability and post-exercise hypotension in resistant hypertensive patients</t>
  </si>
  <si>
    <t>U1111-1227-7803</t>
  </si>
  <si>
    <t>Renata Maria dos Santos Celeghini</t>
  </si>
  <si>
    <t>+55-19-3521.89.36</t>
  </si>
  <si>
    <t>Taste umami in chemotherapy with platinum coordination drugs</t>
  </si>
  <si>
    <t>U1111-1220-2707</t>
  </si>
  <si>
    <t>Comitê de ética em pesquisa Comitê de ética em pesquisa</t>
  </si>
  <si>
    <t>Hospital das Clínicas da Faculdade de Medicina de Ribeirão Preto-USP</t>
  </si>
  <si>
    <t>Effectiveness of intervention applied in maternity with use educational manual in the support provided by chaperone in delivery room</t>
  </si>
  <si>
    <t>U1111-1230-5549</t>
  </si>
  <si>
    <t>Igor Cordeiro Mendes</t>
  </si>
  <si>
    <t>igormendesufce@gmail.com</t>
  </si>
  <si>
    <t>Departamento de Enfermagem - Universidade Federal do Ceará</t>
  </si>
  <si>
    <t>The relation between the mobility of the shoulder complex and the scapulothoracic muscular function and its influence on the incidence of shoulder injuries in Crosstraining practitioners</t>
  </si>
  <si>
    <t>U1111-1230-3330</t>
  </si>
  <si>
    <t>Shoulder Injuries,shoulder pain</t>
  </si>
  <si>
    <t>Effectiveness of Mindfulness Based Relapse Prevention as an adjunct to the treatment of substance use disorder: a randomized controlled trial</t>
  </si>
  <si>
    <t>U1111-1230-3692</t>
  </si>
  <si>
    <t>Personal history of psychoactive substance abuse</t>
  </si>
  <si>
    <t>Itamar José Félix Junior</t>
  </si>
  <si>
    <t>55 69 992330632</t>
  </si>
  <si>
    <t>itamar.junior44@gmail.com</t>
  </si>
  <si>
    <t>Effects of protein supplementation and resistance training on nutritional metabolic and associated factors in late postoperative bariatric patients</t>
  </si>
  <si>
    <t>U1111-1204-3807</t>
  </si>
  <si>
    <t>Bariatric surgery,nutritional status,energy metabolism,obesity</t>
  </si>
  <si>
    <t>Kênia Mara Baiocchi de Carvalho</t>
  </si>
  <si>
    <t>kenia@unb.br</t>
  </si>
  <si>
    <t>The Influence of Physiotherapy in labor in low risk parturients</t>
  </si>
  <si>
    <t>04/30/2019</t>
  </si>
  <si>
    <t>U1111-1222-9599</t>
  </si>
  <si>
    <t>Parturients in labor</t>
  </si>
  <si>
    <t>Valdete Leal</t>
  </si>
  <si>
    <t>cep.hipiranga@gmail.com</t>
  </si>
  <si>
    <t>Hospital Ipiranga</t>
  </si>
  <si>
    <t>Assessment of the potential of hearing improvement by performing a double-blind randomized cross-over study in the state of São Paulo. Consumer satisfaction with sound amplification in everyday life with a new high-performance hearing aid - WHO Inc. compared to advanced digital hearing aids available on the market</t>
  </si>
  <si>
    <t>U1111-1228-1977</t>
  </si>
  <si>
    <t>Bárbara Vieira Coró</t>
  </si>
  <si>
    <t>55(16) 36022860</t>
  </si>
  <si>
    <t>barbaracoro.fono@gmail.com</t>
  </si>
  <si>
    <t>Teaching of foot care in reducing the risk of integrity of harmful skin of people with Diabetes Mellitus type 2: randomized clinical trial</t>
  </si>
  <si>
    <t>U1111-1224-3219</t>
  </si>
  <si>
    <t>Érika de Cássia Chaves</t>
  </si>
  <si>
    <t>+55(35)32991380</t>
  </si>
  <si>
    <t>erika.chaves@unifal-mg.edu.br</t>
  </si>
  <si>
    <t>Evaluation of the Minimum Effective Concentration (CEM) analgesic of ropivacaine in ultrasound guided safeno block for knee arthroscopy Randomized double blind study</t>
  </si>
  <si>
    <t>U1111-1223-6103</t>
  </si>
  <si>
    <t>Individuals with knee meniscopathy</t>
  </si>
  <si>
    <t>Monica Noleto</t>
  </si>
  <si>
    <t>mnoleto@unifesp.br</t>
  </si>
  <si>
    <t>universidade federal de sao paulo</t>
  </si>
  <si>
    <t>Apical root canal cleaning comparison after preparation with reciprocating and rotary instruments - randomised trial in vivo analysis</t>
  </si>
  <si>
    <t>U1111-1227-3123</t>
  </si>
  <si>
    <t>Volmir João Fornari</t>
  </si>
  <si>
    <t>55-54-33128763</t>
  </si>
  <si>
    <t>volmir@ceompf.com.br</t>
  </si>
  <si>
    <t>Evaluation of change lifestyle in women with Breast Cancer through Quality of Life Depression Function Nutrition appraisal and evaluation Biological Mechanisms</t>
  </si>
  <si>
    <t>U1111-1226-4053</t>
  </si>
  <si>
    <t>Ana Silvia Diniz Makluf</t>
  </si>
  <si>
    <t>anamakluf@bol.com.br</t>
  </si>
  <si>
    <t>Instituto de Previdência dos Servidores do Estado de Minas Gerais</t>
  </si>
  <si>
    <t>Effectiveness of in-office bleaching using hydrogen peroxide 6% with photoactivation LED Violet: double-blind randomized clinical trial</t>
  </si>
  <si>
    <t>U1111-1228-2333</t>
  </si>
  <si>
    <t>Evaluation of the effectiveness of the program Elos-Building Collectives to reduce aggression in children from 1st to 4th year of elementary school</t>
  </si>
  <si>
    <t>U1111-1228-2342</t>
  </si>
  <si>
    <t>Sheila Cavalcante Caetano</t>
  </si>
  <si>
    <t>sheilaccaetano@gmail.com</t>
  </si>
  <si>
    <t>Association between postural balance and functional limitation in individuals with chronic ankle instability</t>
  </si>
  <si>
    <t>U1111-1230-3085</t>
  </si>
  <si>
    <t>Ankle sprain</t>
  </si>
  <si>
    <t>Nutritional counseling with cognitive behavioral intervention as a strategy for behavioral food change for children with overweight</t>
  </si>
  <si>
    <t>U111112254201</t>
  </si>
  <si>
    <t>Obesity pediatric</t>
  </si>
  <si>
    <t>Sherida da Silva Neves</t>
  </si>
  <si>
    <t>+55 85 988891274</t>
  </si>
  <si>
    <t>sheridasn@yahoo.com.br</t>
  </si>
  <si>
    <t>Application of Blended Multidisciplinary Therapy Methodology with Electronic Means for the Obese Treatment in Adolescents</t>
  </si>
  <si>
    <t>1111-1197-4412</t>
  </si>
  <si>
    <t>Ana Claudia Pelissari Kravchychyn</t>
  </si>
  <si>
    <t>anapelissari@unifesp.br</t>
  </si>
  <si>
    <t>Randomized clinical trial with two physical therapy protocols after breast cancer surgery and immediate reconstruction</t>
  </si>
  <si>
    <t>U1111-1171-1634</t>
  </si>
  <si>
    <t>seroma</t>
  </si>
  <si>
    <t>Samantha Karlla Lopes de Almeida Rizzi</t>
  </si>
  <si>
    <t>+55(11)23067435</t>
  </si>
  <si>
    <t>samyfisio@gmail.com</t>
  </si>
  <si>
    <t>Universidade Federal de São Paulo - UNIFESP/EPM</t>
  </si>
  <si>
    <t>Evaluation of the Clinical Performance of Posterior Total Crowns of Monolithic Ceramics</t>
  </si>
  <si>
    <t>04/25/2019</t>
  </si>
  <si>
    <t>U1111-12160116</t>
  </si>
  <si>
    <t>Fractional Microablative Radiofrequency and Pelvic Floor Muscle Trainng in the treatment of women with Stress Urinary Incontinence: a randomized clinical trial</t>
  </si>
  <si>
    <t>U1111-1227-7463</t>
  </si>
  <si>
    <t>Faculdade de Cienciena Médicas da Universidade Estadual de Campinas (UNICAMP)</t>
  </si>
  <si>
    <t>Dorsomedial prefrontal inhibitory Transcranial Magnetic Stimulation for Craving reduction in Smokers</t>
  </si>
  <si>
    <t>U111112286918</t>
  </si>
  <si>
    <t>Rodrigo Coelho Marques</t>
  </si>
  <si>
    <t>rodrigocoelhomarques@gmail.com</t>
  </si>
  <si>
    <t>Singular Psiquiatria e Neuromodulação</t>
  </si>
  <si>
    <t>Elliptical training on improvement of stair ascent capacity of individuals with hemiparesis in the chronic phase: a feasibility study</t>
  </si>
  <si>
    <t>U1111-1226-3381</t>
  </si>
  <si>
    <t>Stella Maris Michaelsen</t>
  </si>
  <si>
    <t>michaelsenstella@hotmail.com</t>
  </si>
  <si>
    <t>Blood pressure control with metoprolol or clonidin in otorhinolaryngology surgery for poorly controlled hypertension patient</t>
  </si>
  <si>
    <t>U1111-1211-7890</t>
  </si>
  <si>
    <t>Effect of a Feeding Program for Strength Training on MMA</t>
  </si>
  <si>
    <t>04/22/2019</t>
  </si>
  <si>
    <t>U1111-1226-9802</t>
  </si>
  <si>
    <t>Graciana Teixeira Costa</t>
  </si>
  <si>
    <t>graciananut@hotmail.com</t>
  </si>
  <si>
    <t>Neurobehavioral and physiological responses of pain in preterm infants: a randomized clinical trial</t>
  </si>
  <si>
    <t>U1111-1226-9919</t>
  </si>
  <si>
    <t>Aline Martins Toledo</t>
  </si>
  <si>
    <t>alinemartoledo@gmail.com</t>
  </si>
  <si>
    <t>Effect of a single session of gait training with body weight support on epigenetic parameters brain derived neurotrophic factor levels and injury markers and peripheral blood muscle repair in adult individuals with incomplete spinal cord injury</t>
  </si>
  <si>
    <t>U1111-1228-6473</t>
  </si>
  <si>
    <t>Viviane Elsner</t>
  </si>
  <si>
    <t>POA</t>
  </si>
  <si>
    <t>Diagnostic and treatment of skin cancer using Photodynamic Therapy</t>
  </si>
  <si>
    <t>U1111-1215-2068</t>
  </si>
  <si>
    <t>Basal cell carcinoma</t>
  </si>
  <si>
    <t>The effectiveness of the Neonatal Resuscitation Course in assisting the newborn in the delivery room</t>
  </si>
  <si>
    <t>U1111-1212-3780</t>
  </si>
  <si>
    <t>Caroline Cavalcanti Goncalves</t>
  </si>
  <si>
    <t>carolcg2006@hotmail.com</t>
  </si>
  <si>
    <t>Cognitively-Based Compassion Training - CBCT vs. Social Vulnerability: Effects on Individual and Collective Well-Being</t>
  </si>
  <si>
    <t>U1111-1225-6147</t>
  </si>
  <si>
    <t>Karen Mendes Jorge Souza</t>
  </si>
  <si>
    <t>+55(11) 5576-4430</t>
  </si>
  <si>
    <t>karen.souza@unifesp.br</t>
  </si>
  <si>
    <t>The role of technology in self-management and adherence to different treatment regimens for insulin-dependent diabetes mellitus</t>
  </si>
  <si>
    <t>U1111-1228-3527</t>
  </si>
  <si>
    <t>Felipe Martins de Oliveira</t>
  </si>
  <si>
    <t>Ourinhos</t>
  </si>
  <si>
    <t>fmo.endocrinologia@gmail.com</t>
  </si>
  <si>
    <t>Associação dos Diabéticos de Ourinhos (ADO)</t>
  </si>
  <si>
    <t>Effects of pilates and aerobic exercise in women undergoing treatment for mammary neoplasia: a control randomized clinical trial</t>
  </si>
  <si>
    <t>U1111-1203-8085</t>
  </si>
  <si>
    <t>Arthralgia,fatigue,muscle strength,sleep quality,body mass index/body composition,sexual function,quality of life,depression,anxiety</t>
  </si>
  <si>
    <t>The effect of whey protein and ascorbic acid supplementation on nutritional status inflammation oxidative stress and quality of life: randomized clinical trial in hemodialysis patients</t>
  </si>
  <si>
    <t>U1111-1214-2307</t>
  </si>
  <si>
    <t>prospective randomized study in the use of pregabalin for control and prevention of chronic pain after inguinal hernioplasty</t>
  </si>
  <si>
    <t>U1111-1230-3207</t>
  </si>
  <si>
    <t>inguinal hernia,pos operatory pain</t>
  </si>
  <si>
    <t>silvio gabor</t>
  </si>
  <si>
    <t>silvio@gabor.com.br</t>
  </si>
  <si>
    <t>A phase III double-blind placebo-controlled multicenter randomized study of Pracinostat in combination with Azacitidine in patients older or equal to 18 years with newly diagnosed Acute Myeloid Leukemia unfit for standard induction chemotherapy</t>
  </si>
  <si>
    <t>U1111-1231-9092</t>
  </si>
  <si>
    <t>Acute Myeloid Leukemia</t>
  </si>
  <si>
    <t>Daniela Garcia</t>
  </si>
  <si>
    <t>+55 11 98635-8717</t>
  </si>
  <si>
    <t>dgarcia@clinipace.com</t>
  </si>
  <si>
    <t>Clinipace Pesquisas Clínicas do Brasil Ltda. - CPWW</t>
  </si>
  <si>
    <t>Effect of dietary fiber supplementation on blood pressure and pcr values ??in adult women with methylation of the add1 gene</t>
  </si>
  <si>
    <t>U1111-1220-4046</t>
  </si>
  <si>
    <t>Mussara Gomes Cavalcanti Alves Monteiro</t>
  </si>
  <si>
    <t>mussara.monteiro@hotmail.com</t>
  </si>
  <si>
    <t>Effect of manual therapy of the vagus nerve on pain and thoracic expansion in patients with chronic non-specific neck pain</t>
  </si>
  <si>
    <t>U1111-1230-4440</t>
  </si>
  <si>
    <t>David Lam</t>
  </si>
  <si>
    <t>dlam1984@hotmail.com</t>
  </si>
  <si>
    <t>Centro Universitário União das Américas - UNIAMÉRICA</t>
  </si>
  <si>
    <t>Effects of extreme conditioning program and supplementation of cranberry on immunomodulation: a randomized clinical trial</t>
  </si>
  <si>
    <t>04/18/2019</t>
  </si>
  <si>
    <t>U1111-1225-7117</t>
  </si>
  <si>
    <t>Ana Mara Oliveira Silva</t>
  </si>
  <si>
    <t>anamaraufs@gmail.com</t>
  </si>
  <si>
    <t>Peripheral insertion central catheter with Bioflo® technology versus Power Picc®: incidence and predictors of thrombosis</t>
  </si>
  <si>
    <t>U1111-1225-9792</t>
  </si>
  <si>
    <t>Upper Extremity Deep Vein Thrombosis</t>
  </si>
  <si>
    <t>Fabio Pires de Souza Santos</t>
  </si>
  <si>
    <t>55-112151-3729</t>
  </si>
  <si>
    <t>cep@einstein.br</t>
  </si>
  <si>
    <t>Influence of the Strengthening of the Lateral Rotators and Abductors of the Hip in the Treatment of Atraumatic Patellar Dislocation: A Randomized Blinded Clinical Trial</t>
  </si>
  <si>
    <t>U1111-1208-2375</t>
  </si>
  <si>
    <t>Patellar dislocation,Exercise therapy,Conservative treatment,Physical Therapy modalities</t>
  </si>
  <si>
    <t>Cultural circles: promoting preventive intentions in Leprosy with school adolescents</t>
  </si>
  <si>
    <t>U1111-1225-0834</t>
  </si>
  <si>
    <t>Magaly Bushatsky</t>
  </si>
  <si>
    <t>55 81 31833600</t>
  </si>
  <si>
    <t>magaly.bushatsky@upe.br</t>
  </si>
  <si>
    <t>Pilates in young soccer players</t>
  </si>
  <si>
    <t>U1111-1219-7025</t>
  </si>
  <si>
    <t>Dernival Bertoncello</t>
  </si>
  <si>
    <t>Effects of Physical Activity on brain function and cognition in the elderly with different levels of physical fitness</t>
  </si>
  <si>
    <t>U1111-1211-5951</t>
  </si>
  <si>
    <t>Eduardo Bodnariuc Fontes</t>
  </si>
  <si>
    <t>eduardobfontes@gmail.com</t>
  </si>
  <si>
    <t>Educational intervention in precautions for the transmission of microorganisms in primary health care</t>
  </si>
  <si>
    <t>U1111-1203-0732</t>
  </si>
  <si>
    <t>Nurse practitioners,primary health care</t>
  </si>
  <si>
    <t>Isis Pienta Batista Dias Passos</t>
  </si>
  <si>
    <t>isispienta@gmail.com</t>
  </si>
  <si>
    <t>Photobiomodulation therapy associated with conservative treatment in Acute Achilles Tendon Rupture</t>
  </si>
  <si>
    <t>07/21/2017</t>
  </si>
  <si>
    <t>U1111-1194-1963</t>
  </si>
  <si>
    <t>Achilles tendon rupture in men</t>
  </si>
  <si>
    <t>Pedro Rizzi de Oliveira</t>
  </si>
  <si>
    <t>55-11-45739074</t>
  </si>
  <si>
    <t>rizziol@gmail.com</t>
  </si>
  <si>
    <t>Blood Flow Restriction Resistance Training in Kidney Transplantation patients</t>
  </si>
  <si>
    <t>04/17/2019</t>
  </si>
  <si>
    <t>U1111-1228-3170</t>
  </si>
  <si>
    <t>Christiano Bertoldo Urtado</t>
  </si>
  <si>
    <t>+55 19 99713-6749</t>
  </si>
  <si>
    <t>christiano.bertoldo@gmail.com</t>
  </si>
  <si>
    <t>Study of microcirculation in Leprosy using polarized orthogonal light (Microscan®)and laser-Doppler associated to iontophoresis: A model of dysautonomy by denervation</t>
  </si>
  <si>
    <t>U1111-1222-2387</t>
  </si>
  <si>
    <t>Effects of Physical Exercises associated with increased complexity with Stimulation in the mobility muscular strength cognition and quality of life of Individuals Post-Stroke</t>
  </si>
  <si>
    <t>U1111-1198-7173</t>
  </si>
  <si>
    <t>Camilo Motta Pinto Alves</t>
  </si>
  <si>
    <t>camilo.alves@usp.br</t>
  </si>
  <si>
    <t>Escola de Educação Física e Esporte - USP</t>
  </si>
  <si>
    <t>Nitric Oxide Generator for newborn Pulmonary Hypertension a portable bedside device</t>
  </si>
  <si>
    <t>U1111-1198-4399</t>
  </si>
  <si>
    <t>Pulmonary Hypertension of the newborn</t>
  </si>
  <si>
    <t>Maria Fernanda Blasina Viera</t>
  </si>
  <si>
    <t>MONTEVIDEO</t>
  </si>
  <si>
    <t>Uruguay</t>
  </si>
  <si>
    <t>fblasina@gmail.com</t>
  </si>
  <si>
    <t>Hospital de Clínicas</t>
  </si>
  <si>
    <t>Sensitivity to in-office bleaching not applied in cervical area: randomized clinical trial</t>
  </si>
  <si>
    <t>04/16/2019</t>
  </si>
  <si>
    <t>U1111-1224-9434</t>
  </si>
  <si>
    <t>Repetitive Transcranial Magnetic Stimulation associated with Aerobic Exercise: Repercussions on Perception of Pain Memory and Sleep/Wake Rhythm of Individuals with Chronic Migraine</t>
  </si>
  <si>
    <t>U1111-1214-6404</t>
  </si>
  <si>
    <t>Migraine,Migraine Disorders,Headache,Chronic Pain</t>
  </si>
  <si>
    <t>Effect of hydrokinesitherapy on anxiety depression and quality of life in patients with Rheumatoid Arthritis</t>
  </si>
  <si>
    <t>U1111-1195-4492</t>
  </si>
  <si>
    <t>Monique  Gevaerd</t>
  </si>
  <si>
    <t>55 (48)3664-8600</t>
  </si>
  <si>
    <t>moniquegevaerd@yahoo.com.br</t>
  </si>
  <si>
    <t>Development of a protocol using Proprioceptive Neuromuscular Facilitation for treatment of patients with Traumatic Brachial Plexus Injury</t>
  </si>
  <si>
    <t>U1111-1216-5052</t>
  </si>
  <si>
    <t>Traumatic Brachial Plexus Injury</t>
  </si>
  <si>
    <t>Daniella Araújo de Oliveira</t>
  </si>
  <si>
    <t>+55 81 2126-7961</t>
  </si>
  <si>
    <t>sabinodaniellaufpe@gmail.com</t>
  </si>
  <si>
    <t>Use of the list of recorded words for evaluation of speech perception in children using cochlear implants</t>
  </si>
  <si>
    <t>People with hearing loss,child,cochlear implant</t>
  </si>
  <si>
    <t>Natalia Barreto Frederigue-Lopes</t>
  </si>
  <si>
    <t>nathalia@frederigue.com.br</t>
  </si>
  <si>
    <t>Universidade de São Paulo - USP</t>
  </si>
  <si>
    <t>Effect of chronic and / or acute Caffeine in performance on the test time-trial on cyclists</t>
  </si>
  <si>
    <t>U1111-1222-0367</t>
  </si>
  <si>
    <t>Anderson Pontes Morales</t>
  </si>
  <si>
    <t>andersonmrl@hotmail.com</t>
  </si>
  <si>
    <t>Universidade Federal do Rio de Janeiro (UFRJ-Campus Macaé)</t>
  </si>
  <si>
    <t>Impact of a circuit exercise program on the physical-function capacity on the risk of falls and depressive symptoms int he community-dwelling elderly</t>
  </si>
  <si>
    <t>U1111-1228-7146</t>
  </si>
  <si>
    <t>Body imbalance,muscle weakness,depressive symptoms,falls</t>
  </si>
  <si>
    <t>Patrícia Azevedo Garcia</t>
  </si>
  <si>
    <t>+55 (61) 3107-8422</t>
  </si>
  <si>
    <t>patriciaagarcia@unb.br</t>
  </si>
  <si>
    <t>Effectiveness of modified sacral spinal anesthesia in ambulatory hemorrhoidectomies: randomized clinical trial</t>
  </si>
  <si>
    <t>U1111-1222-8739</t>
  </si>
  <si>
    <t>Benign anorectal diseases: hemorrhoids,anal fissures,and perianal fistula</t>
  </si>
  <si>
    <t>Rafael Peterson Soares Santos</t>
  </si>
  <si>
    <t>Arapiraca</t>
  </si>
  <si>
    <t>rafaelpeterson@hotmail.com</t>
  </si>
  <si>
    <t>Hospital Universitário Professor Alberto Antunes - HUPAA/UFAL</t>
  </si>
  <si>
    <t>Speech therapy rehabilitation in recovery of stomatognathic functions in patients with face trauma</t>
  </si>
  <si>
    <t>U1111-1228-7005</t>
  </si>
  <si>
    <t>Fracture of mandible</t>
  </si>
  <si>
    <t>Karoline Weber dos Santos</t>
  </si>
  <si>
    <t>karolweber@gmail.com</t>
  </si>
  <si>
    <t>Effectiveness of exercise in the treatment of major depression Alzheimers disease and Parkinsons disease</t>
  </si>
  <si>
    <t>U1111-1185-6921</t>
  </si>
  <si>
    <t>Major Depressive Disorder,Mild Cognitive Impairment,Alzheimers Disease,Parkinsons Disease</t>
  </si>
  <si>
    <t>Andrea Camaz Deslandes</t>
  </si>
  <si>
    <t>+55 (21) 3938-5506</t>
  </si>
  <si>
    <t>camazdeslandes@gmail.com</t>
  </si>
  <si>
    <t>Instituto de Psiquiatria da Universidade Federal do Rio de Janeiro</t>
  </si>
  <si>
    <t>Muscle recruitment and flexibility of spinal erectors: an evaluation of the effects from the Myofascial Release Technique</t>
  </si>
  <si>
    <t>U1111-1228-7359</t>
  </si>
  <si>
    <t>Muscle Weakness,Contracture</t>
  </si>
  <si>
    <t>1 MHz and 3 MHz ultrasound in the treatment of the trigger points of upper trapezius muscle</t>
  </si>
  <si>
    <t>U1111-1228-8178</t>
  </si>
  <si>
    <t>Variability of cardiac frequency in persons with visual deficienty</t>
  </si>
  <si>
    <t>U1111-1227-3575</t>
  </si>
  <si>
    <t>Visual impairment. Blindness. Autonomic Nervous System. Heart Rate</t>
  </si>
  <si>
    <t>Mauro José de Deus Morais</t>
  </si>
  <si>
    <t>55-68-99971-6122</t>
  </si>
  <si>
    <t>maurodedeus@outlook.com</t>
  </si>
  <si>
    <t>Faculdade de Medicina do Abc</t>
  </si>
  <si>
    <t>Characterization of cardiovascular risk factors and profile of cardiac autonomic modulation in school-age children</t>
  </si>
  <si>
    <t>U1111-1230-0830</t>
  </si>
  <si>
    <t>Efficacy and acceptability in the use of cariostatic compared to fluoride varnish in caries lesions in enamel in first permanent molars</t>
  </si>
  <si>
    <t>U1111-1228-5621</t>
  </si>
  <si>
    <t>Rafaela Sabino e Andrade</t>
  </si>
  <si>
    <t>rafaelasabino@gmail.com</t>
  </si>
  <si>
    <t>The use of Low Intensity Laser in Temporomandibular Dysfunctions: Randomized Clinical Study</t>
  </si>
  <si>
    <t>1111-1226-6023</t>
  </si>
  <si>
    <t>Temporomandibular Dysfunction</t>
  </si>
  <si>
    <t>Thaís De Oliveira Rocha</t>
  </si>
  <si>
    <t>thais.rocha@unesp.br</t>
  </si>
  <si>
    <t>Physiotherapy assistance in labor: the influence of transcutaneous electrical stimulation and the heated thermal bag during normal labor</t>
  </si>
  <si>
    <t>U1111-1229-1645</t>
  </si>
  <si>
    <t>Normal labor</t>
  </si>
  <si>
    <t>Strength Training Effects on Clinical Outcomes Quality of Life and Functional and Neuromuscular Capacities of Patients with Compensated Cirrhosis</t>
  </si>
  <si>
    <t>U1111-1221-5173</t>
  </si>
  <si>
    <t>Cirrhosis</t>
  </si>
  <si>
    <t>Jonathan Soldera</t>
  </si>
  <si>
    <t>jonathansoldera@gmail.com</t>
  </si>
  <si>
    <t>Clinical efficacy of a distance exercise protocol associated with telerehabilitation for patients with chronic knee pain</t>
  </si>
  <si>
    <t>U1111-1226-5489</t>
  </si>
  <si>
    <t>Jéssica Bianca Aily</t>
  </si>
  <si>
    <t>+55(16)33519579</t>
  </si>
  <si>
    <t>Development and validation of knee questionnaires: an application for the evaluation of knee injuries</t>
  </si>
  <si>
    <t>U1111-1225-9292</t>
  </si>
  <si>
    <t>Gonarthrosis,arthrosis of knee,Osteoarthritis,Knee</t>
  </si>
  <si>
    <t>CLECIO LIMA LOPES</t>
  </si>
  <si>
    <t>55 87 998006594</t>
  </si>
  <si>
    <t>cleciolimopes@yahoo.com.br</t>
  </si>
  <si>
    <t>UNIVERSIDADE FEDERAL DO VALE DO SÃO FRANCISCO</t>
  </si>
  <si>
    <t>Effects of Transcranial Direct Current Stimulation in persons suffered by Generalized Anxiety Disorders</t>
  </si>
  <si>
    <t>U1111-1226-8356</t>
  </si>
  <si>
    <t>Generalized Anxiety Disorder</t>
  </si>
  <si>
    <t>Ana Lucia Lima</t>
  </si>
  <si>
    <t>analucialimaa@gmail.com</t>
  </si>
  <si>
    <t>Tissue Oxygenation Evaluation in peripheral muscles and Functional Capacity in children and adolescents with Cystic Fibrosis after a Home Physical Exercise Prescription Program</t>
  </si>
  <si>
    <t>U1111-1228-7435</t>
  </si>
  <si>
    <t>Effect of high-intensity interval training and moderate-intensity continuous training on ambulatory blood pressure cardiac vascular autonomic cerebral psychological metabolic and body composition outcomes in hypertensive older adults: a randomized controlled clinical trial</t>
  </si>
  <si>
    <t>U1111-1229-9166</t>
  </si>
  <si>
    <t>Evaluation of superiority on efficacy and safety of Penetro solution for inhalation (eucalyptol terpin monohydrate and menthol) over placebo in the treatment of acute nasal obstruction in adult population: a phase III national multicenter double blind and randomized clinical trial</t>
  </si>
  <si>
    <t>U1111-1229-4946</t>
  </si>
  <si>
    <t>Effects of Dancing on Physical-Functional Fitness Cardiometabolic Profile Cognition and Quality of Life of Older Adults: a Randomized Controlled Clinical Trial</t>
  </si>
  <si>
    <t>U1111-1225-2329</t>
  </si>
  <si>
    <t>Combined Therapy in Abdominal Adiposity treatment: randomized control trial</t>
  </si>
  <si>
    <t>U1111-1225-7442</t>
  </si>
  <si>
    <t>Fat abdominal</t>
  </si>
  <si>
    <t>Raphaela - Farias Teixeira</t>
  </si>
  <si>
    <t>ftraphaelafarias@hotmail.com</t>
  </si>
  <si>
    <t>Centro Universitário CESMAC</t>
  </si>
  <si>
    <t>Effects of inspiratory muscle training specificity on functional capacity respiratory function pulmonary endurance and life quality of patients with complete spinal motor spinal injury</t>
  </si>
  <si>
    <t>U1111-1228-6362</t>
  </si>
  <si>
    <t>Letícia de Araújo Morais</t>
  </si>
  <si>
    <t>leticiadearaujo@hotmail.com</t>
  </si>
  <si>
    <t>The influence of acupuncture-associated proprioceptive insoles on balance posture muscle activity flexibility and energy profile of meridians in women</t>
  </si>
  <si>
    <t>U1111-1228-1108</t>
  </si>
  <si>
    <t>Iron deficiency anemia in oncological patient: proposal for the implementation of a teatment protocol</t>
  </si>
  <si>
    <t>U1111-1227-8610</t>
  </si>
  <si>
    <t>Iron Deficiency Anemia</t>
  </si>
  <si>
    <t>Eduardo Durans Figuerêdo</t>
  </si>
  <si>
    <t>edufigueredo@terra.com.br</t>
  </si>
  <si>
    <t>U1111-1228-5498</t>
  </si>
  <si>
    <t>Kidney diseases,kidney transplantation</t>
  </si>
  <si>
    <t>U1111-1228-5471</t>
  </si>
  <si>
    <t>Neurophysiological and clinical effects promoted by Game Therapy in Fibromyalgia: Randomized Clinical Trial</t>
  </si>
  <si>
    <t>U1111-1226-6399</t>
  </si>
  <si>
    <t>Akeline Santos Almeida</t>
  </si>
  <si>
    <t>akelinefisioterapeuta@Gmail.com</t>
  </si>
  <si>
    <t>Psychomotricity and Stuttering in Speech-Language Clinic: Comparative Analysis of Perceptual-Auditory and Acoustic Vocal aspects Temporal Processing and Severity in Adults who Stutter - Randomized Clinical Trial</t>
  </si>
  <si>
    <t>U1111-1201-2814</t>
  </si>
  <si>
    <t>Stuttering [stammering]</t>
  </si>
  <si>
    <t>Jorge Agostinho de Farias Junior</t>
  </si>
  <si>
    <t>+55 (21) 99701-4045</t>
  </si>
  <si>
    <t>fariasjr.jorge@gmail.com</t>
  </si>
  <si>
    <t>Characterization of autonomic cardiac modulation in the postural transition of sedestation to orthostatism in people with spinal cord injury</t>
  </si>
  <si>
    <t>U1111-1223-7882</t>
  </si>
  <si>
    <t>Spinal Cord Injury</t>
  </si>
  <si>
    <t>Effects of an intervention to promote and support for breastfeeding through social maternal online network</t>
  </si>
  <si>
    <t>12/27/2016</t>
  </si>
  <si>
    <t>U1111-1187-6136</t>
  </si>
  <si>
    <t>Exclusive breastfeeding</t>
  </si>
  <si>
    <t>Débora Silva Cavalcanti</t>
  </si>
  <si>
    <t>+55(83)3216-7679</t>
  </si>
  <si>
    <t>deborasec@gmail.com</t>
  </si>
  <si>
    <t>Randomized clinical trial of venous access routes for cardiovascular implantable electronic devices at Hospital de Clínicas de Porto Alegre</t>
  </si>
  <si>
    <t>U1111-1226-6852</t>
  </si>
  <si>
    <t>Ana Paula Tagliari</t>
  </si>
  <si>
    <t>atagliari@hcpa.edu.br</t>
  </si>
  <si>
    <t>Assessment of of the implementation of an Educational Intervention focused on patients with poor anticoagulation control using vitamin K antagonist in two teaching hospitals</t>
  </si>
  <si>
    <t>U1111-1217-0151</t>
  </si>
  <si>
    <t>Atrial Fibrilation</t>
  </si>
  <si>
    <t>Josiane Moreira da Costa</t>
  </si>
  <si>
    <t>josycostta2@yahoo.com.br</t>
  </si>
  <si>
    <t>mHealth intervention to promote healthy eating among Brazilian adolescents</t>
  </si>
  <si>
    <t>U1111-1226-5015</t>
  </si>
  <si>
    <t>Maria Natacha Toral Bertolin</t>
  </si>
  <si>
    <t>natachatoral@hotmail.com</t>
  </si>
  <si>
    <t>Evaluation of Postoperative Pain and Success of Endodontic Treatment on the Quality of Life of patients with Type 2 Diabetes Mellitus - A Controlled Clinical Trial</t>
  </si>
  <si>
    <t>U1111-1228-6794</t>
  </si>
  <si>
    <t>Emílio Carlos Sponchiado Jr</t>
  </si>
  <si>
    <t>izabellybittencourt@live.com</t>
  </si>
  <si>
    <t>Efficacy of Customized Insoles in the treatment of Diabetic Foot: Randomized clinical trial</t>
  </si>
  <si>
    <t>U1111-1227-0524</t>
  </si>
  <si>
    <t>Type 2 diabetes</t>
  </si>
  <si>
    <t>Gabriel Farhat</t>
  </si>
  <si>
    <t>gabrielfarhat@yahoo.com.br</t>
  </si>
  <si>
    <t>The efficacy of two speech therapy interventions in the elderly living in nursing homes: a randomized clinical trial</t>
  </si>
  <si>
    <t>U1111-1223-2910</t>
  </si>
  <si>
    <t>Amanda Brito Gois</t>
  </si>
  <si>
    <t>amandacbgois@gmail.com</t>
  </si>
  <si>
    <t>Evolution of Psychomotor Development of children after Hydrotherapy</t>
  </si>
  <si>
    <t>U1111-1225-5698</t>
  </si>
  <si>
    <t>mariatereza@unoeste.com</t>
  </si>
  <si>
    <t>Unoeste</t>
  </si>
  <si>
    <t>Effects of tens on walking distance functional capacity autonomic cardiovascular function and cardiorespiratory fitness of individuals with Peripheral Arterial Disease: a randomized clinical trial</t>
  </si>
  <si>
    <t>U1111-1228-4586</t>
  </si>
  <si>
    <t>Peripheral Arterial Disease,Intermittent claudication</t>
  </si>
  <si>
    <t>Ana Paula Ferreira</t>
  </si>
  <si>
    <t>+55 - 032 - 9 8886 - 2891</t>
  </si>
  <si>
    <t>paulaffisio@gmail.com</t>
  </si>
  <si>
    <t>Faculdade de Ciências Médicas e da Saúde de Juiz de Fora - SUPREMA</t>
  </si>
  <si>
    <t>Morbidity postoperarive procedures in Tissue Graft after Laser application of Low Power in donor area: a Randomized Clinical Trial</t>
  </si>
  <si>
    <t>U1111-1221-4362</t>
  </si>
  <si>
    <t>Fernando Valentim Bitencourt</t>
  </si>
  <si>
    <t>Fernando.bitencourtxd@gmail.com</t>
  </si>
  <si>
    <t>Faculdade de Odontologia UFRGS</t>
  </si>
  <si>
    <t>Effects of systematized application of cold water immersion on clinical functional and performance parameters in swimming athletes - a randomized placebo-controlled clinical trial</t>
  </si>
  <si>
    <t>U1111-1229-4089</t>
  </si>
  <si>
    <t>Natanael Pereira Batista</t>
  </si>
  <si>
    <t>natan.pbatista@gmail.com</t>
  </si>
  <si>
    <t>Effect of Respiratory Muscle Training on the Immune Response in the elderly</t>
  </si>
  <si>
    <t>U1111-1226-2700</t>
  </si>
  <si>
    <t>Adriano Florencio Vilaça</t>
  </si>
  <si>
    <t>adrianofvilaca@gmail.com</t>
  </si>
  <si>
    <t>Virtual Learning Technology for teaching drug preparation and administration</t>
  </si>
  <si>
    <t>U1111-1229-7725</t>
  </si>
  <si>
    <t>Nursing Education</t>
  </si>
  <si>
    <t>Ana Lívia Araújo Girão</t>
  </si>
  <si>
    <t>aliviagirao@gmail.com</t>
  </si>
  <si>
    <t>Brazilian Fruits and Heart</t>
  </si>
  <si>
    <t>U1111-1227-3207</t>
  </si>
  <si>
    <t>+(55)1434021300</t>
  </si>
  <si>
    <t>Faculdade de Filosofia e Ciências,UNESP,Marília,SP,Brasil</t>
  </si>
  <si>
    <t>CAD/CAM metal-free single crowns: a controlled randomized clinical study</t>
  </si>
  <si>
    <t>U1111-1216-8043</t>
  </si>
  <si>
    <t>Ana Flávia Sanches Borges</t>
  </si>
  <si>
    <t>afborges@fob.usp.br</t>
  </si>
  <si>
    <t>Effect of Brazil nut (Bertholletia excelsa) supplementation on the maternal diet under the nutritional profile of human milk</t>
  </si>
  <si>
    <t>U1111-1227-1318</t>
  </si>
  <si>
    <t>Denise Cristina Rodrigues</t>
  </si>
  <si>
    <t>denisepediatra@gmail.com</t>
  </si>
  <si>
    <t>Departamento de Tecnologia de Alimentos - UFV</t>
  </si>
  <si>
    <t>Effects of respiratory muscle training on the functional capacity and quality of life of individuals with heart failure</t>
  </si>
  <si>
    <t>U1111-1225-2020</t>
  </si>
  <si>
    <t>Carla Cristina Andrade</t>
  </si>
  <si>
    <t>+55(34)38182300</t>
  </si>
  <si>
    <t>carla.andrade@faculdadepatosdeminas.edu.br</t>
  </si>
  <si>
    <t>Associação Educacional de Patos de Minas- FPM</t>
  </si>
  <si>
    <t>Clinical evaluation of the influence of calcium lactate and fluoride solution mouthrinses in reducing tooth sensitivity and the effectiveness of color change during in-office bleaching</t>
  </si>
  <si>
    <t>U1111-1210-8413</t>
  </si>
  <si>
    <t>Isabella Spinardi Furlan</t>
  </si>
  <si>
    <t>isafurlan_1993@hotmail.com</t>
  </si>
  <si>
    <t>Influence of Virtual Immersion in different environments on the consolidation of working memory</t>
  </si>
  <si>
    <t>U1111-1218-4252</t>
  </si>
  <si>
    <t>Disorder of memory processes</t>
  </si>
  <si>
    <t>José Arimatéia Dantas Lopes</t>
  </si>
  <si>
    <t>+55 08632155510</t>
  </si>
  <si>
    <t>reitor@ufpi.edu.br</t>
  </si>
  <si>
    <t>Fundação Universidade Federal do Piauí</t>
  </si>
  <si>
    <t>Effectiveness of the use of topical Tetracycline in cutaneous Loxoscelism</t>
  </si>
  <si>
    <t>U1111-1225-5894</t>
  </si>
  <si>
    <t>Denise V. Tambourgi</t>
  </si>
  <si>
    <t>011-26279727</t>
  </si>
  <si>
    <t>denise.tambourgi@butantan.gov.br</t>
  </si>
  <si>
    <t>Instituo Butantan</t>
  </si>
  <si>
    <t>Effects of exercise and nutritional intervention on functional capacity nutritional status health perception and quality of life of hemodialysis patients</t>
  </si>
  <si>
    <t>U1111-1229-2574</t>
  </si>
  <si>
    <t>Kidney failure chronic,renal dialysis,constipation</t>
  </si>
  <si>
    <t>Raquel Machado Schincaglia</t>
  </si>
  <si>
    <t>+55(62)32702700</t>
  </si>
  <si>
    <t>raquelms@outlook.com</t>
  </si>
  <si>
    <t>Rehabilitation Program in Individuals with Chronic Pain</t>
  </si>
  <si>
    <t>U1111-1221-4106</t>
  </si>
  <si>
    <t>Maíra Junkes Cunha</t>
  </si>
  <si>
    <t>mairajunkes@gmail.com</t>
  </si>
  <si>
    <t>Effects of photobiomodulation therapy on repair of rotator cuff tendinopathy of the shoulder</t>
  </si>
  <si>
    <t>U1111-1229-1075</t>
  </si>
  <si>
    <t>Rotator cuff tendinopathy</t>
  </si>
  <si>
    <t>The effect of Conventional Transcutaneous Electric Nerve Stimulation for treatment of Migraine crisis: a randomized clinical trial</t>
  </si>
  <si>
    <t>U1111-1197-2372</t>
  </si>
  <si>
    <t>Flávia Seullner Domingues</t>
  </si>
  <si>
    <t>+55(14)997180018</t>
  </si>
  <si>
    <t>fla.seullner@hotmail.com</t>
  </si>
  <si>
    <t>Universidade estadual paulista julio de mesquita filho UNESP- Faculdade de Medicina de Botucatu</t>
  </si>
  <si>
    <t>Impact of Complete Dentures on quality of life and masticatory performance in institutionalized elders</t>
  </si>
  <si>
    <t>U1111-1173-5982</t>
  </si>
  <si>
    <t>+55 84 32154100</t>
  </si>
  <si>
    <t>Effects of the inclusion of a Functional Circuit to Aerobic and Resistance Training on functionality physical activity in daily life and immuno-metabolic response of patients with Chronic obstructive pulmonary disease (COPD): a randomized clinical trial with follow up</t>
  </si>
  <si>
    <t>U1111-1210-5542</t>
  </si>
  <si>
    <t>Chronic obstrutive pulmonary disease</t>
  </si>
  <si>
    <t>55 (18) 32295821</t>
  </si>
  <si>
    <t>Universidade Estadual Julio de Mesquita Filho - UNESP</t>
  </si>
  <si>
    <t>Exercise Therapy to prevent Radiation-induced Trismus in Head and Neck cancer Patients</t>
  </si>
  <si>
    <t>U1111-1227-0293</t>
  </si>
  <si>
    <t>Geraldo Pereira Jotz</t>
  </si>
  <si>
    <t>geraldo.jotz@terra.com.br</t>
  </si>
  <si>
    <t>Effects of myofascial release and static stretching on ankle dorsiflexion range of motion in healthy runners: randomized trial</t>
  </si>
  <si>
    <t>U1111-1223-7423</t>
  </si>
  <si>
    <t>Leonardo Addeo Ramos</t>
  </si>
  <si>
    <t>leo_ramos@hotmail.com</t>
  </si>
  <si>
    <t>Hormone therapy effects among HIV-infected or at high risk of HIV infection: a cohort study</t>
  </si>
  <si>
    <t>U1111-1226-9843</t>
  </si>
  <si>
    <t>Unspecified human immunodeficiency virus [HIV] disease</t>
  </si>
  <si>
    <t>Beatriz  Grinsztejn</t>
  </si>
  <si>
    <t>gbeatriz@ini.fiocruz.br</t>
  </si>
  <si>
    <t>Insituto Nacional de Infectologia Evandro Chagas/Instituto de Pesquisa Clinica Evandro Chagas</t>
  </si>
  <si>
    <t>Influence of cytotherapy on prostaglandin production in healthy women during menstruation</t>
  </si>
  <si>
    <t>03/25/2019</t>
  </si>
  <si>
    <t>U1111-1227-2108</t>
  </si>
  <si>
    <t>Menstrual process in healthy women</t>
  </si>
  <si>
    <t>Maria da Graça Gama Melão</t>
  </si>
  <si>
    <t>dmgm@ufscar.br</t>
  </si>
  <si>
    <t>Comparative study of the effectiveness of two routes of corticosteroid administration to control edema trismus and pain after surgical extraction of impacted third molars</t>
  </si>
  <si>
    <t>U1111-1222-8779</t>
  </si>
  <si>
    <t>Chande in six minutes walk test and life quality after pulmonary reabilitation in lung trasplantation patients</t>
  </si>
  <si>
    <t>U1111-1224-8568</t>
  </si>
  <si>
    <t>Respiratory disorder unspecified</t>
  </si>
  <si>
    <t>Eliane Viana Mancuzo</t>
  </si>
  <si>
    <t>elianevmancuzo4@gmail.com</t>
  </si>
  <si>
    <t>The autonomic nervous system in asthmatic children</t>
  </si>
  <si>
    <t>03/21/2019</t>
  </si>
  <si>
    <t>U1111-1219-2186</t>
  </si>
  <si>
    <t>Linjie Zhang</t>
  </si>
  <si>
    <t>lzhang@furg.br</t>
  </si>
  <si>
    <t>Programa de Pós-graduação em Ciências da Saúde- PPGCS-FURG</t>
  </si>
  <si>
    <t>In vitro and in vivo evaluation of a resin restorative system bisphenol a free used for fixation of orthodontic brackets</t>
  </si>
  <si>
    <t>U1111-1221-2699</t>
  </si>
  <si>
    <t>Bis-Phenol A-Glycidyl Methacrylate,Endocrine Disruptors,Orthodontics,Stomatognathic diseases</t>
  </si>
  <si>
    <t>Renata Zoraida Rizental Delgado</t>
  </si>
  <si>
    <t>renatazrdelgado@usp.br</t>
  </si>
  <si>
    <t>Clinical Evaluation of Ceramic Facets Luting with Ceramic Self-Etch Primer</t>
  </si>
  <si>
    <t>U1111-1225-8693</t>
  </si>
  <si>
    <t>Expansion of virus specific lymphocytes for cell therapy in immunosuppressed patients submitted to bone marrow transplant</t>
  </si>
  <si>
    <t>U1111-1226-7367</t>
  </si>
  <si>
    <t>Cytomegalovirus Infection</t>
  </si>
  <si>
    <t>Isabel Bello</t>
  </si>
  <si>
    <t>Sociedade Beneficente Israelita Brasileira - Hospital Israelita Albert Einstein</t>
  </si>
  <si>
    <t>Comparison of the Pilates method and stretching in the neuromuscular variables in women with lombar pain</t>
  </si>
  <si>
    <t>U1111-1229-2359</t>
  </si>
  <si>
    <t>Marcelo Tavella Navega</t>
  </si>
  <si>
    <t>marcelonavega@yahoo.com.br</t>
  </si>
  <si>
    <t>Faculdade de Filosofia e Ciências- UNESP</t>
  </si>
  <si>
    <t>U1111-1229-2468</t>
  </si>
  <si>
    <t>Kidney failure chronic,renal dialysis,inflammation,oxidative stress,dyslipidemias,body composition,fatty acids,</t>
  </si>
  <si>
    <t>+55(62)985377072</t>
  </si>
  <si>
    <t>Temporomandibular disorder: morphological functional alterations and factors etiological</t>
  </si>
  <si>
    <t>U1111-1209-4702</t>
  </si>
  <si>
    <t>Temporomandibular Joint Disorder Syndrome</t>
  </si>
  <si>
    <t>Franciele Aparecida Amaral</t>
  </si>
  <si>
    <t>+55(42)999310470</t>
  </si>
  <si>
    <t>franciamaralft@yahoo.com.br</t>
  </si>
  <si>
    <t>Faculdade Guairacá (Centro Coordenador)</t>
  </si>
  <si>
    <t>Clinical Evaluation of Class II restorations using a composite resin containing the ormocer monomer. Randomized Clinical Trial</t>
  </si>
  <si>
    <t>U1111-1229-0940</t>
  </si>
  <si>
    <t>Efficacy of Oropharyngeal pack in Orthognathic surgery - doble-blind clinical trial</t>
  </si>
  <si>
    <t>03/19/2019</t>
  </si>
  <si>
    <t>U1111-1224-0133</t>
  </si>
  <si>
    <t>Tatiane Fonseca Faro</t>
  </si>
  <si>
    <t>tatianefonsecafaro@gmail.com</t>
  </si>
  <si>
    <t>Use of 2.5% Lidocaine cream and 2.5% Prilocaine cream for analgesia pre lombar puncture of subaracnoideo blocking in programmed cesarians</t>
  </si>
  <si>
    <t>U1111-1227-1363</t>
  </si>
  <si>
    <t>Complications of anesthesia given during pregnancy,Contact with hypodermic needle</t>
  </si>
  <si>
    <t>Daniel de Carli</t>
  </si>
  <si>
    <t>+55(11)999576880</t>
  </si>
  <si>
    <t>danidkrli@ig.com.br</t>
  </si>
  <si>
    <t>Variations in NGAL (Neutrophil Gelatinase-Associated Lipocalin) in patients submitted to pneumoperitoneum with low and standard pressure</t>
  </si>
  <si>
    <t>U1111-1206-1273</t>
  </si>
  <si>
    <t>Gallstones</t>
  </si>
  <si>
    <t>Marcos Antonio Marton Filho</t>
  </si>
  <si>
    <t>marcosmarton@gmail.com</t>
  </si>
  <si>
    <t>Psichomotor Development in children with Family Risk</t>
  </si>
  <si>
    <t>U1111-1225-5388</t>
  </si>
  <si>
    <t>Presidente /prudente</t>
  </si>
  <si>
    <t>Universidade do Oeste Paulista- UNOESTE</t>
  </si>
  <si>
    <t>Effect of acute consumption of juçara juice (Euterpe edulis Martius) in oxidative stress biomarkers and inflammatory profile before and after a high-intensity interval exercise session and the relation with depressive symptoms and anxiety: a randomized single-blind cross-over trial</t>
  </si>
  <si>
    <t>U1111-1225-6879</t>
  </si>
  <si>
    <t>Determination Of Pulp Oxygen Saturation In Molars Of Patients Submitted To Direct Pulp Capture With MTA Or Bioative Glass 45S5: Randomized Clinical Study</t>
  </si>
  <si>
    <t>U1111-1210-8871</t>
  </si>
  <si>
    <t>Bruna Laís Lins Gonçalves</t>
  </si>
  <si>
    <t>+ 55 (86) 99948-5992</t>
  </si>
  <si>
    <t>brunalais25@hotmail.com</t>
  </si>
  <si>
    <t>Validation of a Comprehensive Care Model in Oral Health for Pregnant Women and Randomized Clinical Trial</t>
  </si>
  <si>
    <t>03/14/2019</t>
  </si>
  <si>
    <t>U1111-1211-0734</t>
  </si>
  <si>
    <t>Juliana Ribeiro Francelino Sampaio</t>
  </si>
  <si>
    <t>jrfs22@hotmail.com</t>
  </si>
  <si>
    <t>Instituto de Medicina Integral Professor Fernando Figueira</t>
  </si>
  <si>
    <t>The effects of Transcranial Stimulation Direct Current (tDCS) on painful shoulder rehabilitation after stroke - clinical study controlled randomized double-blind</t>
  </si>
  <si>
    <t>U1111-1197-4244</t>
  </si>
  <si>
    <t>Janaina Andressa Souza</t>
  </si>
  <si>
    <t>(55) 11 26339000</t>
  </si>
  <si>
    <t>jana_deza@hotmail.com</t>
  </si>
  <si>
    <t>Hypersensitivity of individuals with molar-incisive hypomineralization - randomized controlled clinical study</t>
  </si>
  <si>
    <t>10/23/2018</t>
  </si>
  <si>
    <t>U1111-1216-4698</t>
  </si>
  <si>
    <t>Molar-incisor hypomineralization (MIH),dentin hypersensitivity,Tooth Demineralization</t>
  </si>
  <si>
    <t>Marina de Deus Moura de Lima</t>
  </si>
  <si>
    <t>mdmlima@gmail.com</t>
  </si>
  <si>
    <t>Universidade federal do Piauí</t>
  </si>
  <si>
    <t>Evaluation of Elastic Stocking in quality of life and prevention of Occupational Edema in hairdressers</t>
  </si>
  <si>
    <t>03/13/2019</t>
  </si>
  <si>
    <t>U1111-1226-2873</t>
  </si>
  <si>
    <t>FTC - Faculdade de Tecnologia e Ciências</t>
  </si>
  <si>
    <t>+55 (71)3281-8214</t>
  </si>
  <si>
    <t>fftc@ftc.edu.br</t>
  </si>
  <si>
    <t>Faculdade de Tecnologia e Ciências - FTC</t>
  </si>
  <si>
    <t>Motor learning in individuals institutionalized by Task of Timing Coincident</t>
  </si>
  <si>
    <t>U1111-1225-5643</t>
  </si>
  <si>
    <t>Effectiveness and acceptance of Atraumatic Restorative Treatment (ART) and Ultra Conservative Treatment (UCT) for Dental caries in children</t>
  </si>
  <si>
    <t>U1111-1214-2079</t>
  </si>
  <si>
    <t>Vera Ligia Vieira Mendes Soviero</t>
  </si>
  <si>
    <t>The influence of paternal characteristics on the anthropometry of the newborn of overweight pregnant women in a clinical trial of a nutritional intervention</t>
  </si>
  <si>
    <t>U1111-1228-1028</t>
  </si>
  <si>
    <t>Effects of MBRP on impulsivity of people with alcohol use</t>
  </si>
  <si>
    <t>U1111-1219-0913</t>
  </si>
  <si>
    <t>Ana Paula Gonçalves Donate</t>
  </si>
  <si>
    <t>Cotia</t>
  </si>
  <si>
    <t>pauladonate@gmail.com</t>
  </si>
  <si>
    <t>Phone Support in the Application of Insulin</t>
  </si>
  <si>
    <t>U1111-1228-3200</t>
  </si>
  <si>
    <t>Ana Roberta Vilarouca da Silva</t>
  </si>
  <si>
    <t>Picos</t>
  </si>
  <si>
    <t>robertavilarouca@yahoo.com.br</t>
  </si>
  <si>
    <t>Translation Transcultural Adaptation Validation and Reproducibility of the Pregnancy Mobility Index for the Brazilian version</t>
  </si>
  <si>
    <t>U1111-1209-0663</t>
  </si>
  <si>
    <t>Rubneide  Barreto Silva Gallo</t>
  </si>
  <si>
    <t>+55 041 99124-0108</t>
  </si>
  <si>
    <t>Effectiveness of adding scapular control exercises to kinetic treatment in patients with distal radius fracture: Randomized simple-blind clinical study</t>
  </si>
  <si>
    <t>U1111-1207-5361</t>
  </si>
  <si>
    <t>distal epiphysis radius fracture</t>
  </si>
  <si>
    <t>Functional psychosocial and related to the sleep effects of different therapies in temporomandibular dysfunctions: randomized clinical trial</t>
  </si>
  <si>
    <t>U1111-1198-7405</t>
  </si>
  <si>
    <t>Gustavo Augusto Seabra Barbosa</t>
  </si>
  <si>
    <t>gustavoaseabra@hotmail.com</t>
  </si>
  <si>
    <t>Heart rate variability of overweight children after intervention with Exergames</t>
  </si>
  <si>
    <t>U1111-1219-4110</t>
  </si>
  <si>
    <t>Mirieli Oliveira Guedes</t>
  </si>
  <si>
    <t>mirieli.guedes.02@hotmail.com</t>
  </si>
  <si>
    <t>Escola de Ciências,Artes e Humanidades - EACH USP</t>
  </si>
  <si>
    <t>Influence of visual educational and gait biomechanical strategies for prevention of injury-related risk factors in novice runners</t>
  </si>
  <si>
    <t>U1111-1211-6121</t>
  </si>
  <si>
    <t>Clinical evaluation of metronidazole semi-solid and film-forming formulations for the treatment of periodontal disease</t>
  </si>
  <si>
    <t>09/14/2018</t>
  </si>
  <si>
    <t>U1111-1218-8299</t>
  </si>
  <si>
    <t>Periodontal disease/Chronic periodontitis</t>
  </si>
  <si>
    <t>Post-exposure retrieval in the traumatized patient</t>
  </si>
  <si>
    <t>U111112266565</t>
  </si>
  <si>
    <t>Post-traumatic stress condition</t>
  </si>
  <si>
    <t>Instituto de Psiquiatria da Faculdade de Medicina da Universidade de São Paulo</t>
  </si>
  <si>
    <t>Evaluation of the influence of the oral health literacy level in the execution of preventive measures considering rational use of fluoride: randomized controlled trial</t>
  </si>
  <si>
    <t>U1111-1225-0277</t>
  </si>
  <si>
    <t>Dental caries,Dental Fluorosis</t>
  </si>
  <si>
    <t>Márcia Gomes Penido Machado</t>
  </si>
  <si>
    <t>mgpenido@gmail.com</t>
  </si>
  <si>
    <t>Hospital de Clínicas UFMG</t>
  </si>
  <si>
    <t>U1111-1228-5590</t>
  </si>
  <si>
    <t>Safaey and efficacy in ND-Yag laser vitreolysis for symptomatic vitreous floaters: a prospective randomized trial</t>
  </si>
  <si>
    <t>U1111-1225-2819</t>
  </si>
  <si>
    <t>Other vitreous opacities</t>
  </si>
  <si>
    <t>Gustavo David Ludwig</t>
  </si>
  <si>
    <t>guludwig@gmail.com</t>
  </si>
  <si>
    <t>Instituto de Assistência Médica ao Servidor Público Estadual - SP</t>
  </si>
  <si>
    <t>Effect of physical exercise in the context of depression and its respective factors in obese individuals</t>
  </si>
  <si>
    <t>U1111-1217-3638</t>
  </si>
  <si>
    <t>Jeronimo Costa Branco</t>
  </si>
  <si>
    <t>Universidade Franciscana - UFN</t>
  </si>
  <si>
    <t>Evolution of respiratory system evaluation parameters after treatment of acute pulmonary exacerbation in children and adolescents with Cystic Fibrosis</t>
  </si>
  <si>
    <t>U1111-1226-0729</t>
  </si>
  <si>
    <t>Efficacy of virtual reality exposure therapy for the fear of flying: a randomized controlled trial</t>
  </si>
  <si>
    <t>U1111-1214-4229</t>
  </si>
  <si>
    <t>Panic disorder,Agoraphobia</t>
  </si>
  <si>
    <t>Paula Rui Ventura</t>
  </si>
  <si>
    <t>tepteviolenciaurbana@gmail.com</t>
  </si>
  <si>
    <t>Barriers to orientation adherence for the practice of home-based tasks in the subacute post stroke phase</t>
  </si>
  <si>
    <t>U1111-1210-5475</t>
  </si>
  <si>
    <t>Hydrofiber with silver versus colagenase in the control of surface infection and biofilms of venous ulcers: randomized clinical trial</t>
  </si>
  <si>
    <t>U1111-1226-1469</t>
  </si>
  <si>
    <t>Taís Lopes Saranholi</t>
  </si>
  <si>
    <t>tais_saranholi@hotmail.com</t>
  </si>
  <si>
    <t>Use of sodium nitroprusside in repeated doses in potentiation of typical and atypical antipsychotics and its effect on negative symptoms in treatment-resistant schizophrenia</t>
  </si>
  <si>
    <t>U1111-1213-9511</t>
  </si>
  <si>
    <t>Marcel Vella Nunes</t>
  </si>
  <si>
    <t>Itapira</t>
  </si>
  <si>
    <t>+55(019)984102222</t>
  </si>
  <si>
    <t>marcelnunes59@yahoo.com.br</t>
  </si>
  <si>
    <t>Instituto Bairral de Psiquiatria</t>
  </si>
  <si>
    <t>Effect of a training app (Sworkit Personal Trainer) on body composition physical fitness and hemodynamic responses of healthy subjects</t>
  </si>
  <si>
    <t>U1111-1221-6842</t>
  </si>
  <si>
    <t>Sedentary lifestyle</t>
  </si>
  <si>
    <t>Antonio Carlos Pereira Silva Filho</t>
  </si>
  <si>
    <t>Sao Luis</t>
  </si>
  <si>
    <t>antoniocarlos.j77@gmail.com</t>
  </si>
  <si>
    <t>Faculdade Uninassau São Luís</t>
  </si>
  <si>
    <t>Influence of exercises proprioceptive and strengthening on strength and activation of stabilizer muscles in individuals submitted to total hip arthroplasty: a randomized clinical trial</t>
  </si>
  <si>
    <t>U1111-1226-7652</t>
  </si>
  <si>
    <t>Mariana Bogoni Budib</t>
  </si>
  <si>
    <t>+55(67)981042396</t>
  </si>
  <si>
    <t>marianabudib@gmail.com</t>
  </si>
  <si>
    <t>Acute effect of the Whole Body Vibration in the push up modified position in physical and functional parameters in upper limbs of patients with Rheumatoid Arthritis</t>
  </si>
  <si>
    <t>U1111-1202-4714</t>
  </si>
  <si>
    <t>Rheumatoid Arthritis</t>
  </si>
  <si>
    <t>Ana Cristina Lacerda</t>
  </si>
  <si>
    <t>Anthropometric Profile and Motor Learning in children and adolescents Institutionalized in Shelter</t>
  </si>
  <si>
    <t>U1111-1225-5626</t>
  </si>
  <si>
    <t>maria tereza artero prado dantas</t>
  </si>
  <si>
    <t>presidente prudente</t>
  </si>
  <si>
    <t>Universidade do Oeste Paulista - UNOESTE</t>
  </si>
  <si>
    <t>Effect of an exercise program on patients with artificial pacemakers</t>
  </si>
  <si>
    <t>U1111-1226-0886</t>
  </si>
  <si>
    <t>pacemaker</t>
  </si>
  <si>
    <t>Hilano G-F 20 versus triamcinolone in the treatment of primary shoulder osteoarthrosis. Randomized controlled clinical trial</t>
  </si>
  <si>
    <t>U111112108202</t>
  </si>
  <si>
    <t>Simone Tortato</t>
  </si>
  <si>
    <t>cete@uol.com.br</t>
  </si>
  <si>
    <t>Effect of Irradiation with Intravascular Laser on Hemodynamic Variables of Hypertensives Patients: Study Protocol for Blinded Clinical Trial</t>
  </si>
  <si>
    <t>02/27/2019</t>
  </si>
  <si>
    <t>U1111-1221-3983</t>
  </si>
  <si>
    <t>Daniela Fátima Teixeira da Silva</t>
  </si>
  <si>
    <t>fatesi@uol.com.br</t>
  </si>
  <si>
    <t>Comparison of the effects of Transcutaneous Electrostimulation of the Tibial Nerve with Parassacral in women with Urinary Urgency: randomized controlled trial</t>
  </si>
  <si>
    <t>U1111-1214-2230</t>
  </si>
  <si>
    <t>Urinary Incontinence,Overactive bladder,Urgency urinary incontinence</t>
  </si>
  <si>
    <t>Juliana Falcao Padilha</t>
  </si>
  <si>
    <t>Sao Carlos</t>
  </si>
  <si>
    <t>jufpadilha@gmail.com</t>
  </si>
  <si>
    <t>Clinical evaluation with simplified polishing techniques in composite resin restorations in caries-free cervical lesions</t>
  </si>
  <si>
    <t>U1111-1226-7290</t>
  </si>
  <si>
    <t>Effect of Cognitive Stimulation on the prediction of Falls in physically active elderly people</t>
  </si>
  <si>
    <t>U1111-1226-5174</t>
  </si>
  <si>
    <t>Vagner Ramon Rodrigues Silva</t>
  </si>
  <si>
    <t>limeira</t>
  </si>
  <si>
    <t>(19) 3701-6728</t>
  </si>
  <si>
    <t>silvavagnerramon@gmail.com</t>
  </si>
  <si>
    <t>Influence of the pilates method in the treatment of nonspecific chronic low back pain. Randomised and controlled clinical trial</t>
  </si>
  <si>
    <t>U1111-1222-3176</t>
  </si>
  <si>
    <t>Patients with low back pain</t>
  </si>
  <si>
    <t>Igor Phillip dos Santos Gloria</t>
  </si>
  <si>
    <t>igorgloria@yahoo.com.br</t>
  </si>
  <si>
    <t>Universidade de Mogi das Cruzes</t>
  </si>
  <si>
    <t>Autonomic cardiac modulation in children and adolescents with Cerebral Palsy during Virtual Reality task and its correlations with participation and functionality</t>
  </si>
  <si>
    <t>U1111-1219-3916</t>
  </si>
  <si>
    <t>Priscila Bianchi Lopes</t>
  </si>
  <si>
    <t>+55(11)996768685</t>
  </si>
  <si>
    <t>pri.bianchi.to@gmail.com</t>
  </si>
  <si>
    <t>High Fidelity Simulator x Dramatization: impact on satisfaction self-confidence and knowledge of Nursing students</t>
  </si>
  <si>
    <t>02/19/2019</t>
  </si>
  <si>
    <t>U1111-1198-6811</t>
  </si>
  <si>
    <t>Elaine Cristina Negri Santos</t>
  </si>
  <si>
    <t>elainenegrisantos@gmail.com</t>
  </si>
  <si>
    <t>Escola de Enfermagem de Ribeirão Preto - USP</t>
  </si>
  <si>
    <t>Effect of isotonic exercises in the orofacial musculature in volunteers with temporomandibular dysfunction: neurophysiological</t>
  </si>
  <si>
    <t>U1111-1222-9821</t>
  </si>
  <si>
    <t>Temporomandibular disorders</t>
  </si>
  <si>
    <t>Eduardo Pondé de Sena</t>
  </si>
  <si>
    <t>+55(71)91129031</t>
  </si>
  <si>
    <t>eduardopondedesena@gmail.com</t>
  </si>
  <si>
    <t>U1111-1221-0970</t>
  </si>
  <si>
    <t>Abscess,dental pulpitis,pulpitis,necrosis of pulp</t>
  </si>
  <si>
    <t>Cássia Cilene Dezan Garbelini</t>
  </si>
  <si>
    <t>+55(43)991061989</t>
  </si>
  <si>
    <t>Clinical evaluation of the Aortic Valve Optimum TAVI-Labcor</t>
  </si>
  <si>
    <t>U1111-1205-9568</t>
  </si>
  <si>
    <t>João Carlos Jazbik</t>
  </si>
  <si>
    <t>+55(21)28688420</t>
  </si>
  <si>
    <t>jcarlosjazbik@gmail.com</t>
  </si>
  <si>
    <t>Hospital Universitário Pedro Ernesto/UERJ</t>
  </si>
  <si>
    <t>Effect of Pilates Method on Biomechanical Functional Body Composition and Quality of Life in women undergoing treatment for Breast Cancer: a Randomized Clinical Trial</t>
  </si>
  <si>
    <t>02/15/2019</t>
  </si>
  <si>
    <t>U1111-1225-4881</t>
  </si>
  <si>
    <t>Neoplasms,Malignant Neoplasm of Breast</t>
  </si>
  <si>
    <t>Ismael Forte Freitas Júnior</t>
  </si>
  <si>
    <t>ismael.freitas@unesp.br</t>
  </si>
  <si>
    <t>Evaluation of the effect of perioperative venous Lidocaine on the return time of intestinal function and the length of hospital stay after Laparoscopic Gastroplasty</t>
  </si>
  <si>
    <t>U1111-1213-3417</t>
  </si>
  <si>
    <t>Roclides Castro de Lima</t>
  </si>
  <si>
    <t>roclides@yahoo.com.br</t>
  </si>
  <si>
    <t>unifesp</t>
  </si>
  <si>
    <t>Effects of supplementation of the dry extract of Camellia sinensis and Fish oil on the nutritional biochemical-inflammatory and metabolic profile of adolescents with different degrees of acne vulgaris</t>
  </si>
  <si>
    <t>U1111-1228-5420</t>
  </si>
  <si>
    <t>Felipe De Souza Cardoso</t>
  </si>
  <si>
    <t>felipe.souza.cardoso@hotmail.com</t>
  </si>
  <si>
    <t>Feasibility study of Photodynamic Therapy in patients in the critical area</t>
  </si>
  <si>
    <t>02/14/2019</t>
  </si>
  <si>
    <t>U1111-1211-0659</t>
  </si>
  <si>
    <t>Pneumonia,Bacterial</t>
  </si>
  <si>
    <t>Alana Patrícia Lima Ferreira</t>
  </si>
  <si>
    <t>Aalanapatricia@gmail.com</t>
  </si>
  <si>
    <t>Evaluation of the efficacy of a Non-Human Experimental Model for superficial venous Puncture guided by ultrasound</t>
  </si>
  <si>
    <t>U1111-1209-2281</t>
  </si>
  <si>
    <t>Francisco Winter dos Santos Figueiredo</t>
  </si>
  <si>
    <t>+55 (11) 95108-1810</t>
  </si>
  <si>
    <t>winterfigueiredo@gmail.com</t>
  </si>
  <si>
    <t>Faculdade de medicina do ABC</t>
  </si>
  <si>
    <t>Evaluation of sleep quality quality of life and functional capacity pre and post-PAP and its repercussions in adults with non-cystic fibrosis bronchiectasis and obstructive sleep apnea - a three months follow-up study</t>
  </si>
  <si>
    <t>U1111-1219-1160</t>
  </si>
  <si>
    <t>Newton Santos de Faria Júnior</t>
  </si>
  <si>
    <t>nsdfj@yahoo.com.br</t>
  </si>
  <si>
    <t>Effects of a postural orientation program in patients with Fibromyalgia</t>
  </si>
  <si>
    <t>U1111-1222-9293</t>
  </si>
  <si>
    <t>Women with fibromyalgia</t>
  </si>
  <si>
    <t>Suélem Barros Lorena</t>
  </si>
  <si>
    <t>3035-7777</t>
  </si>
  <si>
    <t>suelem.barros@yahoo.com.br</t>
  </si>
  <si>
    <t>Faculdade Pernambucana de Saúde</t>
  </si>
  <si>
    <t>Comparison of the red and infrared LEDs in relation to therapeutic Ultrasound treatment on chronic Tendinopathy of shoulder</t>
  </si>
  <si>
    <t>U1111-1219-3594</t>
  </si>
  <si>
    <t>João Pedro Scaldaferri Martins</t>
  </si>
  <si>
    <t>(11) 4007-1192</t>
  </si>
  <si>
    <t>dr.joaopedromartins@yahoo.com</t>
  </si>
  <si>
    <t>Evaluation of the use of telephone intervention in the prevention of diabetic foot</t>
  </si>
  <si>
    <t>U1111-1218-1886</t>
  </si>
  <si>
    <t>Effect of physical exercise on clinical-functional outcomes modulation of epigenetic markers and levels of brain-derived neutrotrophic factor (BDNF) in peripheral blood in post-stroke patients</t>
  </si>
  <si>
    <t>U1111-1226-0037</t>
  </si>
  <si>
    <t>Exercise therapy</t>
  </si>
  <si>
    <t>Clinical Evaluation of an Universal Adhesive System containing Zinc and Copper Nanoparticles on Composite Restorations in Non-Carious Cervical Lesions: a Double-Blind Randomized Clinical Trial</t>
  </si>
  <si>
    <t>U1111-1225-9242</t>
  </si>
  <si>
    <t>Cales project Association between systemic lupus erythematosus and cervix cancer</t>
  </si>
  <si>
    <t>U1111-1221-2068</t>
  </si>
  <si>
    <t>Ricardo Azêdo Montes</t>
  </si>
  <si>
    <t>ricardoazedo@gmail.com</t>
  </si>
  <si>
    <t>Migraine Project Neurostimulation and Mindfulness</t>
  </si>
  <si>
    <t>U1111-1225-7709</t>
  </si>
  <si>
    <t>Migraine,chronic migraine,chronic pain</t>
  </si>
  <si>
    <t>João Pessoa-PB</t>
  </si>
  <si>
    <t>luana.ped@hotmail.com</t>
  </si>
  <si>
    <t>Acute effect of phototherapy by means of light emitting diodes (LEDs) on cardiovascular coupling after constant loading exercise in patients with type 2 diabetes mellitus</t>
  </si>
  <si>
    <t>U1111-1225-6188</t>
  </si>
  <si>
    <t>Healthy men will be evaluated with the objective of evaluating cardiovascular health,hemoglobin,by means of near-infrared light spectroscopy</t>
  </si>
  <si>
    <t>Aparecida Maria Catai</t>
  </si>
  <si>
    <t>mcatai@ufscar.br</t>
  </si>
  <si>
    <t>Chemically soluble fluoride found in toothpaste as a predictor of fluoride bioavailability in saliva</t>
  </si>
  <si>
    <t>U1111-1226-2155</t>
  </si>
  <si>
    <t>Camila Siqueira Silva Coelho</t>
  </si>
  <si>
    <t>csscoehoo@gmail.com</t>
  </si>
  <si>
    <t>The method of Intervention RIME in patients with chronic kidney disease on hemodialysis</t>
  </si>
  <si>
    <t>U1111-1192-1676</t>
  </si>
  <si>
    <t>Fabiana  de Souza Orlandi</t>
  </si>
  <si>
    <t>+55 (16) 988742813</t>
  </si>
  <si>
    <t>fabi_ferreira@yahoo.com.br</t>
  </si>
  <si>
    <t>Influence of Traditional Functional and Calisthenic Training on Physical Fitness Cardiovascular Health and Quality of Life in Older Women</t>
  </si>
  <si>
    <t>U1111-1224-0658</t>
  </si>
  <si>
    <t>Marzo Edir Da Silva Grigoletto</t>
  </si>
  <si>
    <t>+55 (79)99162-8168</t>
  </si>
  <si>
    <t>pit_researcher@yahoo.es</t>
  </si>
  <si>
    <t>Efficacy of Cognitive-Behavioral Therapy for the Treatment of Posttraumatic Stress Disorder</t>
  </si>
  <si>
    <t>U1111-1212-9459</t>
  </si>
  <si>
    <t>Post traumattic stress disorder</t>
  </si>
  <si>
    <t>Effects of urinary acid on muscle mass and strength in physically active individuals undergoing resistance training</t>
  </si>
  <si>
    <t>U1111-1207-0512</t>
  </si>
  <si>
    <t>Effects of the prolonged use of a knee brace on the kinesiophobia of individuals with patellofemoral pain: A randomized controlled trial</t>
  </si>
  <si>
    <t>U1111-1212-9164</t>
  </si>
  <si>
    <t>55 - 018 996449960</t>
  </si>
  <si>
    <t>The effect of 6-weeks Osteopathic Visceral Manipulation on the flexion-relaxation phenomenon in patients with nonspecific chronic low back pain: a protocol of randomized placebo-controlled trial</t>
  </si>
  <si>
    <t>10/30/2017</t>
  </si>
  <si>
    <t>U1111-1204-2856</t>
  </si>
  <si>
    <t>Low back pain,Chronic low back pain</t>
  </si>
  <si>
    <t>Walkyria Vilas Boas Fernandes</t>
  </si>
  <si>
    <t>Rondonópolis</t>
  </si>
  <si>
    <t>walkyria_fernandes@hotmail.com</t>
  </si>
  <si>
    <t>Effects of Resistance Training on quality of life mood disorders spinal curvature fatigue indicators and muscle performance in breast Cancer survivors</t>
  </si>
  <si>
    <t>U1111-1224-4206</t>
  </si>
  <si>
    <t>Family history of malignant neoplasm of breast</t>
  </si>
  <si>
    <t>Gabriel Dutra de Jesus Siqueira</t>
  </si>
  <si>
    <t>siqueiragdj@gmail.com</t>
  </si>
  <si>
    <t>Effectiveness of adding pectoralis minor stretches to an exercise program in patients with subacromial impingement syndrome: a randomized clinical trial</t>
  </si>
  <si>
    <t>U1111-1210-3555</t>
  </si>
  <si>
    <t>Influence of the use of Orthoses in the Muscular Activation in healthy individuals and with musculoskeletal complaints</t>
  </si>
  <si>
    <t>U1111-1211-6535</t>
  </si>
  <si>
    <t>Lumbar Pain,Cervicalgia,Tendinopathy,Joint instability</t>
  </si>
  <si>
    <t>Alexandre Marcio Marcolino</t>
  </si>
  <si>
    <t>+55 48 998106633</t>
  </si>
  <si>
    <t>alexandre.marcolino@ufsc.br</t>
  </si>
  <si>
    <t>Evaluation of polysomnographic parameters in the treatment of sleep-disordered breathing with tongue stabilizer: randomized clinical trial</t>
  </si>
  <si>
    <t>U111112234139</t>
  </si>
  <si>
    <t>sleep apnea,respiratory diseases</t>
  </si>
  <si>
    <t>Luciane Bizari Coin de Carvalho</t>
  </si>
  <si>
    <t>11 50816629</t>
  </si>
  <si>
    <t>neuro.sono.unifesp@gmail.com</t>
  </si>
  <si>
    <t>Efficacy of Aloysia polystachya (Griseb.) Moldenke (Verbenaceae) in anxiety symptoms</t>
  </si>
  <si>
    <t>U1111-1225-3670</t>
  </si>
  <si>
    <t>Anxiety symptoms</t>
  </si>
  <si>
    <t>Effect of transcranial direct current stimulation (TDCS) combined with pelvic floor muscle training on the contraction force of the pelvic floor muscles in healthy women - Protocol for a randomized controlled double-blind clinical trial</t>
  </si>
  <si>
    <t>U111112229660</t>
  </si>
  <si>
    <t>Ângela Cristina Ledur</t>
  </si>
  <si>
    <t>angelaledur@hotmail.com</t>
  </si>
  <si>
    <t>The role of Vitamin D on cardiometabolic and immuno-inflammatory profile of postmenopausal women</t>
  </si>
  <si>
    <t>U1111-1172-6922</t>
  </si>
  <si>
    <t>This study is conducted in women postmenopausal</t>
  </si>
  <si>
    <t>Claudio Lera Orsatti</t>
  </si>
  <si>
    <t>Distrito de Rubião Junior</t>
  </si>
  <si>
    <t>+55 (14) 38801377</t>
  </si>
  <si>
    <t>claudiorsatti@gmail.com</t>
  </si>
  <si>
    <t>Longitudinal Clinical Evaluation of resin composite restoration after Selective Caries Removal using an Er:Yag Laser</t>
  </si>
  <si>
    <t>U1111-1226-0602</t>
  </si>
  <si>
    <t>Rodrigo Alexandre Valério</t>
  </si>
  <si>
    <t>rodrigovalerio@usp.br</t>
  </si>
  <si>
    <t>Cone-beam computed tomography guided percutaneous cryoablation approach of bone metastases of endocrine tumors</t>
  </si>
  <si>
    <t>U1111-1216-2216</t>
  </si>
  <si>
    <t>Cláudia da Costa Leite</t>
  </si>
  <si>
    <t>+55 (011) 2661-6000</t>
  </si>
  <si>
    <t>claudia.leite@hc.fm.usp.br</t>
  </si>
  <si>
    <t>Instituto de Radiologia do Hospital das Clínicas / Faculdade de Medicina da Universidade de São Paulo</t>
  </si>
  <si>
    <t>Ropivacaine versus Racemic Bupivacaine in Episcleral Block for Phacoemulsification Facectomies: double-blind randomized clinical trial</t>
  </si>
  <si>
    <t>U1111-1224-1378</t>
  </si>
  <si>
    <t>Cataract surgeries,Phacoemulsification,Subtenon block,Ropivacaine,Bupivacaine</t>
  </si>
  <si>
    <t>Denismar Borges de Miranda</t>
  </si>
  <si>
    <t>denismarmiranda@hotmail.com</t>
  </si>
  <si>
    <t>Pontifícia Universidade Católica de Goiás</t>
  </si>
  <si>
    <t>Effects of Arginine Supplementation associated with Pulmonary Rehabilitation in Chronic Obstructive Pulmonary Disease</t>
  </si>
  <si>
    <t>01/22/2019</t>
  </si>
  <si>
    <t>U1111-1225-4127</t>
  </si>
  <si>
    <t>Chronic Obstructive Pulmonary Disease,Unspecified / Chronic Obstructive Pulmonary Disease</t>
  </si>
  <si>
    <t>Pedro Dal Lago</t>
  </si>
  <si>
    <t>pdallago@ufcspa.edu.br</t>
  </si>
  <si>
    <t>Evaluation of the effects of microphysiotherapy on quality of life heart rate variability biochemical markers and pain in individuals with fibromyalgia</t>
  </si>
  <si>
    <t>01/21/2019</t>
  </si>
  <si>
    <t>U1111-1225-8036</t>
  </si>
  <si>
    <t>Acute effect of moviment velocity on kinetic and kinematic behavior and muscle activation in women elderly with knee osteoarthritis during leg press exercise</t>
  </si>
  <si>
    <t>U1111-1225-2763</t>
  </si>
  <si>
    <t>Influence of Protein and Creatine supplementation on functional capacity quality of life and muscle function after Stroke</t>
  </si>
  <si>
    <t>U111112249408</t>
  </si>
  <si>
    <t>Juli Thomaz de Souza</t>
  </si>
  <si>
    <t>jtsouz@yahoo.com.br</t>
  </si>
  <si>
    <t>Autonomic heart rate modulation and functional capacity in hypertensive patients before and after supervised non-exhaustive aerobic physical training: a pilot study</t>
  </si>
  <si>
    <t>01/18/2019</t>
  </si>
  <si>
    <t>U1111-1205-8384</t>
  </si>
  <si>
    <t>Effects of a household program of exercises in patients with Chronic Renal Disease</t>
  </si>
  <si>
    <t>U1111-1224-7028</t>
  </si>
  <si>
    <t>Hemodialysis Hospital Units,oxygen consumption</t>
  </si>
  <si>
    <t>Paula Maria Eidt Rovedder</t>
  </si>
  <si>
    <t>larove_@hotmail.com</t>
  </si>
  <si>
    <t>Ischemic preconditioning to attenuate the magnitude of eccentric exercise-induced muscle damage in lower limb: a randomized double-blind placebo-controlled clinical trial</t>
  </si>
  <si>
    <t>U1111-1225-7987</t>
  </si>
  <si>
    <t>Reikis interference in subjective well-being and positive and negative feelings</t>
  </si>
  <si>
    <t>U1111-1221-7237</t>
  </si>
  <si>
    <t>Carla Kalline Alves Cartaxo Freitas</t>
  </si>
  <si>
    <t>+55(79)991162878</t>
  </si>
  <si>
    <t>carlakalline@gmail.com</t>
  </si>
  <si>
    <t>Characterization of Variability of Cardiac Frequency in Eutrophic children and with Excess Weight</t>
  </si>
  <si>
    <t>U1111-1225-5311</t>
  </si>
  <si>
    <t>+55 11 999530716</t>
  </si>
  <si>
    <t>monteiro.carlosbm@gmail.com</t>
  </si>
  <si>
    <t>Escola de artes,ciências e humanidades da universidade de São Paulo</t>
  </si>
  <si>
    <t>Effect of the intervention applied to the Papanicolaou Test and the Adequability of the cytopathological sample</t>
  </si>
  <si>
    <t>U1111-1221-2303</t>
  </si>
  <si>
    <t>Vívien Cunha Alves de Freitas</t>
  </si>
  <si>
    <t>vivien-alves@hotmail.com</t>
  </si>
  <si>
    <t>Analgesic effect of Maternal Milk versus 25% Glucose during the collection of Arterial Blood Gases in preterm newborns: randomized clinical trial</t>
  </si>
  <si>
    <t>08/15/2017</t>
  </si>
  <si>
    <t>U1111-1199-9403</t>
  </si>
  <si>
    <t>Newborn. Pain. Neonatal Intensive Care. Respiratory Diseases</t>
  </si>
  <si>
    <t>Andréa Lopes Barbosa</t>
  </si>
  <si>
    <t>55 (85) 33668569</t>
  </si>
  <si>
    <t>andrea_lopes_barbosa@hotmail.com</t>
  </si>
  <si>
    <t>Maternidade Escola Assis Chateaubriand-MEAC</t>
  </si>
  <si>
    <t>Motor Control Manual in children and adolescents Institutionalized in Shelter</t>
  </si>
  <si>
    <t>01/14/2019</t>
  </si>
  <si>
    <t>U1111-1225-5184</t>
  </si>
  <si>
    <t>Evaluation of the Use of a Chewing Gum containing Natural Products on the Salivary Concentrations of Streptococcus mutans in Childrens</t>
  </si>
  <si>
    <t>U1111-1221-8758</t>
  </si>
  <si>
    <t>Caries Dental</t>
  </si>
  <si>
    <t>Edmir Geraldo de Siqueira Fraga</t>
  </si>
  <si>
    <t>Morada Nova</t>
  </si>
  <si>
    <t>edgefraga@gmail.com</t>
  </si>
  <si>
    <t>Microbial contamination profile on aesthetic elastomeric ligatures through the checkerboard DNA-DNA hybridization technique</t>
  </si>
  <si>
    <t>U1111-1223-1709</t>
  </si>
  <si>
    <t>Bone tissue bioengineering using stem cells</t>
  </si>
  <si>
    <t>u1111-1224-8040</t>
  </si>
  <si>
    <t>Daniela Franco Bueno</t>
  </si>
  <si>
    <t>+55 11 33944195</t>
  </si>
  <si>
    <t>dbuenousp@gmail.com</t>
  </si>
  <si>
    <t>Cardiovascular Rehabilitation in patients after Endomyocardial fibrosis cirgury with heart failure in functional class II and III</t>
  </si>
  <si>
    <t>U1111-1216-9973</t>
  </si>
  <si>
    <t>Ana Luiza Carrari Sayegh</t>
  </si>
  <si>
    <t>ana_luizas@hotmail.com</t>
  </si>
  <si>
    <t>Instituto do Coração</t>
  </si>
  <si>
    <t>Evaluation of the clinical and epidemiological profile of Tuberculous Spondylodiscitis in a quaternary hospital in the city of São Paulo</t>
  </si>
  <si>
    <t>U1111-1222-9067</t>
  </si>
  <si>
    <t>spine tuberculosis</t>
  </si>
  <si>
    <t>Igor de Barcellos Zanon</t>
  </si>
  <si>
    <t>igorzanon@gmail.com</t>
  </si>
  <si>
    <t>Irmandade da Santa Casa de Misericórida de São Paulo</t>
  </si>
  <si>
    <t>Perception of PSF Health Professionals regarding spiritual care from users</t>
  </si>
  <si>
    <t>U1111-1224-6791</t>
  </si>
  <si>
    <t>Hypertention</t>
  </si>
  <si>
    <t>Gina Andrade Abdala</t>
  </si>
  <si>
    <t>ginabdala@gmail.com</t>
  </si>
  <si>
    <t>Centro Universitária Adventista de São Paulo</t>
  </si>
  <si>
    <t>Physical therapy in visual impairment</t>
  </si>
  <si>
    <t>U1111-1222-9535</t>
  </si>
  <si>
    <t>Gabriela Gonçalves Machado</t>
  </si>
  <si>
    <t>gabi_gmachado@hotmail.com</t>
  </si>
  <si>
    <t>Effectiveness of a resistance exercise program and neuromuscular training for patients with Patellofemoral Pain Syndrome</t>
  </si>
  <si>
    <t>U1111-1226-1305</t>
  </si>
  <si>
    <t>Patellofemoral pain syndrome in women</t>
  </si>
  <si>
    <t>Marcos Vinicius Boitrago</t>
  </si>
  <si>
    <t>+55(61)3966-1511</t>
  </si>
  <si>
    <t>marcos.boitrago@hotmail.com</t>
  </si>
  <si>
    <t>Evaluation of the action of the treatment with platelet rich plasma in patients with Behçet Disease</t>
  </si>
  <si>
    <t>U1111-1225-3443</t>
  </si>
  <si>
    <t>Patients with Behçet disease</t>
  </si>
  <si>
    <t>Analysis of the inflammatory response and microRNAs expression of smoker patients after orange juice and orange juice with anthocyanins intake</t>
  </si>
  <si>
    <t>U1111-1222-8852</t>
  </si>
  <si>
    <t>Inflammation,cigarette smoke</t>
  </si>
  <si>
    <t>Marcos Ferreira Minicucci</t>
  </si>
  <si>
    <t>marcosminicucci@gmail.com</t>
  </si>
  <si>
    <t>Placebo-controled randomized clinical trial to assess the active drug response (beta-2 adrenergic agonist) in the treatment of fatigue in patients with Multiple Sclerosis</t>
  </si>
  <si>
    <t>U1111-1215-1447</t>
  </si>
  <si>
    <t>Rosana Scola</t>
  </si>
  <si>
    <t>rosana.scola@hc.ufpr.br</t>
  </si>
  <si>
    <t>Association of low doses of Naltrexone and Transcranial Electrical Stimulation in Fibromyalgia: randomized clinical trial blind controlled with placebo</t>
  </si>
  <si>
    <t>U1111-1221-2639</t>
  </si>
  <si>
    <t>Manual Grip Strength and Maximum Bite Force in dentulous and edentulous individuals</t>
  </si>
  <si>
    <t>U1111-1213-8969</t>
  </si>
  <si>
    <t>Complete denture,jaw edentulous</t>
  </si>
  <si>
    <t>Universidade estadual Paulista Júlio de Mesquita filho</t>
  </si>
  <si>
    <t>Effects of Judo Practice on Blood Pressure Endothelial Response and Autonomic Control of Adolescents with Overweight and Obesity: A Randomized Controlled Trial</t>
  </si>
  <si>
    <t>U1111-1180-1968</t>
  </si>
  <si>
    <t>Iedda de Almeida Brasil</t>
  </si>
  <si>
    <t>ieddabrasil@hotmail.com</t>
  </si>
  <si>
    <t>Evaluation of the use of isotonic serum in patients admitted to Pediatric Intensive Care</t>
  </si>
  <si>
    <t>U1111-1204-8830</t>
  </si>
  <si>
    <t>Water overload in critically ill patients</t>
  </si>
  <si>
    <t>Mariana Digiovanni Pechebea</t>
  </si>
  <si>
    <t>madigiovanni@gmail.com</t>
  </si>
  <si>
    <t>Complexo Hospital de Clínicas Universidade Federal do Paraná</t>
  </si>
  <si>
    <t>Comparative study of an intervention for the prevention of pain and nipple trauma in breastfeeding</t>
  </si>
  <si>
    <t>U1111-1212-6399</t>
  </si>
  <si>
    <t>Prevention of breast problems during breastfeeding</t>
  </si>
  <si>
    <t>Flaviana Vely Mendonça Vieira</t>
  </si>
  <si>
    <t>flavianamori@gmail.com</t>
  </si>
  <si>
    <t>Functional Training vs Traditional Training: Effect on functional capacity cognition and body composition in physically active elderly women</t>
  </si>
  <si>
    <t>U1111-1224-5575</t>
  </si>
  <si>
    <t>Effect of using Triclosan-impregnated Polyglactin suture to prevent infection of saphenectomy wounds in Coronary Artery Bypass Grafting surgery: a prospective double-blind randomized clinical trial</t>
  </si>
  <si>
    <t>U1111-1223-3365</t>
  </si>
  <si>
    <t>Patients submitted exclusively to Myocardial Revascularization with or without Extracorporeal Circulation</t>
  </si>
  <si>
    <t>Bernardo Rangel Tura</t>
  </si>
  <si>
    <t>55-21-987993380</t>
  </si>
  <si>
    <t>brtura@gmail.com</t>
  </si>
  <si>
    <t>Phytotherapy formulation containing bidens pilosa and curcuma longa extract as an alternative therapy for actinic cheilitis treatment</t>
  </si>
  <si>
    <t>U1111-1222-8553</t>
  </si>
  <si>
    <t>Ana Carolina Serafim Vilela</t>
  </si>
  <si>
    <t>acsvilela@hotmail.com</t>
  </si>
  <si>
    <t>Faculdade de Odontologia - Universidade Federal de Goiás</t>
  </si>
  <si>
    <t>Evaluation of pain control edema and trismus after third molar extraction through two pharmacological regimens</t>
  </si>
  <si>
    <t>U1111-1222-8474</t>
  </si>
  <si>
    <t>Functional Training versus Traditional Strength Training: Effects on indicators of physical fitness quality of life and cardiovascular health in the elderly</t>
  </si>
  <si>
    <t>U1111-1223-7791</t>
  </si>
  <si>
    <t>Effects of an Exercise Program performed with Non Invasive Positive Pressure Ventilation support in Hospitalized Patients with Heart Failure</t>
  </si>
  <si>
    <t>U1111-1220-7707</t>
  </si>
  <si>
    <t>Clinical evaluation of direct and semidirect restorations using flexible die technique</t>
  </si>
  <si>
    <t>U1111-1220-9733</t>
  </si>
  <si>
    <t>Relation between patient safety culture and burnout syndrome in pediatric hospitals</t>
  </si>
  <si>
    <t>12/29/2018</t>
  </si>
  <si>
    <t>U1111-1221-1799</t>
  </si>
  <si>
    <t>Burnout syndrome</t>
  </si>
  <si>
    <t>Luiz Carlos de Abreu</t>
  </si>
  <si>
    <t>cdh.fsp@gmail.com</t>
  </si>
  <si>
    <t>Use of Botulinic Toxin and Repositioning Lip Surgery - Randomized Clinical Trial</t>
  </si>
  <si>
    <t>U1111-1218-7944</t>
  </si>
  <si>
    <t>Comite de Etica e Pesquisa CEP</t>
  </si>
  <si>
    <t>+55 21 2574-8800</t>
  </si>
  <si>
    <t>cep@uva.br</t>
  </si>
  <si>
    <t>Universidade Veiga de Almeida</t>
  </si>
  <si>
    <t>The impact of pulmonary rehabilitation on inflammatory markers and functional capacity in patients with bronchiectasis</t>
  </si>
  <si>
    <t>U1111-1222-7430</t>
  </si>
  <si>
    <t>Amanda Souza Araújo</t>
  </si>
  <si>
    <t>+55(85)997364603</t>
  </si>
  <si>
    <t>amandasafisio@hotmail.com</t>
  </si>
  <si>
    <t>Hospital de Messejana Dr. Carlos Alberto Studart Gomes</t>
  </si>
  <si>
    <t>Peripartum Mood Disorders: Screening and Risk factors</t>
  </si>
  <si>
    <t>U1111-1223-0911</t>
  </si>
  <si>
    <t>Depression,postpartum depression,bipolar disorder</t>
  </si>
  <si>
    <t>Fernanda Schier de Fraga</t>
  </si>
  <si>
    <t>feschier@hotmail.com</t>
  </si>
  <si>
    <t>Hospital de Clínicas Universidade Federal do Paraná</t>
  </si>
  <si>
    <t>Effects of different physical activity modalities on aerobic fitness muscle strength and quality of life in Breast Cancer survivors</t>
  </si>
  <si>
    <t>U1111-1219-1074</t>
  </si>
  <si>
    <t>physical fitness</t>
  </si>
  <si>
    <t>Mariana Araújo Braga</t>
  </si>
  <si>
    <t>cep39@usp.br</t>
  </si>
  <si>
    <t>Acupuncture in the improvement of Gengivite in women with Diabetes</t>
  </si>
  <si>
    <t>U1111-1215-3316</t>
  </si>
  <si>
    <t>Fernanda Pessoa Nunes Piauilino</t>
  </si>
  <si>
    <t>Bom Jesus</t>
  </si>
  <si>
    <t>(89) 99985-2160</t>
  </si>
  <si>
    <t>ferpa_nunes@hotmail.com</t>
  </si>
  <si>
    <t>Analysis of the independent effect of social support on adherence and success rates of tuberculosis treatment in Brazilian capitals</t>
  </si>
  <si>
    <t>U1111-1221-9218</t>
  </si>
  <si>
    <t>Tuberculosis Societies</t>
  </si>
  <si>
    <t>Ethel Leonor Noia Maciel</t>
  </si>
  <si>
    <t>ethel.maciel@gmail.com</t>
  </si>
  <si>
    <t>Breastfeeding counseling at home: the impact on exclusive breastfeeding</t>
  </si>
  <si>
    <t>U1111-1224-4992</t>
  </si>
  <si>
    <t>Clinical Trial,Primary Health Care,Home Assistance,Nursing</t>
  </si>
  <si>
    <t>EVELINE DO AMOR DIVINO</t>
  </si>
  <si>
    <t>evedad@gmail.com</t>
  </si>
  <si>
    <t>EVELINE AMOR DIVINO</t>
  </si>
  <si>
    <t>Clinical evaluation of red wine exposure after bleaching of vital teeth</t>
  </si>
  <si>
    <t>U1111-1215-9532</t>
  </si>
  <si>
    <t>Dental Staining</t>
  </si>
  <si>
    <t>Lucas Meneses Lage</t>
  </si>
  <si>
    <t>SÃO JOSÉ DE RIBAMAR</t>
  </si>
  <si>
    <t>lucasmslg@gmail.com</t>
  </si>
  <si>
    <t>UNICEUMA</t>
  </si>
  <si>
    <t>Effects of acupuncture on the muscular strength of elderly patients with sarcopenia</t>
  </si>
  <si>
    <t>U1111-1224-6299</t>
  </si>
  <si>
    <t>Gisele Soares Mendes</t>
  </si>
  <si>
    <t>gsmendes.fisio@gmail.com</t>
  </si>
  <si>
    <t>Biomechanical behavior of ultra-narrow diameter implants</t>
  </si>
  <si>
    <t>U1111-1224-1938</t>
  </si>
  <si>
    <t>Xenarthra</t>
  </si>
  <si>
    <t>FLAVIO DOMINGUES DAS NEVES</t>
  </si>
  <si>
    <t>+55-034 3218-2222</t>
  </si>
  <si>
    <t>flaviodominguesneves@gmail.com</t>
  </si>
  <si>
    <t>Use of Bromelain in the control of pain oedema and trismus om impacted third molar Surgery</t>
  </si>
  <si>
    <t>U1111-1223-3594</t>
  </si>
  <si>
    <t>Belmiro Cavalcanti Vasconcelos</t>
  </si>
  <si>
    <t>+55 081 988868677</t>
  </si>
  <si>
    <t>belmiro@pesquisador.cnpq.br</t>
  </si>
  <si>
    <t>A prospective open-label randomized trial of tretinoin in patients with chronic rhinosinusitis with nasal polyps</t>
  </si>
  <si>
    <t>12/26/2018</t>
  </si>
  <si>
    <t>U1111-1223-1753</t>
  </si>
  <si>
    <t>Nasal polyp. Nasal Polyps. Chronic sinusitis. Sinusitis</t>
  </si>
  <si>
    <t>Marcelo Augusto Antonio</t>
  </si>
  <si>
    <t>marceloaorl@hotmail.com</t>
  </si>
  <si>
    <t>Departamento de Oftalmologia e Otorrinolaringologia,ambulatório de Rinologia</t>
  </si>
  <si>
    <t>Isokinetic muscle training in patients with Parkinsons Disease: influence on the gait balance and plasma measures of oxidatives parameters</t>
  </si>
  <si>
    <t>U1111-1222-5204</t>
  </si>
  <si>
    <t>Betina Santos Santos Tomaz</t>
  </si>
  <si>
    <t>MARACANAU</t>
  </si>
  <si>
    <t>betina_stfisio@hotmail.com</t>
  </si>
  <si>
    <t>Low intensity laser associated with matricaria recutita linn and calendula officinalis in the treatment of oral Mucositis</t>
  </si>
  <si>
    <t>U1111-1199-7184</t>
  </si>
  <si>
    <t>Vânia Thais Silva Gomes</t>
  </si>
  <si>
    <t>55(12)3028-3659</t>
  </si>
  <si>
    <t>vaniathais02@hotmail.com</t>
  </si>
  <si>
    <t>Universidade do Vale do Paraíba</t>
  </si>
  <si>
    <t>Evaluation of restored teeth with amalgam and fractured teeth considering the extension of the restoration</t>
  </si>
  <si>
    <t>U1111-1215-7255</t>
  </si>
  <si>
    <t>Eduardo Bresciani</t>
  </si>
  <si>
    <t>eduardob@gmail.com</t>
  </si>
  <si>
    <t>Instituto de Ciência e Tecnologia de São José dos Campos - UNESP</t>
  </si>
  <si>
    <t>Association Fotobiomodulation and Microagulhamento Hair Loss in Female Pattern (FPHL): clinical study randomized double-blind</t>
  </si>
  <si>
    <t>U1111-1222-2308</t>
  </si>
  <si>
    <t>SUZANA Polonca da Silveira</t>
  </si>
  <si>
    <t>polonkafisio@terra.com.br</t>
  </si>
  <si>
    <t>Effect of transcranial direct current stimulation (tDCS) and multicomponent training on the functional capacity of elderly individuals - clinical controlled randomized double blind trial</t>
  </si>
  <si>
    <t>U1111-1216-4975</t>
  </si>
  <si>
    <t>Fragile elderly</t>
  </si>
  <si>
    <t>Glaucio Carneiro Costa</t>
  </si>
  <si>
    <t>glauciocosta299@hotmail.com</t>
  </si>
  <si>
    <t>Analysis of the Accuracy of Panoramic Radiography associated with the Anteroposterior Towne Technique of Modified Towne in the detection of Calcified Ateromas - comparison with Doppler Ultrasonography</t>
  </si>
  <si>
    <t>12/19/2018</t>
  </si>
  <si>
    <t>U1111-1225-4954</t>
  </si>
  <si>
    <t>Guilherme Augusto Alves de Oliveira</t>
  </si>
  <si>
    <t>Pará de Minas</t>
  </si>
  <si>
    <t>guilherme_augusto.o@hotmail.com</t>
  </si>
  <si>
    <t>Pontifícia Universidade Católica de Minas Gerais</t>
  </si>
  <si>
    <t>Implementation of Assistance to women with Urinary Incontinence in primary care</t>
  </si>
  <si>
    <t>U1111-1212-7952</t>
  </si>
  <si>
    <t>Diseases of the genitourinary system,urinary incontinence</t>
  </si>
  <si>
    <t>Danielle Aparecida Gomes</t>
  </si>
  <si>
    <t>Randomized study of the influence of Functional Electrostimulation in patients with neurogenic oropharyngeal dysphagia after Ischemic Stroke</t>
  </si>
  <si>
    <t>U1111-1222-6461</t>
  </si>
  <si>
    <t>Individuals with dysphagia after stroke</t>
  </si>
  <si>
    <t>Effects of a Pilates Mat protocol on the posture balance and quality of life of the Visually Impaired of the Instito dos Cegos do Brasil Central- ICBC</t>
  </si>
  <si>
    <t>U1111-1212-2595</t>
  </si>
  <si>
    <t>Nuno Miguel Lopes de Oliveira</t>
  </si>
  <si>
    <t>nuno.oliveira@uftm.edu.br</t>
  </si>
  <si>
    <t>Analysis of the influence of visceral manual therapy on upper limb affections</t>
  </si>
  <si>
    <t>U1111-1218-5404</t>
  </si>
  <si>
    <t>Healthy humans</t>
  </si>
  <si>
    <t>Paulo Henrique Altran Veiga</t>
  </si>
  <si>
    <t>paulohveiga1@gmail.com</t>
  </si>
  <si>
    <t>Universidade Católica de Pernambuco</t>
  </si>
  <si>
    <t>Comparative evaluation of two chemical gel adjuvants in the treatment of Chronic Periodontitis: 1% Chlorhexidine x 2.5% Melaleuca a controlled clinical study randomized double blind</t>
  </si>
  <si>
    <t>U1111-1225-2596</t>
  </si>
  <si>
    <t>Renata da Silva Pereira</t>
  </si>
  <si>
    <t>+55(82)996838927</t>
  </si>
  <si>
    <t>renatasilvap_@outlook.com</t>
  </si>
  <si>
    <t>Effect of alpha-lipoic acid as adjuvant in the control of acute pain and levels of biomarkers in surgery for correction of femur fracture</t>
  </si>
  <si>
    <t>U111112110629</t>
  </si>
  <si>
    <t>Andressa Brasil Vasconcelos Costa</t>
  </si>
  <si>
    <t>andressa_brasil@hotmail.com</t>
  </si>
  <si>
    <t>Instituto Doutor José Frota</t>
  </si>
  <si>
    <t>Influence of the frequency of meals in the hypocaloric diet in the loss of body weight glycemia Serum lipid profile plasmatics ghrelin and energetic expenditure of obese women</t>
  </si>
  <si>
    <t>U1111-1224-4502</t>
  </si>
  <si>
    <t>55 (21) 2562-6601</t>
  </si>
  <si>
    <t>The effects of transcranial direct current stimulation (tDCS) associated with virtual reality in postural control and balance of the elderly. Clinical blind controlled randomized study</t>
  </si>
  <si>
    <t>U1111-1213-4266</t>
  </si>
  <si>
    <t>Unspecified Falls</t>
  </si>
  <si>
    <t>55 11 97148 4616</t>
  </si>
  <si>
    <t>A Realistic simulation in the teaching-learning process of the nursing diagnostic reasoning</t>
  </si>
  <si>
    <t>12/17/2018</t>
  </si>
  <si>
    <t>U1111-1220-6025</t>
  </si>
  <si>
    <t>Iellen Dantas Campos Verdes Rodrigues</t>
  </si>
  <si>
    <t>(84) 3215 3119</t>
  </si>
  <si>
    <t>iellendantas@hotmail.com</t>
  </si>
  <si>
    <t>Universidade Federal do Rio Grande do Norte- UFRN</t>
  </si>
  <si>
    <t>Development of a Diabetic Foot Insole Derived from Natural Latex with Tissue Neoform Induction</t>
  </si>
  <si>
    <t>U1111-1223-0814</t>
  </si>
  <si>
    <t>Suelia Siqueira Rodrigues Fleury Rosa</t>
  </si>
  <si>
    <t>+55 (61) 3107-8901</t>
  </si>
  <si>
    <t>rodrigues.suelia@gmail.com</t>
  </si>
  <si>
    <t>Effects of the Massage application time in the recovery of muscle damage in the hip and knee extensor muscles</t>
  </si>
  <si>
    <t>U1111-1207-9002</t>
  </si>
  <si>
    <t>Emmanuela Barbosa de Assis Marinho</t>
  </si>
  <si>
    <t>manumarinho@hotmail.com</t>
  </si>
  <si>
    <t>Faculdade de Educação Física da Universidade de Brasília</t>
  </si>
  <si>
    <t>Effect of respiratory muscle training on the early functional capacity of individuals after myocardial revascularization surgery</t>
  </si>
  <si>
    <t>U1111-1217-8315</t>
  </si>
  <si>
    <t>Tarcísio Nema de Aquino</t>
  </si>
  <si>
    <t>tarcisioaquino@gmail.com</t>
  </si>
  <si>
    <t>Colostrotherapy nutrition pondero-estatural growth and morbimortality of preterm infants of very low weight attended by the Unified Health System (SUS): intervention study</t>
  </si>
  <si>
    <t>U1111-1222-0598</t>
  </si>
  <si>
    <t>Sublingual ketamine in the treatment of Mood Disorders</t>
  </si>
  <si>
    <t>U1111-1213-5347</t>
  </si>
  <si>
    <t>Depressive episode unspecified,Bipolar affective disorder unspecified</t>
  </si>
  <si>
    <t>Rafael Ferro de Araújo</t>
  </si>
  <si>
    <t>Arroio do Meio</t>
  </si>
  <si>
    <t>+55 (51) 3716 1219</t>
  </si>
  <si>
    <t>rmpsiquiatria@gmail.com</t>
  </si>
  <si>
    <t>Realignment of lower limbs in overweight and obese children: an eight week intervention program</t>
  </si>
  <si>
    <t>U1111-1222-7943</t>
  </si>
  <si>
    <t>Use of Buzzy® and Distraction® devices for patient reflief during child vaccination</t>
  </si>
  <si>
    <t>U111112244940</t>
  </si>
  <si>
    <t>Pain relief during immunization of children</t>
  </si>
  <si>
    <t>Viviane Santos Fontes</t>
  </si>
  <si>
    <t>Paripiranga</t>
  </si>
  <si>
    <t>vivianefontes00@hotmail.com</t>
  </si>
  <si>
    <t>Class V Non-Carious Cervical Lesions restorations with bioactive resins: randomized controlled clinical trial</t>
  </si>
  <si>
    <t>U1111-1224-8146</t>
  </si>
  <si>
    <t>Tooth Cervix,Tooth Abrasion,Tooth Erosion,Tooth wear</t>
  </si>
  <si>
    <t>Taciana Marco Ferraz Caneppele</t>
  </si>
  <si>
    <t>taciana@ict.unesp.br</t>
  </si>
  <si>
    <t>Instituto de Ciência e Tecnologia - Universidade Estadual Paulista</t>
  </si>
  <si>
    <t>Effect of Dynamic Tape Functional Bandage on Gluteus Medius Muscle Function and in Trunk and Lower Limb Kinematics and Functional Performance in Healthy Women</t>
  </si>
  <si>
    <t>U1111-1190-9946</t>
  </si>
  <si>
    <t>Healthy subjects,Risk factors for anterior cruciate ligament injuries,Risk Factors for Patellofemoral Pain Syndrome</t>
  </si>
  <si>
    <t>daniel.lobato@unifal-mg.edu.br</t>
  </si>
  <si>
    <t>Thermogenic Adaptation in Patients with Polycystic Ovarian Syndrome with Metabolic Syndrome Supplemented by Chronology with L-Arginine Caffeine or Creatine and Training Resisted Exercise - Randomized Study</t>
  </si>
  <si>
    <t>U1111-1223-3668</t>
  </si>
  <si>
    <t>Carlos Alexandre Fett</t>
  </si>
  <si>
    <t>fettcarlos@gmail.com</t>
  </si>
  <si>
    <t>Action of Chinese Auricular Acupuncture with Laser associated with Systemic Cupping on Chronic Pain in people with Musculoskeletal Disorders in the Spine: Randomized Clinical Trial</t>
  </si>
  <si>
    <t>U1111-1223-0744</t>
  </si>
  <si>
    <t>Flávia da Silva Menezes</t>
  </si>
  <si>
    <t>flamenezes_02@hotmail.com</t>
  </si>
  <si>
    <t>Comparison of pain perception using conventional and computerized anesthetic techniques: a randomized clinical trial</t>
  </si>
  <si>
    <t>U1111-1219-1276</t>
  </si>
  <si>
    <t>Effects of strength training with blood flow restriction in different environments on morphological neuromuscular hemodynamic functional and inflammatory variables in middle-aged and elderly women</t>
  </si>
  <si>
    <t>U1111-1222-6389</t>
  </si>
  <si>
    <t>Joamira Pereira Araújo</t>
  </si>
  <si>
    <t>joamira10@hotmail.com</t>
  </si>
  <si>
    <t>Instituto Federal de Educação Ciência e Tecnologia do Ceará</t>
  </si>
  <si>
    <t>Study of the Analgesic Effect of Intraoperative Esmolol for Laparoscopic Gastroplasty</t>
  </si>
  <si>
    <t>U1111-1221-1149</t>
  </si>
  <si>
    <t>Rioko Kimiko Sakata</t>
  </si>
  <si>
    <t>rsakata@unifesp.br</t>
  </si>
  <si>
    <t>Photobiomodulation and manual therapy in the treatment of myofascial dysfunction of the pelvic floor muscles - pilot study</t>
  </si>
  <si>
    <t>U1111-1221-2213</t>
  </si>
  <si>
    <t>Pain due to myofascial dysfunction of the pelvic floor muscles</t>
  </si>
  <si>
    <t>Claudia Pignatti Frederice Teixeira</t>
  </si>
  <si>
    <t>cpfrederice@gmail.com</t>
  </si>
  <si>
    <t>Universidade Estadual de Campinas -UNICAMP</t>
  </si>
  <si>
    <t>Chronic Effects of Concurrent Training in College Students</t>
  </si>
  <si>
    <t>U1111-1221-6311</t>
  </si>
  <si>
    <t>Mariana Mouad</t>
  </si>
  <si>
    <t>marianamouad@hotmail.com</t>
  </si>
  <si>
    <t>Universidade Estadual de Londrina - UEL</t>
  </si>
  <si>
    <t>U1111-1221-6748</t>
  </si>
  <si>
    <t>Children with neurological impairment due to Zika Virus infections during pregnancy (Congenital Zika Virus syndrome),improvement in motor function</t>
  </si>
  <si>
    <t>Adriana Suely de Oliveira Melo</t>
  </si>
  <si>
    <t>asomelo@gmail.com</t>
  </si>
  <si>
    <t>Instituto de Pesquisa Professor Joaquim Amorim Neto</t>
  </si>
  <si>
    <t>Physiotherapeutic approach in sewing machine operators with complaints in the cervical region and shoulder</t>
  </si>
  <si>
    <t>U1111-1211-7300</t>
  </si>
  <si>
    <t>Effect of educational primer for caregivers of stroke victims: randomized controlled trial</t>
  </si>
  <si>
    <t>U1111-1223-0031</t>
  </si>
  <si>
    <t>Ariane Alves Barros</t>
  </si>
  <si>
    <t>55 085 98834-3804</t>
  </si>
  <si>
    <t>arianealvesbarros@hotmail.com</t>
  </si>
  <si>
    <t>Effects of electrical stimulation over the skull and tight together with exercises on knee osteoarthritis</t>
  </si>
  <si>
    <t>07/18/2016</t>
  </si>
  <si>
    <t>U1111-1180-1935</t>
  </si>
  <si>
    <t>Gonarthrosis [arthrosis of knee]</t>
  </si>
  <si>
    <t>Cleber Luz Santos</t>
  </si>
  <si>
    <t>+55(71)32838906</t>
  </si>
  <si>
    <t>Comparative analysis between two antihypertensive manual techniques: a randomized clinical trial</t>
  </si>
  <si>
    <t>U1111-1224-1793</t>
  </si>
  <si>
    <t>Poliana Silva Freire</t>
  </si>
  <si>
    <t>poliana.s.freire@hotmail.com</t>
  </si>
  <si>
    <t>Faculdade Independente do Nordeste - FAINOR</t>
  </si>
  <si>
    <t>Randomized clinical trial of patients with wounds: natural latex and led light emitting circuit</t>
  </si>
  <si>
    <t>U1111-1222-8698</t>
  </si>
  <si>
    <t>Gama</t>
  </si>
  <si>
    <t>suelia@unb.br</t>
  </si>
  <si>
    <t>Faculdade do Gama</t>
  </si>
  <si>
    <t>Evaluation of the effect of the use of the Pilates Method on the improvement of balance in patients with Parkinsons disease</t>
  </si>
  <si>
    <t>U1111-1223-8712</t>
  </si>
  <si>
    <t>David Pereira Maciel</t>
  </si>
  <si>
    <t>Maracanaú</t>
  </si>
  <si>
    <t>davidpilates63@yahoo.com.br</t>
  </si>
  <si>
    <t>Chronic effects of Strength Training with Blood Flow Restriction on the physical performance and pulmonary function of people with COPD</t>
  </si>
  <si>
    <t>U1111-1209-5341</t>
  </si>
  <si>
    <t>Other pulmonary obstructive diseases</t>
  </si>
  <si>
    <t>Elisio Alves Pereira Neto</t>
  </si>
  <si>
    <t>elisioapn@hotmail.com</t>
  </si>
  <si>
    <t>Randomized double-blind clinical trial in diabetic ulcers of lower limbs using biomembrane association derived from natural latex (Hevea Brasiliensis) and light emitting equipment varied wavelength 450 to 636 nm</t>
  </si>
  <si>
    <t>U1111-1222-9591</t>
  </si>
  <si>
    <t>Linked Color Imaging improves Colorectal Adenoma Detection</t>
  </si>
  <si>
    <t>U1111-1219-8711</t>
  </si>
  <si>
    <t>colorectal neoplasms</t>
  </si>
  <si>
    <t>Daniele  Malaman</t>
  </si>
  <si>
    <t>Bagé</t>
  </si>
  <si>
    <t>daniele.malaman@hotmail.com.br</t>
  </si>
  <si>
    <t>Santa Casa de Caridade de Bagé</t>
  </si>
  <si>
    <t>Effects of Nitrous Oxide augmentation of the Selective Serotonin Reuptake Inhibitors treatment of Major Depressive Disorder</t>
  </si>
  <si>
    <t>U1111-1223-7833</t>
  </si>
  <si>
    <t>Mara Rocha Crisóstomo Guimarães</t>
  </si>
  <si>
    <t>mrcisostomo@usp.br</t>
  </si>
  <si>
    <t>Impact of an unassisted exercise program proposed for patients with chronic kidney disease</t>
  </si>
  <si>
    <t>U1111-12239337</t>
  </si>
  <si>
    <t>Transcranial direct current stimulation and its therapeutic potential in different populations</t>
  </si>
  <si>
    <t>U1111-1224-0962</t>
  </si>
  <si>
    <t>Universidade federal do rio grande do norte</t>
  </si>
  <si>
    <t>Effects of gene-environment interaction on blood pressure: renin angiotensin system and high intensity interval training</t>
  </si>
  <si>
    <t>U1111-1222-7222</t>
  </si>
  <si>
    <t>prehypertension</t>
  </si>
  <si>
    <t>Janine Giovanella</t>
  </si>
  <si>
    <t>Lajeado</t>
  </si>
  <si>
    <t>jagiovanella@univates.br</t>
  </si>
  <si>
    <t>Universidade do Vale do Taquari</t>
  </si>
  <si>
    <t>Effects of Semi-occluded Vocal Tract Exercises for voice of elderly choristers: randomized controlled trial</t>
  </si>
  <si>
    <t>U1111-1218-8437</t>
  </si>
  <si>
    <t>Camila Dalbosco Gadenz</t>
  </si>
  <si>
    <t>camiladalbosco@live.com</t>
  </si>
  <si>
    <t>Federal University of Health Sciences of Porto Alegre</t>
  </si>
  <si>
    <t>Autologous Stem Cell infusion in COPD patients: impact on quality of life and physical performance</t>
  </si>
  <si>
    <t>U1111-1216-4281</t>
  </si>
  <si>
    <t>Elie  Fiss</t>
  </si>
  <si>
    <t>Clinical cost-effectiveness test for treatment of the different area of partial thickness skin enlargement in burned patients. Comparison between polyurethane foam with ibupphrine polyurethane foam with silicone and fiber mesh of salinized cellulose</t>
  </si>
  <si>
    <t>U1111-1220-0639</t>
  </si>
  <si>
    <t>Pain in skin graft donor area,Re-epithelialization in skin graft donor area</t>
  </si>
  <si>
    <t>Henrique Ovidio Coraspe Gonçalves</t>
  </si>
  <si>
    <t>henrique_coraspe@hotmail.com</t>
  </si>
  <si>
    <t>Unidade de Queimados da Unidade de Emergência do Hospital das Clínicas da Faculdade de Medicina de Ribeirão Preto da Universidade de São Paulo-UQHCFMRP-USP</t>
  </si>
  <si>
    <t>Evaluation of polyethylene terephthalate tongue scraper</t>
  </si>
  <si>
    <t>U1111-1220-5476</t>
  </si>
  <si>
    <t>Fundação da Universidade Federal de Sergipe</t>
  </si>
  <si>
    <t>Prevention evaluation and therapy of rehabilitation in cardiovascular respiratory and metabolic disorders</t>
  </si>
  <si>
    <t>U1111-1219-9793</t>
  </si>
  <si>
    <t>Eduardo Tenório França</t>
  </si>
  <si>
    <t>55-081-988775859</t>
  </si>
  <si>
    <t>Hospital Agamenon Magalhães</t>
  </si>
  <si>
    <t>Effects of unilateral and bilateral training methods on motor control and strength in individuals with Parkinsons disease</t>
  </si>
  <si>
    <t>U1111-1218-4864</t>
  </si>
  <si>
    <t>Sacha Clael</t>
  </si>
  <si>
    <t>sachaclael@hotmail.com</t>
  </si>
  <si>
    <t>Nutritional Sensory Value of Chicken Burgers Prepared with Flaxseed Flour and its Effects on Appetite Food Intake and Postprandial Glycemia</t>
  </si>
  <si>
    <t>U1111-1221-1980</t>
  </si>
  <si>
    <t>obesity,glicemya</t>
  </si>
  <si>
    <t>Elaine Souza Cocaro</t>
  </si>
  <si>
    <t>Rio Pomba</t>
  </si>
  <si>
    <t>55 32 3571 5700</t>
  </si>
  <si>
    <t>elainecocaro@yahoo.com.br</t>
  </si>
  <si>
    <t>Instituto Federal de Educação,Ciência e Tecnologia do Sudeste de Minas Gerais-Campus Rio Pomba</t>
  </si>
  <si>
    <t>Effectiveness of virtual and augmented reality versus neurofunctional physiotherapy in the treatment of motors and non motors symptoms in patients with Parkinsons disease</t>
  </si>
  <si>
    <t>U1111-1222-5768</t>
  </si>
  <si>
    <t>Suhaila Mahmoud Smaili</t>
  </si>
  <si>
    <t>suhailaneuro@gmail.com</t>
  </si>
  <si>
    <t>Virtual work performance analysis in people with Amyotrophic Lateral Sclerosis</t>
  </si>
  <si>
    <t>U1111-1222-5407</t>
  </si>
  <si>
    <t>Motor Neuron Disease</t>
  </si>
  <si>
    <t>carlos@usp.br</t>
  </si>
  <si>
    <t>Analysis of Neuromuscular Trunk Activation During Equine Therapy Session</t>
  </si>
  <si>
    <t>11/29/2018</t>
  </si>
  <si>
    <t>U1111-1222-6715</t>
  </si>
  <si>
    <t>Júlio Bravo Junior</t>
  </si>
  <si>
    <t>Ponte Nova</t>
  </si>
  <si>
    <t>julioebravo@yahoo.com.br</t>
  </si>
  <si>
    <t>Faculdade Dinâmica do Vale do Piranga</t>
  </si>
  <si>
    <t>Validation of a psychological distress screening tool in the emergency room</t>
  </si>
  <si>
    <t>U1111-1221-2089</t>
  </si>
  <si>
    <t>Coordenação Residencia Multiprofissional em Saúde</t>
  </si>
  <si>
    <t>cprmshc@gmail.com</t>
  </si>
  <si>
    <t>Residência Multiprofissional em Saúde - Universidade Federal de Goiás</t>
  </si>
  <si>
    <t>Physiotherapeutic treatment of patients after radio-distal fracture during the hospital and outpatient phases</t>
  </si>
  <si>
    <t>U1111-1217-6560</t>
  </si>
  <si>
    <t>Post operative pain</t>
  </si>
  <si>
    <t>Luciane Fernanda Rodrigues Martinho Fernandes</t>
  </si>
  <si>
    <t>+55(34)992005151</t>
  </si>
  <si>
    <t>fernandes.luciane72@gmail.com</t>
  </si>
  <si>
    <t>The success rates of glass ionomer cement and resin-based sealants placed by third-year undergraduate dental students</t>
  </si>
  <si>
    <t>U1111-1215-2832</t>
  </si>
  <si>
    <t>Aline Evangelista de Souza Gabriel</t>
  </si>
  <si>
    <t>55 16 33154075</t>
  </si>
  <si>
    <t>aline.gabriel@forp.usp.br</t>
  </si>
  <si>
    <t>Faculdade de Odontologia de Ribeirão Preto FORP/USP</t>
  </si>
  <si>
    <t>Comparision between Hardinge and Minimally invasive aproaches for Intertrochanteric fractures treatment using Dynamic Hip Screw</t>
  </si>
  <si>
    <t>11/26/2018</t>
  </si>
  <si>
    <t>U1111-1219-4190</t>
  </si>
  <si>
    <t>Intertrochanteric fracture,Postoperative pain</t>
  </si>
  <si>
    <t>Eduardo Lima de Abreu</t>
  </si>
  <si>
    <t>ed_manaus@yahoo.com.br</t>
  </si>
  <si>
    <t>Floral Therapy in Anxiety Disorders in academics of the Physical Therapy course of a state university</t>
  </si>
  <si>
    <t>U1111-1220-0115</t>
  </si>
  <si>
    <t>Karen Andrea Comparin</t>
  </si>
  <si>
    <t>karencomparin@gmail.com</t>
  </si>
  <si>
    <t>Study on 70% glycolic acid peeling associated with 5-fluorouracil 5% compared to the topical use of 5-fluorouracil 5% cream in the treatment of actinic keratosIs: a non-randomized clinical trial</t>
  </si>
  <si>
    <t>U1111-1208-0574</t>
  </si>
  <si>
    <t>Clinical behavior of CAD/CAM chairside onlay restorations: randomized clinical trial</t>
  </si>
  <si>
    <t>11/22/2018</t>
  </si>
  <si>
    <t>U1111-1220-7420</t>
  </si>
  <si>
    <t>São José dos Campos,</t>
  </si>
  <si>
    <t>+55(12)997920252</t>
  </si>
  <si>
    <t>eduardo.bresciani@unesp.br</t>
  </si>
  <si>
    <t>Longitudinal analysis of the development of orofacial morphology and physiology in children with sucking habits</t>
  </si>
  <si>
    <t>U1111-1207-0415</t>
  </si>
  <si>
    <t>Kelly Oliveira Guedes de Oliveira Scudine</t>
  </si>
  <si>
    <t>+55 19 2106-5200</t>
  </si>
  <si>
    <t>kelly_scudine@hotmail.com</t>
  </si>
  <si>
    <t>Faculdade de Odontologia de Piracicaba-UNICAMP</t>
  </si>
  <si>
    <t>Effect of postural perturbation training on the ability to recover body balance in individuals with Parkinsons disease with freezing of gait</t>
  </si>
  <si>
    <t>U1111-1216-0476</t>
  </si>
  <si>
    <t>Luis Augusto Teixeira</t>
  </si>
  <si>
    <t>lateixei@usp.br</t>
  </si>
  <si>
    <t>Educational tchnology for the correct positioning in Spinal Anesthesia: controlled and randomized clinical trial</t>
  </si>
  <si>
    <t>U1111-1201-3229</t>
  </si>
  <si>
    <t>Sarah Lima Pinto</t>
  </si>
  <si>
    <t>sarahlimapinto@gmail.com</t>
  </si>
  <si>
    <t>Universidade Regional do Cariri</t>
  </si>
  <si>
    <t>Effectiveness of implementation strategies in adherence to PET / CT guidelines in cancer patients</t>
  </si>
  <si>
    <t>U1111-1221-9251</t>
  </si>
  <si>
    <t>Guidelines for Health Planning</t>
  </si>
  <si>
    <t>Airton Tetelbom Stein</t>
  </si>
  <si>
    <t>+55 (51) 3303-9000</t>
  </si>
  <si>
    <t>airton.stein@gmail.com</t>
  </si>
  <si>
    <t>Gynecological and dermatological aceitabiity evaluation of cosmetics products in normal conditions of u</t>
  </si>
  <si>
    <t>U1111-1222-6424</t>
  </si>
  <si>
    <t>+55 (11) 4497 - 1315</t>
  </si>
  <si>
    <t>Subdermal implant in adolescent postpartum: non-randomized clinical trial</t>
  </si>
  <si>
    <t>U1111-1220-9032</t>
  </si>
  <si>
    <t>Mariane Massaini Barbieri</t>
  </si>
  <si>
    <t>+55(019)3521-8936</t>
  </si>
  <si>
    <t>nanebarbieri@hotmail.com</t>
  </si>
  <si>
    <t>Efficacy of Vestibular Rehabilitation in the functional balance of institutionalized elderly women</t>
  </si>
  <si>
    <t>U1111-1207-1744</t>
  </si>
  <si>
    <t>Dominique Babini</t>
  </si>
  <si>
    <t>dbabini.fisioterapeuta@gmail.com</t>
  </si>
  <si>
    <t>Effects of mirror therapy on the recovery of motor function from the paretic hand in patients after stroke</t>
  </si>
  <si>
    <t>U1111-1207-7011</t>
  </si>
  <si>
    <t>Muscle strengthening and aerobic training associated with Phototherapy in knee osteoarthritis</t>
  </si>
  <si>
    <t>08/23/2016</t>
  </si>
  <si>
    <t>U1111-1182-4568</t>
  </si>
  <si>
    <t>Bilateral primary gonarthrosis / Knee Osteoarthritis</t>
  </si>
  <si>
    <t>+55(13)38783700</t>
  </si>
  <si>
    <t>Effect of Photobiomodulation on Hamstring Injury rehabilitation: a randomised clinical trial</t>
  </si>
  <si>
    <t>11/13/2018</t>
  </si>
  <si>
    <t>U1111-1222-2897</t>
  </si>
  <si>
    <t>Skeletal muscle</t>
  </si>
  <si>
    <t>Bruno Manfredini Baroni</t>
  </si>
  <si>
    <t>bmbaroni@yahoo.com.br</t>
  </si>
  <si>
    <t>Physical therapy associated with pain neuroscience education for patients with chronic low back pain - blinded randomized clinical trial</t>
  </si>
  <si>
    <t>U1111-1222-3566</t>
  </si>
  <si>
    <t>Angela Shiratsu Yamada</t>
  </si>
  <si>
    <t>angela@ceulp.edu.br</t>
  </si>
  <si>
    <t>Centro Universitário Luterano de Palmas - CEULP/ULBRA</t>
  </si>
  <si>
    <t>Eletromiography analisys of the trunk and inferior limbs on the hippotherapy in comparision with the independent gait in subjects with Down Syndrome Chronic not-progressive encephalopathy of childhood and Intellectual disabilities</t>
  </si>
  <si>
    <t>U1111-1204-0704</t>
  </si>
  <si>
    <t>Cerebral Palsy. Intellectual Disability. Downs syndrome</t>
  </si>
  <si>
    <t>Combined effects of exercise training on cardiovascular and metabolic performance and its relation to the polymorphism AMPD1 gene in diabetic patients - randomized controlled clinical trial</t>
  </si>
  <si>
    <t>U1111-1177-0794</t>
  </si>
  <si>
    <t>Diabetes Mellitus type II</t>
  </si>
  <si>
    <t>Daniela  Bassi</t>
  </si>
  <si>
    <t>danibassi26@ig.com.br</t>
  </si>
  <si>
    <t>Federal University of Sao Carlos</t>
  </si>
  <si>
    <t>Motivational interview on oral health actions for psychiatric patients - randomized clinical trial</t>
  </si>
  <si>
    <t>U1111-1222-5311</t>
  </si>
  <si>
    <t>Alexandre Gomes Lopes</t>
  </si>
  <si>
    <t>aglopes72@gmail.com</t>
  </si>
  <si>
    <t>Tetracaine 1% anesthetic effect: comparison between eye drops in open eyes and spray in closed eyes</t>
  </si>
  <si>
    <t>U1111-1221-5243</t>
  </si>
  <si>
    <t>Arlindo José Freire Portes</t>
  </si>
  <si>
    <t>portes@uol.com.br</t>
  </si>
  <si>
    <t>Use of Transcranial Direct Current Stimulation (tDCS) for treatment of Tardive Dyskinesia in schizophrenic patients</t>
  </si>
  <si>
    <t>U1111-1222-7301</t>
  </si>
  <si>
    <t>Thiago Xavier Correa</t>
  </si>
  <si>
    <t>+55 61 98656-2606</t>
  </si>
  <si>
    <t>correatx@gmail.com</t>
  </si>
  <si>
    <t>Faculdade de Medicina da Universidade de Brasília - FM/UnB</t>
  </si>
  <si>
    <t>Effect of squatting posture on the improvement of myofascial low back pain and body alignment in adolescents and young adults</t>
  </si>
  <si>
    <t>U1111-1217-5456</t>
  </si>
  <si>
    <t>Claudia da Rosa Barbosa</t>
  </si>
  <si>
    <t>caurbarbosa@gmail.com</t>
  </si>
  <si>
    <t>Effects of a Resistance Exercise Program on the Autonomic Cardiovascular Function and without Physical Conditioning of Chronic Renal patients under hemodialysis treatment</t>
  </si>
  <si>
    <t>U111112205264</t>
  </si>
  <si>
    <t>Chronic Renal Insufficiency. renal dialysis</t>
  </si>
  <si>
    <t>Emanuelle Cristinne Marques de Sousa Sá</t>
  </si>
  <si>
    <t>fisioemanuelle@hotmail.com</t>
  </si>
  <si>
    <t>Effect of cognitive stimulation allied to physical training in adult and elderly health parameters: association with genetic polimorphisms</t>
  </si>
  <si>
    <t>U1111-1212-8631</t>
  </si>
  <si>
    <t>Carlos Roberto Bueno Júnior</t>
  </si>
  <si>
    <t>Escola de Educação Física e Esporte de Ribeirão Preto - Universidade de São Paulo</t>
  </si>
  <si>
    <t>Carpal Tunnel Syndrome: physioterapic intervention and avaliation with interface between hands and vertebral column</t>
  </si>
  <si>
    <t>U1111-1175-6218</t>
  </si>
  <si>
    <t>+55 (34)33185500</t>
  </si>
  <si>
    <t>Biopsycosocial effect of Functional Cognitive Therapy (CFT) in patients with Chronic Lumbar Pain submitted to Surgical Intervention in Lumbar</t>
  </si>
  <si>
    <t>U1111-1219-6776</t>
  </si>
  <si>
    <t>Leonardo Cesar Melo Avila</t>
  </si>
  <si>
    <t>avilafisioterapeuta@gmail.com</t>
  </si>
  <si>
    <t>CAD/CAM technology in the manufacture of rigid internal fixation plates used in patients undergoing orthognathic surgery to correct dentomaxillofacial deformity</t>
  </si>
  <si>
    <t>U1111-1222-5943</t>
  </si>
  <si>
    <t>Dentofacial anomalies</t>
  </si>
  <si>
    <t>ouvidoria.hub@ebserh.gov.br</t>
  </si>
  <si>
    <t>Construction validation and evaluation of mobile application for informal caregivers of demented elderly</t>
  </si>
  <si>
    <t>U1111-1221-5603</t>
  </si>
  <si>
    <t>Fernanda Rochelly do Nascimento Mota</t>
  </si>
  <si>
    <t>rochellymotta@yahoo.com.br</t>
  </si>
  <si>
    <t>Effects of B-alanine and sodium bicarbonate supplementation on the performance of runners of of Aracaju-se city</t>
  </si>
  <si>
    <t>U1111-1221-1754</t>
  </si>
  <si>
    <t>Renata Rebello Mendes</t>
  </si>
  <si>
    <t>renatarmgomes@gmail.com</t>
  </si>
  <si>
    <t>Acute and chronic effects of Orthodontic Treatment for dental Alignment promote neural adaptations in Adults with Malocclusion: A Randomized Controlled Trial</t>
  </si>
  <si>
    <t>U1111-1195-0834</t>
  </si>
  <si>
    <t>Márcia  Maciel</t>
  </si>
  <si>
    <t>BrasÍlia</t>
  </si>
  <si>
    <t>dramarciamaciel@gmail.com</t>
  </si>
  <si>
    <t>Cardiovascular Risk and Physical Therapy in Primary Prevention</t>
  </si>
  <si>
    <t>U1111-1220-7494</t>
  </si>
  <si>
    <t>Atherosclerotic cardiovascular disease,so described</t>
  </si>
  <si>
    <t>PAULO ALBERTO TAYAR PERES</t>
  </si>
  <si>
    <t>Perception of the quality of life of hemiparetic patients post Stroke in a balance group in aquatic environment</t>
  </si>
  <si>
    <t>U1111-1220-6496</t>
  </si>
  <si>
    <t>Daniela Ramos de Campos Magalhães</t>
  </si>
  <si>
    <t>+55 011 5576 0925</t>
  </si>
  <si>
    <t>dmagalhaes@aacd.org.br</t>
  </si>
  <si>
    <t>Efficacy of the individual hearing aid x drug interaction with Ginkgo biloba in patients with Hearing Loss and Tinnitus</t>
  </si>
  <si>
    <t>U1111-1221-3798</t>
  </si>
  <si>
    <t>Susana Nogueira Diniz</t>
  </si>
  <si>
    <t>dinizsusana@gmail.com</t>
  </si>
  <si>
    <t>Universidade Anhanguera de São Paulo</t>
  </si>
  <si>
    <t>Effectiveness of a Treadmill Training Programme in improving the postural balance on institutionalized older adults</t>
  </si>
  <si>
    <t>U1111-1221-6536</t>
  </si>
  <si>
    <t>Marcos Eduardo Scheicher</t>
  </si>
  <si>
    <t>marcos.scheicher@unesp.br</t>
  </si>
  <si>
    <t>Longevity of class II restorations performed with bioactive restorative materials: a randomized clinical trial</t>
  </si>
  <si>
    <t>U1111-1219-6506</t>
  </si>
  <si>
    <t>Respiratory and peripheral muscle training in patients with Chronic Cardiorespiratory Diseases</t>
  </si>
  <si>
    <t>U1111-1216-6625</t>
  </si>
  <si>
    <t>Laura Jurema Santos</t>
  </si>
  <si>
    <t>fisio.laurasantos@gmail.com</t>
  </si>
  <si>
    <t>Effect of the physiotherapeutic treatment of surface electrostimulation in the treatment of hyperactive bladder in women</t>
  </si>
  <si>
    <t>06/29/2017</t>
  </si>
  <si>
    <t>U1111-1191-6105</t>
  </si>
  <si>
    <t>urinary bladder,overactive</t>
  </si>
  <si>
    <t>Raquel Henriques Jácomo</t>
  </si>
  <si>
    <t>+55(61)3448-5320</t>
  </si>
  <si>
    <t>raquel.jacomo@gmail.com</t>
  </si>
  <si>
    <t>Sleep quality and daytime sleepiness in athletes: relation with physical training and the period of competition</t>
  </si>
  <si>
    <t>U1111-1222-2608</t>
  </si>
  <si>
    <t>Eliane Marques Duarte de Sousa</t>
  </si>
  <si>
    <t>+55 (83) 3216 7791</t>
  </si>
  <si>
    <t>Vitamin D status and repercussion in the modulation of NFkB pathway in placenta and in neonatal clinical and anthropometric parameters</t>
  </si>
  <si>
    <t>U1111-1198-1312</t>
  </si>
  <si>
    <t>Vitamin D inadequacy</t>
  </si>
  <si>
    <t>55-13-32290159</t>
  </si>
  <si>
    <t>Effects of Ventilation Positive Biphasic Pressure compared to Protective Ventilatory Strategy in intensive care patients with Community-Acquired Pneumonia: a randomized controlled trial</t>
  </si>
  <si>
    <t>U1111-1219-1449</t>
  </si>
  <si>
    <t>Bacterial pneumonia</t>
  </si>
  <si>
    <t>Roberta Pereira dos Santos Coelho</t>
  </si>
  <si>
    <t>robertafisio@yahoo.com.br</t>
  </si>
  <si>
    <t>Hospital Pró Cardíaco</t>
  </si>
  <si>
    <t>Effects of Aquatic Physical Therapy in prematures of the neonatal intensive therapy unit</t>
  </si>
  <si>
    <t>U1111-1202-2302</t>
  </si>
  <si>
    <t>Premature Birth. Pain. Vital signs. Stress,Physiological. Sleep. Feeding</t>
  </si>
  <si>
    <t>Daniela Cristina Rambo</t>
  </si>
  <si>
    <t>055 96969650</t>
  </si>
  <si>
    <t>danielarambo@hotmail.com</t>
  </si>
  <si>
    <t>Centro Universitário Franciscano</t>
  </si>
  <si>
    <t>Evaluation of the Efficacy of a Non-Invasive Anesthetic Polymeric Device - Randomized Clinical Trial in Children</t>
  </si>
  <si>
    <t>10/30/2018</t>
  </si>
  <si>
    <t>U1111-1222-5518</t>
  </si>
  <si>
    <t>Stomatognathic Diseases,Dental cavity,Tooth Avulsion,Deciduous Tooth</t>
  </si>
  <si>
    <t>Alexandra Mussolino Queiroz</t>
  </si>
  <si>
    <t>amqueiroz@forp.usp.br</t>
  </si>
  <si>
    <t>Physiotherapeutic treatment in head and neck oncology patients with Radioinduced Trismus</t>
  </si>
  <si>
    <t>U1111-1221-2988</t>
  </si>
  <si>
    <t>Ana Caroline de Oliveira Hintz</t>
  </si>
  <si>
    <t>Farroupilha</t>
  </si>
  <si>
    <t>acarolhintz@gmail.com</t>
  </si>
  <si>
    <t>Faculdade Cenecista de Bento Gonçalves</t>
  </si>
  <si>
    <t>Effects of guaraná (paullinia cupana) supplementation on the regulation of oxidative stress and on blood biomarkers after physical exercise in physical activity practitioners</t>
  </si>
  <si>
    <t>U1111-1221-5709</t>
  </si>
  <si>
    <t>Vinicius Cavalcanti</t>
  </si>
  <si>
    <t>viniciuscavalcanti@ufam.edu.br</t>
  </si>
  <si>
    <t>Training of muscular strength in the elderly with fragility or pre-fragility syndrome hospitalized at Hospital São Vicente de Paulo in Passo Fundo-RS: trial clinical</t>
  </si>
  <si>
    <t>U1111-1220-8118</t>
  </si>
  <si>
    <t>Luísa Tiecker Reidel</t>
  </si>
  <si>
    <t>(55) 99168-8016</t>
  </si>
  <si>
    <t>luisa_treidel@hotmail.com</t>
  </si>
  <si>
    <t>Universidade de Passo Fundo- UPF</t>
  </si>
  <si>
    <t>Effect of erva-mate (ilex paraguariensis st. hil.) on the absorption of iron in patients with hereditary hemochromatosis</t>
  </si>
  <si>
    <t>U1111-1218-3785</t>
  </si>
  <si>
    <t>Cristiane Manfé Pagliosa</t>
  </si>
  <si>
    <t>+55 48 996020653</t>
  </si>
  <si>
    <t>mcristiane@gmail.com</t>
  </si>
  <si>
    <t>Effect of paleolithic diet in the treatment of Obesity: controlled clinical trial and systematic review</t>
  </si>
  <si>
    <t>10/29/2018</t>
  </si>
  <si>
    <t>U1111-1207-6585</t>
  </si>
  <si>
    <t>Obesity,Blood Glucose</t>
  </si>
  <si>
    <t>Helena Alves de Carvalho Sampaio</t>
  </si>
  <si>
    <t>dr.hard2@gmail.com</t>
  </si>
  <si>
    <t>Effects of the supplementation of skin and seed extract of the São Francisco Valley grapes on cardiovascular glycemic lipidic inflammatory responses and quality of life of adolescents and adults with excess weight</t>
  </si>
  <si>
    <t>10/26/2018</t>
  </si>
  <si>
    <t>U1111-1221-6656</t>
  </si>
  <si>
    <t>Ferdinando Oliveira Carvalho</t>
  </si>
  <si>
    <t>+ 55 87 2101-6856</t>
  </si>
  <si>
    <t>ferdinando.carvalho@univasf.edu.br</t>
  </si>
  <si>
    <t>Universidade Federal do Vale do São Francisco (UNIVASF)</t>
  </si>
  <si>
    <t>Evaluation of Gynecological Acceptability of Product for Health Care with Perceived Effectiveness of Hydration and Maintenance of Vaginal pH</t>
  </si>
  <si>
    <t>10/25/2018</t>
  </si>
  <si>
    <t>U1111-1218-1266</t>
  </si>
  <si>
    <t>Healthy volunteers with symptoms of vaginal dryness</t>
  </si>
  <si>
    <t>Flávia Alvim SantAnna Addor</t>
  </si>
  <si>
    <t>Effects of a Home Exercise Program on Motor and Non-Motor Symptoms of Individuals with Parkinsons Disease: Randomized Clinical Trial</t>
  </si>
  <si>
    <t>U1111-1221-7560</t>
  </si>
  <si>
    <t>Tatiana Souza Ribeiro</t>
  </si>
  <si>
    <t>ribeiro_tatiana@outlook.com</t>
  </si>
  <si>
    <t>Effects of hip muscle strengthening on dynamic postural control of individuals with Chronic Ankle Instability</t>
  </si>
  <si>
    <t>U1111-1210-3369</t>
  </si>
  <si>
    <t>joint instability</t>
  </si>
  <si>
    <t>paloma lopes furtado</t>
  </si>
  <si>
    <t>paloma_lops@hotmail.com</t>
  </si>
  <si>
    <t>universidade federal da paraiba</t>
  </si>
  <si>
    <t>Immediate effects of different Electrotherapy modalities in the control of pain and temperature of individuals with Knee Osteoarthritis</t>
  </si>
  <si>
    <t>U1111-1221-0009</t>
  </si>
  <si>
    <t>Joint Diseases,Body Temperature,pain</t>
  </si>
  <si>
    <t>Prevention and management of airway obstruction in children: an intervention study</t>
  </si>
  <si>
    <t>10/24/2018</t>
  </si>
  <si>
    <t>U1111-1216-8895</t>
  </si>
  <si>
    <t>Airway Obstruction,Child Mortality</t>
  </si>
  <si>
    <t>+55 (34) 9166 9447</t>
  </si>
  <si>
    <t>Effects of an infrared emitting ceramic material and hydrokinesiotherapy in patients with fibromyalgia</t>
  </si>
  <si>
    <t>U1111-1205-8619</t>
  </si>
  <si>
    <t>The effect of the use of Infrared Radiation Station on patients with Limb Venous Úlcers: randomized clinical trial</t>
  </si>
  <si>
    <t>U1111-1194-1469</t>
  </si>
  <si>
    <t>Wound Healing,Varicose Ulcer</t>
  </si>
  <si>
    <t>Selective Removal of Caries Lesions using ER Laser:YAG in Primary Molars: Assessment of Patient Anxiety and Longitudinal Clinical Analysis of Restorations</t>
  </si>
  <si>
    <t>U1111-1199-7777</t>
  </si>
  <si>
    <t>Does the connective tissue release increase range of motion in muscles with plastic hypertonia?</t>
  </si>
  <si>
    <t>U1111-1219-4790</t>
  </si>
  <si>
    <t>Parkinsons Disease. Muscle Rigidity. Range of motion. Connective tissue</t>
  </si>
  <si>
    <t>Carolina Menezes Fiorelli</t>
  </si>
  <si>
    <t>cmenezesfiorelli@yahoo.com.br</t>
  </si>
  <si>
    <t>Influence of sleep quality postactivation potentiation and cold-water immersion on kicking mechanics and performance in young soccer players</t>
  </si>
  <si>
    <t>U1111-1221-0398</t>
  </si>
  <si>
    <t>Routine general health check-up of sports teams</t>
  </si>
  <si>
    <t>Fabio Augusto Barbieri</t>
  </si>
  <si>
    <t>fabio.barbieri@unesp.br</t>
  </si>
  <si>
    <t>Effect of Parasacral Neuromodulation on the neurogenic bladder and bowel in children with neurological dysfunctions</t>
  </si>
  <si>
    <t>U1111-1220-8730</t>
  </si>
  <si>
    <t>Centro de Educação e pesquisa em Saúde Anita Garibaldi</t>
  </si>
  <si>
    <t>Macaiba</t>
  </si>
  <si>
    <t>+55 (084) 3271-3311</t>
  </si>
  <si>
    <t>lisboa.lilian@gmail.com</t>
  </si>
  <si>
    <t>Instituto Santos Dumont</t>
  </si>
  <si>
    <t>Electrical activity of the paraespinal muscles in the flexion and extension of the column in teachers of the dynamic faculty</t>
  </si>
  <si>
    <t>10/19/2018</t>
  </si>
  <si>
    <t>U1111-1221-9108</t>
  </si>
  <si>
    <t>Clinical controlled trial of the Partial Removal of Carious Dentin in permanent teeth with shallow medium and deep Caries lesions</t>
  </si>
  <si>
    <t>10/18/2018</t>
  </si>
  <si>
    <t>U1111-1221-4083</t>
  </si>
  <si>
    <t>Myrna Maria Arcanjo Frota</t>
  </si>
  <si>
    <t>myrnarcanjo@hotmail.com</t>
  </si>
  <si>
    <t>Effect of the application of Linfotaping ® on intraoperative Arthroscopy of knee joint on the formation of edema</t>
  </si>
  <si>
    <t>U1111-1205-9262</t>
  </si>
  <si>
    <t>Internal Knee Disorders Meniscus disorder due to rupture or old lesion</t>
  </si>
  <si>
    <t>Luana Fernanda Voinaroski</t>
  </si>
  <si>
    <t>luanavoinaroski@gmail.com</t>
  </si>
  <si>
    <t>Spontaneous Breathing Test as a predictor of successful extubation in Extremely Preterms Infants: comparison between two protocols</t>
  </si>
  <si>
    <t>U1111-1216-3044</t>
  </si>
  <si>
    <t>Impact of Nonsurgical Periodontal Therapy in association with Probiotic in the intestinal and oral microbiome: a randomized double-blind placebo-controlled clinical trial</t>
  </si>
  <si>
    <t>U1111-1221-3990</t>
  </si>
  <si>
    <t>Chronic Periodontitis,Periodontitis</t>
  </si>
  <si>
    <t>Ana Paula Vieira Colombo</t>
  </si>
  <si>
    <t>55 21 39380356</t>
  </si>
  <si>
    <t>apcolombo@micro.ufrj.br</t>
  </si>
  <si>
    <t>Instituto de Microbiologia Paulo Góes da Universidade Federal do Rio de Janeiro</t>
  </si>
  <si>
    <t>Green tea as immunomodulation and antineoplastic therapy for elderly Acute Myeloid Leukemia unfit for high dose conventional chemotherapy</t>
  </si>
  <si>
    <t>U1111-1220-2693</t>
  </si>
  <si>
    <t>Fernando Vieira Pericole</t>
  </si>
  <si>
    <t>pericole@unicamp.br</t>
  </si>
  <si>
    <t>Effects of Resistance Exercise with Instability on neurocognitive functions in elderly with Subjective cognitive impairment</t>
  </si>
  <si>
    <t>U1111-1216-5334</t>
  </si>
  <si>
    <t>Effects of 16 weeks of Strength Training on muscle mass strength and markers of oxidative stress in HIV patients</t>
  </si>
  <si>
    <t>02/27/2018</t>
  </si>
  <si>
    <t>U1111-1207-9806</t>
  </si>
  <si>
    <t>Human Immunodeficiency Virus Infection</t>
  </si>
  <si>
    <t>Rafael Deminice</t>
  </si>
  <si>
    <t>rdeminice@yahoo.com.br</t>
  </si>
  <si>
    <t>CEFE - Programa de Pós-Graduação em Educação Física UEM/UEL</t>
  </si>
  <si>
    <t>Comparison between the application of a Gel to reduce Dental Pain resulting from Bleaching before the Gel and before / after the Gel. A clinical study in patients</t>
  </si>
  <si>
    <t>U1111-1212-6477</t>
  </si>
  <si>
    <t>Dental pigmentation</t>
  </si>
  <si>
    <t>Eveline Claudia Martini</t>
  </si>
  <si>
    <t>eve_fcs@hotmail.com</t>
  </si>
  <si>
    <t>Impact of motivational strategy and intention activation in the physical activity practice walking modality in people with Type II Diabetes Mellitus - Controlled Randomized Clinical Trial</t>
  </si>
  <si>
    <t>U1111-1195-2567</t>
  </si>
  <si>
    <t>Thaís Moreira São Joào</t>
  </si>
  <si>
    <t>Evaluation of the results of ACL reconstruction surgery with contralateral and ipsilateral patellar ligament graft</t>
  </si>
  <si>
    <t>U111112199728</t>
  </si>
  <si>
    <t>Marcio de Paula e Oliveira</t>
  </si>
  <si>
    <t>marcio.oliveira@viverpeloesporte.org</t>
  </si>
  <si>
    <t>Instituto de Pesquisa e Ensino do Hospital HOME</t>
  </si>
  <si>
    <t>Evaluation of clinical and biomechanical features of scars comparing dermal matrices in burns sequelae</t>
  </si>
  <si>
    <t>U1111-1219-7145</t>
  </si>
  <si>
    <t>Burn sequelae,cicatrix</t>
  </si>
  <si>
    <t>Pedro Soler Coltro</t>
  </si>
  <si>
    <t>pscoltro@hotmail.com</t>
  </si>
  <si>
    <t>Hospital das clínicas da faculdade de medicina de Ribeirão Preto da Universidade de São Paulo</t>
  </si>
  <si>
    <t>Effects of Laser and the Pilates Method on Non-specific Chronic Low Back Pain: randomized clinical trial</t>
  </si>
  <si>
    <t>U1111-1220-2764</t>
  </si>
  <si>
    <t>Chronic Non-Specific Lumbar Pain</t>
  </si>
  <si>
    <t>Unidade de Ensino Superior do Sul do Maranhão</t>
  </si>
  <si>
    <t>Immunohistochemical Expression of Metalloproteinases and Inflammatory Proteins after the use of adhesive restorative materials in human teeth</t>
  </si>
  <si>
    <t>U1111-1197-8653</t>
  </si>
  <si>
    <t>Marianne de Vasconcelos Carvalho</t>
  </si>
  <si>
    <t>55-81-34581186</t>
  </si>
  <si>
    <t>mariannecarvalho@gmail.com</t>
  </si>
  <si>
    <t>Faculdade de Odontologia de Pernambuco</t>
  </si>
  <si>
    <t>Effects of high intensity interval training and moderate continuous associated with diet on cardiometabolic parameters in obese</t>
  </si>
  <si>
    <t>U1111-1175-3336</t>
  </si>
  <si>
    <t>Obesity,metabolic syndrome</t>
  </si>
  <si>
    <t>Can a dental care intervention reduce the risk of death among critical patients? A cluster randomized clinical trial</t>
  </si>
  <si>
    <t>U1111-1211-9884</t>
  </si>
  <si>
    <t>Respiratory Infections,Critical Care,Pneumonia Associated with Mechanical Ventilation,Major Cardiovascular events</t>
  </si>
  <si>
    <t>Fernando Bellissimo-Rodrigues</t>
  </si>
  <si>
    <t>fbellissimo@usp.br</t>
  </si>
  <si>
    <t>Departamento de Medicina Social da Faculdade de Medicina de Ribeirão Preto da Universidade de São Paulo</t>
  </si>
  <si>
    <t>Evaluation of Metformin effects over bone marrow fibrosis in primary myelofibrosis patients - a phase II open label trial (FIBROMET protocol)</t>
  </si>
  <si>
    <t>U1111-1220-9179</t>
  </si>
  <si>
    <t>Myelodysplastic-Myeloproliferative Diseases</t>
  </si>
  <si>
    <t>Hemocentro de Campinas</t>
  </si>
  <si>
    <t>Analysis of the effects of an aerobic exercise program using lower member in the motor function of the upper limb in chronic patients after Stroke</t>
  </si>
  <si>
    <t>U1111-1219-2244</t>
  </si>
  <si>
    <t>Lígia Catapani</t>
  </si>
  <si>
    <t>55 (16) 3315-3000</t>
  </si>
  <si>
    <t>ligiacatapani@hotmail.com</t>
  </si>
  <si>
    <t>Comparative Study of Alveolar Border Preservation after Exodontia with Different Biomaterials</t>
  </si>
  <si>
    <t>U1111-1213-8036</t>
  </si>
  <si>
    <t>Walterson Mathias Prado</t>
  </si>
  <si>
    <t>55 11 982598232</t>
  </si>
  <si>
    <t>mathiasprado@uol.com.br</t>
  </si>
  <si>
    <t>Evaluation of lung infection rates weaning time and hospital admission time in tracheostomized patients who used the use of an Insufflation- Exsuflation pulmonary mechanism when compared to those who did not use cough assit</t>
  </si>
  <si>
    <t>U1111-1200-7524</t>
  </si>
  <si>
    <t>Aline Maria Heidemann</t>
  </si>
  <si>
    <t>aline.heidemann@gmail.com</t>
  </si>
  <si>
    <t>Hospital de Clinicas da Unicamp</t>
  </si>
  <si>
    <t>Effect of administration of Duloxetine on inflammatory cytokines and motor symptoms in patients with Parkinsons disease - open-label study</t>
  </si>
  <si>
    <t>U1111-1220-1675</t>
  </si>
  <si>
    <t>Carlos Fernando Mello</t>
  </si>
  <si>
    <t>55 55 32208342</t>
  </si>
  <si>
    <t>mello.cf@gmail.com</t>
  </si>
  <si>
    <t>Effect of sleep deprivation on blood pressure in young normotensive children of hypertensive parents submitted to an aerobic exercise session: Evaluation of the Mechanisms</t>
  </si>
  <si>
    <t>U1111-1220-9874</t>
  </si>
  <si>
    <t>eliane duarte sousa</t>
  </si>
  <si>
    <t>Influence of Strength Training combined with Aerobic Exercise on muscle performance and functional capacity in subjects with Spondyloarthritis: a clinical trail</t>
  </si>
  <si>
    <t>U1111-1199-9519</t>
  </si>
  <si>
    <t>Ankylosing spondylitis,Psoriatic arthritis</t>
  </si>
  <si>
    <t>Ana Gabriela de Lima</t>
  </si>
  <si>
    <t>ft.anagabriela@gmail.com</t>
  </si>
  <si>
    <t>Effect of a Nutritional Intervention Associated with Physical Exercise in reducing cardiovascular and custodial risk of the single health system in hypertensive patients</t>
  </si>
  <si>
    <t>U1111-1219-6336</t>
  </si>
  <si>
    <t>Effect of different desensitizing materials on the control of dentin hypersensitivity - Clinical randomized and blind study</t>
  </si>
  <si>
    <t>U1111-1208-5884</t>
  </si>
  <si>
    <t>Dentin sensitivity,Dentin desensitizing agents,Dental cavity lining,Dentin-bonding agents</t>
  </si>
  <si>
    <t>+55 045 99135-2205</t>
  </si>
  <si>
    <t>Phase I Clinical Study with Pharmacokinetic and Pharmacodynamic Determination of Pegfilgrastim for Subcutaneous Use in Healthy Participants</t>
  </si>
  <si>
    <t>U1111-1221-1938</t>
  </si>
  <si>
    <t>Ana Noboli</t>
  </si>
  <si>
    <t>ana.noboli@caeplab.com.br</t>
  </si>
  <si>
    <t>Efficacy of Acupuncture in pain Mandibular function and quality of life in patients with Myofascial Masticatory Pain</t>
  </si>
  <si>
    <t>U1111-1218-3179</t>
  </si>
  <si>
    <t>Camila Megale de Almeida Leite</t>
  </si>
  <si>
    <t>camila@icb.ufmg.br</t>
  </si>
  <si>
    <t>Effects of training withi an arm cycle ergometer adapted in functional and exercise capacity in patientes with COPD</t>
  </si>
  <si>
    <t>U1111-1220-3335</t>
  </si>
  <si>
    <t>Luana Aparecida Vieira Gonzaga</t>
  </si>
  <si>
    <t>professoraluanafisio@gmail.com</t>
  </si>
  <si>
    <t>Effects of Contraint Induced Movement Therapy for lower extremities on gait and balance functionality in post-stroke patients</t>
  </si>
  <si>
    <t>U1111-1218-5669</t>
  </si>
  <si>
    <t>Elaine Menezes Oliveira</t>
  </si>
  <si>
    <t>elaine-m_oliveira@yahoo.com.br</t>
  </si>
  <si>
    <t>Comparison of the effects of Prone Position and Skin-to-skin contact on cardiopulmonary parameters in premature infants with Bronchopulmonary Dysplasia</t>
  </si>
  <si>
    <t>U1111-1208-5899</t>
  </si>
  <si>
    <t>Bronchopulmonary dysplasia originated on perinatal period</t>
  </si>
  <si>
    <t>Andrezza de Lemos Bezerra</t>
  </si>
  <si>
    <t>alemos4@gmail.com</t>
  </si>
  <si>
    <t>Dual therapy with Glycopyrronium and Indacaterol versus monotherapy with Glycopyrronium in treatment of Copd patients</t>
  </si>
  <si>
    <t>U1111-1220-3489</t>
  </si>
  <si>
    <t>pulmonary emphysema,pulmonary disease,chronic obstructive</t>
  </si>
  <si>
    <t>Emanuelle Leonel Ferreira</t>
  </si>
  <si>
    <t>emanuelleleonelelf@gmail.com</t>
  </si>
  <si>
    <t>Cohort study of follow-up of participants submitted to Conventional Open Bariatric Surgery versus Laparoscopic Surgery. Clinical and pharmacoeconomic evaluation</t>
  </si>
  <si>
    <t>U1111-1221-1634</t>
  </si>
  <si>
    <t>Angela Tosi</t>
  </si>
  <si>
    <t>angela@sbcbm.org.br</t>
  </si>
  <si>
    <t>Sociedade Brasileira de Cirurgia Bariátrica e Metabólica</t>
  </si>
  <si>
    <t>Comparison of the efficacy of manual interdental toothbrush and waterflosser in the periimplantar cleaning in patients rehabilitated with fixed implant-supported prothesis</t>
  </si>
  <si>
    <t>U1111-1220-9337</t>
  </si>
  <si>
    <t>Effect of stimuli produced by X-Box Kinect on the balance functional mobility and motor coordination of individuals with Down syndrome</t>
  </si>
  <si>
    <t>U1111-1220-6946</t>
  </si>
  <si>
    <t>Marlene Aparecida Moreno</t>
  </si>
  <si>
    <t>+55-(19)3124-1513</t>
  </si>
  <si>
    <t>mamoreno@unimep.br</t>
  </si>
  <si>
    <t>Influence of bed positioning of patients on mechanical ventilation admitted to a pediatric intensive care unit</t>
  </si>
  <si>
    <t>U1111-1220-3455</t>
  </si>
  <si>
    <t>Camila Gemin Ribas</t>
  </si>
  <si>
    <t>camilagemin@hotmail.com</t>
  </si>
  <si>
    <t>Randomized trial comparing endoscopic microdiscectomy and conventional open microdiscectomy for the treatment of radiculopathy due to lumbar disc herniations</t>
  </si>
  <si>
    <t>U1111-1186-5479</t>
  </si>
  <si>
    <t>Tania Fernanda Cardozo</t>
  </si>
  <si>
    <t>taniafernanda@terra.com.br</t>
  </si>
  <si>
    <t>Instituto de Ortopedia e Traumatologia do Hospital das Clinicas da Faculdade de Medicina da Universidade de São Paulo</t>
  </si>
  <si>
    <t>Effects of an exercise protocol in orthostatism over sedentary behavior of frail elderly: a randomized clinical trial</t>
  </si>
  <si>
    <t>U1111-1202-6295</t>
  </si>
  <si>
    <t>Fabiana Cassales Tosi</t>
  </si>
  <si>
    <t>+5511 995013607</t>
  </si>
  <si>
    <t>tosi.fisio@gmail.com</t>
  </si>
  <si>
    <t>Combined effect of plyometric training with strength training in different densities on the performance of the ejambeé jump</t>
  </si>
  <si>
    <t>U1111-1220-6128</t>
  </si>
  <si>
    <t>Bárbara Chinaglia Tagata</t>
  </si>
  <si>
    <t>ba_tagata@hotmail.com</t>
  </si>
  <si>
    <t>Universidade Tecnológica Federal do Paraná</t>
  </si>
  <si>
    <t>In situ evaluation of the microbiological behavior of acrylic resins with an incorporation of chlorhexidine</t>
  </si>
  <si>
    <t>U1111-1216-6470</t>
  </si>
  <si>
    <t>Caroline Vieira Maluf</t>
  </si>
  <si>
    <t>55 21 967845679</t>
  </si>
  <si>
    <t>carolinemaluf@hotmail.com</t>
  </si>
  <si>
    <t>Departamento de Prótese da Faculdade de Odontologia da UERJ</t>
  </si>
  <si>
    <t>Effects of acute green tea supplementation after the ingestion of a hyperlipidic diet in obese individuals in oxidative stress inflammatory process and in the expression of miRNAs</t>
  </si>
  <si>
    <t>U1111-1220-5390</t>
  </si>
  <si>
    <t>Rodrigo Velloni da Silva Bastos</t>
  </si>
  <si>
    <t>rodrigovsbastos@gmail.com</t>
  </si>
  <si>
    <t>Influence of core muscles in women with patellofemoral pain syndrome</t>
  </si>
  <si>
    <t>U1111-1218-5127</t>
  </si>
  <si>
    <t>+55(048)37216952</t>
  </si>
  <si>
    <t>Think healthy: contributions of cognitive therapy to increase the quality of life in patients with acromegaly</t>
  </si>
  <si>
    <t>U1111-1220-9846</t>
  </si>
  <si>
    <t>Lia Silvia Kunzler</t>
  </si>
  <si>
    <t>55-061-31071947</t>
  </si>
  <si>
    <t>lia.kunzler@gmail.com</t>
  </si>
  <si>
    <t>Faculdade de Ciências da Saúde da Universidade de Brasília</t>
  </si>
  <si>
    <t>Brief Intervention for elderly Alcohol users</t>
  </si>
  <si>
    <t>09/28/2018</t>
  </si>
  <si>
    <t>U1111-1221-0533</t>
  </si>
  <si>
    <t>Alcohol use by the elderly</t>
  </si>
  <si>
    <t>Deivson Wendell da Costa Lima</t>
  </si>
  <si>
    <t>deivsonwendell@hotmail.com</t>
  </si>
  <si>
    <t>Orthoses: Efficacy and Biomechanical Effects on Osteoarthritis of the knee</t>
  </si>
  <si>
    <t>U1111-1221-0230</t>
  </si>
  <si>
    <t>Adriana Lucia Pastore e Silva</t>
  </si>
  <si>
    <t>adriana_pastore@hotmail.com</t>
  </si>
  <si>
    <t>Evaluation of Strategies for Positive Pressure Rapid Adjustment at the End of Expiration in Laparoscopic Surgery with pneumoperitoneum in Obese patients</t>
  </si>
  <si>
    <t>U1111-1220-7296</t>
  </si>
  <si>
    <t>Marcelo Sampaio Duran</t>
  </si>
  <si>
    <t>duran.ms@gmail.com</t>
  </si>
  <si>
    <t>Hospital Federal dos Servidores do Estado</t>
  </si>
  <si>
    <t>Evaluation of bacteria levels and their products after endodontic treatment protocol with Ultrasonic Activation of a calcium hydroxide solution and the effects of endotoxins in primary root canal infections</t>
  </si>
  <si>
    <t>U1111-1214-5633</t>
  </si>
  <si>
    <t>Periapical Periodontitis,</t>
  </si>
  <si>
    <t>Lais Cunha Prado</t>
  </si>
  <si>
    <t>+55(11)30917841</t>
  </si>
  <si>
    <t>laisprado@usp.br</t>
  </si>
  <si>
    <t>Evaluation of new diagnostic methodologies for schistosomiasis mansoni in the current epidemiological scenario</t>
  </si>
  <si>
    <t>U1111-1207-1382</t>
  </si>
  <si>
    <t>Schistosomiasis</t>
  </si>
  <si>
    <t>Cristina Toscano Fonseca</t>
  </si>
  <si>
    <t>ctoscano@minas.fiocruz.br</t>
  </si>
  <si>
    <t>centro de Pesquisas René Rachou</t>
  </si>
  <si>
    <t>Influency of tooth-borne versus bone-borne on the stability of maxillary surgical expansion</t>
  </si>
  <si>
    <t>U111112208800</t>
  </si>
  <si>
    <t>maxillofacial abnormalities,malocclusion,stomatognathic diseases</t>
  </si>
  <si>
    <t>Michel Burihan Cahali</t>
  </si>
  <si>
    <t>55 11 45738000</t>
  </si>
  <si>
    <t>mcahali@gmail.com</t>
  </si>
  <si>
    <t>Instituto de Assistencia ao servidor público Estadual</t>
  </si>
  <si>
    <t>Influence of indirect pulp protection in restorations with bul-fill ormocer based: randomizade clinical trial</t>
  </si>
  <si>
    <t>U1111-1219-9928</t>
  </si>
  <si>
    <t>Effects of Cognitive motor training on postural control of the elderly: a randomized clinical trial</t>
  </si>
  <si>
    <t>U1111-1211-5895</t>
  </si>
  <si>
    <t>Eliana Varise</t>
  </si>
  <si>
    <t>elianavarise@gmail.com</t>
  </si>
  <si>
    <t>Benefit of intraoperative Music in Orthopedic Surgeries under Spinal Anesthesia: a Randomized Clinical Trial</t>
  </si>
  <si>
    <t>09/26/2018</t>
  </si>
  <si>
    <t>U1111-1195-0028</t>
  </si>
  <si>
    <t>Trauma,surgery,lower members,pain</t>
  </si>
  <si>
    <t>Matheus Antonio Melo Viana</t>
  </si>
  <si>
    <t>matheusmviana@hotmail.com</t>
  </si>
  <si>
    <t>Faculdade de Tecnologia e Ciências</t>
  </si>
  <si>
    <t>Evaluation of the feasibility of a cluter randomized controlled trial for the Management of Depression in elderly people living in socioeconomically disadvantaged areas of São Paulo Brazil: a pilot study</t>
  </si>
  <si>
    <t>U1111-1218-6717</t>
  </si>
  <si>
    <t>scazufca@gmail.com</t>
  </si>
  <si>
    <t>Evaluation of the effectiveness of Propolis associated with Pomegranate in the Denture Stomatitis Treatment in elderly</t>
  </si>
  <si>
    <t>U1111-1220-0458</t>
  </si>
  <si>
    <t>Stomatitis,denture</t>
  </si>
  <si>
    <t>Erica Negrini Lia</t>
  </si>
  <si>
    <t>ericalia70@gmail.com</t>
  </si>
  <si>
    <t>Photobiomodulation and diadynamic currents on Lateral Epicondylitis: joint function and tissue repair</t>
  </si>
  <si>
    <t>U1111-1214-9227</t>
  </si>
  <si>
    <t>Lateral Epicondylitis</t>
  </si>
  <si>
    <t>Sleep deprivation responses on cardiovascular measures in young people with different levels of physical activity submitted to a high-intensity interval exercise session</t>
  </si>
  <si>
    <t>U1111-1220-9521</t>
  </si>
  <si>
    <t>sleep,REM sleep,stages of sleep</t>
  </si>
  <si>
    <t>Karelline izaltemberg vasconcelos rosenstock</t>
  </si>
  <si>
    <t>55+-83-21063827</t>
  </si>
  <si>
    <t>comiteiesp@gmail.com</t>
  </si>
  <si>
    <t>Instituto de Ensino Superior da Paraíba</t>
  </si>
  <si>
    <t>Randomized clinical trial: evaluation of the effectiveness of an application for mobile phones as an aid in the prevention of early childhood caries</t>
  </si>
  <si>
    <t>09/25/2018</t>
  </si>
  <si>
    <t>U1111-1216-1393</t>
  </si>
  <si>
    <t>Early childhood caries</t>
  </si>
  <si>
    <t>Matheus Lotto</t>
  </si>
  <si>
    <t>+55(14)997964853</t>
  </si>
  <si>
    <t>matheus.lotto.souza@gmail.com</t>
  </si>
  <si>
    <t>Time response by Photobiomodulation (Light-Emitting Diodes) on Muscular Performance</t>
  </si>
  <si>
    <t>U1111-1219-2849</t>
  </si>
  <si>
    <t>Joselinda Sá Sousa Abreu Silva</t>
  </si>
  <si>
    <t>guarujá</t>
  </si>
  <si>
    <t>jocelinda1@hotmail.com</t>
  </si>
  <si>
    <t>The effect of strontium in the reduction of volatile sulfur gases in the oral cavity</t>
  </si>
  <si>
    <t>U1111-1219-5631</t>
  </si>
  <si>
    <t>Léo Guimarães Soares</t>
  </si>
  <si>
    <t>55-24-988189470</t>
  </si>
  <si>
    <t>dr_leog@hotmail.com</t>
  </si>
  <si>
    <t>Anesthetic effect of Proximetacaine hydrochloride 05%: comparison between eyedrop instillation in open eyes and vaporization in closed eyes</t>
  </si>
  <si>
    <t>U1111-1218-8925</t>
  </si>
  <si>
    <t>Nasal Irrigation with Corticostheroid in Chronic Rhinosinusitis with nasal polyps: randomized clinical trial</t>
  </si>
  <si>
    <t>U1111-1202-6762</t>
  </si>
  <si>
    <t>Erika Marchetti</t>
  </si>
  <si>
    <t>erikacabernite@yahoo.com.br</t>
  </si>
  <si>
    <t>Resistance Training with Blood Flow Restriction in Cirrhotic patients: effects on strength muscle mass functionality and quality of life</t>
  </si>
  <si>
    <t>U1111-1219-7444</t>
  </si>
  <si>
    <t>Liver Cirrhosis,muscle strength,hypertrophy</t>
  </si>
  <si>
    <t>55(16)3351-8294</t>
  </si>
  <si>
    <t>c.libardi@ufscar.br</t>
  </si>
  <si>
    <t>Immediate effect of Johnstone pressure splint and the inhibition techniques on spasticity of plantiflexores in the stroke</t>
  </si>
  <si>
    <t>U1111-1219-4573</t>
  </si>
  <si>
    <t>Stroke patients</t>
  </si>
  <si>
    <t>Odair Alfonso Bacca Ramirez</t>
  </si>
  <si>
    <t>odair25@hotmail.com</t>
  </si>
  <si>
    <t>Project for application of Vancomycin on surgical site of thoracolumbar spinal arthrodesis with fusion material</t>
  </si>
  <si>
    <t>U1111-1203-2397</t>
  </si>
  <si>
    <t>Tobias Ludwig Nascimento</t>
  </si>
  <si>
    <t>tobiludw@gmail.com</t>
  </si>
  <si>
    <t>Hospital Cristo Redentor - Grupo Hospitalar Conceição</t>
  </si>
  <si>
    <t>Cerebral mapping and biomechanical pattern of the gait of women exposed by fear off fall</t>
  </si>
  <si>
    <t>U1111-1220-2584</t>
  </si>
  <si>
    <t>Guilherme Augusto Santos Bueno</t>
  </si>
  <si>
    <t>Ceilândia Sul Brasília</t>
  </si>
  <si>
    <t>fisio.guilhermeaugusto@gmail.com</t>
  </si>
  <si>
    <t>The efficacy of Modified Expansion Pharyngoplasty compared to Adenotonsillectomy for treatment of OSAS in obese children</t>
  </si>
  <si>
    <t>U1111-1219-6518</t>
  </si>
  <si>
    <t>obesity,sleep apnea</t>
  </si>
  <si>
    <t>Carolina Sponchiado Miura</t>
  </si>
  <si>
    <t>carolinamiura@yahoo.com.br</t>
  </si>
  <si>
    <t>Effect of supplementation with a synbiotic on markers of the inflammatory response in children and adolescents with cystic fibrosis</t>
  </si>
  <si>
    <t>U1111-1164-3982</t>
  </si>
  <si>
    <t>Emilia Addison Machado Moreira</t>
  </si>
  <si>
    <t>+55(48) 3721 9784</t>
  </si>
  <si>
    <t>emilia.moreira@ufsc.br</t>
  </si>
  <si>
    <t>Effect of goal-directed training to the level of trunk control and reaching in preterm infants at the onset of reaching ability</t>
  </si>
  <si>
    <t>U1111-1211-7792</t>
  </si>
  <si>
    <t>55 16 3351-8407</t>
  </si>
  <si>
    <t>Effect of the Iontophoresis in the Lateral Elbow Epicondylites: a double blind randomized clinical trial</t>
  </si>
  <si>
    <t>U1111-1220-3247</t>
  </si>
  <si>
    <t>Tennis Elbow</t>
  </si>
  <si>
    <t>Marcelo Baptista Dohnert</t>
  </si>
  <si>
    <t>55(53)984632952</t>
  </si>
  <si>
    <t>A qualitative and quantitative study of the factors that influences the prosthetics rehabilitation of anophtalmic patients</t>
  </si>
  <si>
    <t>1111-1219-3818</t>
  </si>
  <si>
    <t>Carla Maria de Almeida Prado Magdalena</t>
  </si>
  <si>
    <t>carla.magdalena@usp.br</t>
  </si>
  <si>
    <t>Comparison between Functional Skills and Caregiver Assistance in People with Downs Syndrome</t>
  </si>
  <si>
    <t>09/21/2018</t>
  </si>
  <si>
    <t>U1111-1219-3895</t>
  </si>
  <si>
    <t>Claudio Leone</t>
  </si>
  <si>
    <t>+55 011 3061-7974</t>
  </si>
  <si>
    <t>leone.claudio@gmail.com</t>
  </si>
  <si>
    <t>University of São Paulo-School of Public Health</t>
  </si>
  <si>
    <t>Impact of educational intervension for promotion adverse events culture</t>
  </si>
  <si>
    <t>U 1111-1211-2458</t>
  </si>
  <si>
    <t>medical errors</t>
  </si>
  <si>
    <t>Celsa Raquel Villaverde Melgarejo</t>
  </si>
  <si>
    <t>villaverde.quel@gmail.com</t>
  </si>
  <si>
    <t>Effect of physical exercise and functional electrical stimulation on the immune system of critical patients</t>
  </si>
  <si>
    <t>U1111-1220-4111</t>
  </si>
  <si>
    <t>Effects of Pilates Mat on Police Officers with Non-Specific Chronic Low Back Pain</t>
  </si>
  <si>
    <t>U1111-1220-5347</t>
  </si>
  <si>
    <t>Janny Tavares</t>
  </si>
  <si>
    <t>+55 041 3247-0966</t>
  </si>
  <si>
    <t>janny@tavares.net.br</t>
  </si>
  <si>
    <t>U1111-1216-1768</t>
  </si>
  <si>
    <t>older people,chronic pain,chronic low back pain,aging</t>
  </si>
  <si>
    <t>Mariane Marques Campos</t>
  </si>
  <si>
    <t>mari.marquesc@yahoo.com.br</t>
  </si>
  <si>
    <t>Association between Midazolam and Ketamine as preanesthetic medication in patients with Autistic Spetrum Disorder submitted to odontological treatment under general anesthesia</t>
  </si>
  <si>
    <t>U1111-1195-3505</t>
  </si>
  <si>
    <t>Cáritas Marquez Franco</t>
  </si>
  <si>
    <t>hgg.cep@idtech.org.br</t>
  </si>
  <si>
    <t>Hospital Alberto Rassi- HGG</t>
  </si>
  <si>
    <t>Evaluation of the impact of Actions to reduce sodium consumption in adults</t>
  </si>
  <si>
    <t>U1111-1214-6330</t>
  </si>
  <si>
    <t>High sodium intake</t>
  </si>
  <si>
    <t>Core associated with the russian current in patients with postural back pain: a randomized controlled trial</t>
  </si>
  <si>
    <t>09/19/2018</t>
  </si>
  <si>
    <t>U1111-1220-1557</t>
  </si>
  <si>
    <t>Effects of Myofascial Release Therapy on voice breathing and body posture of teachers with Musculoskeletal and Vocal complaints: a randomized clinical trial</t>
  </si>
  <si>
    <t>U1111-1219-4888</t>
  </si>
  <si>
    <t>Carla Aparecida Cielo</t>
  </si>
  <si>
    <t>55 55 3220-8659</t>
  </si>
  <si>
    <t>cieloca@yahoo.com.br</t>
  </si>
  <si>
    <t>Effects of the intervention in phonological memory and shared reading of history in school children with difficulties in reading comprehension</t>
  </si>
  <si>
    <t>U1111-1219-5271</t>
  </si>
  <si>
    <t>Mobile application as a tool for adherence of pregnant women to prenatal care</t>
  </si>
  <si>
    <t>09/18/2018</t>
  </si>
  <si>
    <t>U1111-1219-7069</t>
  </si>
  <si>
    <t>Francisca Marta Lima Costa Souza</t>
  </si>
  <si>
    <t>enfermarta2001@yahoo.com.br</t>
  </si>
  <si>
    <t>Physiological curve of body temperature and implications for occurrence of adverse effects between university</t>
  </si>
  <si>
    <t>U1111-1196-3573</t>
  </si>
  <si>
    <t>Chronobiological Disorders</t>
  </si>
  <si>
    <t>Jennifer Costa Sales Honorato</t>
  </si>
  <si>
    <t>+55(21)38570704</t>
  </si>
  <si>
    <t>jennifercosta@id.uff.br</t>
  </si>
  <si>
    <t>Alteration of tissue electrical resistance as a marker of Lesions Caused by Radiotherapy</t>
  </si>
  <si>
    <t>U1111-1214-7398</t>
  </si>
  <si>
    <t>Mucositis radio-induced in patients with squamous cell carcinoma</t>
  </si>
  <si>
    <t>The influence of Glutamine in the Immunological system of patients with HIV/AIDS</t>
  </si>
  <si>
    <t>U1111-1219-4066</t>
  </si>
  <si>
    <t>Glutamine,Immune System,HIV e HIV Long-Term Survivors</t>
  </si>
  <si>
    <t>Cervantes Caporossi</t>
  </si>
  <si>
    <t>caporossi@terra.com.br</t>
  </si>
  <si>
    <t>Influence of Respiratory Muscle Training on hemodynamic changes pulmonary and autonomic diseases in patients with COPD</t>
  </si>
  <si>
    <t>U1111-1214-5039</t>
  </si>
  <si>
    <t>Cristiano Teixeira Mostarda</t>
  </si>
  <si>
    <t>cristiano.mostarda@gmail.com</t>
  </si>
  <si>
    <t>Percutaneous Laser ablation of benign thyroid nodules versus follow-up</t>
  </si>
  <si>
    <t>U1111-1219-3632</t>
  </si>
  <si>
    <t>benign thyroid nodule,goiter,dysphagia,dysphonia</t>
  </si>
  <si>
    <t>Safety and efficacy of different regimens of Primaquine on Vivax Malaria treatment in Glucose-6-phospate Dehydrogenase Deficient patients admitted at the Fundação De Medicina Tropical Doutor Heitor Vieira Dourado Manaus Amazonas</t>
  </si>
  <si>
    <t>U1111-1204-8598</t>
  </si>
  <si>
    <t>Wuelton Marcelo Monteiro</t>
  </si>
  <si>
    <t>+55 92 991652486</t>
  </si>
  <si>
    <t>wueltonmm@gmail.com</t>
  </si>
  <si>
    <t>Fundação de Medicina Tropical Heitor Vieira Dourado - FMTHVD</t>
  </si>
  <si>
    <t>Influence of Functional Aquatic Physiotherapy in the weight-bearing symmetry in the sit-to-stand transfer in hemiparetics after Stroke</t>
  </si>
  <si>
    <t>U1111-1219-0687</t>
  </si>
  <si>
    <t>Stroke,Diseases of the Central Nervous System</t>
  </si>
  <si>
    <t>(11) 5576-0777</t>
  </si>
  <si>
    <t>danielamagalha@gmail.com</t>
  </si>
  <si>
    <t>U1111-1201-8593</t>
  </si>
  <si>
    <t>GEORGE CARACAS</t>
  </si>
  <si>
    <t>055 91 992498255</t>
  </si>
  <si>
    <t>george.cararas@gmail.com</t>
  </si>
  <si>
    <t>Teaching clinical reasoning skills to physical therapy students: a controlled study</t>
  </si>
  <si>
    <t>U1111-1218-9504</t>
  </si>
  <si>
    <t>educational evaluation</t>
  </si>
  <si>
    <t>Physical therapy students</t>
  </si>
  <si>
    <t>Daniela Virginia Vaz</t>
  </si>
  <si>
    <t>danielavvaz@gmail.com</t>
  </si>
  <si>
    <t>Impact occlusal surfaces of posterior teeth in satisfaction quality of life and masticatory efficiency of complete denture wearers bimaxillary</t>
  </si>
  <si>
    <t>U1111-1177-1061</t>
  </si>
  <si>
    <t>+55-084 3215-4100</t>
  </si>
  <si>
    <t>Effects of physical training with partial restriction of blood flow on the efficiency of solubility by hemodialysis</t>
  </si>
  <si>
    <t>U1111-1215-4938</t>
  </si>
  <si>
    <t>Hemodialysis</t>
  </si>
  <si>
    <t>Etiene Campos Dias</t>
  </si>
  <si>
    <t>etiene_dias@yahoo.com.br</t>
  </si>
  <si>
    <t>Clinical Trial on the effectiveness of Bleaching Toothpastes</t>
  </si>
  <si>
    <t>U1111-1203-1599</t>
  </si>
  <si>
    <t>Renata Pedrosa Guimarães</t>
  </si>
  <si>
    <t>+55(81)987140518</t>
  </si>
  <si>
    <t>renatapguimaraes@gmail.com</t>
  </si>
  <si>
    <t>09/15/2018</t>
  </si>
  <si>
    <t>U1111-1219-4704</t>
  </si>
  <si>
    <t>Effects of the nintendo wii Sports interactive video game on the motor function of upper limbs of individuals with post polio syndrome: randomized clinical trial of applicability safety acceptability</t>
  </si>
  <si>
    <t>U1111-1211-7813</t>
  </si>
  <si>
    <t>José Eduardo Pompeu</t>
  </si>
  <si>
    <t>j.e.pompeu@gmail.com</t>
  </si>
  <si>
    <t>Ultrasonographic evaluation of respiratory variation of the inferior vena cava in pediatric patients</t>
  </si>
  <si>
    <t>U1111-1204-9176</t>
  </si>
  <si>
    <t>Marina Pavan Giatti</t>
  </si>
  <si>
    <t>+55(19)984330505</t>
  </si>
  <si>
    <t>marinagiatti46@gmail.com</t>
  </si>
  <si>
    <t>Effects of positioning on dorsal and right lateral decubitus on behavioral and physiological indicators of preterm newborns</t>
  </si>
  <si>
    <t>U1111-1218-7867</t>
  </si>
  <si>
    <t>Gabrielle Muniz Nogueira</t>
  </si>
  <si>
    <t>gabriellemn@hotmail.com</t>
  </si>
  <si>
    <t>Probiotics use in periodontal diseases treatment</t>
  </si>
  <si>
    <t>U1111-1219-3876</t>
  </si>
  <si>
    <t>Antonio Canabarro</t>
  </si>
  <si>
    <t>canabarro@uva.br</t>
  </si>
  <si>
    <t>A comparative randomized clinical trial of different autologous free fat grafting techniques for reconstruction of temporal contour defects after surgical treatment of epilepsy: structural fat grafting versus micro autologous fat transplantation</t>
  </si>
  <si>
    <t>U1111-1209-3263</t>
  </si>
  <si>
    <t>Rafael Denadai</t>
  </si>
  <si>
    <t>denadai.rafael@hotmail.com</t>
  </si>
  <si>
    <t>Sociedade Brasileira de Pesquisa e Assistência para Reabilitação Craniofacial</t>
  </si>
  <si>
    <t>Multicomponent exercise program on cognition structure and brain function in the elderly</t>
  </si>
  <si>
    <t>U1111-1219-5220</t>
  </si>
  <si>
    <t>Effects of Magnesium on Endothelial Function in Hypertensive patients</t>
  </si>
  <si>
    <t>U1111-1208-5452</t>
  </si>
  <si>
    <t>Bianca Marques</t>
  </si>
  <si>
    <t>+55 (21) 991344761</t>
  </si>
  <si>
    <t>biancanutricl@gmail.com</t>
  </si>
  <si>
    <t>Bianca Cristina Antunes Alves Marques</t>
  </si>
  <si>
    <t>Effects of interval training and cranberry supplementation in immunomodulation: randomized clinical trial</t>
  </si>
  <si>
    <t>U1111-1219-3220</t>
  </si>
  <si>
    <t>Comparative Effects of Core and Mckenzie Stabilization Exercises on Non-specific Chronic Low Back Pain in Hospital Workers of the Santa Luzia Hospital of Capão Da Canoa</t>
  </si>
  <si>
    <t>U1111-1219-6067</t>
  </si>
  <si>
    <t>Infection associated with Parenteral Nutrition: Retrospective cohort study in tertiary hospital and systematic review with meta-analysis on the association of Parenteral Nutrition with infections and mortality</t>
  </si>
  <si>
    <t>U1111-1219-1636</t>
  </si>
  <si>
    <t>Pedro Henrique Comerlato</t>
  </si>
  <si>
    <t>pedrocomerlato@hotmail.com</t>
  </si>
  <si>
    <t>Programa Pós-Graduação em Endocrinologia da Universidade Federal do Rio Grande do Sul</t>
  </si>
  <si>
    <t>Classification of intensive care unit patients according to the workload for Physiotherapy</t>
  </si>
  <si>
    <t>U1111-1202-0065</t>
  </si>
  <si>
    <t>Alexandra Siqueira Colombo</t>
  </si>
  <si>
    <t>+55 11 30919542</t>
  </si>
  <si>
    <t>alexsc@hu.usp.br</t>
  </si>
  <si>
    <t>Effectiveness of an internet-based self-guided program to treat depression in a sample of Brazilian users: a study protocol</t>
  </si>
  <si>
    <t>U1111-1212-8998</t>
  </si>
  <si>
    <t>Depressive disorder not otherwise specified</t>
  </si>
  <si>
    <t>Universidade Católica de Petrópolis</t>
  </si>
  <si>
    <t>24 2244-4000</t>
  </si>
  <si>
    <t>faleconosco@ucp.br</t>
  </si>
  <si>
    <t>Quality management: control of unplanned extubation of pediatric patients in a pediatric intensive care unit</t>
  </si>
  <si>
    <t>U1111-1207-4533</t>
  </si>
  <si>
    <t>Risk factors for accidental extubation in pediatric patients in a pediatric intensive care unit</t>
  </si>
  <si>
    <t>Valeria Cabral Neves</t>
  </si>
  <si>
    <t>+5541 999780164</t>
  </si>
  <si>
    <t>valeriakabral@hotmail.com</t>
  </si>
  <si>
    <t>Hospital de Clínicas da Universidade Federal do Praná</t>
  </si>
  <si>
    <t>Effectiveness Positioning Hammock on reducing pain and improving the state of sleep and wakefulness in newborn preterm infants: randomized controlled trial</t>
  </si>
  <si>
    <t>U1111-1179-6533</t>
  </si>
  <si>
    <t>camila gemin ribas</t>
  </si>
  <si>
    <t>+55(41)999239566</t>
  </si>
  <si>
    <t>Influence of PEEP and heart rate on the maximum systolic gradient of the left ventricular outflow tract of patients with hypertrophic obstructive cardiomyopathy</t>
  </si>
  <si>
    <t>U1111-1219-2481</t>
  </si>
  <si>
    <t>Caetano Nigro Neto</t>
  </si>
  <si>
    <t>caenigro@uol.com.br</t>
  </si>
  <si>
    <t>Instituto Dante Pazzanese de Cardiologia</t>
  </si>
  <si>
    <t>Evaluation of implementation of 300mg Isoniazide for the Treatment of Latent Infection of Tuberculosis in Brazil</t>
  </si>
  <si>
    <t>U1111-1215-3100</t>
  </si>
  <si>
    <t>Latent tuberculosis,Chemoprevention</t>
  </si>
  <si>
    <t>Intervention of Sexual Counselling for mastectomized: randomized controlled clinical trial</t>
  </si>
  <si>
    <t>U1111-1190-3804</t>
  </si>
  <si>
    <t>Women,Mastectomy,Sexuality,Quality of life</t>
  </si>
  <si>
    <t>Natalia Gondim de Almeida</t>
  </si>
  <si>
    <t>+55 (85) 3101 9601</t>
  </si>
  <si>
    <t>natygondim@gmail.com</t>
  </si>
  <si>
    <t>Biokinetic analysis of individuals with knee osteoarthritis submitted to treatment with intra-articular viscosupplementation</t>
  </si>
  <si>
    <t>U1111-1201-5174</t>
  </si>
  <si>
    <t>Gonarthrosis,Human Gait</t>
  </si>
  <si>
    <t>Gustavo Leporace</t>
  </si>
  <si>
    <t>gustavo@biocinetica.com.br</t>
  </si>
  <si>
    <t>Instituto Brasil de Tecnologias da Saúde</t>
  </si>
  <si>
    <t>A phase 2 double-blind randomized controlled trial of the safety and efficacy of Banisteriopsis caapi versus placebo in patients with Parkinson´s disease</t>
  </si>
  <si>
    <t>U1111-1215-2216</t>
  </si>
  <si>
    <t>Ana Lucia Zuma de Rosso</t>
  </si>
  <si>
    <t>anarosso@gmail.com</t>
  </si>
  <si>
    <t>Hospital Universitário Clementino Fraga Filho - UFRJ</t>
  </si>
  <si>
    <t>34-Methylenedioxymethamphetamine (MDMA) assisted psychotherapy in the treatment of Post-Traumatic Stress Disorder</t>
  </si>
  <si>
    <t>12/13/2017</t>
  </si>
  <si>
    <t>U1111-1191-1152</t>
  </si>
  <si>
    <t>Post-traumatic stress disorder (PTSD)</t>
  </si>
  <si>
    <t>Eduardo Ekman Schenberg</t>
  </si>
  <si>
    <t>+55(11)97603 0285</t>
  </si>
  <si>
    <t>eduardoschenberg@gmail.com</t>
  </si>
  <si>
    <t>Instituto Plantando Consciência</t>
  </si>
  <si>
    <t>The efficacy of chewing gum for pain control during orthodontic treatment</t>
  </si>
  <si>
    <t>U1111-1198-9882</t>
  </si>
  <si>
    <t>Dental Pain,Orthodontics</t>
  </si>
  <si>
    <t>Jade Barbosa Martins Banderier</t>
  </si>
  <si>
    <t>+55 85 999922606</t>
  </si>
  <si>
    <t>jade_martins@hotmail.com</t>
  </si>
  <si>
    <t>Evaluation of precursory gel of film containing on-site anesthetic for treatment of the herpes simplex: randomized double-blind and controlled clinical study</t>
  </si>
  <si>
    <t>U1111-1218-8533</t>
  </si>
  <si>
    <t>Herpetic Stomatitis,Herpes Simplex,Lip herpes,HSV-1,Perioral herpes</t>
  </si>
  <si>
    <t>Light-­induced fluorescence images as evaluation of white spot lesion treatment in orthodontic patient</t>
  </si>
  <si>
    <t>U1111-1219-3664</t>
  </si>
  <si>
    <t>Ana Zilda Nazar Bergamo</t>
  </si>
  <si>
    <t>+55 16 3315-3995</t>
  </si>
  <si>
    <t>anaznbergamo@gmail.com</t>
  </si>
  <si>
    <t>Faculdade de Odontolgia de Ribeirão Preto da USP</t>
  </si>
  <si>
    <t>Relationship of astigmatism with posture and its influence on body pain</t>
  </si>
  <si>
    <t>U1111-1216-9083</t>
  </si>
  <si>
    <t>Maurício Silveira Maia</t>
  </si>
  <si>
    <t>mauriciosilveiramaia@gmail.com</t>
  </si>
  <si>
    <t>Faculdade Alfredo Nasser</t>
  </si>
  <si>
    <t>Effects of a Physical Exercise Program and Guidance of Healthy Habits in Hypertensive Patients</t>
  </si>
  <si>
    <t>U1111-1216-4911</t>
  </si>
  <si>
    <t>Eli Maria Pazziaotto Forti</t>
  </si>
  <si>
    <t>Hidden Oclusal cavities in deciduous molares without obvious cavities: control seal or restore</t>
  </si>
  <si>
    <t>U1111-1212-1730</t>
  </si>
  <si>
    <t>Lúcia Regina Machado Baumotte</t>
  </si>
  <si>
    <t>baumotte.lucia@gmail.com</t>
  </si>
  <si>
    <t>Effects of Noninvasive Ventilation and Inspiratory Muscle Training associated with Cardiac Rehabilitation in the kinetics of oxygen consumption in patients with Chronic Heart Failure</t>
  </si>
  <si>
    <t>U1111-1219-6118</t>
  </si>
  <si>
    <t>Cardiovascular diseases,Left Ventricular Failure</t>
  </si>
  <si>
    <t>Selma Sousa Bruno</t>
  </si>
  <si>
    <t>+55-084 3215-3135</t>
  </si>
  <si>
    <t>sbruno@ufrnet.br</t>
  </si>
  <si>
    <t>Departamento de Fisioterapia da Universidade Federal do Rio Grande do Norte</t>
  </si>
  <si>
    <t>Effectiveness evaluation of the schools prevention program to the use of drugs of the Ministry of Health: # Tamojunto2.0 version 2018</t>
  </si>
  <si>
    <t>U1111-1219-6344</t>
  </si>
  <si>
    <t>Spatial analysis of Diabetes and evaluation of health practices developed: a contribution to health planning and decision making in the state of Espírito Santo Brazil</t>
  </si>
  <si>
    <t>U1111-1217-9964</t>
  </si>
  <si>
    <t>Italla Maria Pinheiro Bezerra</t>
  </si>
  <si>
    <t>italla.bezerra@emescam.br</t>
  </si>
  <si>
    <t>Escola Superior de Ciências da Santa Casa de Misericórdia de Vitória,EMESCAM</t>
  </si>
  <si>
    <t>Impact of physiotherapy on quality of life and sexual function of women after locally advanced cervical cancer brachytherapy</t>
  </si>
  <si>
    <t>U111111946547</t>
  </si>
  <si>
    <t>Cervical neoplasia,brachytherapy,radiation effects,pathologic constriction,dyspareunia</t>
  </si>
  <si>
    <t>Comitê de Ética em Pesquisa Hospital Universitário Pedro Ernesto</t>
  </si>
  <si>
    <t>+55 21 2868-8253</t>
  </si>
  <si>
    <t>Effectiveness of a Speech-Language Therapy Program for Presbyphonia</t>
  </si>
  <si>
    <t>U1111-1210-0088</t>
  </si>
  <si>
    <t>Voice disorders</t>
  </si>
  <si>
    <t>Lílian Neto Aguiar-Ricz</t>
  </si>
  <si>
    <t>+55(16)33150592</t>
  </si>
  <si>
    <t>liricz@fmrp.usp.br</t>
  </si>
  <si>
    <t>Effect of therapeutic bath in pain and physiological variables of infant influenza in a semi-intensive therapy unit of university hospital in the south of Brazil</t>
  </si>
  <si>
    <t>U1111-1211-0639</t>
  </si>
  <si>
    <t>Victória Duquia da Silva</t>
  </si>
  <si>
    <t>victoriaduquia@hotmail.com</t>
  </si>
  <si>
    <t>UCPEL - Universidade Católica de Pelotas</t>
  </si>
  <si>
    <t>Preventive intervention in Body Image Disturbances Eating Disorder and Body Dysmorphia in young adults: a randomized controlled clinical trial in Brazilian men</t>
  </si>
  <si>
    <t>U1111-1219-5873</t>
  </si>
  <si>
    <t>Maurício  Almeida</t>
  </si>
  <si>
    <t>+55 (33) 33011000</t>
  </si>
  <si>
    <t>maualmeida4@gmail.com</t>
  </si>
  <si>
    <t>Universidade Federal de Juiz de Fora campus avançado Governador Valadares</t>
  </si>
  <si>
    <t>Application of subtenon Triamcinolone acetonide in primary Trabeculectomies in non-inflammatory Glaucomas: a randomized clinical trial</t>
  </si>
  <si>
    <t>U1111-1219-1244</t>
  </si>
  <si>
    <t>Diego Torres Dias</t>
  </si>
  <si>
    <t>+55 11 982354795</t>
  </si>
  <si>
    <t>diego.torres@outlook.com.br</t>
  </si>
  <si>
    <t>The impact of the use of symbiotics on satiety glycemia and metabolic endotoxemia</t>
  </si>
  <si>
    <t>U1111-1219-3614</t>
  </si>
  <si>
    <t>dyslipidemia,insulin resistance,inflammation,women</t>
  </si>
  <si>
    <t>Aline Corado Gomes</t>
  </si>
  <si>
    <t>+55(62)8206-1828</t>
  </si>
  <si>
    <t>aline2nut@hotmail.com</t>
  </si>
  <si>
    <t>Pelvic floor training in the elderly: A randomized controlled trial comparing treatment techniques through the pilates method and kinesiotherapy</t>
  </si>
  <si>
    <t>U1111-1219-2265</t>
  </si>
  <si>
    <t>Mara Regina Knorst</t>
  </si>
  <si>
    <t>55 (51) 33203646</t>
  </si>
  <si>
    <t>mknorst@pucrs.br</t>
  </si>
  <si>
    <t>Pontifícia Universidade católica do Rio Grande do Sul</t>
  </si>
  <si>
    <t>Evaluation of the acute effects of vibrations generated in oscillating / vibratory Platform in young and Healthy individuals through functional parameters</t>
  </si>
  <si>
    <t>U1111-1218-2474</t>
  </si>
  <si>
    <t>healthy young</t>
  </si>
  <si>
    <t>Mario Bernardo-Filho</t>
  </si>
  <si>
    <t>55-21-28688332</t>
  </si>
  <si>
    <t>Transcranial Magnetic Stimulation Versus Transcranial Direct Current Stimulation in the Treatment of Neuropathic Pain due Braquial Plexus Injury: A Randomized Pilot Study</t>
  </si>
  <si>
    <t>U1111-1218-5199</t>
  </si>
  <si>
    <t>Erickson Duarte Bonifácio de Assis</t>
  </si>
  <si>
    <t>erickson_bonifacio@hotmail.com</t>
  </si>
  <si>
    <t>Postgraduate Program in Cognitive and Behavioral Neuroscience - Federal University of Paraíba</t>
  </si>
  <si>
    <t>Vitrectomy with or without phacoemulsification for treatment of Macular Hole and Epiretinal membrane</t>
  </si>
  <si>
    <t>08/31/2018</t>
  </si>
  <si>
    <t>U1111-1190-5013</t>
  </si>
  <si>
    <t>Rodrigo Jorge</t>
  </si>
  <si>
    <t>55-16-36022523</t>
  </si>
  <si>
    <t>rjorge@fmrp.usp.br</t>
  </si>
  <si>
    <t>Educational groups for patients with Rheumatoid Arthritis</t>
  </si>
  <si>
    <t>U1111-1219-0380</t>
  </si>
  <si>
    <t>Debora Cerqueira Calderaro</t>
  </si>
  <si>
    <t>dccalderaro@gmail.com</t>
  </si>
  <si>
    <t>Oxygen therapy topical in jets in the treatment of infected surgical wounds</t>
  </si>
  <si>
    <t>U1111-1218-9547</t>
  </si>
  <si>
    <t>Maria Helena Otaviano</t>
  </si>
  <si>
    <t>mariahelena1957@hotmail.com</t>
  </si>
  <si>
    <t>Centro de estudos Augusto Leopoldo Ayrosa Galvão</t>
  </si>
  <si>
    <t>Evaluation of psychophysiological biomarkers after Cognitive-Behavioral Therapy in university students with Major Depressive Disorder</t>
  </si>
  <si>
    <t>U1111-1215-4472</t>
  </si>
  <si>
    <t>Other depressive episods</t>
  </si>
  <si>
    <t>Nicole Leite Galvão-Coelho</t>
  </si>
  <si>
    <t>55 84 3215-3410</t>
  </si>
  <si>
    <t>nicolelgalvaocoelho@gmail.com</t>
  </si>
  <si>
    <t>Association of hosts gene polymorphisms that participate in the immune-inflammatory response of traumatized teeth</t>
  </si>
  <si>
    <t>U1111-1219-5244</t>
  </si>
  <si>
    <t>Liliane  Roskamp</t>
  </si>
  <si>
    <t>lroskamp@gmail.com</t>
  </si>
  <si>
    <t>Evaluation of the immunomodulatory response of Sevoflurane versus Propofol in the intraoperative of obese patients (obesita): study protocol for a randomized clinical trial</t>
  </si>
  <si>
    <t>08/30/2018</t>
  </si>
  <si>
    <t>U1111-1218-0360</t>
  </si>
  <si>
    <t>Giselle Carvalho de Sousa</t>
  </si>
  <si>
    <t>gisellesousaa@gmail.com</t>
  </si>
  <si>
    <t>Laboratório de Investigação Pulmonar da Universidade Federal do Rio de Janeiro</t>
  </si>
  <si>
    <t>Effect of a pilates training program on postural control of women</t>
  </si>
  <si>
    <t>U1111-1219-3289</t>
  </si>
  <si>
    <t>Cintia de Lourdes Nahhas Rodacki</t>
  </si>
  <si>
    <t>cintiarodacki@gmail.com</t>
  </si>
  <si>
    <t>Ziclague® (Alpinia zerumbet) in patients with hereditary spastic paraplegia: randomized double-blind placebo-controlled and crossover clinical trial</t>
  </si>
  <si>
    <t>U1111-1218-2539</t>
  </si>
  <si>
    <t>Spasticity,Ziclague,Hereditary Spastic Paraplegia</t>
  </si>
  <si>
    <t>Marcondes Cavalcante França Junior</t>
  </si>
  <si>
    <t>mcfrancajr@uol.com.br</t>
  </si>
  <si>
    <t>University of Campinas</t>
  </si>
  <si>
    <t>Analysis of bleaching and neurosensory efficacy of dental sensitivity during dental bleaching using Violet Light: A double-blind randomized clinical trial</t>
  </si>
  <si>
    <t>U1111-1214-5587</t>
  </si>
  <si>
    <t>Other diseases of hard tissues of teeth</t>
  </si>
  <si>
    <t>MARJORIE DE OLIVEIRA GALLINARI</t>
  </si>
  <si>
    <t>+55 18 36363251</t>
  </si>
  <si>
    <t>marjo_oliveira@hotmail.com</t>
  </si>
  <si>
    <t>Evaluation of the durability of the effects of Mulligans mobilization with moviment (MWM) in secondary hypalgesiafunctional and emotional aspects in individuals with diagnosis of knee Osteoarthritis</t>
  </si>
  <si>
    <t>07/17/2017</t>
  </si>
  <si>
    <t>U1111-1196-9761</t>
  </si>
  <si>
    <t>Matheus Garcia Gomes</t>
  </si>
  <si>
    <t>+55 (34) 99918-3844</t>
  </si>
  <si>
    <t>ftmathgarcia@gmail.com</t>
  </si>
  <si>
    <t>Evaluations the periodontal microsurgery technique for treatment of gingival recession on smokers</t>
  </si>
  <si>
    <t>U1111-1217-8085</t>
  </si>
  <si>
    <t>Gingival recession,Tobacco</t>
  </si>
  <si>
    <t>Renata de Araújo Barbosa</t>
  </si>
  <si>
    <t>renataab@yahoo.com.br</t>
  </si>
  <si>
    <t>Effect of Aerobic Training based on maximal fat oxidation on arterial stiffness in subjects diagnosed with Diabetes</t>
  </si>
  <si>
    <t>U1111-1218-9966</t>
  </si>
  <si>
    <t>Type II Diabetes Mellitus</t>
  </si>
  <si>
    <t>+55 16 3306-6704</t>
  </si>
  <si>
    <t>Evaluation of the efficacy of a Structured Diabetes Education Program in the clinical evolution of patients with type 1 diabetes mellitus treated at two regional reference services in Brazil</t>
  </si>
  <si>
    <t>U1111-1216-6346</t>
  </si>
  <si>
    <t>Balduino  Tschiedel</t>
  </si>
  <si>
    <t>badutsch@gmail.com</t>
  </si>
  <si>
    <t>Instituto da Criança com Diabetes do Rio Grande do Sul - ICDRS</t>
  </si>
  <si>
    <t>Oral hygiene of patients undergoing invasive mechanical ventilation: cost-effectiveness analysis between discarding and reuse of dental brushes and lingual cleansers after disinfection in oral biofilm control</t>
  </si>
  <si>
    <t>U1111-1217-5390</t>
  </si>
  <si>
    <t>Fernanda Alves Ferreira Gonçalves</t>
  </si>
  <si>
    <t>mestradofernanda@gmail.com</t>
  </si>
  <si>
    <t>Evaluation of a polymer device for local anesthesia: in vivo test in adult humans in clinical dental procedures</t>
  </si>
  <si>
    <t>U1111-1218-7574</t>
  </si>
  <si>
    <t>Stomatognathic diseases,Dental cavity,Pulpitis,Chronic periodontitis</t>
  </si>
  <si>
    <t>Evaluation of the stimuli produced by the intervention with equine therapy on the kinetic and kinematic variables of healthy and pathological subjects</t>
  </si>
  <si>
    <t>U1111-1212-0681</t>
  </si>
  <si>
    <t>The subjects of this study people will be both sexes,from the age of five,with no age limit,with cerebral palsy,stroke,Parkinsons,traumatic brain injury,multiple sclerosis,cerebellar ataxias or Downs syndrome</t>
  </si>
  <si>
    <t>Ana da de David</t>
  </si>
  <si>
    <t>acdavid@unb.br</t>
  </si>
  <si>
    <t>Analysis of motor performance of people with stroke through virtual reality</t>
  </si>
  <si>
    <t>U111112182266</t>
  </si>
  <si>
    <t>Fernando Henrique Magalhães</t>
  </si>
  <si>
    <t>fhmagalhaes@usp.br</t>
  </si>
  <si>
    <t>08/23/2018</t>
  </si>
  <si>
    <t>U1111-1218-9588</t>
  </si>
  <si>
    <t>Ana Carolina Soares Amaral</t>
  </si>
  <si>
    <t>Carandaí</t>
  </si>
  <si>
    <t>ana.amaral@ifsudestemg.edu.br</t>
  </si>
  <si>
    <t>Instituto Federal de Educação,Ciência e Tecnologia do Sudeste de Minas Gerais - Campus Barbacena</t>
  </si>
  <si>
    <t>Impact of nurse orientation by telephone on the preparation of the Colonoscopy Examination</t>
  </si>
  <si>
    <t>U1111-1203-1808</t>
  </si>
  <si>
    <t>Bowel diseases</t>
  </si>
  <si>
    <t>Tatiane Santa Rosa Diniz Santa Rosa Diniz</t>
  </si>
  <si>
    <t>tatyanialonso@yahoo.com.br</t>
  </si>
  <si>
    <t>UNESP _ Faculdade de Medicina de Botucatu</t>
  </si>
  <si>
    <t>Workers Health: Pregnant women with diabetes and oral health</t>
  </si>
  <si>
    <t>U1111-1214-4716</t>
  </si>
  <si>
    <t>Diabetes Mellitus,Pregnancy in Diabetics,Gestational diabetes</t>
  </si>
  <si>
    <t>Caroline Gonzalez</t>
  </si>
  <si>
    <t>carolinegonzalez.ufrj@gmail.com</t>
  </si>
  <si>
    <t>The effect of equine therapy on functional performance in children with Cerebral Palsy: a case study</t>
  </si>
  <si>
    <t>U1111-1198-3859</t>
  </si>
  <si>
    <t>Cerebral Palsy / Cerebral Palsy</t>
  </si>
  <si>
    <t>Effects of virtual reality in patients of the therapy of the therapy unit of Sergipe burns</t>
  </si>
  <si>
    <t>U1111-1200-6565</t>
  </si>
  <si>
    <t>Burned</t>
  </si>
  <si>
    <t>Fernanda Araújo Felipe</t>
  </si>
  <si>
    <t>55 79 2105-1787</t>
  </si>
  <si>
    <t>fernandafelipeft@gmail.com</t>
  </si>
  <si>
    <t>Development and Application of Educational Multimedia in oral health orientation in orthodontic patients</t>
  </si>
  <si>
    <t>U1111-1213-0880</t>
  </si>
  <si>
    <t>Igor Juhy Nascimento</t>
  </si>
  <si>
    <t>igorjuhy@hotmail.com</t>
  </si>
  <si>
    <t>Effect of administration of probiotics on inflammatory markers in overweight women</t>
  </si>
  <si>
    <t>U1111-1137-4566</t>
  </si>
  <si>
    <t>overweight,inflammation,oxidative stress</t>
  </si>
  <si>
    <t>Effect of Epigallocatechin-3-Gallate on serum concentrations of Carboxymethyl-Lysine in Inflammation Insulin Resistance and Endothelial dysfunction caused by acute ingestion of a meal high in advanced glycation end products</t>
  </si>
  <si>
    <t>08/22/2018</t>
  </si>
  <si>
    <t>U1111-1203-5224</t>
  </si>
  <si>
    <t>Prevent perioperative hypothermia using diferent heathing method</t>
  </si>
  <si>
    <t>U1111-1176-1517</t>
  </si>
  <si>
    <t>Cold Temperature</t>
  </si>
  <si>
    <t>Comite de Ética e pesquisa</t>
  </si>
  <si>
    <t>Faculdade de Ciencias Médicas da Unicamp</t>
  </si>
  <si>
    <t>Multimodal nursing intervention to reduce cancer treatment related symptoms</t>
  </si>
  <si>
    <t>U1111-1183-8980</t>
  </si>
  <si>
    <t>Marina de Góes Salvetti</t>
  </si>
  <si>
    <t>mgsalvetti@usp.br</t>
  </si>
  <si>
    <t>Effects of intervention with virtual reality on the health condition of children with cerebral palsy - randomized controlled trial</t>
  </si>
  <si>
    <t>U1111-1143-2242</t>
  </si>
  <si>
    <t>Nelci Adriana Cicuto Ferreira Rocha</t>
  </si>
  <si>
    <t>acicuto@gmail.com</t>
  </si>
  <si>
    <t>Evaluation of Peri-plantar Health in patients rehabilitated with Overdentures and Fixed Implant Prosthesis</t>
  </si>
  <si>
    <t>U1111-1218-6208</t>
  </si>
  <si>
    <t>+55 (84) 32154100</t>
  </si>
  <si>
    <t>adrianadafornte@hotmail.com</t>
  </si>
  <si>
    <t>Clinical and radiographic evaluation of the survival of the implants conditions of peri-implant tissues and conditions associated with the effectiveness of treatment in patients rehabilitated with full-arch mandibular fixed prostheses</t>
  </si>
  <si>
    <t>U1111-1173-0378</t>
  </si>
  <si>
    <t>Evaluation of central and peripheral excitability in individuals submitted to neurological rehabilitation for the paretic upper limb after stroke</t>
  </si>
  <si>
    <t>U1111-1213-0965</t>
  </si>
  <si>
    <t>Stroke,not specified as hemorrahgic or ischemic</t>
  </si>
  <si>
    <t>Miqueline Pivoto Faria Dias</t>
  </si>
  <si>
    <t>+55 (35) 3701-1925</t>
  </si>
  <si>
    <t>dramiquelinepivoto@gmail.com</t>
  </si>
  <si>
    <t>Study of Vitamin D and 3-Hidroximetilglutaril CoA redutase inhibitors administration on Endothelial Function and Renin-Angiotensin-Aldosterone system in patients with Hypertension: a double-blind placebo-controlled study</t>
  </si>
  <si>
    <t>U1111-1205-9775</t>
  </si>
  <si>
    <t>Marcelo Costa Batista</t>
  </si>
  <si>
    <t>mcbatista@uol.com.br</t>
  </si>
  <si>
    <t>Unifesp - Universidade Federal de São Paulo</t>
  </si>
  <si>
    <t>Effects of HIPERCOL program on patients with heterozygous Familial Hypercholesterolemia quality of life</t>
  </si>
  <si>
    <t>U1111-1212-1512</t>
  </si>
  <si>
    <t>Heterozygous Familial Hypercholesterolemia</t>
  </si>
  <si>
    <t>Annie Seixas Bello Moreira</t>
  </si>
  <si>
    <t>abbiebello@gmail.com</t>
  </si>
  <si>
    <t>Instituto Nacional de Cardiologia- INC</t>
  </si>
  <si>
    <t>Anesthetic properties of two solutions in the Alveolar Crest Technique Spongeous Bone Zone using injector</t>
  </si>
  <si>
    <t>U1111-1214-3810</t>
  </si>
  <si>
    <t>Introduction of probiotics in periodontal therapy</t>
  </si>
  <si>
    <t>U1111-1218-5450</t>
  </si>
  <si>
    <t>Halitosis,periodontitis</t>
  </si>
  <si>
    <t>ImPrEP - Implementation of HIV Pre-exposure Prophylaxis (PrEP) for men who have sex with men and transgender individuals at high risk for HIV infection: A Demonstration Project in the context of Combination Prevention in Brazil Mexico and Peru</t>
  </si>
  <si>
    <t>U1111-1217-6021</t>
  </si>
  <si>
    <t>Valdilea Veloso</t>
  </si>
  <si>
    <t>valdilea.veloso@ini.fiocruz.br</t>
  </si>
  <si>
    <t>Instituto Nacional de Infectologia vandro Chagas (INI) - Fiocruz</t>
  </si>
  <si>
    <t>Very low load and low volume exercise associated with Partial Vascular Occlusion in the knee osteoarthritis treatment: a randomized double-blind clinical trial</t>
  </si>
  <si>
    <t>U1111-1217-0325</t>
  </si>
  <si>
    <t>Correlation of cardiac frequency variability and ergoespirometry in patient with Chronic Obstructive Pulmonary Disease</t>
  </si>
  <si>
    <t>U1111-1218-1744</t>
  </si>
  <si>
    <t>Leandro Nobeschi</t>
  </si>
  <si>
    <t>ln.nobeschi@gmail.com</t>
  </si>
  <si>
    <t>Efficacy of physical exercise (athletics modality) in coping with overweight and obesity in adolescents</t>
  </si>
  <si>
    <t>U1111-1217-9594</t>
  </si>
  <si>
    <t>Olivia Andréa de Alencar Bessa</t>
  </si>
  <si>
    <t>oliviabessa@unifor.br</t>
  </si>
  <si>
    <t>Effects of Supplementation with Vitamin A and Zinc in the Treatment of Visceral Leishmaniasis</t>
  </si>
  <si>
    <t>08/17/2018</t>
  </si>
  <si>
    <t>U1111-1216-9324</t>
  </si>
  <si>
    <t>Carlos Henrique Nery Costa</t>
  </si>
  <si>
    <t>+55 86 3221-3062</t>
  </si>
  <si>
    <t>chncosta@gmail.com</t>
  </si>
  <si>
    <t>Chemical control of oral halitoses by mouthwashes: evaluation by gas chromatography and organoleptic test</t>
  </si>
  <si>
    <t>U1111-1218-8709</t>
  </si>
  <si>
    <t>Halitosis,Mouthwashes,Bad breath,Morning breath</t>
  </si>
  <si>
    <t>Epidural Adminstration of ropivacaine and its effects on the pharmacodynamics of rocuronium: randomized controlled trial</t>
  </si>
  <si>
    <t>U1111-1203-5372</t>
  </si>
  <si>
    <t>Fernando Eduardo Féres Junqueira</t>
  </si>
  <si>
    <t>feresjunqueira@gmail.com</t>
  </si>
  <si>
    <t>Faculdade de Ciências Médicas - Universidade Estadual de Campinas</t>
  </si>
  <si>
    <t>Oral Polypodium leucotomos versus placebo associated to Ingenol Mebutate 0.05% gel or Colchicin 0.5% cream in treatment of Actinic Keratoses and Skin Field Cancerization: a randomized clinical trial</t>
  </si>
  <si>
    <t>08/15/2018</t>
  </si>
  <si>
    <t>U1111-1209-0568</t>
  </si>
  <si>
    <t>Actinic keratosis,Skin field Cancerization,Squamous cell Carcinoma</t>
  </si>
  <si>
    <t>Rubião Junior</t>
  </si>
  <si>
    <t>+55 (14) 996715656</t>
  </si>
  <si>
    <t>Faculdade de Medicina - Unesp Botucatu</t>
  </si>
  <si>
    <t>Effects of Nutritional Intervention on the nutritional profile inflammation and intestinal health of outpatients with Hepatic Disease</t>
  </si>
  <si>
    <t>U1111-1218-6660</t>
  </si>
  <si>
    <t>Fatty liver degeneration,not elsewhere classified</t>
  </si>
  <si>
    <t>Ana Paula Boroni Moreira</t>
  </si>
  <si>
    <t>55 32 21023234</t>
  </si>
  <si>
    <t>apboroni@yahoo.com.br</t>
  </si>
  <si>
    <t>Evaluation of a cardiac rehabilitation program on the nociceptive threshold in hypertensive individuals</t>
  </si>
  <si>
    <t>U1111-1218-5914</t>
  </si>
  <si>
    <t>Characterization of functional abilities and caregiver assistance in children and adolescents with autism spectrum disorder submitted to virtual reality</t>
  </si>
  <si>
    <t>U1111-1216-2942</t>
  </si>
  <si>
    <t>Childhood autism</t>
  </si>
  <si>
    <t>Universidade de São Paulo Leste - Escola de Artes,Ciências e Humanidades</t>
  </si>
  <si>
    <t>The effect of Functional Training on physical fitness functional capacity and lumbar pain reports in older women: clinical testing</t>
  </si>
  <si>
    <t>08/14/2018</t>
  </si>
  <si>
    <t>U1111-1214-0814</t>
  </si>
  <si>
    <t>Lucimara da Palma Corrêa</t>
  </si>
  <si>
    <t>lucimarapalma@hotmail.com</t>
  </si>
  <si>
    <t>Active video vames: A coadjuvant in the treatment of Diabetes Mellitus types 1 and 2?</t>
  </si>
  <si>
    <t>U1111-1194-3705</t>
  </si>
  <si>
    <t>The effects of muscle strengthening of the plantar flexors on the gait pattern of children with idiopathic toe walking</t>
  </si>
  <si>
    <t>01/29/2018</t>
  </si>
  <si>
    <t>U1111-1200-9696</t>
  </si>
  <si>
    <t>Neurological gait disorders</t>
  </si>
  <si>
    <t>Vanessa Gonçalves Coutinho de Oliveira</t>
  </si>
  <si>
    <t>+55(11)3229-0100</t>
  </si>
  <si>
    <t>vanessagcoliveira@gmail.com</t>
  </si>
  <si>
    <t>EFFECT OF AÇAÍ CONSUMPTION IN THE ANTIOXIDANT STATE IN THE ANSWER INFLAMMATORY AND EXPRESSION OF MICRO-RNAS IN INDIVIDUALS WITH EXCESS OF WEIGHT AND DISLIPIDEMICS</t>
  </si>
  <si>
    <t>U1111-1217-3881</t>
  </si>
  <si>
    <t>Glorimar Rosa</t>
  </si>
  <si>
    <t>5521 3938-6596</t>
  </si>
  <si>
    <t>glorimar@nutricao.ufrj.br</t>
  </si>
  <si>
    <t>universidade Federal do Rio de Janeiro</t>
  </si>
  <si>
    <t>Longitudinal study of patients submitted to dental implant installation and implant retained prostheses</t>
  </si>
  <si>
    <t>U1111-1218-3913</t>
  </si>
  <si>
    <t>Assessment of skin and scar quality after Fat Grafting</t>
  </si>
  <si>
    <t>U1111-1201-1720</t>
  </si>
  <si>
    <t>Improvement of skin quality,improvement of scar tissue</t>
  </si>
  <si>
    <t>Juan Pablo Borges Rodrigues Maricevich</t>
  </si>
  <si>
    <t>jpmaricevich@gmail.com</t>
  </si>
  <si>
    <t>Fractal and chaotic behavior of heart rate variability in subarachnoid anesthesia</t>
  </si>
  <si>
    <t>U1111-1218-3079</t>
  </si>
  <si>
    <t>Spinal anesthesia,hypotension,Autonomic nervous system</t>
  </si>
  <si>
    <t>Hermes Melo Teixeira Batista</t>
  </si>
  <si>
    <t>Barbalha</t>
  </si>
  <si>
    <t>hermesmelo@oi.com.br</t>
  </si>
  <si>
    <t>Effect of Botulinum Toxin Treatment on the quality of life of patients with bruxism and pain in temporomandibular joint</t>
  </si>
  <si>
    <t>U1111-1217-7400</t>
  </si>
  <si>
    <t>Other somatoform disorders,Temporomandibular joint disorders,Bruxism</t>
  </si>
  <si>
    <t>Marcelo Caetano Parreira da Silva</t>
  </si>
  <si>
    <t>marcelocaetano1@msn.com</t>
  </si>
  <si>
    <t>Universidade Federal de Uberlândia - UFU</t>
  </si>
  <si>
    <t>Techiniques of Physical therapy respiratory and food performance of Newborn with preterm Dysplasia Bronchopulmonary</t>
  </si>
  <si>
    <t>U1111-1179-1343</t>
  </si>
  <si>
    <t>premature,bronchopulmonary dysplasia</t>
  </si>
  <si>
    <t>Sabrina Felin Nunes</t>
  </si>
  <si>
    <t>+55(55)991717041</t>
  </si>
  <si>
    <t>sah_felin@hotmail.com</t>
  </si>
  <si>
    <t>Evaluation of desensitizing therapies in Non-carious cervical lesions - randomized clinical trial double -blind</t>
  </si>
  <si>
    <t>U1111-1217-7650</t>
  </si>
  <si>
    <t>Paula Cesar Sgreccia</t>
  </si>
  <si>
    <t>+55-061 3901 3582</t>
  </si>
  <si>
    <t>paulasgreccia@gmail.com</t>
  </si>
  <si>
    <t>Corpo de Bombeiros Militar do Distrito Federal</t>
  </si>
  <si>
    <t>Primary X secondary endodontic infections: microbial and profile endotoxins and lipoteicoic acid levels</t>
  </si>
  <si>
    <t>U1111-1217-9191</t>
  </si>
  <si>
    <t>Felipe Paiva Machado</t>
  </si>
  <si>
    <t>+55(12)982176442</t>
  </si>
  <si>
    <t>felipepaivamachado@gmail.com</t>
  </si>
  <si>
    <t>ICT - Universidade Estadual Paulista Júlio de Mesquita Filho</t>
  </si>
  <si>
    <t>Autologous Platelet-Rich Fibrin Membrane: new perspectivein the treatment of trophic lesions in lower members</t>
  </si>
  <si>
    <t>U1111-1214-4742</t>
  </si>
  <si>
    <t>Raquel Wanzuita</t>
  </si>
  <si>
    <t>raquelwanzuita@gmail.com</t>
  </si>
  <si>
    <t>Fundação Educacional da Região de Joinville-UNIVILLE</t>
  </si>
  <si>
    <t>Efficacy of physical exercise with restriction of blood flow on the blood vessels of the forearm pre and post-confection of arteriovenous fistula in Chronic Kidney Disease: randomized clinical trial</t>
  </si>
  <si>
    <t>U1111-1217-8499</t>
  </si>
  <si>
    <t>Shirley Dias Bezerra</t>
  </si>
  <si>
    <t>shi.dias.b@gmail.com</t>
  </si>
  <si>
    <t>Universidade Federal da Pernambuco</t>
  </si>
  <si>
    <t>Massage effects on recovery of muscle damage induced by exercise in the elbow flexors muscle</t>
  </si>
  <si>
    <t>U1111-1212-1066</t>
  </si>
  <si>
    <t>Muscle damage induced by exercise</t>
  </si>
  <si>
    <t>Flávia Araújo Medeiros</t>
  </si>
  <si>
    <t>GOIÂNIA</t>
  </si>
  <si>
    <t>*55-62-981122393</t>
  </si>
  <si>
    <t>flaviavanessa.vanessa@gmail.com</t>
  </si>
  <si>
    <t>Protective versus conventional mechanical ventilation for peripheral vascular surgery: a randomized controlled trial</t>
  </si>
  <si>
    <t>U1111-1212-4309</t>
  </si>
  <si>
    <t>Andre Prato Schmidt</t>
  </si>
  <si>
    <t>Neonatal Screening Mapping of the TP53 R337H mutation prevalence per municipality Cancer history socioeconomic profile and molecular alterations associated with tumors in the families</t>
  </si>
  <si>
    <t>U1111-1196-4533</t>
  </si>
  <si>
    <t>Malignant neoplasias [tumors]</t>
  </si>
  <si>
    <t>Bonald Cavalcante Figueiredo</t>
  </si>
  <si>
    <t>+55 (41) 3310 1035</t>
  </si>
  <si>
    <t>bonaldf@yahoo.com.br</t>
  </si>
  <si>
    <t>Instituto de Pesquisa Pelé Pequeno Príncipe</t>
  </si>
  <si>
    <t>Impact of mindfulness based practice on stress response emotional regulation interoception and attention in a healthy sample</t>
  </si>
  <si>
    <t>U1111-1194-8661</t>
  </si>
  <si>
    <t>mbcsousa@neuro.ufrn.br</t>
  </si>
  <si>
    <t>Impact of Early Mobilization in Sepsis Patients: influence of Exercise on endothelial function cardiac autonomy and inflammatory profile</t>
  </si>
  <si>
    <t>U1111-1215-9989</t>
  </si>
  <si>
    <t>Sepsis,endothelium,autonomic nervous system,inflammation</t>
  </si>
  <si>
    <t>renatamendes@ufscar.br</t>
  </si>
  <si>
    <t>Photodynamic effects of Curcumin in the treatment of residual pockets in patients with Chronic Periodontitis and type 2 Diabetes Mellitus: a randomized split-mouth trial</t>
  </si>
  <si>
    <t>U1111-1205-0218</t>
  </si>
  <si>
    <t>Chronic Periodontitis,Diabetes Mellitus</t>
  </si>
  <si>
    <t>letheodoro@foa.unesp.br</t>
  </si>
  <si>
    <t>Universidade Estadual Paulista (Unesp),Faculdade de Odontologia,Araçatuba</t>
  </si>
  <si>
    <t>Application of LASER acupuncture in the treatment of pain in children with sickle cell disease</t>
  </si>
  <si>
    <t>U1111-1217-7458</t>
  </si>
  <si>
    <t>Sickle disease,Pain,Child</t>
  </si>
  <si>
    <t>Núcleo de Estudo em Saúde e Funcionalidade</t>
  </si>
  <si>
    <t>Impact of gastroplasty on salivary composition and cytomorphology of oral mucosa: follow-up three and six months</t>
  </si>
  <si>
    <t>U1111-1208-1262</t>
  </si>
  <si>
    <t>Paula Midori Castelo</t>
  </si>
  <si>
    <t>Diadema</t>
  </si>
  <si>
    <t>pcastelo@yahoo.com</t>
  </si>
  <si>
    <t>Analysis of the surgical profile and the immediate postoperative and postoperative period of patients submitted to cardiac surgery at the Hospital and Maternity Hospital Marieta Konder Bornhausen</t>
  </si>
  <si>
    <t>U1111-1210-0893</t>
  </si>
  <si>
    <t>Letícia Tramontin Mendes</t>
  </si>
  <si>
    <t>leticiatramontinmendes@gmail.com</t>
  </si>
  <si>
    <t>Universidade do Vale do Itajaí</t>
  </si>
  <si>
    <t>Clinical and epidemiological profile of a group of smokers in a smoking cessation program</t>
  </si>
  <si>
    <t>U1111-1217-8620</t>
  </si>
  <si>
    <t>Ubton José Argolo Nascimento</t>
  </si>
  <si>
    <t>ubtonjose@gmail.com</t>
  </si>
  <si>
    <t>Escola Baiana de Medicina e Saúde Pública</t>
  </si>
  <si>
    <t>Vitamin D Action in Depression and Cardiovascular Risk in Outpatient Treatment</t>
  </si>
  <si>
    <t>U1111-1217 -9237</t>
  </si>
  <si>
    <t>Catarina Magalhães Porto</t>
  </si>
  <si>
    <t>catarinamqo@gmail.com</t>
  </si>
  <si>
    <t>Catarina Porto</t>
  </si>
  <si>
    <t>Impact of using an Automatic Bolus Calculator for glycemic control in patients with type 1 Diabetes Mellitus receiving multiple daily Insulin injections</t>
  </si>
  <si>
    <t>U1111-1217-8250</t>
  </si>
  <si>
    <t>Cecilia  K R Feder</t>
  </si>
  <si>
    <t>draceciliafeder@gmail.com</t>
  </si>
  <si>
    <t>Irmandade Santa Casa de Misericordia de Sao Paulo</t>
  </si>
  <si>
    <t>Multimedia application to support the systematization of nursing care to the clinical patient</t>
  </si>
  <si>
    <t>U1111-1218-0015</t>
  </si>
  <si>
    <t>Comparative study between the use of functional bandage and orthopedic palm in the plantar fasciitis</t>
  </si>
  <si>
    <t>U1111-1214-9388</t>
  </si>
  <si>
    <t>Plantar Fasciitis</t>
  </si>
  <si>
    <t>Randomized clinical trial without treatment of peripheral facial palsy</t>
  </si>
  <si>
    <t>U1111-1218-3280</t>
  </si>
  <si>
    <t>Facial paralysis</t>
  </si>
  <si>
    <t>Effects of Resistance Training on quality of life mood disorders spinal curvature fatigue indicators and muscle performance in Breast Cancer Survivors</t>
  </si>
  <si>
    <t>U1111-1208-9638</t>
  </si>
  <si>
    <t>Carlos Alexandre Vieira</t>
  </si>
  <si>
    <t>vieiraca11@gmail.com</t>
  </si>
  <si>
    <t>Evaluation of the influence of guided surgery on the precision of positioning of single implants in post extraction sockets in the anterior region - Prospective randomized clinical study</t>
  </si>
  <si>
    <t>U1111-1214-2812</t>
  </si>
  <si>
    <t>+55 (16) 33016376</t>
  </si>
  <si>
    <t>Faculdade de Odontologia de Araraquara- Universidade Estadual Paulista</t>
  </si>
  <si>
    <t>Use of a smartphone app combined with beacons and gamification to increase the level of physical activity of adults and older adults: a sequential multiple assignment randomized trial</t>
  </si>
  <si>
    <t>U1111-1218-1092</t>
  </si>
  <si>
    <t>physical activity,cardiovascular diseases,smartphone</t>
  </si>
  <si>
    <t>Postoperative pain after the use of different kinematics in root canal preparation: a randomized clinical trial</t>
  </si>
  <si>
    <t>U1111-1182-2800</t>
  </si>
  <si>
    <t>Patrícia Oliveira Sousa</t>
  </si>
  <si>
    <t>+55 (98) 321441277</t>
  </si>
  <si>
    <t>patriciaso_cd@hotmail.com</t>
  </si>
  <si>
    <t>Correlation of bispectral index suppression index with transcutaneous cerebral oximetry in the occurrence of delirium in cardiac surgery</t>
  </si>
  <si>
    <t>U1111-1212-2798</t>
  </si>
  <si>
    <t>Eric Benedet Lineburger</t>
  </si>
  <si>
    <t>lineburger@unesc.net</t>
  </si>
  <si>
    <t>Sociedade Literária e Caritativa Santo Agostinho</t>
  </si>
  <si>
    <t>Pain after two different multimodal anesthesia techniques in bariatric surgery</t>
  </si>
  <si>
    <t>U1111-1217-0255</t>
  </si>
  <si>
    <t>Acute postoperative pain</t>
  </si>
  <si>
    <t>Rafael Abud</t>
  </si>
  <si>
    <t>abud.raf@gmail.com</t>
  </si>
  <si>
    <t>Santa Casa de Misericórida de Belo Horizonte</t>
  </si>
  <si>
    <t>Clinical evaluation of carious dentin in out in primary molars before and after excavation and the relationship with the clinical success of restoration</t>
  </si>
  <si>
    <t>U1111-1179-6121</t>
  </si>
  <si>
    <t>Soraya Coelho Leal</t>
  </si>
  <si>
    <t>sorayaodt@yahoo.com.br</t>
  </si>
  <si>
    <t>Research on the effect of a procedure involving the association one of the Integrative and Complementary Practices (auriculotherapy) in the Sistema Único de Saúde and the mechanical vibrations generated in oscillating/vibratory platform in the manangement of individuals with a chronic non-communicable disease (Gonarthrosis)</t>
  </si>
  <si>
    <t>U1111-1216-3198</t>
  </si>
  <si>
    <t>Gonarthrosis,knee Joint Diseases,</t>
  </si>
  <si>
    <t>Clinical study randomized blind controlled of effect of compression Stocking containing nanoencapsulated Flavonoid in the treatment of chronic venous Insufficiency</t>
  </si>
  <si>
    <t>U1111-1217-7510</t>
  </si>
  <si>
    <t>Chronic venous insufficiency</t>
  </si>
  <si>
    <t>Paula dos Passos Menezes</t>
  </si>
  <si>
    <t>paula.dp.menezes@gmail.com</t>
  </si>
  <si>
    <t>Randomized clinical trial on the effectiveness and benefits of Peridural blocking in the control of Post-embolization syndrome compared to venous analgesia</t>
  </si>
  <si>
    <t>U1111-1212-1492</t>
  </si>
  <si>
    <t>Visceral pain</t>
  </si>
  <si>
    <t>Michael Madeira de La Cruz Quezada</t>
  </si>
  <si>
    <t>michael.quezada@gmail.com</t>
  </si>
  <si>
    <t>clinical evaluation of Pilocarpine release systems in individuals with hyposalivation</t>
  </si>
  <si>
    <t>U1111-1217-7979</t>
  </si>
  <si>
    <t>Hipossalivation,Xerostomia</t>
  </si>
  <si>
    <t>Alessandra de Albuquerque Tavares de  Carvalho</t>
  </si>
  <si>
    <t>Validation study of the AGE-Reader (Trade Mark) in a sample of the Brazilian population with and without chronic kidney disease</t>
  </si>
  <si>
    <t>U1111-1217-4323</t>
  </si>
  <si>
    <t>Rafael Yuri Sano</t>
  </si>
  <si>
    <t>rysano@gmail.com</t>
  </si>
  <si>
    <t>Efficacy of 0.1% Epinephrine Subconjunctival Injection versus Placebo in Intraoperative Mydriasis Maintenance during Vitrectomy</t>
  </si>
  <si>
    <t>U1111-1213-7450</t>
  </si>
  <si>
    <t>Ophthalmopathies,mydriasis,vitrectomy,epinephrine,pupil disorders</t>
  </si>
  <si>
    <t>Rafael Barbosa de Araujo</t>
  </si>
  <si>
    <t>barbosa.md@gmail.com</t>
  </si>
  <si>
    <t>Hospital Universitário Onofre Lopes da Universidade Federal do Rio Grande do Norte - HUOL/UFRN</t>
  </si>
  <si>
    <t>Effect of a health education program on individuals with chronic pain</t>
  </si>
  <si>
    <t>07/31/2018</t>
  </si>
  <si>
    <t>U1111-1217-1078</t>
  </si>
  <si>
    <t>Ana Shirley Maranhão Vieira</t>
  </si>
  <si>
    <t>asmvieira@bahiana.edu.br</t>
  </si>
  <si>
    <t>Transcranial Direct Current Stimulation and its therapeutic potential in patients undergoing Hemodialysis</t>
  </si>
  <si>
    <t>1111-1216-0137</t>
  </si>
  <si>
    <t>Artur Quintiliano Bezerra da Silva</t>
  </si>
  <si>
    <t>artur_bezerra@hotmail.com</t>
  </si>
  <si>
    <t>Effect of individual or collective kinesiotherapy on pain and oncological fatigue</t>
  </si>
  <si>
    <t>U1111-1212-0577</t>
  </si>
  <si>
    <t>Breast neoplasms,Fatigue,Pain,Exercise</t>
  </si>
  <si>
    <t>+55(79)31946553</t>
  </si>
  <si>
    <t>josimelo@infonet.com.br</t>
  </si>
  <si>
    <t>Interferential Current influence on the sexual function of women with Premature Ovarian Failure: controlled randomized trial</t>
  </si>
  <si>
    <t>U1111-1204-5064</t>
  </si>
  <si>
    <t>Primary ovarian failure,Failure of genital response,Sexual Dysfunction,Physiological</t>
  </si>
  <si>
    <t>Cristina Laguna Benetti-Pinto</t>
  </si>
  <si>
    <t>laguna.unicamp@gmail.com</t>
  </si>
  <si>
    <t>Innovations in maternal and child care in Pernambuco - Quality evaluation cycle of maternal fetal care in maternity hospitals in Pernambuco</t>
  </si>
  <si>
    <t>U1111-1217-8166</t>
  </si>
  <si>
    <t>Tereza Rebecca de Melo e Lima</t>
  </si>
  <si>
    <t>terezarebeca@yahoo.com.br</t>
  </si>
  <si>
    <t>Effectiveness of a strategy for the treatment of childhood obesity based on the Food Guide for the Brazilian Population: a randomized trial</t>
  </si>
  <si>
    <t>07/30/2018</t>
  </si>
  <si>
    <t>U1111-1217-0958</t>
  </si>
  <si>
    <t>childhood obesity</t>
  </si>
  <si>
    <t>Joana Maia Brandão</t>
  </si>
  <si>
    <t>+55 021 997569976</t>
  </si>
  <si>
    <t>joanamaia24@gmail.com</t>
  </si>
  <si>
    <t>IMS-UERJ</t>
  </si>
  <si>
    <t>A phase II randomized double-blind placebo controlled study of the safety and efficacy of ranitidine in diabetic patients with severe sepsis and septic shock</t>
  </si>
  <si>
    <t>U1111-1151-8125</t>
  </si>
  <si>
    <t>Daniel Zoppi</t>
  </si>
  <si>
    <t>+55(16)981686355</t>
  </si>
  <si>
    <t>danielzoppi@gmail.com</t>
  </si>
  <si>
    <t>The use of Analgesics after Primary Teeth Extractions: from Prescription to reality</t>
  </si>
  <si>
    <t>U1111-1213-4838</t>
  </si>
  <si>
    <t>Rachel de Oliveira Rocha</t>
  </si>
  <si>
    <t>Santa Maira</t>
  </si>
  <si>
    <t>rachelrocha@smail.ufsm.br</t>
  </si>
  <si>
    <t>Universidade Federal de Santa Maria/Pró Reitoria de Pós Graduação e Pesquisa</t>
  </si>
  <si>
    <t>Randomized clinical trial in the treatment of primary dysmenorrhoea syndrome</t>
  </si>
  <si>
    <t>U1111-1217-7372</t>
  </si>
  <si>
    <t>Primary dysmenorrhoea syndrome</t>
  </si>
  <si>
    <t>Regression evaluation of facial edema after orthognathic surgery with and without the use of Kinesio Taping in patients with cleft lip and palate: randomized clinical trial</t>
  </si>
  <si>
    <t>U1111-1211-5439</t>
  </si>
  <si>
    <t>Oedema,not elsewhere classified. Localized oedema. Edema</t>
  </si>
  <si>
    <t>Helcio José de Moura Junior</t>
  </si>
  <si>
    <t>+55 014 997937793</t>
  </si>
  <si>
    <t>helciomoura@usp.br</t>
  </si>
  <si>
    <t>Hospital de Reabilitação de Anomalias Craniofaciais HRAC/USP</t>
  </si>
  <si>
    <t>Technology in Breastfeeding: Randomized Clinical Trial</t>
  </si>
  <si>
    <t>U1111-1191-9063</t>
  </si>
  <si>
    <t>Breast Feeding,Biomedical Technology,Obstetric Nursing,Womens</t>
  </si>
  <si>
    <t>Erdnaxela Fernandes do Carmo Souza</t>
  </si>
  <si>
    <t>enfxela@yahoo.com.br</t>
  </si>
  <si>
    <t>Nutritional intervention study in overweight pregnant women attending primary healthcare units: a randomized clinical trial</t>
  </si>
  <si>
    <t>U1111-1216-3837</t>
  </si>
  <si>
    <t>Effectiveness of Bleaching with 37% Carbamide Peroxide With and Without Sonic Activation and Genotoxic Effect: randomized clinical trial</t>
  </si>
  <si>
    <t>07/27/2018</t>
  </si>
  <si>
    <t>U1111-1198-1742</t>
  </si>
  <si>
    <t>jessica bruna corrêa lindoso</t>
  </si>
  <si>
    <t>+55(92)993648555</t>
  </si>
  <si>
    <t>jessy_bruna@hotmail.com</t>
  </si>
  <si>
    <t>Effect of Fluoxetine in pigmentation of the skin in Vitiligo carriers: clinical study</t>
  </si>
  <si>
    <t>U1111-1214-1705</t>
  </si>
  <si>
    <t>Vitiligo</t>
  </si>
  <si>
    <t>Pedro Dantas Oliveira</t>
  </si>
  <si>
    <t>+55(83)996251275</t>
  </si>
  <si>
    <t>pedrodermato@yahoo.com.br</t>
  </si>
  <si>
    <t>Hospital Universitário da Universidade Federal de Sergipe (HU-UFS)</t>
  </si>
  <si>
    <t>Effects of bag bath and bed bath on oxi-hemodynamics changes: randomized clinical trial</t>
  </si>
  <si>
    <t>U1111-1218-0075</t>
  </si>
  <si>
    <t>Critical Care,Intensive Care Units,Nursing Care</t>
  </si>
  <si>
    <t>Flavia Falci Ercole</t>
  </si>
  <si>
    <t>Comparative analysis of myocardial protection with HTK solution and hypothermic hyperkalemic blood solution in the correction of acyanogenic congenital cardiopathies – a randomized study</t>
  </si>
  <si>
    <t>U1111-1212-7056</t>
  </si>
  <si>
    <t>Children with acyanogenic congenital heart defects operated for total correction,Traced problems - Myocardial damage,Interventricular communication,Atrioventricular communication,Right ventricle with double outlet,Tetralogy of Fallot,Myocardial protection</t>
  </si>
  <si>
    <t>Acrisio Sales Valente</t>
  </si>
  <si>
    <t>acrisiovalente@yahoo.com</t>
  </si>
  <si>
    <t>Hospital do Coração de Messejana Dr. Carlos Alberto Studart Gomes</t>
  </si>
  <si>
    <t>Evaluation of the efficacy of the spontaneous breathing test in predicting the success of extubation in the postoperative period of cardiac surgery in children: A randomized controlled trial</t>
  </si>
  <si>
    <t>U1111-1214-5125</t>
  </si>
  <si>
    <t>Centro de Terapia Intensiva Pediátrica do Hospital das Clínicas da Faculdade de Medicina de Ribeirão Preto</t>
  </si>
  <si>
    <t>Effect of Interscalene Block on the inflammatory response in Shoulder surgery. Comparative study</t>
  </si>
  <si>
    <t>U1111-1148-9666</t>
  </si>
  <si>
    <t>Gabriel Enrique Mejía-Terrazas</t>
  </si>
  <si>
    <t>México</t>
  </si>
  <si>
    <t>Mexico</t>
  </si>
  <si>
    <t>+52 55 21097872</t>
  </si>
  <si>
    <t>gisibyg@yahoo.com.mx</t>
  </si>
  <si>
    <t>Hospital Ángeles México</t>
  </si>
  <si>
    <t>Assessment and intervention of shoulder Dysfunction</t>
  </si>
  <si>
    <t>07/25/2018</t>
  </si>
  <si>
    <t>U1111-1216-3391</t>
  </si>
  <si>
    <t>Effect of cinnamon (Cinnamomum zeilannicum) supplementation on body weight body composition lipid profile blood glucose inflammatory markers and thyroid hormones in postmenopausal women</t>
  </si>
  <si>
    <t>U1111-1202-1567</t>
  </si>
  <si>
    <t>women,menopause,obesity,cinnamon</t>
  </si>
  <si>
    <t>Luciana Nascimento Pereira</t>
  </si>
  <si>
    <t>l.pereira@superig.com.br</t>
  </si>
  <si>
    <t>Evaluation of the evolutionary characteristics of patients with exercise-induced hypoxemia who use prolonged home oxygen therapy for 12 hours per day in a one-year period</t>
  </si>
  <si>
    <t>U1111-1138-5385</t>
  </si>
  <si>
    <t>Primary pulmonary hypertension</t>
  </si>
  <si>
    <t>CAROLINA BONFANTI MESQUITA</t>
  </si>
  <si>
    <t>PORTO VELHO - RO</t>
  </si>
  <si>
    <t>carollmesquita@hotmail.com</t>
  </si>
  <si>
    <t>Universidade Estadual Paulista Júlio de Mesquita Filho Unesp - Faculdade de Medicina de Botucatu</t>
  </si>
  <si>
    <t>Evaluation of nail growth: comparison between Biotin and topical Minoxidil</t>
  </si>
  <si>
    <t>U1111-1218-0589</t>
  </si>
  <si>
    <t>UNESP - Universidade Estadual Paulista</t>
  </si>
  <si>
    <t>Effects of the application of the Pilates method and combination with the Buteyko method in children and adolescentes asthmatics</t>
  </si>
  <si>
    <t>U1111-1212-8889</t>
  </si>
  <si>
    <t>Decio Peixoto Medeiros</t>
  </si>
  <si>
    <t>daphgp@gmail.com</t>
  </si>
  <si>
    <t>Evaluation of the acute effect of Kundalini Yoga on Obsessive Compulsive Disorder</t>
  </si>
  <si>
    <t>U1111-1216-9209</t>
  </si>
  <si>
    <t>Obsessive Compulsive Disorder</t>
  </si>
  <si>
    <t>Ygor Arzeno Ferrão</t>
  </si>
  <si>
    <t>ygoraf@gmail.com</t>
  </si>
  <si>
    <t>Acute Effect of Full-Body Vibration Stimulation in Women with Fibromyalgia</t>
  </si>
  <si>
    <t>U1111-1202-4794</t>
  </si>
  <si>
    <t>Effects of different magnitudes of strength applied in massage on performance and neuromuscular activation in elbow flexors</t>
  </si>
  <si>
    <t>U1111-1217-4726</t>
  </si>
  <si>
    <t>+55 062 992524357</t>
  </si>
  <si>
    <t>manumarinhoster@gmail.com</t>
  </si>
  <si>
    <t>Universidade de Brasilia -Faculdade de Educação Fisica</t>
  </si>
  <si>
    <t>Effectiveness of Resistance and Aerobic Training on functional performance in patients with COPD users of home oxygen therapy: randomized clinical trial</t>
  </si>
  <si>
    <t>U1111-1212-7997</t>
  </si>
  <si>
    <t>Effect of different Toothpaste on dental enamel: a double blind in situ study</t>
  </si>
  <si>
    <t>U1111-1212-5415</t>
  </si>
  <si>
    <t>Fernanda de Carvalho Panzeri Pires de Souza</t>
  </si>
  <si>
    <t>ferpanzeri@usp.br</t>
  </si>
  <si>
    <t>Use of Goserelin for medical treatment of Uterine fibroids</t>
  </si>
  <si>
    <t>U1111-1217-0932</t>
  </si>
  <si>
    <t>Uterine fibrois</t>
  </si>
  <si>
    <t>Gleyse Maria Rubio Oliveira</t>
  </si>
  <si>
    <t>gleyserubio@hotmail.com</t>
  </si>
  <si>
    <t>Humanoid robots - Evaluation of artificial intelligence in oral health education in children and adolescents with chronic kidney disease: a randomized clinical trial</t>
  </si>
  <si>
    <t>U1111-1211-1698</t>
  </si>
  <si>
    <t>Ana Lidia Ciamponi</t>
  </si>
  <si>
    <t>55 11 3091-7835</t>
  </si>
  <si>
    <t>analidia@usp.br</t>
  </si>
  <si>
    <t>Faculdade de odontologia da Universidade de São Paulo</t>
  </si>
  <si>
    <t>Effect of supplementation with 800 IU of vitamin E on serum alpha-tocopherol and milk of lactating women</t>
  </si>
  <si>
    <t>U1111-1213-4459</t>
  </si>
  <si>
    <t>Amanda De Sousa Rebouças</t>
  </si>
  <si>
    <t>amandasousar2@hotmail.com</t>
  </si>
  <si>
    <t>Effectiveness of a Strengthening and Aerobic Training protocol on Heart Rate Variability in Predialytic patients: a randomized controlled trial</t>
  </si>
  <si>
    <t>U1111-1212-8700</t>
  </si>
  <si>
    <t>Marthley José Correia Costa</t>
  </si>
  <si>
    <t>marthleycosta@gmail.com</t>
  </si>
  <si>
    <t>Analysis of Heart Rate Variability in Exercise Supervised in Cicloergometry in Patients with Chronic Renal Disease</t>
  </si>
  <si>
    <t>U1111-1216-8272</t>
  </si>
  <si>
    <t>Comparison between 2 and 5 minutes of passive static stretching in the mechanical properties of the calcaneus tendon in young adults: a clinical trial</t>
  </si>
  <si>
    <t>U1111-1214-0660</t>
  </si>
  <si>
    <t>Escola de Educação Física,Fisioterapia e Dança</t>
  </si>
  <si>
    <t>055 51 3308-5804</t>
  </si>
  <si>
    <t>esef@esef.ufrgs.br</t>
  </si>
  <si>
    <t>Performance Evaluation of the Rapid Test for Serological Diagnosis of Zika (TR DPP IgM / IgG Zika - Bio-Manguinhos) in a Cohort of Yellow Fever Vaccines</t>
  </si>
  <si>
    <t>U1111-1208-5590</t>
  </si>
  <si>
    <t>Daniel Marinho</t>
  </si>
  <si>
    <t>55 21 3865-9126</t>
  </si>
  <si>
    <t>enfdanielmarinhodacosta@gmail.com</t>
  </si>
  <si>
    <t>Instituto Nacional de Infectologia - INI / Fiocruz</t>
  </si>
  <si>
    <t>Evaluation of periodontal debridement in the treatment of Chronic Periodontitis in diabetic patients</t>
  </si>
  <si>
    <t>U1111-1211-4427</t>
  </si>
  <si>
    <t>Periapical granuloma</t>
  </si>
  <si>
    <t>Ana Luísa Teixeira Meira</t>
  </si>
  <si>
    <t>altmeira@hotmail.com</t>
  </si>
  <si>
    <t>Nutritional profile and dietary patterns of stone formers</t>
  </si>
  <si>
    <t>U1111-1190-6404</t>
  </si>
  <si>
    <t>Nephrolithiasis,Diet Western</t>
  </si>
  <si>
    <t>Fernanda Guedes Rodrigues</t>
  </si>
  <si>
    <t>fernanda.gr91@yahoo.com.br</t>
  </si>
  <si>
    <t>Tamoxifen population pharmacokinetics in breast cancer patients: metabolism study genetic polymorphism hormonal status and age</t>
  </si>
  <si>
    <t>U1111-1217-0571</t>
  </si>
  <si>
    <t>Personal history of malignant neoplasm of breast</t>
  </si>
  <si>
    <t>João Paulo Bianchi Ximenez</t>
  </si>
  <si>
    <t>joaopaulo.ximenez@usp.br</t>
  </si>
  <si>
    <t>Effectiveness of fortification with powder micronutrients in prevention and treatment of micronutrient deficiency: a randomized clinical trial</t>
  </si>
  <si>
    <t>U1111-1213-3514</t>
  </si>
  <si>
    <t>Maria Claret Costa Monteiro Hadler</t>
  </si>
  <si>
    <t>clarethadler@uol.com.br</t>
  </si>
  <si>
    <t>Effects of Chryotherapy and Neuromuscular Electrical Stimulation in Spastic Hemiparetic patients</t>
  </si>
  <si>
    <t>U1111-1217-6617</t>
  </si>
  <si>
    <t>Stroke,unspecified as hemorrhagic or ischemic</t>
  </si>
  <si>
    <t>Effects of Curcuma longa L. administration to children with persistent asthma</t>
  </si>
  <si>
    <t>U1111-1147-8036</t>
  </si>
  <si>
    <t>Persistent asthma</t>
  </si>
  <si>
    <t>Educational booklet for prevention of vertical Human HIV: randomized controlled trial</t>
  </si>
  <si>
    <t>U1111-1191-9954</t>
  </si>
  <si>
    <t>Ana Carolina Maria Araújo Chagas Costa Lima</t>
  </si>
  <si>
    <t>anacarolinamaccl@gmail.com</t>
  </si>
  <si>
    <t>Study of the clinical performance of different accession strategies of noncarious cervical lesions restorations</t>
  </si>
  <si>
    <t>U1111-1171-0222</t>
  </si>
  <si>
    <t>Excessive attrition of teeth. Abrasion of teeth. Other specified diseases of hard tissues of teeth</t>
  </si>
  <si>
    <t>Ticiane Cestari Fagundes</t>
  </si>
  <si>
    <t>ticiane@foa.unesp.br</t>
  </si>
  <si>
    <t>Treatment of muscle knots in the neck of subjects with TMD: a pilot clinical trial</t>
  </si>
  <si>
    <t>U1111-1217-4316</t>
  </si>
  <si>
    <t>Letícia Bojikian Calixtre</t>
  </si>
  <si>
    <t>lecalixtre@hotmail.com</t>
  </si>
  <si>
    <t>Beetroot leaves and stalks (Beta vulgaris L.): characterization and effects of antioxidant capacity in Obese and Dyslipidemic individuals</t>
  </si>
  <si>
    <t>07/19/2018</t>
  </si>
  <si>
    <t>U1111-1211-0335</t>
  </si>
  <si>
    <t>Rosangela Maria Neves Bezerra</t>
  </si>
  <si>
    <t>rosangelabezerra02@hotmail.com</t>
  </si>
  <si>
    <t>Faculdade de Ciências Aplicadas da Universidade Estadual de Campinas</t>
  </si>
  <si>
    <t>Assessment of caries risk and oral health status of infants and children aged 0 to 3 years</t>
  </si>
  <si>
    <t>U1111-1213-8218</t>
  </si>
  <si>
    <t>Vanessa Cristina da silva jorge</t>
  </si>
  <si>
    <t>são joão de meriti</t>
  </si>
  <si>
    <t>jorgevanessa@ig.com.br</t>
  </si>
  <si>
    <t>Educational intervention reduces patients stress and anxiety Cardiac Surgical: A Randomized Controlled Trial</t>
  </si>
  <si>
    <t>U1111-1214-8451</t>
  </si>
  <si>
    <t xml:space="preserve"> Cardiovascular diseases</t>
  </si>
  <si>
    <t>Sandra da Silva Kinalski</t>
  </si>
  <si>
    <t>IJUÍ</t>
  </si>
  <si>
    <t>+55 55 3332 0200</t>
  </si>
  <si>
    <t>sandrakinalski@yahoo.com.br</t>
  </si>
  <si>
    <t>Evaluation of Clinical Efficacy and Gynecological Acceptability of Product for Health</t>
  </si>
  <si>
    <t>U1111-1206-8098</t>
  </si>
  <si>
    <t>urinary incontinence</t>
  </si>
  <si>
    <t>Flávia Addor</t>
  </si>
  <si>
    <t>flavia@flaviaaddor.com.br</t>
  </si>
  <si>
    <t>Effect of combined technology in the treatment of pressure injuries: contribution for clinic care management</t>
  </si>
  <si>
    <t>U1111-1216-6559</t>
  </si>
  <si>
    <t>Pressure ulcer. self-care</t>
  </si>
  <si>
    <t>Ana Carolina de Castro Mendonça Queiroz</t>
  </si>
  <si>
    <t>carolinacmq@gmail.com</t>
  </si>
  <si>
    <t>Impact of Patient Position on the outcomes of Percutaneous Nephrolithothomy for Complex Kdney Stones</t>
  </si>
  <si>
    <t>U1111-1215-4196</t>
  </si>
  <si>
    <t>Nephrolitiasis,Kidney Stones</t>
  </si>
  <si>
    <t>Rodrigo  Perrella</t>
  </si>
  <si>
    <t>55-011-31706100</t>
  </si>
  <si>
    <t>perrella.uro@gmail.com</t>
  </si>
  <si>
    <t>Influence of the dentin rewetting with chitosan after selective removal of carious lesion by Er: YAG. Longitudinal clinical analysis photographic and evaluation marginal adaptation of the replica of the restoration and microbiological analysis</t>
  </si>
  <si>
    <t>U1111-1213-4644</t>
  </si>
  <si>
    <t>Rai Matheus Carvalho Santos</t>
  </si>
  <si>
    <t>55-016-994515207</t>
  </si>
  <si>
    <t>raicarvalho@usp.br</t>
  </si>
  <si>
    <t>Drug Adherence of Patients with Chronic Pain: a Clinical Trial on the Use of Pill Box</t>
  </si>
  <si>
    <t>U1111-1213-8066</t>
  </si>
  <si>
    <t>Therapeutic Ultrasound and Local Anesthetic Injection in the treatment of women with Chronic Pelvic Pain secondary to Myofascial Abdominal Syndrome: randomized clinical trial</t>
  </si>
  <si>
    <t>U1111-1215-2313</t>
  </si>
  <si>
    <t>Maria Carolina Dalla Vecchia Vieira</t>
  </si>
  <si>
    <t>Batatais</t>
  </si>
  <si>
    <t>mcaroldv@usp.br</t>
  </si>
  <si>
    <t>Faculdade de Medicina de Ribeirão Preto - FMRP-USP</t>
  </si>
  <si>
    <t>Influence of Smartphone use Masticatory Behavior on Stress status in students from a University at the souhtern region of Minas Gerais state</t>
  </si>
  <si>
    <t>U1111-1217-1007</t>
  </si>
  <si>
    <t>Luciano José Pereira</t>
  </si>
  <si>
    <t>+55(35)38295211</t>
  </si>
  <si>
    <t>lucianopereiraufla@gmail.com</t>
  </si>
  <si>
    <t>Universidade Federal de Lavras - UFLA</t>
  </si>
  <si>
    <t>Algofunctional evaluation of people with Haemophilia</t>
  </si>
  <si>
    <t>U1111-1215-3592</t>
  </si>
  <si>
    <t>Educational video for deaf people about basic living support: construction validation and evaluation</t>
  </si>
  <si>
    <t>U1111-1217-5659</t>
  </si>
  <si>
    <t>Cardiopulmonary Resuscitation,knowledge,motor skills</t>
  </si>
  <si>
    <t>Nelson Miguel Galindo Neto</t>
  </si>
  <si>
    <t>Pesqueira</t>
  </si>
  <si>
    <t>nelsongalindont@hotmail.com</t>
  </si>
  <si>
    <t>Instituto Federal de Educação,Ciência e Tecnologia de Pernambuco Campus Pesqueira</t>
  </si>
  <si>
    <t>The effect of Manual therapy on the quality of life funcionality and psychic condition of patientes with Shoulder Impact Syndrome</t>
  </si>
  <si>
    <t>U1111-1216-7916</t>
  </si>
  <si>
    <t>José Eduardo Corrente</t>
  </si>
  <si>
    <t>jecorren@gmail.com</t>
  </si>
  <si>
    <t>Universidade Estadual Paulista Júlio de Mesquita Filho - Campus Botucatu</t>
  </si>
  <si>
    <t>Evaluation of the effect of a physical activity program on aerobic fitness and cardiovascular risk markers in schoolchildren</t>
  </si>
  <si>
    <t>07/17/2018</t>
  </si>
  <si>
    <t>U1111-1216-8819</t>
  </si>
  <si>
    <t>André Luis Messias Dos Santos Duque</t>
  </si>
  <si>
    <t>andre_dourado@hotmail.com</t>
  </si>
  <si>
    <t>Evaluation of the Efficacy of Transcranial Direct Current Stimulation in the Treatment of Cognitive Symptomatology in the Early Stages of Psychosis: Study Protocol of a Double-blind Randomized Controlled Trial</t>
  </si>
  <si>
    <t>U1111-1217-4425</t>
  </si>
  <si>
    <t>Acioly Luiz Tavares de Lacerda</t>
  </si>
  <si>
    <t>acioly@institutosinapse.org</t>
  </si>
  <si>
    <t>Universidade Federal de Sao Paulo - UNIFESP</t>
  </si>
  <si>
    <t>Primary versus secondary endodontic infection: inflammatory and lipid profile microbial profile endotoxin and LTA levels before and during endodontic therapy and success after 18 months of treatment</t>
  </si>
  <si>
    <t>U1111-1217-0865</t>
  </si>
  <si>
    <t>Effect of clinical reasoning prompts on the diagnostic accuracy of baccalaureate nursing students: a randomized clinical trial</t>
  </si>
  <si>
    <t>U1111-1217-3753</t>
  </si>
  <si>
    <t>Education,Nursing,Baccalaureate</t>
  </si>
  <si>
    <t>Camila Takao Lopes</t>
  </si>
  <si>
    <t>camilatakao@hotmail.com</t>
  </si>
  <si>
    <t>Evaluation of central and peripheral excitability in individuals submitted to neurological rehabilitation for the paretic upper limb after Stroke</t>
  </si>
  <si>
    <t>U1111-1216-7657</t>
  </si>
  <si>
    <t>Viviane Aparecida de Oliveira</t>
  </si>
  <si>
    <t>tec_enf_viviane@yahoo.com.br</t>
  </si>
  <si>
    <t>Pregnant Healthy: physiotherapeutic attention to pregnant woman in primary care</t>
  </si>
  <si>
    <t>U1111-1215-1189</t>
  </si>
  <si>
    <t>Effect of Curcula longa L. supplementation on oxidative and inflammation markers after endurance exercise</t>
  </si>
  <si>
    <t>07/16/2018</t>
  </si>
  <si>
    <t>U1111-1179-6335</t>
  </si>
  <si>
    <t>+55 (62) 3209-6270</t>
  </si>
  <si>
    <t>Changing the view: video laryngoscope for intubations in pediatric emergency</t>
  </si>
  <si>
    <t>U1111-1216-7012</t>
  </si>
  <si>
    <t>Thomaz Bittencourt Couto</t>
  </si>
  <si>
    <t>thomaz.couto@hc.fm.usp.br</t>
  </si>
  <si>
    <t>Instituto da Criança do Hospital das Clínicas da Faculdade de Medicina da Universidade de São Paulo</t>
  </si>
  <si>
    <t>Whey protein supplementation vitamin D and resistance training in institutionalized older adults: randomized clinical trial</t>
  </si>
  <si>
    <t>03/31/2017</t>
  </si>
  <si>
    <t>1111-1194-0279</t>
  </si>
  <si>
    <t>Maria Inês da Rosa</t>
  </si>
  <si>
    <t>Criciuma</t>
  </si>
  <si>
    <t>+55 48 34312741</t>
  </si>
  <si>
    <t>mir@unesc.net</t>
  </si>
  <si>
    <t>Universidade do Extremo Sul Catarinesnse</t>
  </si>
  <si>
    <t>Therapeutic modalities in Hipomineralization of Molars and incisors: A randomized controlled clinical trial</t>
  </si>
  <si>
    <t>U1111-1212-3260</t>
  </si>
  <si>
    <t>dental cavity</t>
  </si>
  <si>
    <t>Individualized inspiratory muscle training on functional and ecocardiographic variables in patients submitted to myocardial revascularization</t>
  </si>
  <si>
    <t>U1111-1216-9505</t>
  </si>
  <si>
    <t>Effect of selenium supplementation with Brazil nut (Bertholettia excelsa H.B.K.) on inflammation oxidative stress and selenoprotein P and microRNAs expression in obese women</t>
  </si>
  <si>
    <t>U1111-1216-4138</t>
  </si>
  <si>
    <t>Passive x Continuous Ultrasonic Irrigation in primary endodontic infections: action in the present microbiote endotoxins and imflamatory profile</t>
  </si>
  <si>
    <t>U1111-1217-0804</t>
  </si>
  <si>
    <t>Esteban Isai Flores Orozco</t>
  </si>
  <si>
    <t>esteban.flores.orozco@outlook.com</t>
  </si>
  <si>
    <t>The use of Text Messages in adherence to Antiretroviral Treatment</t>
  </si>
  <si>
    <t>U1111-1200-7185</t>
  </si>
  <si>
    <t>Stela Maris de Mello Padoin</t>
  </si>
  <si>
    <t>stelamaris_padoin@hotmail.com</t>
  </si>
  <si>
    <t>Product development based on Ora-pro-nobis (Pereskia aculeata Mill.) and its influence on the intestinal microbiota antioxidant capacity anti-inflammatory biochemical and anthropometric parameters in Adult Men</t>
  </si>
  <si>
    <t>U1111-1208-3354</t>
  </si>
  <si>
    <t>The comparison of the effect of Holistic Gymnastics Eutonia and Pilates on posture flexibility and quality of life of children between 10 and 13 years old</t>
  </si>
  <si>
    <t>U1111-1196-6873</t>
  </si>
  <si>
    <t>Postural changes,Flexibility reduction,Quality of life,Healthy ten to thirteen year old female students</t>
  </si>
  <si>
    <t>Maria Elisabete Rodrigues Freire Gasparetto</t>
  </si>
  <si>
    <t>55 019 35218805</t>
  </si>
  <si>
    <t>gasparetto@fcm.unicamp.br</t>
  </si>
  <si>
    <t>Effect of monitoring of Brief Interventions for Alcohol and Tobacco use in pregnant women: a randomized trial</t>
  </si>
  <si>
    <t>U1111-1211-7419</t>
  </si>
  <si>
    <t>Angelica Martins de Souza Gonçalves</t>
  </si>
  <si>
    <t>+55(16) 3351-8111</t>
  </si>
  <si>
    <t>angelica_enf@yahoo.com.br</t>
  </si>
  <si>
    <t>Post-operative Lateral Neck Dissection Management of Cervical Traumatic Neuromas in Patients with Thyroid Carcinoma</t>
  </si>
  <si>
    <t>U1111-1216-3755</t>
  </si>
  <si>
    <t>cervical traumatic neuromas,diagnosis,ultrasound,pain management</t>
  </si>
  <si>
    <t>Comparison between two physiotherapeutic rehabilitation methods in individuals submitted to total hip arthroplasty</t>
  </si>
  <si>
    <t>U1111-1187-7778</t>
  </si>
  <si>
    <t>Acute eficcacy of dry needling versus myofascial pressure release in neck and shoulder trigger points: a randomized clinical trial</t>
  </si>
  <si>
    <t>U1111-1213-9901</t>
  </si>
  <si>
    <t>Luis Henrique Telles da Rosa</t>
  </si>
  <si>
    <t>+55(51)33039000</t>
  </si>
  <si>
    <t>Effectiveness of interdisciplinary and multidimensional technologies in the healing of venous ulcers leg pain and self rated health and quality of life of patients in a six month follow-up in primary care</t>
  </si>
  <si>
    <t>U1111-1167-9361</t>
  </si>
  <si>
    <t>Maria Márcia Bachion</t>
  </si>
  <si>
    <t>mbachion@gmail.com</t>
  </si>
  <si>
    <t>Comparison of the effect of two analgesic techniques on pain control in patients with Chronic Low Back Pain</t>
  </si>
  <si>
    <t>U1111-1216-2820</t>
  </si>
  <si>
    <t>Efficacy of an Exercise program for Scapular Dyskinesis in individuals with Shoulder Impact Syndrome</t>
  </si>
  <si>
    <t>U1111-1209-1077</t>
  </si>
  <si>
    <t>Shoulder Impact Syndrome,Dumbell Escape</t>
  </si>
  <si>
    <t>Effects of the Brazilian integrative wellness protocol for cancer care on quality of life wellness and biopsicosocial factors of breast cancer women and prostate cancer men</t>
  </si>
  <si>
    <t>U1111-1213-9051</t>
  </si>
  <si>
    <t>Renata Kelly Nascente</t>
  </si>
  <si>
    <t>renata10carneiro@gmail.com</t>
  </si>
  <si>
    <t>CREMIC - Centro Estadual de Referência em Medicina Integrativa e Complementar</t>
  </si>
  <si>
    <t>Effects of the Group and Home Based Exercise Program on the Functionality of pre-frail Elderly</t>
  </si>
  <si>
    <t>U1111-1216-7774</t>
  </si>
  <si>
    <t>Comparison of Cutaneous Warming Devices and clinical outcomes in the postoperative period in Cardiac Surgery: randomized clinical trial</t>
  </si>
  <si>
    <t>U1111-1216-5500</t>
  </si>
  <si>
    <t>Amanda Silva de Macêdo Bezerra</t>
  </si>
  <si>
    <t>amandabezerra19@hotmail.com</t>
  </si>
  <si>
    <t>Effect of ischemic preconditioning on aerobic metabolism and pain sensitivity</t>
  </si>
  <si>
    <t>U1111-1214-5822</t>
  </si>
  <si>
    <t>Fabrizio Caputo</t>
  </si>
  <si>
    <t>fabrizio.caputo@udesc.br</t>
  </si>
  <si>
    <t>Centro de Ciências da Saúde e do Esporte - UDESC</t>
  </si>
  <si>
    <t>The efficacy of hypopharyngeal packing during adenotonsillectomy in children in the prevention of postoperative nausea and vomiting</t>
  </si>
  <si>
    <t>U1111-1197-7461</t>
  </si>
  <si>
    <t>Luciana Pimentel Oppermann</t>
  </si>
  <si>
    <t>luopp24@hotmail.com</t>
  </si>
  <si>
    <t>Impact of social media on oral hygiene habits in children</t>
  </si>
  <si>
    <t>U1111-1216-4770</t>
  </si>
  <si>
    <t>Sabrina Natasha Digiacomo Sarwer-Foner</t>
  </si>
  <si>
    <t>sabri.sf@hotmail.com</t>
  </si>
  <si>
    <t>Assessment of the balance and muscular strength of the elderly before and after resistance training: a randomized clinical trial</t>
  </si>
  <si>
    <t>U1111-1216-5430</t>
  </si>
  <si>
    <t>Ariadne Felipeto de Ávila</t>
  </si>
  <si>
    <t>+55(55)3911-0200</t>
  </si>
  <si>
    <t>ariadnefdeavila@gmail.com</t>
  </si>
  <si>
    <t>Influence of a Balance Protocol on the gross motor function of children with Cerebral Palsy</t>
  </si>
  <si>
    <t>U111112056242</t>
  </si>
  <si>
    <t>Infantile cerebral palsy.Motor Disorders</t>
  </si>
  <si>
    <t>Brunna Santos Thomazin da Silva</t>
  </si>
  <si>
    <t>brunna.thomazin@gmail.com</t>
  </si>
  <si>
    <t>Comparison between two implant surfaces in patients with a history of aggressive periodontitis: randomized controlled clinical trial</t>
  </si>
  <si>
    <t>U1111-1216-7950</t>
  </si>
  <si>
    <t>Loss of teeth due to accident,extraction or periodontal disease</t>
  </si>
  <si>
    <t>+55 011 26488172</t>
  </si>
  <si>
    <t>Postoperative oral surgery bleeding in patient using anticoagulants: clinical randomized study</t>
  </si>
  <si>
    <t>U1111-1213-0918</t>
  </si>
  <si>
    <t>heart disease,oral bleeding,anticoagulants</t>
  </si>
  <si>
    <t>Paulo Ricardo Saquete Martins- Filho</t>
  </si>
  <si>
    <t>+55 79 998980511</t>
  </si>
  <si>
    <t>saqmartins@hotmail.com</t>
  </si>
  <si>
    <t>Combination of multimodal physical exercises in real and virtual environments for individuals after chronic stroke</t>
  </si>
  <si>
    <t>01/24/2017</t>
  </si>
  <si>
    <t>U1111-1187-0255</t>
  </si>
  <si>
    <t>Camila Torriani-Pasin</t>
  </si>
  <si>
    <t>+55 11 3091-2247</t>
  </si>
  <si>
    <t>camipasin@usp.br</t>
  </si>
  <si>
    <t>Evaluation of the antioxidant activity of Baccharis trimera infusion (Less.) Dc. in climacteric women</t>
  </si>
  <si>
    <t>U1111-1216-5191</t>
  </si>
  <si>
    <t>Daiana Meggiolaro Gewehr</t>
  </si>
  <si>
    <t>55-05591668816</t>
  </si>
  <si>
    <t>daiagewehr@hotmail.com</t>
  </si>
  <si>
    <t>Influence os Apoe genotype on event related potentials (ERP-P300) of elderly Alzheimers disease and healthy elderly</t>
  </si>
  <si>
    <t>U1111-1216-6583</t>
  </si>
  <si>
    <t>Renata Valle Pedroso</t>
  </si>
  <si>
    <t>re.pedroso@hotmail.com</t>
  </si>
  <si>
    <t>Controled randomized clinical trial of hygiene of complete dentures in institutionalized patients</t>
  </si>
  <si>
    <t>U1111-1213-3987</t>
  </si>
  <si>
    <t>Rodrigo Nunes Rached</t>
  </si>
  <si>
    <t>ronura@gmail.com</t>
  </si>
  <si>
    <t>Influence of the dietary period (with restriction versus time restriction) on body composition resting metabolic rate hunger sensation insulinemia leptinemia and thyroid function of obese women submitted to diets with the same energy deficit</t>
  </si>
  <si>
    <t>01/19/2018</t>
  </si>
  <si>
    <t>U1111-1203-4610</t>
  </si>
  <si>
    <t>Nassib Bezerra Bueno</t>
  </si>
  <si>
    <t>+55 (11) 50832108</t>
  </si>
  <si>
    <t>nassibbb@hotmail.com</t>
  </si>
  <si>
    <t>Influences of Body Position on the motor development of preterm infants</t>
  </si>
  <si>
    <t>U1111-1195-0561</t>
  </si>
  <si>
    <t>Marisa Afonso Andrade Brunherotti</t>
  </si>
  <si>
    <t>+55(16)8112-7768</t>
  </si>
  <si>
    <t>brunherotti@uol.com.br</t>
  </si>
  <si>
    <t>Nutritional intervention for the implementation of the Food Guide for the Brazilian Population with mobile health among adolescents of the Federal District</t>
  </si>
  <si>
    <t>U1111-1216-5277</t>
  </si>
  <si>
    <t>Mammillary traumas during breastfeeding and the action of low intensity laser: Randomized Clinical Trial</t>
  </si>
  <si>
    <t>U1111-1216-5643</t>
  </si>
  <si>
    <t>Franciane Maria da Silva Curan</t>
  </si>
  <si>
    <t>Jaboti</t>
  </si>
  <si>
    <t>55(43)99843-9250</t>
  </si>
  <si>
    <t>francianejbt@hotmail.com</t>
  </si>
  <si>
    <t>Universidade Estadual de Londrina/UEL</t>
  </si>
  <si>
    <t>Analysis of the Aldrete Kroulik scale related to oxygen therapy in patients undergoing anesthesia recovery</t>
  </si>
  <si>
    <t>U1111-1143-5819</t>
  </si>
  <si>
    <t>Hypoxemia,Perioperative Nursing,Nursing Post-Anesthetic,Hypoxia</t>
  </si>
  <si>
    <t>Ana Lucia De Mattia</t>
  </si>
  <si>
    <t>+55(31)3409-9886</t>
  </si>
  <si>
    <t>almattia@uol.com.br</t>
  </si>
  <si>
    <t>Universidade Federal de Minas Gerais - Escola de Enfermagem</t>
  </si>
  <si>
    <t>Evaluation of inflammatory activity and efficacy of dental bleaching during orthodontic treatment: a randomized clinical trial</t>
  </si>
  <si>
    <t>U1111-1209-0511</t>
  </si>
  <si>
    <t>Universidade CEUMA - UniCEUMA</t>
  </si>
  <si>
    <t>Pulp therapy in necrotic primary molars using CTZ paste and Zinc Oxide-Eugenol paste - a randomized controlled clinical trial</t>
  </si>
  <si>
    <t>U1111-1214-1152</t>
  </si>
  <si>
    <t>Lúcia de Fátima Almeida de Deus Moura</t>
  </si>
  <si>
    <t>+55-086 3237 1517</t>
  </si>
  <si>
    <t>mouraiso@uol.com.br</t>
  </si>
  <si>
    <t>Effects of intraoperative volume replacement with hydroxyethylstarch and lactated ringer on renal function of patients undergoing open hysterectomy: randomized clinical trial</t>
  </si>
  <si>
    <t>U1111-1206-5364</t>
  </si>
  <si>
    <t>Lais Helena Navarro e Lima</t>
  </si>
  <si>
    <t>laishnavarro@fmb.unesp.br</t>
  </si>
  <si>
    <t>Effects of physical training with exergames in physiological and psychobiological variables health related</t>
  </si>
  <si>
    <t>U1111-1215-9368</t>
  </si>
  <si>
    <t>Anxiety Disorders. Depressive Disorder. Sedentary Lifestyle. Body composition. Physical aptitude</t>
  </si>
  <si>
    <t>Claudio Andre Barbosa de Lira</t>
  </si>
  <si>
    <t>andre.claudio@gmail.com</t>
  </si>
  <si>
    <t>Faculdade de Educação Física e Danca - Universidade Federal de Goiás</t>
  </si>
  <si>
    <t>Effectiveness of a Multidisciplinary Program in Evaluation of Cardiometabolic Risk Factors and Treatment of abdominal Obesity in two cities in the Northwest of Paraná</t>
  </si>
  <si>
    <t>U1111-1215-9436</t>
  </si>
  <si>
    <t>Nelson Nardo Prof. Nelson - NEMO/HUM/UEM</t>
  </si>
  <si>
    <t>nnjunior@uem.br</t>
  </si>
  <si>
    <t>Hospital Universitário de Maringá</t>
  </si>
  <si>
    <t>Iron and Zinc Fortification effects on the Hemoglobin Level of preschool and school-age children</t>
  </si>
  <si>
    <t>U1111-1216-2727</t>
  </si>
  <si>
    <t>Nutritional Deficiencies</t>
  </si>
  <si>
    <t>José João Name</t>
  </si>
  <si>
    <t>carolina.remondi@yahoo.com.br</t>
  </si>
  <si>
    <t>Kilyos Assessoria Consultoria Cursos e Palestras LTDA</t>
  </si>
  <si>
    <t>Effects of Hammock Method on pain sleep state and physiological variables of newborns admitted to the Neonatal Intensive Care Unit</t>
  </si>
  <si>
    <t>U1111-1209-1721</t>
  </si>
  <si>
    <t>Thamires Lorenzet Seus</t>
  </si>
  <si>
    <t>seustl@gmail.com</t>
  </si>
  <si>
    <t>Clinical efficacy and dental sensitivity generated by hydrogen peroxide and carbamide in the office bleaching technique: a controlled blinded split-mouth clinical trial</t>
  </si>
  <si>
    <t>U1111-1214-4837</t>
  </si>
  <si>
    <t>Priscila Silva Abrantes</t>
  </si>
  <si>
    <t>55 84 994056465</t>
  </si>
  <si>
    <t>priabrantesrn@hotmail.com</t>
  </si>
  <si>
    <t>Relaxation therapy with guided imagery on anxiety and pain in patients undergoing bariatric surgery: randomized clinical trial</t>
  </si>
  <si>
    <t>U1111-1179-4148</t>
  </si>
  <si>
    <t>Metabolic syndrome: metabolic oxidative and inflammatory responses of physical exercise and nutritional programs in schoolchildren aged 4 to 11 years old from Santo Antônio de Goiás</t>
  </si>
  <si>
    <t>U1111-1214-5845</t>
  </si>
  <si>
    <t>Maria Sebastiana Silva</t>
  </si>
  <si>
    <t>maria2593857@hotmail.com</t>
  </si>
  <si>
    <t>Bleaching efficacy of 35% and 38% hydrogen peroxide with two protocols in adults</t>
  </si>
  <si>
    <t>U1111-1215-7598</t>
  </si>
  <si>
    <t>0055 092 981139290</t>
  </si>
  <si>
    <t>Evaluation of Sarcopenia in hospitalized elderly</t>
  </si>
  <si>
    <t>U1111-1205-9615</t>
  </si>
  <si>
    <t>Nelcimara Lúcia Marafon</t>
  </si>
  <si>
    <t>+55(41)998459842</t>
  </si>
  <si>
    <t>nelci.marafon@gmail.com</t>
  </si>
  <si>
    <t>Comparison of the Activity of the Middle Buttock Muscles and Tensor of the Fascia Lata during Exercises to Strengthen the Lateral Region of the Hip</t>
  </si>
  <si>
    <t>U1111-1209-0921</t>
  </si>
  <si>
    <t>Weakness of the hip stabilizing muscles</t>
  </si>
  <si>
    <t>Influence of elastic bandaging and laser on palmar grip strength in a blood flow restriction protocol</t>
  </si>
  <si>
    <t>U1111-1209-1626</t>
  </si>
  <si>
    <t>Efficacy of an eccentric training protocol and core muscle strengthening in individuals with patellar tendonitis</t>
  </si>
  <si>
    <t>U1111-1209-1006</t>
  </si>
  <si>
    <t>Patellar Tendonitis</t>
  </si>
  <si>
    <t>Efficacy of pre-emptive versus empirical antifungal therapy in children with cancer and high-risk febrile neutropenia: a randomized clinical trial</t>
  </si>
  <si>
    <t>U1111-1215-6323</t>
  </si>
  <si>
    <t>Febrile neutropenia</t>
  </si>
  <si>
    <t>Maria Elena Santolaya</t>
  </si>
  <si>
    <t>msantola@med.uchile.cl</t>
  </si>
  <si>
    <t>Universidad de Chile</t>
  </si>
  <si>
    <t>Comparison between the Russian current and the Aussie current in the force gain of the flexor muscles of the non-dominant hand</t>
  </si>
  <si>
    <t>U1111-1216-1060</t>
  </si>
  <si>
    <t>Attention to the health of the elderly: a proposal for multidimensional evaluation and intervention</t>
  </si>
  <si>
    <t>U1111-1215-9717</t>
  </si>
  <si>
    <t>Healthy Aging,Quality of Life,Primary Health Care</t>
  </si>
  <si>
    <t>Gilson de Vasconcelos Torres</t>
  </si>
  <si>
    <t>gilsonvtorres@hotmail.com</t>
  </si>
  <si>
    <t>A randomized double-blind monocentric phase I clinical trial to assess the tolerability safety and pharmacokinetics of Melatonin Sublingual Suspension after a single dose in healthy male participants</t>
  </si>
  <si>
    <t>U1111-1215-9112</t>
  </si>
  <si>
    <t>Use of the low-level Laser therapy in the treatment of inflammation in the Iliotibial Treatment in women with Femoropatelar Pain</t>
  </si>
  <si>
    <t>U1111-1215-3677</t>
  </si>
  <si>
    <t>femoro-patellar disorders</t>
  </si>
  <si>
    <t>Evaluation of the visual performance of people with multiple sclerosis in the use of tasks in virtual environment</t>
  </si>
  <si>
    <t>U1111-1216-3806</t>
  </si>
  <si>
    <t>Escola de Artes,Ciências e Humanidade da Universidade São Paulo</t>
  </si>
  <si>
    <t>Efficacy of Spontaneous Pushing Compared to Directed Pushing in Maternal and Neonatal Outcomes: A Randomized Clinical Trial</t>
  </si>
  <si>
    <t>U111112134482</t>
  </si>
  <si>
    <t>Adryelle Fernandes Duarte</t>
  </si>
  <si>
    <t>+55(81)995463909</t>
  </si>
  <si>
    <t>adryelle.fernandes@hotmail.com</t>
  </si>
  <si>
    <t>Hospital das Clínicas da Universidade Federal de Pernambuco - HC/UFPE</t>
  </si>
  <si>
    <t>Comparison of the effects of an Exercise Program performed in water or land in elderly with Hip or Knee Osteoarthritis</t>
  </si>
  <si>
    <t>U1111-1215-7151</t>
  </si>
  <si>
    <t>+55 41 33604333</t>
  </si>
  <si>
    <t>ferdymattos@hotmail.com</t>
  </si>
  <si>
    <t>The Effect of Group Physiotherapeutic Intervention on the quality of life functionality and psychic condition of patients with Shoulder Impact Syndrome</t>
  </si>
  <si>
    <t>U1111-1215-0465</t>
  </si>
  <si>
    <t>jecorrente@gmail.com</t>
  </si>
  <si>
    <t>Effects of a program of physical exercise in body composition immune system and blood changes of people living with HIV/AIDS: a clinical trial</t>
  </si>
  <si>
    <t>U1111-1214-3022</t>
  </si>
  <si>
    <t>Influence of a rehabilitation protocol and associated or not with the low intensity laser without treatment of patients without post-surgical meniscal lesion</t>
  </si>
  <si>
    <t>U1111-1209-0861</t>
  </si>
  <si>
    <t>MENISCUS INJURY</t>
  </si>
  <si>
    <t>Effect of caffeine intake in tinnitus</t>
  </si>
  <si>
    <t>U1111-1215-0911</t>
  </si>
  <si>
    <t>Alleluia Lima Losno Ledesma</t>
  </si>
  <si>
    <t>Sobradinho</t>
  </si>
  <si>
    <t>luafono@yahoo.com.br</t>
  </si>
  <si>
    <t>Universidade de Brasilia - UnB</t>
  </si>
  <si>
    <t>Repercussions of Transcutaneous Nervous Electric Stimulation applied to PC6 acupuncture point in women with breast cancer during chemotherapy</t>
  </si>
  <si>
    <t>U111112087952</t>
  </si>
  <si>
    <t>hedioneia maria foletto pivetta</t>
  </si>
  <si>
    <t>santa maria</t>
  </si>
  <si>
    <t>hedioneia@yahoo.com.br</t>
  </si>
  <si>
    <t>universidade federal de santa maria</t>
  </si>
  <si>
    <t>Determination of the dose-response for the stimulation of the multiphids in the core strength in individuals without chronic low back pain</t>
  </si>
  <si>
    <t>U1111-1216-2134</t>
  </si>
  <si>
    <t>Leukocyte- and Platelet-Rich Fibrin for Preventing Osteoradionecrosis following Tooth Extraction: an exploratory study</t>
  </si>
  <si>
    <t>U1111-1216-3231</t>
  </si>
  <si>
    <t>Luiz Felipe Palma</t>
  </si>
  <si>
    <t>+55(11)56947900</t>
  </si>
  <si>
    <t>luizfelipep@hotmail.com</t>
  </si>
  <si>
    <t>Effectiveness of a training program using Virtual Immersion Therapy to improve Postural Control stability Body Balance and Gait of children with Sensorineural Hearing Loss: a randomized controlled trial</t>
  </si>
  <si>
    <t>U1111-1212-0825</t>
  </si>
  <si>
    <t>Child,Posture,Postural Balance,Gait,Virtual Reality Exposure Therapy</t>
  </si>
  <si>
    <t>Renato de Souza Melo</t>
  </si>
  <si>
    <t>renatomelo10@hotmail.com</t>
  </si>
  <si>
    <t>Influence of strength and power trainings on the rate of force development functionality and balance of elderly with Parkinsons disease</t>
  </si>
  <si>
    <t>U1111-1196-9097</t>
  </si>
  <si>
    <t>Flávia Roberta Faganello Navega</t>
  </si>
  <si>
    <t>frfaganello@marilia.unesp.br</t>
  </si>
  <si>
    <t>Universidade Estadual Paulista Júlio de Mesquita Filho - Campus de Marília</t>
  </si>
  <si>
    <t>Electronic Record for Continuity of Patient Care: A use case for Doctors handovers in hospitals</t>
  </si>
  <si>
    <t>U1111-1211-4177</t>
  </si>
  <si>
    <t>José Carlos Serufo Filho</t>
  </si>
  <si>
    <t>serufo.ufmg@gmail.com</t>
  </si>
  <si>
    <t>Hospital das Clínicas Universidade Federal de Minas Gerais - HC-UFMG</t>
  </si>
  <si>
    <t>Virtual Reality and Augmentative and Alternative Communication in Autism</t>
  </si>
  <si>
    <t>06/29/2018</t>
  </si>
  <si>
    <t>U1111-1212-9296</t>
  </si>
  <si>
    <t>Autistic Disorder</t>
  </si>
  <si>
    <t>Tânia Brusque Crocetta</t>
  </si>
  <si>
    <t>+55(48)3664-8000</t>
  </si>
  <si>
    <t>taniabrusque@gmail.com</t>
  </si>
  <si>
    <t>Effect of the use of Dentifrices with Desensitizers in the ental Sensitivity reduction and Quality of Life after in-office Dental Bleaching: a randomized clinical trial</t>
  </si>
  <si>
    <t>U1111-1211-9713</t>
  </si>
  <si>
    <t>after-bleaching sensitivity,quality of life</t>
  </si>
  <si>
    <t>Adriana Corrêa de Queiroz</t>
  </si>
  <si>
    <t>acqueiroz@gmail.com</t>
  </si>
  <si>
    <t>Transcranial electrostimulation to facilitate gait rehabilitation of children with spastic cerebral palsy: cross-over randomized clinical trial placebo-controlled double-blinded</t>
  </si>
  <si>
    <t>U1111-1213-1788</t>
  </si>
  <si>
    <t>children with spastic diplegic cerebral palsy</t>
  </si>
  <si>
    <t>Claudia Santos Oliveira</t>
  </si>
  <si>
    <t>csantos.neuro@gmail.com</t>
  </si>
  <si>
    <t>Internet-based epidemiological research: strategies and individual characteristics associated to recruitment and participation of young adults</t>
  </si>
  <si>
    <t>U1111-1212-2213</t>
  </si>
  <si>
    <t>Social Media,Internet</t>
  </si>
  <si>
    <t>Aluísio Jardim Dornelas de Barros</t>
  </si>
  <si>
    <t>abarros.epi@gmail.com</t>
  </si>
  <si>
    <t>Centro de Pesquisas Epidemiológicas da Universidade Federal de Pelotas</t>
  </si>
  <si>
    <t>Comparative study of the use of intravenous and subarachnoid clonidine in patients submitted to Videoolaparoscopic Cholecystectomy</t>
  </si>
  <si>
    <t>U1111-1216-1470</t>
  </si>
  <si>
    <t>Cholelithiasis</t>
  </si>
  <si>
    <t>Christiane Rodrigues da Silva</t>
  </si>
  <si>
    <t>55 092 98802-0128</t>
  </si>
  <si>
    <t>christianerdasilva@gmail.com</t>
  </si>
  <si>
    <t>Hospital Universitário Getúlio Vargas</t>
  </si>
  <si>
    <t>Analysis of different interaction devices during a Timing Task Coincident in virtual environment in people with Multiple Sclerosis</t>
  </si>
  <si>
    <t>U1111-1215-6867</t>
  </si>
  <si>
    <t>+55 011 999530716</t>
  </si>
  <si>
    <t>carlosfisi@uol.com.br</t>
  </si>
  <si>
    <t>A randomized open-label crossover clinical trial to compare the effect of HDx therapy versus high flux hemodialysis on endothelium function in hemodialysis patients</t>
  </si>
  <si>
    <t>U1111-1212-1552</t>
  </si>
  <si>
    <t>End Stage Renal Disease</t>
  </si>
  <si>
    <t>Gabriela Sanchez Souza</t>
  </si>
  <si>
    <t>gabriela.sanchez@hrim.com.br</t>
  </si>
  <si>
    <t>Fundação Oswaldo Ramos - Hrim</t>
  </si>
  <si>
    <t>Clinical study randomized in the treatment of Stress Urinary Incontinence in women in post-menopause</t>
  </si>
  <si>
    <t>06/27/2018</t>
  </si>
  <si>
    <t>U1111-1213-2587</t>
  </si>
  <si>
    <t>Telemonitoring for improving maternal self-efficacy</t>
  </si>
  <si>
    <t>U1111-1205-2114</t>
  </si>
  <si>
    <t>Hilana Dayana Dodou</t>
  </si>
  <si>
    <t>hilanadayana@yahoo.com.br</t>
  </si>
  <si>
    <t>Acute effect of the application of Functional Elastic Bandage on the flexibility of active young women</t>
  </si>
  <si>
    <t>U1111-1213-6208</t>
  </si>
  <si>
    <t>João Ricardo Bispo de Jesus</t>
  </si>
  <si>
    <t>Itabaiana</t>
  </si>
  <si>
    <t>j.ricardobispo@gmail.com</t>
  </si>
  <si>
    <t>Faculdade Estácio de Sergipe</t>
  </si>
  <si>
    <t>Analysis of virtual task performance in people with Down syndrome</t>
  </si>
  <si>
    <t>U1111-1215-9026</t>
  </si>
  <si>
    <t>A proposal of the superiority of clinical evaluation on urodynamics in diagnosis of urinary incontinence in women</t>
  </si>
  <si>
    <t>U1111-1215-7055</t>
  </si>
  <si>
    <t>Urinary incontinence,unspecified</t>
  </si>
  <si>
    <t>Jose Tadeu Carvalho Martins</t>
  </si>
  <si>
    <t>55-027999898421</t>
  </si>
  <si>
    <t>tadeu.carvalho@unifesp.br</t>
  </si>
  <si>
    <t>Kinesio Taping use in tissue oxygenation in women with Chronic Venous Insufficiency: a randomized clinical trial</t>
  </si>
  <si>
    <t>U1111-1196-3682</t>
  </si>
  <si>
    <t>Varicose veins of the lower limbs / Chronic venous insufficiency</t>
  </si>
  <si>
    <t>Inquiry use of eight practices that promote health in the municipality of Uberaba MG</t>
  </si>
  <si>
    <t>U1111-1215-8981</t>
  </si>
  <si>
    <t>Lislei Jorge Patrizzi Martins</t>
  </si>
  <si>
    <t>+55 034 3700-6655</t>
  </si>
  <si>
    <t>lispatrizzi@gmail.com</t>
  </si>
  <si>
    <t>Universidade Federal Do Triângulo Mineiro</t>
  </si>
  <si>
    <t>Therapeutic value of counseling in the treatment of headache over medication use</t>
  </si>
  <si>
    <t>U1111-1215-6413</t>
  </si>
  <si>
    <t>Drug-induced headache,not elsewhere classified</t>
  </si>
  <si>
    <t>Pedro Augusto Sampaio Rocha-Filho</t>
  </si>
  <si>
    <t>+55-081 3184-1313</t>
  </si>
  <si>
    <t>pedroasampaio@gmail.com</t>
  </si>
  <si>
    <t>Assistive Technology Device for conducting school activities in individuals with Down Syndrome: enhancement of the Augmentative and Alternative Communication</t>
  </si>
  <si>
    <t>U1111-1212-8917</t>
  </si>
  <si>
    <t>Downs Syndrome,Communication</t>
  </si>
  <si>
    <t>Comparative analgesia between acupuncture and dipyrone in acute tooth pain</t>
  </si>
  <si>
    <t>U1111-1199-5578</t>
  </si>
  <si>
    <t>Acute tooth pain</t>
  </si>
  <si>
    <t>Evaluation of the presence and absence of reservoirs in a home bleaching tray: randomized multicenter and blind clinical trial</t>
  </si>
  <si>
    <t>U1111-1212-6484</t>
  </si>
  <si>
    <t>Effects of inspiratory muscle training associated with the training of the wheelchair basketball tray foundation on the aerobic physical performance cardiopulmonary and metabolic variables of high-performance athletes</t>
  </si>
  <si>
    <t>U111112122532</t>
  </si>
  <si>
    <t>Cristiane Bonilha Antonelli</t>
  </si>
  <si>
    <t>cris_tecnica@hotmail.com</t>
  </si>
  <si>
    <t>Effects of robotic therapy on the gait kinematics of chronic hemiparetic individuals: a randomized clinical trial</t>
  </si>
  <si>
    <t>U1111-1211-4322</t>
  </si>
  <si>
    <t>Central nervous system disorders,Stroke,Paresis</t>
  </si>
  <si>
    <t>Marcela de Abreu Silva Couto</t>
  </si>
  <si>
    <t>marcela.deabreu5@gmail.com</t>
  </si>
  <si>
    <t>Efficacy of administration of Probiotics in institutionalized elderly</t>
  </si>
  <si>
    <t>U1111-1215-4188</t>
  </si>
  <si>
    <t>Dementia,unspecified</t>
  </si>
  <si>
    <t>A phase I/II single center open-label study to evaluate the safety tolerability pharmacodynamics and preliminary efficacy of intracisternal RGX-111 gene therapy in subjects with severe mucopolysaccharidosis type I</t>
  </si>
  <si>
    <t>U1111-1213-7298</t>
  </si>
  <si>
    <t>Mucopolysaccharidosis type I,Mucopolysaccharidosis I</t>
  </si>
  <si>
    <t>Roberto Giugliani</t>
  </si>
  <si>
    <t>+55 51 999945003</t>
  </si>
  <si>
    <t>rgiugliani@hcpa.edu.br</t>
  </si>
  <si>
    <t>Hospitais de Clínicas de Porto Alegre</t>
  </si>
  <si>
    <t>Metabolic Syndrome: prevalence and effect of Physical Exercise and Nutritional Supplementation in adults and the elderly</t>
  </si>
  <si>
    <t>U1111-1215-0739</t>
  </si>
  <si>
    <t>+55(62)35211256</t>
  </si>
  <si>
    <t>Influence of Early Mobilization in the Variability of Heart Rate in subjects after Angioplasty by Acute Myocardial Infarction</t>
  </si>
  <si>
    <t>U1111-1215-7893</t>
  </si>
  <si>
    <t>Acute Myocardial Infarction,unspecified</t>
  </si>
  <si>
    <t>Graziella Paula de Oliveira Neri</t>
  </si>
  <si>
    <t>(34)3700-6000</t>
  </si>
  <si>
    <t>graziellaneri@yahoo.com.br</t>
  </si>
  <si>
    <t>Universidade Federal do Triângulo Mineiro - UFTM</t>
  </si>
  <si>
    <t>Effect of Low Level Laser (LLL) in Functional Assessment (Single-Hop) of the knee</t>
  </si>
  <si>
    <t>06/21/2018</t>
  </si>
  <si>
    <t>U1111-1214-5706</t>
  </si>
  <si>
    <t>Healthy women,handball athletes,submitted to the protocol of muscular fatigue</t>
  </si>
  <si>
    <t>Filipe Abdalla Reis</t>
  </si>
  <si>
    <t>+55 067 992076011</t>
  </si>
  <si>
    <t>filipeabdalla@anhanguera.com</t>
  </si>
  <si>
    <t>Universidade Anhanguera - Uniderp</t>
  </si>
  <si>
    <t>Effects of Coenzyme Q10 suplementation in women with Metabolic Syndrome and hepatic steatosis: double-blind controlled randomized clinical trial</t>
  </si>
  <si>
    <t>U1111-1211-4215</t>
  </si>
  <si>
    <t>Alceu Afonso Jordão Júnior</t>
  </si>
  <si>
    <t>+55 (16) 3315-4000</t>
  </si>
  <si>
    <t>alceu@fmrp.usp.br</t>
  </si>
  <si>
    <t>Faculdade de Medicina de Ribeirão Preto/FMRP/USP</t>
  </si>
  <si>
    <t>Impact of exergame on cardiorespiratory function macro and microcirculation of overweight adolescents: a randomized intervention study</t>
  </si>
  <si>
    <t>U1111-1209-0463</t>
  </si>
  <si>
    <t>Danielle Franklin de Carvalho</t>
  </si>
  <si>
    <t>daniellefranklin6@gmail.com</t>
  </si>
  <si>
    <t>Evaluation of Dental Sensitivity and Efficacy of Dental Whitening in adolescent and adult patients: randomized clinical study</t>
  </si>
  <si>
    <t>U1111-1215-6804</t>
  </si>
  <si>
    <t>Associations among Bed Bath sleep characteristics and body temperature in the critically ill: A cross-sectional study with the Bispectral Index®</t>
  </si>
  <si>
    <t>06/20/2018</t>
  </si>
  <si>
    <t>U1111-1207-9448</t>
  </si>
  <si>
    <t>Rodrigo Jardim Riella</t>
  </si>
  <si>
    <t>55(41)33616200</t>
  </si>
  <si>
    <t>riella@lactec.org.br</t>
  </si>
  <si>
    <t>Instituto de Tecnologia para o Desenvolvimento - Lactec</t>
  </si>
  <si>
    <t>Randomized double blind clinical trial of Phytomedicine for prophylactic and curative purposes of Oral Mucositis (PHASE II and III)</t>
  </si>
  <si>
    <t>U1111-1193-2066</t>
  </si>
  <si>
    <t>Elismauro Francisco de Mendonça</t>
  </si>
  <si>
    <t>+55 (62) 3243 7237</t>
  </si>
  <si>
    <t>elismaur@ufg.br</t>
  </si>
  <si>
    <t>Hospital Araujo Jorge da Associação de Combate ao Câncer em Goiás</t>
  </si>
  <si>
    <t>Clinical evaluation of Class V restorations using a semi direct technique - a randomized controlled clinical trial</t>
  </si>
  <si>
    <t>U1111-1215-7427</t>
  </si>
  <si>
    <t>Dental abrasion</t>
  </si>
  <si>
    <t>Sao Jose dos Campos</t>
  </si>
  <si>
    <t>Instituto de Ciência e Tecnologia de São José dos Campos (ICT/SJC) - Universidade Estadual Paulista (UNESP)</t>
  </si>
  <si>
    <t>Effect of different low-cost physical exercise programs on the mood indicator cognitive function physical activity level cardiovascular risk and cost with treatment in patients with SUS depressive disorders</t>
  </si>
  <si>
    <t>U1111-1191-3264</t>
  </si>
  <si>
    <t>Evaluation of admira fusion vs admira fusion xtra resins in posterior teeth restorations: randomized double-blind clinical trial</t>
  </si>
  <si>
    <t>U1111-1213-4005</t>
  </si>
  <si>
    <t>Dental caries,dental leakage</t>
  </si>
  <si>
    <t>carlos.rgt@ict.unesp.br</t>
  </si>
  <si>
    <t>Omega-3 supplementation during pregnancy to prevent postpartum depressive symptoms and possible effect on breastfeeding child growth and development</t>
  </si>
  <si>
    <t>U1111-1215-7952</t>
  </si>
  <si>
    <t>Luana Caroline dos Santos</t>
  </si>
  <si>
    <t>+55 031 34098036</t>
  </si>
  <si>
    <t>luanacstos@gmail.com</t>
  </si>
  <si>
    <t>Effectiveness and sensitivity after bleaching gels carbamide peroxide based</t>
  </si>
  <si>
    <t>U1111-1215-7177</t>
  </si>
  <si>
    <t>Peroxides,Dental sensitivity</t>
  </si>
  <si>
    <t>Functional Electrical Stimulation during gait training in people post-Stroke</t>
  </si>
  <si>
    <t>U1111-1215-1006</t>
  </si>
  <si>
    <t>+55 11 99953-0716</t>
  </si>
  <si>
    <t>Evaluation of effects of Acupuncture in Pain in the emergency room</t>
  </si>
  <si>
    <t>U1111-1215-4884</t>
  </si>
  <si>
    <t>patients of Emergengy room with arthralgia,low back pain,neck pain,carpal joints syndrome or fibromyalgia</t>
  </si>
  <si>
    <t>Marcia  Koike</t>
  </si>
  <si>
    <t>+55(11)45739265</t>
  </si>
  <si>
    <t>mkkoike17@gmail.com</t>
  </si>
  <si>
    <t>Instituto de Assistencia Medica do Servidor Publico Estadual</t>
  </si>
  <si>
    <t>Phase II randomized clinical trial on the anti-inflammatory effect of Methotrexate associated to Hydroxyurea versus placebo and Hydroxyurea in pediatric patients and young adults with sickle cell disease and vaso-occlusive symptoms</t>
  </si>
  <si>
    <t>U1111-1215-6173</t>
  </si>
  <si>
    <t>Silvia Brandalise</t>
  </si>
  <si>
    <t>+55(019)37875000</t>
  </si>
  <si>
    <t>silvia@boldrini.org.br</t>
  </si>
  <si>
    <t>Centro Infantil Boldrini</t>
  </si>
  <si>
    <t>Analysis of motor performance between real and virtual environments in people with Autism Spectrum Disorders: crossover longitudinal study</t>
  </si>
  <si>
    <t>U1111-1211-5851</t>
  </si>
  <si>
    <t>Clinical trial about the efficacy safety and mechanisms of action of Microneedling and oral Tranexamic Acid in the treatment of facial Melasma</t>
  </si>
  <si>
    <t>06/16/2018</t>
  </si>
  <si>
    <t>U1111-1211-6468</t>
  </si>
  <si>
    <t>Facial melasma (chloasma),Skin disorders</t>
  </si>
  <si>
    <t>Edileia Bagatin</t>
  </si>
  <si>
    <t>edileia_bagatin@yahoo.com.br</t>
  </si>
  <si>
    <t>Escola Paulista de Medicina (EPM/UNIFESP)</t>
  </si>
  <si>
    <t>Effects of Time of Application of Massage on Recovery of Muscle Damage in the Extension Muscles of the Hip and Knee</t>
  </si>
  <si>
    <t>U1111-1209-5001</t>
  </si>
  <si>
    <t>3107 2500 / 2505</t>
  </si>
  <si>
    <t>Quality of Life of pregnant women diagnosed with Zika Virus</t>
  </si>
  <si>
    <t>U1111-1208-6018</t>
  </si>
  <si>
    <t>Myrella Silveira Macedo Cançado</t>
  </si>
  <si>
    <t>myrella82@hotmail.com</t>
  </si>
  <si>
    <t>Universidade Federal de Goiás - UFG</t>
  </si>
  <si>
    <t>Research on the quality of care among people living with HIV/AIDS in Manaus and its influence on timely treatment initiation and adherence to antiretroviral therapy</t>
  </si>
  <si>
    <t>06/15/2018</t>
  </si>
  <si>
    <t>U1111-1210-5510</t>
  </si>
  <si>
    <t>HIV/AIDS</t>
  </si>
  <si>
    <t>Carlued Leon</t>
  </si>
  <si>
    <t>Los Angeles,CA</t>
  </si>
  <si>
    <t>+1(213)5997442</t>
  </si>
  <si>
    <t>cleon@manausconsulting.com</t>
  </si>
  <si>
    <t>MANAUS,LLC</t>
  </si>
  <si>
    <t>Pregabaline as attenuator of Acute and Chronic Post-Operative Pain in mastectomies</t>
  </si>
  <si>
    <t>U1111-1213-0706</t>
  </si>
  <si>
    <t>Miriam Seligman Menezes</t>
  </si>
  <si>
    <t>+55 55 999717728</t>
  </si>
  <si>
    <t>miriamsmenezes@gmail.com</t>
  </si>
  <si>
    <t>Transcranial direct current stimulation and the potential therapeutic approach in different populations</t>
  </si>
  <si>
    <t>U1111-1190-3331</t>
  </si>
  <si>
    <t>Effect of cashew meal in the nutritional state of children with malnutrition</t>
  </si>
  <si>
    <t>U1111-1213-9219</t>
  </si>
  <si>
    <t>Protein deficiency</t>
  </si>
  <si>
    <t>Ana Cristina Pereira de Jesus Costa</t>
  </si>
  <si>
    <t>anacristina_itz@hotmail.com</t>
  </si>
  <si>
    <t>Universidade Federal do Maranhão - UFMA</t>
  </si>
  <si>
    <t>Correlation of muscle function of the pelvic floor with female sexual and urinary functions</t>
  </si>
  <si>
    <t>06/14/2018</t>
  </si>
  <si>
    <t>U1111-1215-1128</t>
  </si>
  <si>
    <t>Physiotherapy in dysfunction of the pelvic floor of women in primary health care</t>
  </si>
  <si>
    <t>U1111-1215-1103</t>
  </si>
  <si>
    <t>Pelvis diaphragm</t>
  </si>
  <si>
    <t>Effect of the use of educational technology for grandparents in the promotion of breastfeeding</t>
  </si>
  <si>
    <t>U111112115056</t>
  </si>
  <si>
    <t>Weaning,breastfeeding,</t>
  </si>
  <si>
    <t>Bárbara Brito Angelo</t>
  </si>
  <si>
    <t>55-081-987241910</t>
  </si>
  <si>
    <t>enfabarbarabrito@hotmail.com</t>
  </si>
  <si>
    <t>Nutritional Intervention in Duchenne Muscular Dystrophy</t>
  </si>
  <si>
    <t>U111-1213-6106</t>
  </si>
  <si>
    <t>Sancha H L Vale</t>
  </si>
  <si>
    <t>+55 84 3342-2291</t>
  </si>
  <si>
    <t>sanchahelena@hotmail.com</t>
  </si>
  <si>
    <t>Caries prevention with the use of resinous materials: a randomized clinical study</t>
  </si>
  <si>
    <t>U1111-1204-0854</t>
  </si>
  <si>
    <t>Karla Janilee de Souza Penha</t>
  </si>
  <si>
    <t>karlajanilee@gmail.com</t>
  </si>
  <si>
    <t>Perception analysis of sleep and its relationship with performance in athletes of wheelchair rugby during different phases of training</t>
  </si>
  <si>
    <t>U1111-1197-2327</t>
  </si>
  <si>
    <t>Cycle Ergometer and Conventional Therapy in patients after Cardiac Surgery</t>
  </si>
  <si>
    <t>U1111-1215-1702</t>
  </si>
  <si>
    <t>Gleide Glícia Gama Lordello</t>
  </si>
  <si>
    <t>gleidelordello@bahiana.edu.br</t>
  </si>
  <si>
    <t>Daily Oral Hygiene in Inpatients in Cardiology Unit: a randomized controlled trial</t>
  </si>
  <si>
    <t>U1111-1214-2862</t>
  </si>
  <si>
    <t>Ana Lúcia Schaefer Ferreira de Mello</t>
  </si>
  <si>
    <t>+55(48)37215144</t>
  </si>
  <si>
    <t>alfm2709@gmail.com</t>
  </si>
  <si>
    <t>Release of components of a resinous restorative system</t>
  </si>
  <si>
    <t>U1111-1212-4839</t>
  </si>
  <si>
    <t>periodontal disease ,Tooth Erosion,Tooth Attrition,Tooth Abrasion</t>
  </si>
  <si>
    <t>Monica Yamauti</t>
  </si>
  <si>
    <t>myamauti@gmail.com</t>
  </si>
  <si>
    <t>Evaluation of the strength and function of pelvic floor muscles in women with stress urinary incontinence in the standing and supine positions</t>
  </si>
  <si>
    <t>U1111-1212-2226</t>
  </si>
  <si>
    <t>Effects of inspiratory muscle training on pulmonary and respiratory muscle function autonomic heart function and functional capacity of individuals with Parkinsons disease: a controled clinical trial</t>
  </si>
  <si>
    <t>U1111-1208-9834</t>
  </si>
  <si>
    <t>Parkinsons disease,Pulmonary Function,Respiratory muscle function,Functional capacity</t>
  </si>
  <si>
    <t>Anna Carolyna Lepesteur Gianlorenço</t>
  </si>
  <si>
    <t>55-16-98203-9254</t>
  </si>
  <si>
    <t>agianlorenco@gmail.com</t>
  </si>
  <si>
    <t>Performance of a Bulk-Fill composite in class II cavities in primary molars - randomized clinical trial</t>
  </si>
  <si>
    <t>U1111-1210-3470</t>
  </si>
  <si>
    <t>Larissa DOlanda Gindri</t>
  </si>
  <si>
    <t>larigindri@gmail.com</t>
  </si>
  <si>
    <t>Older Women with Urinary Incontinence: evaluation and intervention through Physical Exercise and Physiotherapy</t>
  </si>
  <si>
    <t>U1111-1149-2398</t>
  </si>
  <si>
    <t>Janeisa Franck Virtuoso</t>
  </si>
  <si>
    <t>janeisa.virtuoso@ufsc.br</t>
  </si>
  <si>
    <t>Genotype-Phenotype Correlation in Patients with Familial Adenomatous Polyposis</t>
  </si>
  <si>
    <t>U1111-1208-8919</t>
  </si>
  <si>
    <t>Family Adenomatous Polyposis,Colorectal Neoplasms,Gene APC,Mutation,Phenotype,Genotype</t>
  </si>
  <si>
    <t>Junea Caris Oliveira</t>
  </si>
  <si>
    <t>55(17)33216600</t>
  </si>
  <si>
    <t>juneacaris@yahoo.com.br</t>
  </si>
  <si>
    <t>Homeopathy on primary care mental health</t>
  </si>
  <si>
    <t>U1111-1213-5881</t>
  </si>
  <si>
    <t>Impact of an educational intervention on the follow-up of postpartum women with Syphilis and their sexual partners</t>
  </si>
  <si>
    <t>U1111-1213-7561</t>
  </si>
  <si>
    <t>Janaína Valadares Guimarães</t>
  </si>
  <si>
    <t>valadaresjanana@gmail.com</t>
  </si>
  <si>
    <t>Effect of transcranial direct current stimulation (TDCS) combined with pelvic floor muscle training on the contraction force of the pelvic floor muscles in healthy women – Protocol for a randomized controlled double-blind clinical trial</t>
  </si>
  <si>
    <t>U1111-1208-4318</t>
  </si>
  <si>
    <t>Pelvic Floor,Transcranial Direct Current Stimulation</t>
  </si>
  <si>
    <t>Angela Cristina Ledur</t>
  </si>
  <si>
    <t>Prospective randomized controlled study of Burn Sequelae comparing late Retraction between three dermal matrices: Integra® Matriderm® and Pelnac®</t>
  </si>
  <si>
    <t>U1111-1215-0859</t>
  </si>
  <si>
    <t>Fernanda Bianco Corrêa</t>
  </si>
  <si>
    <t>nandarp2016@gmail.com</t>
  </si>
  <si>
    <t>The relationship of calcium and vitamin D intake with the placental inflammatory parameters and clinical state in newborn of women with Preeclampsia</t>
  </si>
  <si>
    <t>U1111-1204-0901</t>
  </si>
  <si>
    <t>Placenta diseases,preeclampsia</t>
  </si>
  <si>
    <t>55 013 32290100</t>
  </si>
  <si>
    <t>Clinical Trial: The Impact of Dance as Adjuvant Therapy on the Quality of Life of Oncologic Patients</t>
  </si>
  <si>
    <t>U1111-1212-9924</t>
  </si>
  <si>
    <t>Angela Adamski da Silva Reis</t>
  </si>
  <si>
    <t>angeladamski@gmail.com</t>
  </si>
  <si>
    <t>Effects of inspiratory muscle training and core training in professional athletes</t>
  </si>
  <si>
    <t>U1111-1214-0178</t>
  </si>
  <si>
    <t>Longitudinal Clinical Assessment of Class II Cavity Restorations Using Bulk-Fill Technique: A Randomized Clinical Study</t>
  </si>
  <si>
    <t>U1111-1214-6876</t>
  </si>
  <si>
    <t>Functional training and postural control in patients with plantar fasciitis</t>
  </si>
  <si>
    <t>U1111-1201-1233</t>
  </si>
  <si>
    <t>Bruna Reclusa Martinez</t>
  </si>
  <si>
    <t>+55 013 32290100</t>
  </si>
  <si>
    <t>projetofasciite@gmail.com</t>
  </si>
  <si>
    <t>Effects of Intraarticular Infiltration of Triamcinolone Hexacetonide in Rheumatoid Arthritis women´s knees on static functional and inflammatory activity measurements: a randomized controlled blinded clinical trial</t>
  </si>
  <si>
    <t>U1111-1191-2536</t>
  </si>
  <si>
    <t>Mariana de Almeida Lourenço</t>
  </si>
  <si>
    <t>+55 (14) 98119 6170</t>
  </si>
  <si>
    <t>Endovenous Treatment of saphenous Insufficiency - a comparative study between Radiofrequency and Endolaser 1470 nm</t>
  </si>
  <si>
    <t>U111112121650</t>
  </si>
  <si>
    <t>Venous Insufficiency,Saphenous Vein,Varicose Veins</t>
  </si>
  <si>
    <t>Márcio Gomes Filippo</t>
  </si>
  <si>
    <t>marciofilippo@ig.com.br</t>
  </si>
  <si>
    <t>Effectiveness of educational intervention in adherence to postoperative care in bariatric surgery</t>
  </si>
  <si>
    <t>U1111-1207-7749</t>
  </si>
  <si>
    <t>Lívia Moreira Barros</t>
  </si>
  <si>
    <t>livia.moreirab@hotmail.com</t>
  </si>
  <si>
    <t>The effect of Environmental Light on Sleep and Level of Urinary Melatonin in Postpartum Women</t>
  </si>
  <si>
    <t>U1111-1206-7769</t>
  </si>
  <si>
    <t>Cristina Furtado Volcov</t>
  </si>
  <si>
    <t>cristina.fvolcov@gmail.com</t>
  </si>
  <si>
    <t>Escola Paulista de Enfermagem da Universidade Federal de São Paulo</t>
  </si>
  <si>
    <t>Comparative analysis of Clinical and Molecular parameters in implant-supported Metal Ceramic and Hybrid Ceramic crowns</t>
  </si>
  <si>
    <t>U1111-1190-2877</t>
  </si>
  <si>
    <t>Camila Moreira Machado</t>
  </si>
  <si>
    <t>+55 14 991134185</t>
  </si>
  <si>
    <t>machado.camilam@gmail.com</t>
  </si>
  <si>
    <t>Postoperative Blood Glucose Control vs. Surgical Site Infection incidence among Liver Transplantation recipients: randomized clinical trial</t>
  </si>
  <si>
    <t>U1111-1210-2322</t>
  </si>
  <si>
    <t>Liver transplantation,,Glycemia,Surgical wound infection</t>
  </si>
  <si>
    <t>Jorge Marcelo Padilla Mancero</t>
  </si>
  <si>
    <t>jpadilla_doc@hotmail.com</t>
  </si>
  <si>
    <t>Santa Casa de São José dos Campos</t>
  </si>
  <si>
    <t>Effects of chronic physical exercise of moderate intensity on insulin signaling pathways inflammation and oxidative stress in individuals with morbid obesity</t>
  </si>
  <si>
    <t>U1111-1203-0024</t>
  </si>
  <si>
    <t>Sarah Monte Alegre</t>
  </si>
  <si>
    <t>salegre@fcm.unicamp.br</t>
  </si>
  <si>
    <t>Responsivity biomarkers of Cariorespiratory Fitness to aerobic training</t>
  </si>
  <si>
    <t>U1111-1213-8690</t>
  </si>
  <si>
    <t>Alex Castro</t>
  </si>
  <si>
    <t>ax.castro@yahoo.com.br</t>
  </si>
  <si>
    <t>Evaluation of the indicator of cervical dilatation as a didactic instrument</t>
  </si>
  <si>
    <t>U1111-1210-2389</t>
  </si>
  <si>
    <t>Natalucia Matos Araujo</t>
  </si>
  <si>
    <t>natalucia@usp.br</t>
  </si>
  <si>
    <t>PTSD: Prevalence and Assessment of an Intervention in Groups Exposed to Critical Incidents</t>
  </si>
  <si>
    <t>U1111-1214-5014</t>
  </si>
  <si>
    <t>Post-traumatic stress disorder,Acute stress reaction,Panic disorder,Depressive episodes</t>
  </si>
  <si>
    <t>Roberto Moraes Cruz</t>
  </si>
  <si>
    <t>robertocruzdr@gmail.com</t>
  </si>
  <si>
    <t>Programa de Pós-Graduação em Psicologia da Universidade Federal de Santa Catarina</t>
  </si>
  <si>
    <t>A randomized controlled trial evaluating the effect of acupuncture on type 2 diabetes using the FreeStyle libre® system</t>
  </si>
  <si>
    <t>U1111-1199-9630</t>
  </si>
  <si>
    <t>Sérgio Vencio</t>
  </si>
  <si>
    <t>aparecida de goiania</t>
  </si>
  <si>
    <t>55(62)32401910</t>
  </si>
  <si>
    <t>svencio@gmail.com</t>
  </si>
  <si>
    <t>Zinc oxide versus hydrogel ointment in the treatment of chronic ulcer in people with leprosy sequelae: a pilot randomized clinical trial</t>
  </si>
  <si>
    <t>U1111-1208-7938</t>
  </si>
  <si>
    <t>Regina Maldonado Pozenato Bernardo</t>
  </si>
  <si>
    <t>55 14 3103 5900</t>
  </si>
  <si>
    <t>regis.maldonado@hotmail.com</t>
  </si>
  <si>
    <t>Instituto Lauro de Souza Lima</t>
  </si>
  <si>
    <t>Influence of Gluten Intake on mechanical somatosensory mechanisms of women with Myofascial Pain of the Masticatory Musculature</t>
  </si>
  <si>
    <t>U1111-1211-4654</t>
  </si>
  <si>
    <t>Juliana Araújo Oliveira</t>
  </si>
  <si>
    <t>oliveira.juliana@live.com</t>
  </si>
  <si>
    <t>Association of a Phosphorus Counting Table with Sevelamer Hydrochloride for control of hyperphosphatemia in hemodialysis patients</t>
  </si>
  <si>
    <t>05/31/2018</t>
  </si>
  <si>
    <t>U1111-1212-3411</t>
  </si>
  <si>
    <t>José Abrão Cardeal da Costa</t>
  </si>
  <si>
    <t>jacdcost@fmrp.usp.br</t>
  </si>
  <si>
    <t>Effects of Instrumental Myofascial Release on cardiac autonomic modulation in young women practicing weight training</t>
  </si>
  <si>
    <t>U1111-1211-0997</t>
  </si>
  <si>
    <t>Ronaldo Cruvinel Henrique</t>
  </si>
  <si>
    <t>ronaldocruvinel1996@hotmail.com</t>
  </si>
  <si>
    <t>Centro Universitário de Formiga - Minas Gerais</t>
  </si>
  <si>
    <t>Efect of motor-cognitive training (double task) in the functionality of elderly</t>
  </si>
  <si>
    <t>U1111-1214-4686</t>
  </si>
  <si>
    <t>Comparation of Ultra-Fast-Track and Fast-Track techniques in the regional lung ventilation assessed by Electrical Impedance Tomography in patient undergoing prophylactic nasal positve airway pressure following Cardiac Surgery: a cross-sectional study</t>
  </si>
  <si>
    <t>05/30/2018</t>
  </si>
  <si>
    <t>U1111-1213-1024</t>
  </si>
  <si>
    <t>Noninvasive ventilation,extubation,thoracic surgery</t>
  </si>
  <si>
    <t>Wildberg Alencar Lima</t>
  </si>
  <si>
    <t>+55(081)999593737</t>
  </si>
  <si>
    <t>wildberg@globo.com</t>
  </si>
  <si>
    <t>Real Hospital Português de Beneficência em Pernambuco</t>
  </si>
  <si>
    <t>Postoperative Pain analysis with perioperative administration of Pregabalin in patients submitted to Knee Arthroscopy</t>
  </si>
  <si>
    <t>U1111-1207-5536</t>
  </si>
  <si>
    <t>Physical Activity and Sleep Hygiene: frequently neglected aspects in the treatment of Depression in the elderly</t>
  </si>
  <si>
    <t>U1111-1212-9391</t>
  </si>
  <si>
    <t>Recurrent Depressive Disorder,Insomnia,Lack of Exercise</t>
  </si>
  <si>
    <t>Almir Ribeiro Tavares</t>
  </si>
  <si>
    <t>+55(31)999412361</t>
  </si>
  <si>
    <t>almirtav.bh@gmail.com</t>
  </si>
  <si>
    <t>Evaluation of the performance efficacy and safety of aquatic physiotherapy in the rehabilitation of shoulder movements in women submitted to surgical treatment of breast cancer</t>
  </si>
  <si>
    <t>U1111-1207-3199</t>
  </si>
  <si>
    <t>Limitation of shoulder movements</t>
  </si>
  <si>
    <t>Ruffo de Freitas Junior</t>
  </si>
  <si>
    <t>ruffojr@terra.com.br</t>
  </si>
  <si>
    <t>Brazilian Mastology Research Network</t>
  </si>
  <si>
    <t>Effect of Educational Intervention to foot self-care of the elderly with Diabetes Mellitus</t>
  </si>
  <si>
    <t>05/29/2018</t>
  </si>
  <si>
    <t>U1111-1213-3788</t>
  </si>
  <si>
    <t>Ana Larissa Gomes Machado</t>
  </si>
  <si>
    <t>analarissa2001@yahoo.com.br</t>
  </si>
  <si>
    <t>Angled titanium base abutments for the reconstruction of anterior implants with screw-retained single crowns: A randomized controlled clinical trial</t>
  </si>
  <si>
    <t>U1111-1214-5755</t>
  </si>
  <si>
    <t>Use of denture adhesive in the period of adaptation with new complete dentures in patients with normal and resorbed ridges</t>
  </si>
  <si>
    <t>05/28/2018</t>
  </si>
  <si>
    <t>U1111-1214-0652</t>
  </si>
  <si>
    <t>Complete denture,jaw edentulous,saliva</t>
  </si>
  <si>
    <t>Evaluation of the remodeling of bone crest and marginal bone around implants with cervical microthreads. Clinical study in humans</t>
  </si>
  <si>
    <t>U1111-1212-8512</t>
  </si>
  <si>
    <t>Rafael Silveira Faeda</t>
  </si>
  <si>
    <t>+55 (16) 3301-7100</t>
  </si>
  <si>
    <t>rafaelfaeda@gmail.com</t>
  </si>
  <si>
    <t>Centro Universitário de Araraquara</t>
  </si>
  <si>
    <t>Impact assessment of Household Visits and Book Loans</t>
  </si>
  <si>
    <t>U1111-1213-6566</t>
  </si>
  <si>
    <t>Paulo Rocha e Oliveira</t>
  </si>
  <si>
    <t>+55(21) 3577-2270</t>
  </si>
  <si>
    <t>paulo@idados.org.br</t>
  </si>
  <si>
    <t>IDados Estudos Pesquisa e Informação</t>
  </si>
  <si>
    <t>Effects of repetitive Transcranial Magnetic Stimulation on chronic tinnitus</t>
  </si>
  <si>
    <t>U1111-1198-9313</t>
  </si>
  <si>
    <t>Patricia Ciminelli Linhares Pinto</t>
  </si>
  <si>
    <t>+55 21 99233-4888</t>
  </si>
  <si>
    <t>patriciaciminelli@gmail.com</t>
  </si>
  <si>
    <t>Instituto de Psiquiatria Universidade Federal do Rio de Janeiro</t>
  </si>
  <si>
    <t>Clinical simulation in teaching-learning process to undergraduate nursing in wound assessment: randomized study</t>
  </si>
  <si>
    <t>U1111-1214-2927</t>
  </si>
  <si>
    <t>Juliany Lino Gomes Silva</t>
  </si>
  <si>
    <t>julianylg@hotmail.com</t>
  </si>
  <si>
    <t>Physical Therapy in Sexual Dysfunctions from the Treatment of Cervical Cancer in a Public Hospital in Belém do Pará</t>
  </si>
  <si>
    <t>U1111-1213-0817</t>
  </si>
  <si>
    <t>Physiological sexual dysfunctions</t>
  </si>
  <si>
    <t>Acupoint electropolysis and aerobic activity in the reduction of localized adiposity in women</t>
  </si>
  <si>
    <t>U1111-1212-7854</t>
  </si>
  <si>
    <t>Ligia Sousa</t>
  </si>
  <si>
    <t>ligiaunifal@gmail.com</t>
  </si>
  <si>
    <t>Universidade Federal de Alfenas - UNIFAL</t>
  </si>
  <si>
    <t>Effects of Auricular Therapy in the treatment of women with symptoms of Premenstrual Syndrome</t>
  </si>
  <si>
    <t>U1111-1214-4420</t>
  </si>
  <si>
    <t>Premenstrual syndrome</t>
  </si>
  <si>
    <t>+55 041 991776161</t>
  </si>
  <si>
    <t>Combined At-home and In-Office Dental Bleaching: efficacy clinical parameters follow-up and enamel evaluation of calcium and phosphorus concentrations</t>
  </si>
  <si>
    <t>05/24/2018</t>
  </si>
  <si>
    <t>U1111-1189-2854</t>
  </si>
  <si>
    <t>Ana Victoria Dourado Pinto</t>
  </si>
  <si>
    <t>+5511 991672912</t>
  </si>
  <si>
    <t>anavictoria_dourado@hotmail.com</t>
  </si>
  <si>
    <t>Faculdade Centro de Pesquisa São Leopoldo Mandic</t>
  </si>
  <si>
    <t>Effects of Virtual Reality on brain activation and quality of life of individuals with Spinal Cord Injury</t>
  </si>
  <si>
    <t>U1111-1213-7397</t>
  </si>
  <si>
    <t>Nurses knowledge and practices in the face of the challenge of using the systematization of nursing care as an instrument of assistance in a first aid in Brazil</t>
  </si>
  <si>
    <t>U1111-1214-1333</t>
  </si>
  <si>
    <t>Influence of low level laser therapy on clinical and subjective aspects in dental implant placement: A randomized clinical trial</t>
  </si>
  <si>
    <t>05/23/2018</t>
  </si>
  <si>
    <t>U1111-1197-8501</t>
  </si>
  <si>
    <t>Comparative study of length and duration of Inferior Alveolar Nerve Block with Lidocaine 2% + Epinephrine 1: 100.000 applied by conventional technique or computerized system</t>
  </si>
  <si>
    <t>U1111-1210-7299</t>
  </si>
  <si>
    <t>Influence of the standard preoperative fasting and added with protein in patients with head and neck cancer</t>
  </si>
  <si>
    <t>U1111-1211-4228</t>
  </si>
  <si>
    <t>Leonardo Borges Murad</t>
  </si>
  <si>
    <t>+55 - 21 - 3207 1188</t>
  </si>
  <si>
    <t>leonardo.murad@inca.gov.br</t>
  </si>
  <si>
    <t>The effect of Phototherapy on the Dental sensitivity during and after tooth whitening with Hydrogen peroxide at 35%</t>
  </si>
  <si>
    <t>U1111-1211-5345</t>
  </si>
  <si>
    <t>Dayla Thyeme Higashi</t>
  </si>
  <si>
    <t>(44) 3011-9052</t>
  </si>
  <si>
    <t>dradayla@gmail.com</t>
  </si>
  <si>
    <t>Programa de Pós-Graduação em Odontologia Integrada da Universidade Estadual de Maringá</t>
  </si>
  <si>
    <t>Comparison of the results obtained in the urodynamic exam in the flow / pressure study phase with urethral resistance analysis (free flowmetry maximum detrusor pressure at maximum peak urinary flow and post void residue) with the classification of POP-Q (Pelvic Organism Prolapse Qualification) for the dystopias pelvicase with the quality of life questionnaire validated for the Portuguese language to standardize the diagnosis of infravesical obstruction in patients with Urinary Incontinence associated with Pelvic Dystopias</t>
  </si>
  <si>
    <t>U1111-1214-0568</t>
  </si>
  <si>
    <t>Female genital prolapse</t>
  </si>
  <si>
    <t>Effect of Energetic Regulation with Acupuncture in molar third-party exodontia surgery</t>
  </si>
  <si>
    <t>U1111-1211-6793</t>
  </si>
  <si>
    <t>Maria Lucia Bressiani Gil</t>
  </si>
  <si>
    <t>55+-19-992799784</t>
  </si>
  <si>
    <t>lubressiani@ig.com.br</t>
  </si>
  <si>
    <t>Faculdade de Odontologia da Universidade Estadual de Campinas</t>
  </si>
  <si>
    <t>The incidence of postoperative pain after using a reciprocating system and a continuous rotary system: A prospective randomized clinical trial</t>
  </si>
  <si>
    <t>05/22/2018</t>
  </si>
  <si>
    <t>U1111-1214-1865</t>
  </si>
  <si>
    <t>Diana Santana de Albuquerque</t>
  </si>
  <si>
    <t>felipefatah@hotmail.com</t>
  </si>
  <si>
    <t>Psychological and functional alterations in adolescents with Chronic Renal Disease dependent on hemodialysis in initial and advanced treatment</t>
  </si>
  <si>
    <t>U1111-1214-4168</t>
  </si>
  <si>
    <t>Thaís Thaler Souza</t>
  </si>
  <si>
    <t>thaisthaler@hotmail.com</t>
  </si>
  <si>
    <t>Comparison between two bone substitutes in post-extraction sites: non-inferiority clinical trial</t>
  </si>
  <si>
    <t>U1111-1212-4863</t>
  </si>
  <si>
    <t>Cycle Ergometer and Conventional Physiotherapy in patients submitted the Cardiac Surgery</t>
  </si>
  <si>
    <t>U1111-1212-3547</t>
  </si>
  <si>
    <t>Heart Failure,Unstable Angina,Coronary Disease</t>
  </si>
  <si>
    <t>Patrícia Alcântara Viana</t>
  </si>
  <si>
    <t>+55(71)999873512</t>
  </si>
  <si>
    <t>patriciadoval@terra.com.br</t>
  </si>
  <si>
    <t>Effect of nutraceuticals on Metabolic Syndrome</t>
  </si>
  <si>
    <t>U1111-1205-9628</t>
  </si>
  <si>
    <t>Leila Souza Leão</t>
  </si>
  <si>
    <t>leilaleao@gmail.com</t>
  </si>
  <si>
    <t>Three-dimensional gait analysis in patients with Parkinsons Disease before and after a training program in a real and virtual environment</t>
  </si>
  <si>
    <t>U1111-1158-1343</t>
  </si>
  <si>
    <t>Julia Maria D Andrea Greve</t>
  </si>
  <si>
    <t>jgreve@usp.br</t>
  </si>
  <si>
    <t>Instituto de Ortopedia e Traumatologia da Faculdade de Medicina da Universidade de São Paulo (FMUSP)</t>
  </si>
  <si>
    <t>Effects of postural adequacy on satisfaction quality of life and occupations of caregivers of children with cerebral palsy</t>
  </si>
  <si>
    <t>U1111-1211-9891</t>
  </si>
  <si>
    <t>Cerebral palsy</t>
  </si>
  <si>
    <t>Jacqueline Denubila Costa</t>
  </si>
  <si>
    <t>jack_denubila@hotmail.com</t>
  </si>
  <si>
    <t>Influence of B2 polymorphism on basal metabolism and pulmonary function in asthmatic and non-asthmatic obese subjects</t>
  </si>
  <si>
    <t>U1111-1211-5190</t>
  </si>
  <si>
    <t>Cláudia Regina Cavaglieri</t>
  </si>
  <si>
    <t>cavaglieri@fef.unicamp.br</t>
  </si>
  <si>
    <t>Randomized clinical trial of alternatives schedules against hepatitis b and serum epidemiological study of syphilis and caused infections human immunodeficiency virus and viral hepatitis in homeless person in Goias</t>
  </si>
  <si>
    <t>U1111-1196-3246</t>
  </si>
  <si>
    <t>Effects of supplementation with functional oils on behavioral metabolic and anthropometric parameters in obese women</t>
  </si>
  <si>
    <t>U1111-1213-9454</t>
  </si>
  <si>
    <t>Luciene Oliveira de Lira</t>
  </si>
  <si>
    <t>oliveira.de.lira.l@gmail.com</t>
  </si>
  <si>
    <t>Effect of the Polishing System on surface roughness of composite resin veneers: randomized clinical trial</t>
  </si>
  <si>
    <t>U1111-1209-7493</t>
  </si>
  <si>
    <t>Dental Fluorosis</t>
  </si>
  <si>
    <t>tacileo@uol.com.br</t>
  </si>
  <si>
    <t>Low-Power Laser Effects Applied to Resistant Pre-Training in Old Type 2 Diabetics</t>
  </si>
  <si>
    <t>U1111-1213-0748</t>
  </si>
  <si>
    <t>Ediléa Monteiro de Oliveira</t>
  </si>
  <si>
    <t>edileaoliveira@yahoo.com.br</t>
  </si>
  <si>
    <t>In vivo analysis of Violet Led associated or not with peroxides on the efficacy and safety of dental bleaching</t>
  </si>
  <si>
    <t>U1111-1212-9240</t>
  </si>
  <si>
    <t>Tooth discoloration,Dentin Sensitivity</t>
  </si>
  <si>
    <t>Matheus  Kury Rodrigues</t>
  </si>
  <si>
    <t>matheuskury@hotmail.com</t>
  </si>
  <si>
    <t>Composite resin repairs in anterior and posterior teeth: randomized-controled clinical trial</t>
  </si>
  <si>
    <t>U1111-1211-5750</t>
  </si>
  <si>
    <t>Dental caries,dental restoration</t>
  </si>
  <si>
    <t>Lawrence Gonzaga Lopes</t>
  </si>
  <si>
    <t>drlawrenceg@yahoo.com.br</t>
  </si>
  <si>
    <t>Registry of patients with Pulmonary Hypertension in Southern Brazil</t>
  </si>
  <si>
    <t>U1111-1205-9608</t>
  </si>
  <si>
    <t>Gisela Martina Bohns Meyer</t>
  </si>
  <si>
    <t>gimeyer@terra.com.br</t>
  </si>
  <si>
    <t>Irmanda da Santa Casa de Misericórdia de Porto Alegre</t>
  </si>
  <si>
    <t>Efficacy of a nasal protector model in prevention of local lesions for newborns utilizing continuous positive airway pressure with prongs</t>
  </si>
  <si>
    <t>U1111-1213-5965</t>
  </si>
  <si>
    <t>Ingrid Martins Leite Lúcio</t>
  </si>
  <si>
    <t>ingridmll@esenfar.ufal.br</t>
  </si>
  <si>
    <t>Low laser therapy in palliative care of temporomandibular dysfunction and orofacial and cervical cranial pain</t>
  </si>
  <si>
    <t>U1111-1211-4384</t>
  </si>
  <si>
    <t>Temporomandibular joint dysfunction syndrome,facial pain</t>
  </si>
  <si>
    <t>+55(11) 3091-7418</t>
  </si>
  <si>
    <t>Functional Impact in Patients with Acute Brain Injury undergoing an Early Mobilization Protocol</t>
  </si>
  <si>
    <t>U1111-1203-4770</t>
  </si>
  <si>
    <t>Gustavo  Christofoletti</t>
  </si>
  <si>
    <t>+55 (067) 3345 7837</t>
  </si>
  <si>
    <t>Transcranial direct current stimulation in individuals with Cerebellar Ataxia</t>
  </si>
  <si>
    <t>U1111-1213-9735</t>
  </si>
  <si>
    <t>Thiago Lima Barretto</t>
  </si>
  <si>
    <t>55 071 93826839</t>
  </si>
  <si>
    <t>thiagobarretto@hotmail.com</t>
  </si>
  <si>
    <t>Effects of High Intensity Interval Training on factors associated to physical and mental health and behavioral changes in younger adults with Obesity</t>
  </si>
  <si>
    <t>02/24/2018</t>
  </si>
  <si>
    <t>U1111-1197-5753</t>
  </si>
  <si>
    <t>Wagner Luiz do Prado</t>
  </si>
  <si>
    <t>+55 (13) 997944387</t>
  </si>
  <si>
    <t>wagner.prado@unifesp.br</t>
  </si>
  <si>
    <t>Universidade Federal de São Paulo Baixada Santista</t>
  </si>
  <si>
    <t>Evaluation of the Ipelvis Application on feminine urinary disfunctions</t>
  </si>
  <si>
    <t>U1111-1190-5770</t>
  </si>
  <si>
    <t>Claudia Mueller</t>
  </si>
  <si>
    <t>mueller.clauv@gmail.com</t>
  </si>
  <si>
    <t>Faculdade Inspirar</t>
  </si>
  <si>
    <t>Effect of an educational technology on the home stimulation of preterm infants: clinical non-randomized trial</t>
  </si>
  <si>
    <t>U1111-1207-9590</t>
  </si>
  <si>
    <t>Other preterm newborns,Preterm Newborn</t>
  </si>
  <si>
    <t>Effects of training cycle ergometer in patients after cardiac surgery</t>
  </si>
  <si>
    <t>U1111-1213-0315</t>
  </si>
  <si>
    <t>Iara Sayuri Shimizu</t>
  </si>
  <si>
    <t>Centro</t>
  </si>
  <si>
    <t>iarashimizu@gmail.com</t>
  </si>
  <si>
    <t>Universidade Estadual do Piauí</t>
  </si>
  <si>
    <t>Influence of Staining Solutions used during Dental Bleaching with high and low concentrations of Peroxides on color change and Enamel Surface Properties</t>
  </si>
  <si>
    <t>05/19/2018</t>
  </si>
  <si>
    <t>U1111-1189-3588</t>
  </si>
  <si>
    <t>Roberta Tarkany Basting</t>
  </si>
  <si>
    <t>55-19-3211-3774</t>
  </si>
  <si>
    <t>rbasting@yahoo.com</t>
  </si>
  <si>
    <t>Comparative study of temporomandibular disfunction therapies: randomized blind controled clinical trials</t>
  </si>
  <si>
    <t>U1111-1214-0526</t>
  </si>
  <si>
    <t>Temporomandibular joint disorders,Other depressive episodes,Sleep disorders,Other chronic pain,Facial Pain</t>
  </si>
  <si>
    <t>Kadidja Cláudia Maia e Machado</t>
  </si>
  <si>
    <t>kadidjamachado@hotmail.com</t>
  </si>
  <si>
    <t>Faculdade de Odontologia da Universidade Federal do Ceará</t>
  </si>
  <si>
    <t>Yellow Fever Vaccine immunity in patients using immunomodulatory therapies</t>
  </si>
  <si>
    <t>U1111-1210-3640</t>
  </si>
  <si>
    <t>Unspecified rheumatoid arthritis</t>
  </si>
  <si>
    <t>Clarissa de Castro Ferreira</t>
  </si>
  <si>
    <t>ferreira.clarissa@gmail.com</t>
  </si>
  <si>
    <t>Hospital Universitário de Brasilia</t>
  </si>
  <si>
    <t>Randomized clinical trial comparing the use of the High flow nasal cannula (HFNC) vs. Traditional nasal cannula after anesthetic induction for orotracheal intubation of preoperative patients with Traumatic orthopedic surgeries</t>
  </si>
  <si>
    <t>05/17/2018</t>
  </si>
  <si>
    <t>U1111-1209-8493</t>
  </si>
  <si>
    <t>Oxygen Inhalation Therapy,anesthetic induction,intubation,traumatic orthopedic surgeries</t>
  </si>
  <si>
    <t>Marcos Cesar Ramos Mello</t>
  </si>
  <si>
    <t>55 11 26319594</t>
  </si>
  <si>
    <t>marcos_mello@rocketmail.com</t>
  </si>
  <si>
    <t>Ideal time for Umbilical Cord Clamping for the newborn: a controlled randomized clinical trial</t>
  </si>
  <si>
    <t>U1111-1211-1593</t>
  </si>
  <si>
    <t>Jaundice Neonatal,Polycythemia</t>
  </si>
  <si>
    <t>Regina Célia Sales Santos Veríssimo</t>
  </si>
  <si>
    <t>Maceó</t>
  </si>
  <si>
    <t>+55(82)999081857</t>
  </si>
  <si>
    <t>salesregina@hotmail.com</t>
  </si>
  <si>
    <t>Efficacy of vestibular rehabilitation in the treatment and spacing of seizures in patients with Benign Paroxysmal Positional Vertigo</t>
  </si>
  <si>
    <t>U1111-1210-7982</t>
  </si>
  <si>
    <t>Daniele Leite Rodrigues</t>
  </si>
  <si>
    <t>Gama/Brasil</t>
  </si>
  <si>
    <t>daniele.leitejhs@gmail.com</t>
  </si>
  <si>
    <t>Effect of an educational intervention for the prevention of complications of Gestational Hypertensive Syndrome: a randomized clinical trial</t>
  </si>
  <si>
    <t>U1111-1211-7958</t>
  </si>
  <si>
    <t>Lia Maristela Silva Jacob</t>
  </si>
  <si>
    <t>lia.maristela@gmail.com</t>
  </si>
  <si>
    <t>Biomechanical analysis of hybrid titanium-based abutments in Morse taper implant connection</t>
  </si>
  <si>
    <t>U1111-1213-8100</t>
  </si>
  <si>
    <t>Jefferson Ricardo Pereira</t>
  </si>
  <si>
    <t>Tubarão</t>
  </si>
  <si>
    <t>jeffripe@rocketmail.com</t>
  </si>
  <si>
    <t>Acupuncture as a therapeutic resource for treatment of symptoms of Premenstrual Syndrome - a randomized controlled trial</t>
  </si>
  <si>
    <t>U1111-1213-2091</t>
  </si>
  <si>
    <t>Menstruation Disturbances,Women</t>
  </si>
  <si>
    <t>Fatima Fani Fitz</t>
  </si>
  <si>
    <t>Effect of an intervention with Maternal Care guidelines and Manual Therapy on Maternal Anxiety number of Regurgitations and time of Crying in young and healthy infants</t>
  </si>
  <si>
    <t>U1111-1212-8150</t>
  </si>
  <si>
    <t>Jéssica Brito Noronha</t>
  </si>
  <si>
    <t>jessicabritonoronha@gmail.com</t>
  </si>
  <si>
    <t>Comparison between copper IUD (intrauterine device) and levonogestrel-releasing system immediate postpartum - randomized clinical trial</t>
  </si>
  <si>
    <t>U1111-1210-5288</t>
  </si>
  <si>
    <t>Unplanned Pregnancy Prevention</t>
  </si>
  <si>
    <t>Cassia Raquel Juliato</t>
  </si>
  <si>
    <t>Effects of diamond peeling on hyperchromic spots and folliculitis in the female inguinal region</t>
  </si>
  <si>
    <t>U1111-1209-7215</t>
  </si>
  <si>
    <t>Hyperchromic spots,female inguinal region</t>
  </si>
  <si>
    <t>Fábio Cabral Pereira</t>
  </si>
  <si>
    <t>Carmo de Minas</t>
  </si>
  <si>
    <t>fabio_cabral_pereira@hotmail.com</t>
  </si>
  <si>
    <t>UNIVERSIDADE FEDERAL DE ALFENAS</t>
  </si>
  <si>
    <t>Effect of high intensity interval training verses moderate intensity continuos training in functional capacity and quality of life of patients with heart failure: randomized controlled trial</t>
  </si>
  <si>
    <t>U1111-1178-8760</t>
  </si>
  <si>
    <t>Raquel Rodrigues Britto</t>
  </si>
  <si>
    <t>+55(31)34094793</t>
  </si>
  <si>
    <t>rbrito@ufmg.br</t>
  </si>
  <si>
    <t>Effect Sertraline use on prevention of intradialytic hypotension</t>
  </si>
  <si>
    <t>U1111-1210-9807</t>
  </si>
  <si>
    <t>Daisson José Trevisol</t>
  </si>
  <si>
    <t>daissont@uol.com.br</t>
  </si>
  <si>
    <t>Physiotherapy in Urinary Incontinence resulting from the treatment of Cervical Cancer</t>
  </si>
  <si>
    <t>U1111-1213-2358</t>
  </si>
  <si>
    <t>Behavioral functional and mental factors and the Effects of Physical Exercise associated with Music in institutionalized older people with Dementia</t>
  </si>
  <si>
    <t>U1111-1209-5308</t>
  </si>
  <si>
    <t>Inspiratory Muscle Training in pediatric patients after kidney Transplantation</t>
  </si>
  <si>
    <t>U1111-1199-2633</t>
  </si>
  <si>
    <t>+55(054)993192439</t>
  </si>
  <si>
    <t>Appendicostomy for the Anterograde Enema in children with Refractory Constipation</t>
  </si>
  <si>
    <t>05/15/2018</t>
  </si>
  <si>
    <t>U1111-1213-2567</t>
  </si>
  <si>
    <t>Joaquim Murray Bustorff-Silva</t>
  </si>
  <si>
    <t>bustorff@hc.unicamp.br</t>
  </si>
  <si>
    <t>An exercise program for Postural Correction and Pain symptoms</t>
  </si>
  <si>
    <t>U1111-1212-6747</t>
  </si>
  <si>
    <t>Flávia Porto Porto</t>
  </si>
  <si>
    <t>+55 (21) 2334 0448</t>
  </si>
  <si>
    <t>flaviaporto30@gmail.com</t>
  </si>
  <si>
    <t>Brain connections analysis post Endarterectomy versus Stent carotid Angioplasty by functional Magnetic Resonance in rest state</t>
  </si>
  <si>
    <t>U1111-1212-7084</t>
  </si>
  <si>
    <t>Marcelo Ughini Crusius</t>
  </si>
  <si>
    <t>mucrusius@icloud.com</t>
  </si>
  <si>
    <t>Instituto de Neurologia e Neurocirurgia de Passo Fundo</t>
  </si>
  <si>
    <t>Randomized clinical trial: The effect of a physiotherapy protocol in Greater trochanteric pain syndrome in women</t>
  </si>
  <si>
    <t>U1111-1212-8266</t>
  </si>
  <si>
    <t>Characterization and application of a Phosphorus Counting Table for control of hyperphosphatemia in patients with Bone Mineral Disease</t>
  </si>
  <si>
    <t>U1111-1211-7329</t>
  </si>
  <si>
    <t>Global Screening of Genetic and Epigenetic factors sssociated with magnitude of response to different Physical Training in women 50-70 Years</t>
  </si>
  <si>
    <t>U1111-1211-1192</t>
  </si>
  <si>
    <t>Non-Invasive Ventilation associated with the Ergometric Bicycle in Cardiac Rehabilitation in the hospital phase: a randomized clinical study</t>
  </si>
  <si>
    <t>U1111-1207-1889</t>
  </si>
  <si>
    <t>Effects of Cognitive Motor Training in real and virtual environments on postural control of the elderly: a clinical trial</t>
  </si>
  <si>
    <t>U1111-1193-8726</t>
  </si>
  <si>
    <t>Eliana  Varise</t>
  </si>
  <si>
    <t>+55 (11) 50834951</t>
  </si>
  <si>
    <t>Brief psychotherapy internet deliveried for alcohol and drug dependents</t>
  </si>
  <si>
    <t>U1111-1178-2107</t>
  </si>
  <si>
    <t>Laisa Marcorela Andreoli Sartes</t>
  </si>
  <si>
    <t>+55(32)32367826</t>
  </si>
  <si>
    <t>laisa.sartes@gmail.com</t>
  </si>
  <si>
    <t>Positive psychology and gratitude interventions: An randomized controlled trial</t>
  </si>
  <si>
    <t>U1111-1210-2191</t>
  </si>
  <si>
    <t>Depression,happiness,affect,personal satisfaction,emotions,health promotion</t>
  </si>
  <si>
    <t>Caroline Reppold</t>
  </si>
  <si>
    <t>carolinereppold@yahoo.com.br</t>
  </si>
  <si>
    <t>Restorations in traumatized permanent anterior teeth: a clinical controlled and randomized study</t>
  </si>
  <si>
    <t>U1111-1194-7188</t>
  </si>
  <si>
    <t>Tooth injuries,Dental Restoration,Permanent</t>
  </si>
  <si>
    <t>Marcela Baraúna Magno</t>
  </si>
  <si>
    <t>marcela.magno@hotmail.com</t>
  </si>
  <si>
    <t>Efficacy of Sofosbuvir as treatment for Yellow Fever: randomized clinical trial (SOFFA trial)</t>
  </si>
  <si>
    <t>U1111-1210-2507</t>
  </si>
  <si>
    <t>Yellow fever</t>
  </si>
  <si>
    <t>Claudia Figueiredo Mello</t>
  </si>
  <si>
    <t>claudiamello@ymail.com</t>
  </si>
  <si>
    <t>Instituto de Infectologia Emílio Ribas</t>
  </si>
  <si>
    <t>Ozonated oil via topic in degenerative articular disease</t>
  </si>
  <si>
    <t>U1111-1210-5618</t>
  </si>
  <si>
    <t>Ana Paula Anzolin</t>
  </si>
  <si>
    <t>passo fundo</t>
  </si>
  <si>
    <t>anapaulasordianzolin@gmail.com</t>
  </si>
  <si>
    <t>Effect of Radiofrequency in the contract of the trapezius upper muscle in adults</t>
  </si>
  <si>
    <t>U1111-1211-6702</t>
  </si>
  <si>
    <t>Myofascial pain syndromes,trigger points,muscle tonus</t>
  </si>
  <si>
    <t>Jamile Mendonça dos Santos Lopes</t>
  </si>
  <si>
    <t>jamilemendonca@hotmail.com</t>
  </si>
  <si>
    <t>Effects of the Cycleergometer on the motor control ventilatory cognitive and functional capacity of patients victims of Acute Vascular Cerebral Accident</t>
  </si>
  <si>
    <t>U1111-1201-4767</t>
  </si>
  <si>
    <t>Luigi Antonio da Campo</t>
  </si>
  <si>
    <t>+55(051)3303-9000</t>
  </si>
  <si>
    <t>luigi.adacampo@gmail.com</t>
  </si>
  <si>
    <t>Evaluation of behavior and anxiety in endodontic and exodontia treatments in schoolchildren aged 6 to 9 years</t>
  </si>
  <si>
    <t>U1111-1213-1904</t>
  </si>
  <si>
    <t>prevention &amp; control</t>
  </si>
  <si>
    <t>Josiane Pezzini Soares</t>
  </si>
  <si>
    <t>josipezzinI@gmail.com</t>
  </si>
  <si>
    <t>Cardioprotective potential of Transcutaneous Electro-Stimulation in Acupuncture points in the preoperative Heart Surgery</t>
  </si>
  <si>
    <t>U1111-1213-9666</t>
  </si>
  <si>
    <t>Cardiovascular surgical procedures</t>
  </si>
  <si>
    <t>Nayara Carvalho Goretti</t>
  </si>
  <si>
    <t>nayara.30@hotmail.com</t>
  </si>
  <si>
    <t>Impact of the use of Cosmetic Camouflage on health-related quality of life in patients with Systemic Lupus Erythematosus and cutaneous manifestations</t>
  </si>
  <si>
    <t>U1111-1210-2554</t>
  </si>
  <si>
    <t>Disseminated [systemic] lupus erythematosus</t>
  </si>
  <si>
    <t>Fernando Afranio Palmeira Oliveira</t>
  </si>
  <si>
    <t>Sabará</t>
  </si>
  <si>
    <t>fafranio@hotmail.com</t>
  </si>
  <si>
    <t>Effect of Virtual Reality as new tool for Physiotherapy of older: clinical trial</t>
  </si>
  <si>
    <t>U1111-1190-8929</t>
  </si>
  <si>
    <t>Patricia Sena Pinheiro</t>
  </si>
  <si>
    <t>psenapinheiro@gmail.com</t>
  </si>
  <si>
    <t>Escola de Educação Física da Universidade Federal de Minas Gerais</t>
  </si>
  <si>
    <t>Behavioral technology for nurses to enroll and use the childs book</t>
  </si>
  <si>
    <t>U1111-1212-3312</t>
  </si>
  <si>
    <t>Motor activity ,child development</t>
  </si>
  <si>
    <t>Michelle Aryanne Feitosa e Souza</t>
  </si>
  <si>
    <t>Barro</t>
  </si>
  <si>
    <t>+55(88)997111837</t>
  </si>
  <si>
    <t>michelle.fisio1@hotmail.com</t>
  </si>
  <si>
    <t>Universidade Estadual do Ceara</t>
  </si>
  <si>
    <t>Effects of Cardiac Rehabilitation on Functional Capacity Endothelial Function Cardiac Variability and Quality of Life in Heart Transplant recipients</t>
  </si>
  <si>
    <t>U1111-1213-1528</t>
  </si>
  <si>
    <t>Heart Transplantation</t>
  </si>
  <si>
    <t>Juliana Andrade Ferreira de Souza</t>
  </si>
  <si>
    <t>juafsouza@yahoo.com.br</t>
  </si>
  <si>
    <t>Universidade Federal de Pernambuco-UFPE</t>
  </si>
  <si>
    <t>Oral health and chewing function in patients with Parkinsons Disease</t>
  </si>
  <si>
    <t>U1111-1213-8141</t>
  </si>
  <si>
    <t>Giselle Rodrigues Ribeiro</t>
  </si>
  <si>
    <t>São Gonçalo</t>
  </si>
  <si>
    <t>giselle.ribeiro1@gmail.com</t>
  </si>
  <si>
    <t>Effect of backward training on locomotor capacity of individuals with hemiparesis: a randomized clinical trial</t>
  </si>
  <si>
    <t>U1111-1147-4519</t>
  </si>
  <si>
    <t>Effects of whey protein associated with the neuromuscular electrical stimulation of the femoral quadríceps after reconstruction of the anterior cruciante ligament</t>
  </si>
  <si>
    <t>U1111-1189-6325</t>
  </si>
  <si>
    <t>Gabriela Otília Mendonça</t>
  </si>
  <si>
    <t>gabriela_mg7@hotmail.com</t>
  </si>
  <si>
    <t>Evaluation of the effectiveness of nutritional intervention in the treatment of female smokers</t>
  </si>
  <si>
    <t>U1111-1172-4890</t>
  </si>
  <si>
    <t>Cláudia Christina Sobrinho do Nascimento</t>
  </si>
  <si>
    <t>claudiachrisnutri@gmail.com</t>
  </si>
  <si>
    <t>Instituto de Medicina Social/ Uerj</t>
  </si>
  <si>
    <t>Association of Propolis to Antiretroviral Therapy for HIV-infected individuals: innovation in treatment and possible benefits in immunological inflammatory and oxidative stress parameters</t>
  </si>
  <si>
    <t>U1111-1210-9309</t>
  </si>
  <si>
    <t>people living with HIV/aids</t>
  </si>
  <si>
    <t>karenitasca@hotmail.com</t>
  </si>
  <si>
    <t>Instituto de Biociências de Botucatu - UNESP</t>
  </si>
  <si>
    <t>Hemodynamic and autonomic responses of exercise in cycle ergometer in individuals in phase I of cardiac rehabilitation</t>
  </si>
  <si>
    <t>U1111-1203-4691</t>
  </si>
  <si>
    <t>+55 (067) 33457837</t>
  </si>
  <si>
    <t>Universidade Federal de Mato Grosso do Sul - UFMS</t>
  </si>
  <si>
    <t>Contribution of Nutritional Intervention to reduce the risk of Cardiovascular Diseases and improve the quality of life of wheelchair basketball players</t>
  </si>
  <si>
    <t>U1111-1213-1047</t>
  </si>
  <si>
    <t>Kelen Estavanate Castro</t>
  </si>
  <si>
    <t>55-034-988617286</t>
  </si>
  <si>
    <t>kelen@unipam.edu.br</t>
  </si>
  <si>
    <t>Centro Universitário de Patos de Minas MG</t>
  </si>
  <si>
    <t>Efficacy of protective pulp materials in selective caries removal: a randomized clinical trial</t>
  </si>
  <si>
    <t>U1111-1212-2263</t>
  </si>
  <si>
    <t>NaCl 09% vs. Latates Ringer&gt; effects on postoperative results of Myocardical Revascularization Surgery with cardiopulmonary by pass</t>
  </si>
  <si>
    <t>U1111-1203-8165</t>
  </si>
  <si>
    <t>Jéssica Thais Fontoura de Oliveira</t>
  </si>
  <si>
    <t>j.thais_@hotmail.com</t>
  </si>
  <si>
    <t>Fundação Universitária de Cardiologia</t>
  </si>
  <si>
    <t>The effect of Breast Binding with Bandages and Application of Ice Pack versus Cabergoline for lactation inhibition</t>
  </si>
  <si>
    <t>U1111-12080762</t>
  </si>
  <si>
    <t>Flávio Xavier Silva</t>
  </si>
  <si>
    <t>flavio-xavier@live.com</t>
  </si>
  <si>
    <t>Effect of transcranial direct current stimulation (tDCS) on eating behavior in participants with excess of</t>
  </si>
  <si>
    <t>U1111-1210-8451</t>
  </si>
  <si>
    <t>Heverton Araújo de Oliveira Figueirêdo</t>
  </si>
  <si>
    <t>figueiredoheverton@gmail.com</t>
  </si>
  <si>
    <t>Faculdade de Ciências da Saúde do Trairi - FACISA</t>
  </si>
  <si>
    <t>The effect of the aerobic exercise associated to the constraint-induced movement therapy in chronic hemiparetic individuals: a randomized clinical trial</t>
  </si>
  <si>
    <t>U1111-1205-5594</t>
  </si>
  <si>
    <t>Chronic hemiparetic individuals post Stroke</t>
  </si>
  <si>
    <t>Thiago Luís Russo</t>
  </si>
  <si>
    <t>thiagoluisrusso@gmail.com</t>
  </si>
  <si>
    <t>Electromyographic evaluation of the diaphragm muscle in patients submitted to high abdominal surgeries with Chevron type incision in intensive care unit</t>
  </si>
  <si>
    <t>U1111-1204-5469</t>
  </si>
  <si>
    <t>Rayssa PistillIi Duarte</t>
  </si>
  <si>
    <t>rayssa.pistilli@gmail.com</t>
  </si>
  <si>
    <t>Hospital de Clínicas da Universidade Estadual de Campinas</t>
  </si>
  <si>
    <t>Efficacy of aerobic and resistance training associated with basic cognitive-behavioral therapy in smoking cessation: a randomized clinical trial</t>
  </si>
  <si>
    <t>U1111-1212-5280</t>
  </si>
  <si>
    <t>+55 18 32295821</t>
  </si>
  <si>
    <t>carolinapereirasantos@yahoo.com.br</t>
  </si>
  <si>
    <t>Addition of Peripheral Blood Flow Restriction to Passive Mobilization in muscle atrophy in ICU patients</t>
  </si>
  <si>
    <t>U1111-1211-1652</t>
  </si>
  <si>
    <t>Muscle Athophy in Elderly Intensive Care Unit patients</t>
  </si>
  <si>
    <t>+55(91)984273036</t>
  </si>
  <si>
    <t>Evaluation of Morus nigra L effects on climacteric women</t>
  </si>
  <si>
    <t>U1111-1211-0884</t>
  </si>
  <si>
    <t>Luciane Maria Oliveira Brito</t>
  </si>
  <si>
    <t>luciane2406@gmail.com</t>
  </si>
  <si>
    <t>Evaluation of the effects of supplementation of protein module in late prandial glycemia in adults with Diabetes Mellitus type 1</t>
  </si>
  <si>
    <t>U1111-1205-4782</t>
  </si>
  <si>
    <t>Effect of Auriculotherapy on the physical and psycho-emotional aspects of patients with myofascial temporomandibular disorder</t>
  </si>
  <si>
    <t>U1111-1147-7432</t>
  </si>
  <si>
    <t>Comparison of the effect of the use of Ibuprofen and the Photobiomodulation therapy on the postoperative pain in Endodontics: a controlled and randomized clinical study</t>
  </si>
  <si>
    <t>U1111-1210-5191</t>
  </si>
  <si>
    <t>Eduardo Da Costa Nunes</t>
  </si>
  <si>
    <t>educostanunes50@gmail.com</t>
  </si>
  <si>
    <t>universidade federal do amazonas</t>
  </si>
  <si>
    <t>An Influence of 2 joules of the Red Laser in the control of the Pain of puerperas with nipple Damage in breastfeeding: a double blind randomized controlled clinical trial</t>
  </si>
  <si>
    <t>U1111-1210-1028</t>
  </si>
  <si>
    <t>Women,postpartum,breastfeeding,nipple damage</t>
  </si>
  <si>
    <t>Kelly Pereira Coc</t>
  </si>
  <si>
    <t>+55 011 5576-4430 011 5576-4430</t>
  </si>
  <si>
    <t>kcoca@unifesp.br</t>
  </si>
  <si>
    <t>An Electronic Program to help people make the decision to quit smoking</t>
  </si>
  <si>
    <t>U1111-1209-3229</t>
  </si>
  <si>
    <t>Fernando Antônio Basile Colunati</t>
  </si>
  <si>
    <t>fernando.colugnati@ufjf.edu.br</t>
  </si>
  <si>
    <t>Computerization of the nursing process: a technology for the clinical care of the comfort of people with cardiovascular disease</t>
  </si>
  <si>
    <t>U1111-1210-8559</t>
  </si>
  <si>
    <t>Fabíola Vládia Freire da Silva Sousa</t>
  </si>
  <si>
    <t>Itapage</t>
  </si>
  <si>
    <t>fabiolafreire@yahoo.com.br</t>
  </si>
  <si>
    <t>Influence of the catechin incorporation in an universal adhesive system: a randomized clinical study</t>
  </si>
  <si>
    <t>U1111-1205-0726</t>
  </si>
  <si>
    <t>Nadine Luísa Guimarães Albuquerque</t>
  </si>
  <si>
    <t>+55 88 98817.2484</t>
  </si>
  <si>
    <t>nadine_guimaraes@hotmail.com</t>
  </si>
  <si>
    <t>Universidade Federal do Ceara</t>
  </si>
  <si>
    <t>Promoting Physical Activity in survivors Stroke via Self-management: a randomized control trial</t>
  </si>
  <si>
    <t>U1111-1209-7052</t>
  </si>
  <si>
    <t>Is there difference in heart and respiratory variables to prescribe respiratory exercise by repetition or time-controlled in respiratory disorders?</t>
  </si>
  <si>
    <t>U1111-1195-2706</t>
  </si>
  <si>
    <t>respiratory tract diseases,Pulmonary Disease,Chronic Obstructive,Lung Diseases,Interstitial</t>
  </si>
  <si>
    <t>Bruno Martinelli</t>
  </si>
  <si>
    <t>+55(14)21077042</t>
  </si>
  <si>
    <t>bnomartinelli@yahoo.com.br</t>
  </si>
  <si>
    <t>Randomized clinical evaluation and digital Monitoring of patients submitted to Home Dental Bleaching: Effect of wear-time of dental bleaching on the degrees of Collaboration and patient Catisfaction on the Effectiveness and occurrence of Sensitivity</t>
  </si>
  <si>
    <t>U1111-1198-0955</t>
  </si>
  <si>
    <t>Renato Herman Sundfeld</t>
  </si>
  <si>
    <t>sundfeld@foa.unesp.br</t>
  </si>
  <si>
    <t>Systematization proposal for the treatment of Bone Defects created after Curettage of Benign Bone Tumors</t>
  </si>
  <si>
    <t>U1111-1189-8220</t>
  </si>
  <si>
    <t>Benign bone neoplasms</t>
  </si>
  <si>
    <t>Edgard Eduard Engel</t>
  </si>
  <si>
    <t>+55 16 3602-2513</t>
  </si>
  <si>
    <t>engel@fmrp.usp.br</t>
  </si>
  <si>
    <t>Hospital das Clínicas da Faculdade de Medicina de Ribeirão</t>
  </si>
  <si>
    <t>Comparison of the effect of Cicloergometry and Conventional Physiotherapy in patients with Chronic Renal Disease in Dialytic Treatment</t>
  </si>
  <si>
    <t>U1111-1205-0936</t>
  </si>
  <si>
    <t>Chronic Renal Failure</t>
  </si>
  <si>
    <t>+55(35)3701-1805</t>
  </si>
  <si>
    <t>Universidade Federal de Alfenas UNIFAL-MG</t>
  </si>
  <si>
    <t>The chronic effect of stretching taken before or after exercise for hamstrings on musculoskeletal symptoms in a group of public school teachers of Matinhos-PR</t>
  </si>
  <si>
    <t>U1111-1127-5046</t>
  </si>
  <si>
    <t>Quality of life,muscle endurance</t>
  </si>
  <si>
    <t>+55 (41) 9681 0664</t>
  </si>
  <si>
    <t>Universidade Federal do Paraná - UFPR</t>
  </si>
  <si>
    <t>Effects of a respiratory muscle training protocol with POWERBreathe® in patients undergoing coronary artery bypass grafting with with extracorporeal circulation: randomized clinical trial</t>
  </si>
  <si>
    <t>U1111-1205-7062</t>
  </si>
  <si>
    <t>Mary Silvia da Cruz Neves</t>
  </si>
  <si>
    <t>mneves789@gmail.com</t>
  </si>
  <si>
    <t>Hospital e Maternidade Santa Lúcia - Hospital do Coração</t>
  </si>
  <si>
    <t>Effects of physical training program with virtual games and protein supplementation (WiiProtein) on musculoskeletal function and the risk of falls in pre-frail older people</t>
  </si>
  <si>
    <t>1111-1191-1201</t>
  </si>
  <si>
    <t>Safety and efficacy of TCD-10023 drug-eluting stent in management of patients with acute ST-elevation myocardial infarction. MASTER study T120E4</t>
  </si>
  <si>
    <t>03/17/2015</t>
  </si>
  <si>
    <t>U1111-1159-0600</t>
  </si>
  <si>
    <t>Eduardo Maruo</t>
  </si>
  <si>
    <t>eduardo.maruo@terumo.com.br</t>
  </si>
  <si>
    <t>Terumo</t>
  </si>
  <si>
    <t>Role of the Dental Surgeon in a Neonatology Service in a Public Maternity Hospital in Goiânia-GO</t>
  </si>
  <si>
    <t>U1111-1207-6888</t>
  </si>
  <si>
    <t>Waldemar Amaral</t>
  </si>
  <si>
    <t>waldemar@sbus.org.br</t>
  </si>
  <si>
    <t>Evaluation of the Nasal Cannula after Orthognathic Surgery: Nasal Airway Permeability and Patient Discomfort</t>
  </si>
  <si>
    <t>U1111-1201-4047</t>
  </si>
  <si>
    <t>Maycon Rafael Zanoni Jordão</t>
  </si>
  <si>
    <t>BAURU</t>
  </si>
  <si>
    <t>+55 14 998198968</t>
  </si>
  <si>
    <t>mayconjordao@usp.br</t>
  </si>
  <si>
    <t>Hospital de Reabilitação de Anomalias Craniofaciais</t>
  </si>
  <si>
    <t>Photobiomodulation on Pain Intensity of patients with Grade 4 of Knee Osteoarthritis</t>
  </si>
  <si>
    <t>U1111-1205-8489</t>
  </si>
  <si>
    <t>+55 013 991564685</t>
  </si>
  <si>
    <t>Evaluation of nutritional and clinical parameters predictive of Mortality in critically ill children: multicenter cohort study MaSCI-kids (malnutrition risk screening for critically ill kids)</t>
  </si>
  <si>
    <t>U1111-1210-3402</t>
  </si>
  <si>
    <t>Intensive care units,pediatric,nutritional status,malnutrition,hospital mortality</t>
  </si>
  <si>
    <t>Julia Carvalho Ventura</t>
  </si>
  <si>
    <t>julia.carvalhoventura@gmail.com</t>
  </si>
  <si>
    <t>Exercise Biomarkers and Functionality in Alzheimers Disease and in Frailty</t>
  </si>
  <si>
    <t>U1111-1202-5267</t>
  </si>
  <si>
    <t>Jair Sindra Virtuoso Junior</t>
  </si>
  <si>
    <t>jair.junior@uftm.edu.br</t>
  </si>
  <si>
    <t>Federal University of Triângulo Mineiro - UFTM</t>
  </si>
  <si>
    <t>Clinical Evaluation of Different Intracanal Medications on the Periapical Levels of Resolvins and Lipoxin - New Endodontic Perspectives</t>
  </si>
  <si>
    <t>U1111-1208-7174</t>
  </si>
  <si>
    <t>The impact of two Models of Aerobic Training on Cognitive Function Morphological and Systemic Immunomotabolic Changes of Young People with Obesity</t>
  </si>
  <si>
    <t>U1111-1197-7198</t>
  </si>
  <si>
    <t>fabiolira@fct.unesp.br</t>
  </si>
  <si>
    <t>Faculdade de Ciências e Tecnologia - UNESP / Campus de Presidente Prudente</t>
  </si>
  <si>
    <t>Evaluation of a Molecular Method for the rapid detection of pathogens in patients with Sepsis</t>
  </si>
  <si>
    <t>U1111-1207-5825</t>
  </si>
  <si>
    <t>Grazielle Viana Ramos</t>
  </si>
  <si>
    <t>+55(21)987673354</t>
  </si>
  <si>
    <t>grazielle_viana@hotmail.com</t>
  </si>
  <si>
    <t>Female pelvic floor muscle training in the urinary symptoms of Stress Urinary Incontinence and Mixed Urinary Incontinence</t>
  </si>
  <si>
    <t>U1111-1205-9058</t>
  </si>
  <si>
    <t>Anita Bellotto Leme Nagib</t>
  </si>
  <si>
    <t>anitanagib@hotmail.com</t>
  </si>
  <si>
    <t>Effects of oral supplementation with albumin in nutritional status of hemodialysis patients: randomized clinical trial</t>
  </si>
  <si>
    <t>U1111-1194-6192</t>
  </si>
  <si>
    <t>Chronic Renal Failure,dialysis</t>
  </si>
  <si>
    <t>Ana Tereza Vaz de Sousa Freitas</t>
  </si>
  <si>
    <t>5562 3209 6270</t>
  </si>
  <si>
    <t>nutrianna@hotmail.com</t>
  </si>
  <si>
    <t>The influence of Tai-Geiko on the physical and functional aspects of patients/peoples with multiple sclerosis</t>
  </si>
  <si>
    <t>U1111-1196-2811</t>
  </si>
  <si>
    <t>Viviane Regina Leite Moreno Ultramari</t>
  </si>
  <si>
    <t>+55 (65) 3615-8000</t>
  </si>
  <si>
    <t>vi_morenno@hotmail.com</t>
  </si>
  <si>
    <t>Effect of Martial Arts Training using Karate Strokes combined with Multidisciplinary Interventions in Overweight and Obese adolescents: A Randomized Controlled Trial</t>
  </si>
  <si>
    <t>04/28/2018</t>
  </si>
  <si>
    <t>U1111-1210-5642</t>
  </si>
  <si>
    <t>Fabricio de Souza</t>
  </si>
  <si>
    <t>TUBARÃO</t>
  </si>
  <si>
    <t>fabriciokarate@hotmail.com</t>
  </si>
  <si>
    <t>Intraoperative facial nerve monitoring during superficial parotidectomy for benign parotid neoplasms</t>
  </si>
  <si>
    <t>04/27/2018</t>
  </si>
  <si>
    <t>U1111-1206-7334</t>
  </si>
  <si>
    <t>Facial paralysis,parotid tumors,intraoperative monitoring</t>
  </si>
  <si>
    <t>Agnaldo Jose Graciano</t>
  </si>
  <si>
    <t>agnaldograciano@gmail.com</t>
  </si>
  <si>
    <t>Randomized Clinical Evaluation of Simplified Adhesive Systems in Non-Carious Cervical Lesions: Clinical Trial</t>
  </si>
  <si>
    <t>U1111-1211-0272</t>
  </si>
  <si>
    <t>Long-term effects of task-oriented intervention in the motor competence of children with DCD: randomized clinical trial</t>
  </si>
  <si>
    <t>04/24/2018</t>
  </si>
  <si>
    <t>U1111-1181-7994</t>
  </si>
  <si>
    <t>Motor Disorders</t>
  </si>
  <si>
    <t>Silvia Wanick Sarinho</t>
  </si>
  <si>
    <t>+55 81 21268514</t>
  </si>
  <si>
    <t>silviaws@gmail.com</t>
  </si>
  <si>
    <t>Evaluation and treatment of Painful Shoulder Syndrome after Stroke by exergame ShoulderForce</t>
  </si>
  <si>
    <t>U1111-1187-9416</t>
  </si>
  <si>
    <t>Stroke ,Shoulder pain</t>
  </si>
  <si>
    <t>Daiane Marques Ferreira</t>
  </si>
  <si>
    <t>+55(35)991396999</t>
  </si>
  <si>
    <t>daiane_987@hotmail.com</t>
  </si>
  <si>
    <t>Prevalence of overreaching and overtraining in gymnastics teachers of the city of João Pessoa</t>
  </si>
  <si>
    <t>U1111-1209-8044</t>
  </si>
  <si>
    <t>Physical Education. Training</t>
  </si>
  <si>
    <t>anderson igor silva de souza rocha</t>
  </si>
  <si>
    <t>(+55) 083986506057</t>
  </si>
  <si>
    <t>anderson-igor@hotmail.com</t>
  </si>
  <si>
    <t>Effect of the Healing meditation on weight loss on stress and on the eating behavior in overweight and obese women</t>
  </si>
  <si>
    <t>04/23/2018</t>
  </si>
  <si>
    <t>U1111-1192-1946</t>
  </si>
  <si>
    <t>Obesity,Overweight</t>
  </si>
  <si>
    <t>Cynthia Vieira Sanches Sampaio</t>
  </si>
  <si>
    <t>+55 (71) 33411553</t>
  </si>
  <si>
    <t>cysampaio@terra.com.br</t>
  </si>
  <si>
    <t>Escola Bahiana de Medicina e Saúde Pública - EBMSP</t>
  </si>
  <si>
    <t>The use of Swiss Ball and the duration of labour active face: a randomized study</t>
  </si>
  <si>
    <t>04/20/2018</t>
  </si>
  <si>
    <t>U1111-1182-3000</t>
  </si>
  <si>
    <t>Dannyelly Dayane Silva</t>
  </si>
  <si>
    <t>+55(82)99674-1094</t>
  </si>
  <si>
    <t>danyy_san@hotmail.com</t>
  </si>
  <si>
    <t>Efficacy of Phototherapy with Red and Amber LEDs for treatment of Facial Aging</t>
  </si>
  <si>
    <t>07/19/2017</t>
  </si>
  <si>
    <t>U1111-1198-4059</t>
  </si>
  <si>
    <t>Christiane Pavani</t>
  </si>
  <si>
    <t>+55(11)3385-9222</t>
  </si>
  <si>
    <t>Impact Evaluation of the Happy Child Program</t>
  </si>
  <si>
    <t>04/19/2018</t>
  </si>
  <si>
    <t>U1111-1205-5212</t>
  </si>
  <si>
    <t>Cesar G Victora</t>
  </si>
  <si>
    <t>cvictora@gmail.com</t>
  </si>
  <si>
    <t>Impacts of staged bilateral pallidotomy or campotomy on non-motor symptoms in Parkinsons disease</t>
  </si>
  <si>
    <t>04/18/2018</t>
  </si>
  <si>
    <t>U1111-1209-2325</t>
  </si>
  <si>
    <t>Maria Sheila Guimarães Rocha</t>
  </si>
  <si>
    <t>msrocha@uol.com.br</t>
  </si>
  <si>
    <t>Evaluation of Melatonin Analgesic Effects Used in the Perioperative Period of Bilateral Tubal Ligation: Randomized Clinical Trial</t>
  </si>
  <si>
    <t>U1111-1210-5630</t>
  </si>
  <si>
    <t>Analgesia. Tubal sterilization</t>
  </si>
  <si>
    <t>Analysis of extra-short and conventional implants in the posterior region of Maxilla. splint-mounth randomized clinical trial</t>
  </si>
  <si>
    <t>U1111-1210-4285</t>
  </si>
  <si>
    <t>Alveolar bone Loss</t>
  </si>
  <si>
    <t>Effects of Preoperative Fasting in gynecological patients</t>
  </si>
  <si>
    <t>U1111-1209-3171</t>
  </si>
  <si>
    <t>Carbohydrate metabolism,Insulin resistance</t>
  </si>
  <si>
    <t>Gisele Vissoci Marquini</t>
  </si>
  <si>
    <t>+55(11)55764728</t>
  </si>
  <si>
    <t>giselemarquini@gmail.com</t>
  </si>
  <si>
    <t>U1111-1209-8196</t>
  </si>
  <si>
    <t>eliane marques duarte de sousa</t>
  </si>
  <si>
    <t>+55 - 83 - 3216 7791</t>
  </si>
  <si>
    <t>Effect of Kinesiotherapy and Visceral Manipulation compared to Standard Treatment in the Control of Abdominal Distension in Women with Irritable Bowel Syndrome: A Randomized Controlled Trial</t>
  </si>
  <si>
    <t>U1111-1209-9185</t>
  </si>
  <si>
    <t>Paulo Sérgio de Castro Bastos Filho</t>
  </si>
  <si>
    <t>paulobastosfilho@gmail.com</t>
  </si>
  <si>
    <t>Evaluation of subjective dermatological clinical efficacy and safety with healthcare product appreciability_TCI</t>
  </si>
  <si>
    <t>04/17/2018</t>
  </si>
  <si>
    <t>U1111-1209-4121</t>
  </si>
  <si>
    <t>Prevention of Anxiety and Promotion of Social-Emotional Skills in preschool children</t>
  </si>
  <si>
    <t>U1111-1208-6292</t>
  </si>
  <si>
    <t>anxiety prevention</t>
  </si>
  <si>
    <t>Lina Maria Herrera Nunez Rivero</t>
  </si>
  <si>
    <t>(55) 11958259255</t>
  </si>
  <si>
    <t>linamh0118@gmail.com</t>
  </si>
  <si>
    <t>The effect of Atrial Acupuncture and Aquatic Therapy on systemic and peripheral changes in people with Type 2 Diabetes Mellitus</t>
  </si>
  <si>
    <t>U1111-1207-4919</t>
  </si>
  <si>
    <t>Diabetes mellitus,type 2</t>
  </si>
  <si>
    <t>Thaila Oliveira Zatiti Brasileiro</t>
  </si>
  <si>
    <t>thailazatiti@gmail.com</t>
  </si>
  <si>
    <t>Longevity of Zirconia singles crowns: randomized controlled trial</t>
  </si>
  <si>
    <t>U1111-1197-5881</t>
  </si>
  <si>
    <t>César Dalmolin Bergoli</t>
  </si>
  <si>
    <t>cesarbergoli@gmail.com</t>
  </si>
  <si>
    <t>Programa de Pós-Graduação em Odontologia - Universidade Federal de Pelotas,Pelotas,Brasil</t>
  </si>
  <si>
    <t>Study of Photodynamic Therapy(PDT) in the healing and repair of ulcerative lesions: literature review and clinical case study</t>
  </si>
  <si>
    <t>U1111-1201-4075</t>
  </si>
  <si>
    <t>Camila Santa Rosa Nunes</t>
  </si>
  <si>
    <t>camilasrnunes@gmail.com</t>
  </si>
  <si>
    <t>Fundação Universidade Federal do Amapá</t>
  </si>
  <si>
    <t>Can a full body vibration exercise program increase the strength of female pelvic floor muscles?</t>
  </si>
  <si>
    <t>01/13/2016</t>
  </si>
  <si>
    <t>U1111-1164-8852</t>
  </si>
  <si>
    <t>Universidade Federal de Alfenas (UNIFAL)</t>
  </si>
  <si>
    <t>Physiotherapy in Patients with Chronic Renal Failure: Effect of Resistance Exercise on Functional Capacity Quality of Life and Depression</t>
  </si>
  <si>
    <t>04/16/2018</t>
  </si>
  <si>
    <t>U111112098803</t>
  </si>
  <si>
    <t>Ana Luiza Exel</t>
  </si>
  <si>
    <t>55(82) 32141684</t>
  </si>
  <si>
    <t>analuizaexel10@gmail.com</t>
  </si>
  <si>
    <t>Intervention for preschool children with nighttime fears and avoidance behaviors of sleeping</t>
  </si>
  <si>
    <t>U1111-1191-3150</t>
  </si>
  <si>
    <t>Renatha El Rafihi-Ferreira</t>
  </si>
  <si>
    <t>+55(47)991810917</t>
  </si>
  <si>
    <t>renatha.rafihi@hc.fm.usp.br</t>
  </si>
  <si>
    <t>Instituto de Psicologia da Universidade de São Paulo</t>
  </si>
  <si>
    <t>Pain evaluation during arterial puncture: use of eutectic mixture of local anesthetic (lidocaine and prilocaine) oral glucose solution and acetaminophen (acetaminophen) in premature newborns</t>
  </si>
  <si>
    <t>U1111-1199-1511</t>
  </si>
  <si>
    <t>Alexandre Rodrigues Ferreira</t>
  </si>
  <si>
    <t>55-31-34099000</t>
  </si>
  <si>
    <t>feralex1403@gmail.com</t>
  </si>
  <si>
    <t>Hospital das clínicas da Universidade Federal de Minas Gerais</t>
  </si>
  <si>
    <t>Effects of Physical Training with Exergames on the Respiratory Function and on the Balance of Individuals with Parkinsons Disease</t>
  </si>
  <si>
    <t>U1111-1209-5083</t>
  </si>
  <si>
    <t>+55 79 3281-2939</t>
  </si>
  <si>
    <t>akelinefisioterapeuta@gmail.com</t>
  </si>
  <si>
    <t>Phototherapy and physical exercise program in patients with knee osteoarthritis: controlled randomized and triple blinded study</t>
  </si>
  <si>
    <t>U1111-1192-6239</t>
  </si>
  <si>
    <t>Knee gonarthrosis / Knee Osteoarthritis</t>
  </si>
  <si>
    <t>Influence of Antenatal Education of Maternal Breastfeeding in Adolescent: non-randomized clinical trial</t>
  </si>
  <si>
    <t>U1111-1206-9719</t>
  </si>
  <si>
    <t>Maira Pinho Pompeu</t>
  </si>
  <si>
    <t>mairapinho@gmail.com</t>
  </si>
  <si>
    <t>Faculdade de Medicina da Universidade Estadual de Campinas</t>
  </si>
  <si>
    <t>Clinical trial for the management of nipple trauma on breastfeeding</t>
  </si>
  <si>
    <t>10/25/2012</t>
  </si>
  <si>
    <t>U1111-1124-2428</t>
  </si>
  <si>
    <t>Nipple trauma in breastfeeding</t>
  </si>
  <si>
    <t>Flaviana Vieira</t>
  </si>
  <si>
    <t>Goianira</t>
  </si>
  <si>
    <t>+55(62)9945-1389</t>
  </si>
  <si>
    <t>Treatment of Oral Opening Limitation in patients with Temporomandibular Disorder using Laser Therapy: double-blind randomized clinical trial</t>
  </si>
  <si>
    <t>U1111-1196-4384</t>
  </si>
  <si>
    <t>Mariana Marquezan</t>
  </si>
  <si>
    <t>+55 (55) 99674 4678</t>
  </si>
  <si>
    <t>mariana.marquezan@ufsm.br</t>
  </si>
  <si>
    <t>Early mobilization of critically ill patients - randomized controlled trial</t>
  </si>
  <si>
    <t>U1111-1135-1293</t>
  </si>
  <si>
    <t>crictical care</t>
  </si>
  <si>
    <t>Rodrigo Cesar Maia Moreira</t>
  </si>
  <si>
    <t>+55(11)985147020</t>
  </si>
  <si>
    <t>rodfisiomaia@gmail.com</t>
  </si>
  <si>
    <t>Evaluation of Energy-enriched Formula consumption on Congenital Heart Disease postoperative</t>
  </si>
  <si>
    <t>U1111-1199-6518</t>
  </si>
  <si>
    <t>Congenital heart disease Infant</t>
  </si>
  <si>
    <t>Vanessa Adriana Scheeffer</t>
  </si>
  <si>
    <t>55-51-981147524</t>
  </si>
  <si>
    <t>vanessascheeffer@gmail.com</t>
  </si>
  <si>
    <t>Comparison of inflammatory markers in surgical patients under anesthesia with desflurane or desflurane associated with nitrous oxide</t>
  </si>
  <si>
    <t>11/17/2016</t>
  </si>
  <si>
    <t>U1111-1184-0627</t>
  </si>
  <si>
    <t>Nayara  Micarelli de Arruda</t>
  </si>
  <si>
    <t>+55 (14) 99778-9239</t>
  </si>
  <si>
    <t>nayara_micarelli@hotmail.com</t>
  </si>
  <si>
    <t>Effects of Hatha-Yoga intervention on caregivers of children and adolescents with Cancer</t>
  </si>
  <si>
    <t>U1111-1205-3977</t>
  </si>
  <si>
    <t>Marina Lima Daleprane Bernardi</t>
  </si>
  <si>
    <t>mamadaleprane@hotmail.com</t>
  </si>
  <si>
    <t>Restorative Adhesive Treatment in Permanent Teeth after Selective Removal of Caries Tissue - A Randomized Controlled Clinical Trial</t>
  </si>
  <si>
    <t>U1111-1180-8424</t>
  </si>
  <si>
    <t>Marisa Maltz</t>
  </si>
  <si>
    <t>+55(51)3308-5247</t>
  </si>
  <si>
    <t>marisa.maltz@gmail.com</t>
  </si>
  <si>
    <t>Effectiveness of unilateral resistance training in the postoperative rehabilitation of contralateral ACL</t>
  </si>
  <si>
    <t>U1111-1207-3123</t>
  </si>
  <si>
    <t>Effect of treatment level of severity and sex on pain physical function quality of life and march in individuals with knee of osteoartrite having the emotional aspects as variable control</t>
  </si>
  <si>
    <t>U1111-1207-1901</t>
  </si>
  <si>
    <t>osteoarthritis of the knee</t>
  </si>
  <si>
    <t>fabiana da silva soares</t>
  </si>
  <si>
    <t>uberlandia</t>
  </si>
  <si>
    <t>fabisilsoares@gmail.com</t>
  </si>
  <si>
    <t>Acute effect of inspiratory muscle training on hemodynamic variables in patients with heart failure with reduced ejection fraction</t>
  </si>
  <si>
    <t>U1111-1195-7373</t>
  </si>
  <si>
    <t>Luana de Decco Marchese Andrade</t>
  </si>
  <si>
    <t>Teresópolis</t>
  </si>
  <si>
    <t>+55 (21) 97132-1183</t>
  </si>
  <si>
    <t>luana_dmarchese@hotmail.com</t>
  </si>
  <si>
    <t>Universidade Federal Fluminense - UFF</t>
  </si>
  <si>
    <t>Effect of patients age on changes of tooth color and esthetic self-perception caused by combined dental bleaching</t>
  </si>
  <si>
    <t>U1111-1203-5406</t>
  </si>
  <si>
    <t>Posteruptive colour changes of dental hard tissues</t>
  </si>
  <si>
    <t>Implementation Intentions strategy as a nursing intervention to reduce salt intake among hypertensive patients in primary care practice: evaluation of the effectiveness in real practice</t>
  </si>
  <si>
    <t>U1111-1204-4280</t>
  </si>
  <si>
    <t>Feeding Behavior,Sodium Chloride,Dietary,Hypertension</t>
  </si>
  <si>
    <t>Everolimo in combination with Tacrolimus low doses versus Mycophenolate Sodium gastro-resistant coated tablets with low doses of Tacrolimus in Liver Transplant recipients de novo</t>
  </si>
  <si>
    <t>U1111-1205-8214</t>
  </si>
  <si>
    <t>Liver transplantation,everolimus,tacrolimus,mycophenolate sodium</t>
  </si>
  <si>
    <t>Ticiana Mota Esmeraldo</t>
  </si>
  <si>
    <t>ticiana_esmeraldo@yahoo.com.br</t>
  </si>
  <si>
    <t>Analysis of the Balance and Posture of the elderly before and after an intervention by the Pilates Method</t>
  </si>
  <si>
    <t>03/31/2018</t>
  </si>
  <si>
    <t>U1111-1208-7329</t>
  </si>
  <si>
    <t>Graziela Morgana Silva Tavares</t>
  </si>
  <si>
    <t>+55(55)39110200</t>
  </si>
  <si>
    <t>grazielatavares@unipampa.edu.br</t>
  </si>
  <si>
    <t>Clinical study of the Biofilm of Fixed Total Implanted Prostheses</t>
  </si>
  <si>
    <t>03/14/2018</t>
  </si>
  <si>
    <t>U1111-1205-9404</t>
  </si>
  <si>
    <t>Prosthetic tissue hyperplasia,dental biofilm infection,maintenance of fixed total implanted prostheses</t>
  </si>
  <si>
    <t>Iana Sá de Oliveira</t>
  </si>
  <si>
    <t>iana_sa@hotmail.com</t>
  </si>
  <si>
    <t>Acute effects of Electrical Stimulation on endothelium-dependent vasodilation and biochemical markers of healthy and cardiac</t>
  </si>
  <si>
    <t>U1111-1208-6530</t>
  </si>
  <si>
    <t>Gerson Cipriano Junior</t>
  </si>
  <si>
    <t>cipriano@unb.br</t>
  </si>
  <si>
    <t>Ileal interposition associated to a sleeve gastrectomy for the treatment of type 2 Diabetes Mellitus</t>
  </si>
  <si>
    <t>U1111-1202-5172</t>
  </si>
  <si>
    <t>Type 2 Diabetes Mellitus,Obesity</t>
  </si>
  <si>
    <t>Leonardo Rocha Ferraz</t>
  </si>
  <si>
    <t>+55 (21) 3977-9605</t>
  </si>
  <si>
    <t>lrferraz1@hotmail.com</t>
  </si>
  <si>
    <t>Hospital Federal de Bonsucesso</t>
  </si>
  <si>
    <t>Umbilical herniaplasty onlay versus sublay</t>
  </si>
  <si>
    <t>U1111-1205-0065</t>
  </si>
  <si>
    <t>umbilical hernia</t>
  </si>
  <si>
    <t>Lissandro Tarso</t>
  </si>
  <si>
    <t>lissandrotarso@hotmail.com</t>
  </si>
  <si>
    <t>Hospital Presidente Vargas</t>
  </si>
  <si>
    <t>Behavioral intervention for sleep problems in childhood</t>
  </si>
  <si>
    <t>03/27/2017</t>
  </si>
  <si>
    <t>u1111-1190-9423</t>
  </si>
  <si>
    <t>Behavioral Insomnia of Childhood</t>
  </si>
  <si>
    <t>Memory workshops with elderly women: repercussions on occupational performance and quality of life</t>
  </si>
  <si>
    <t>U1111-1190-6597</t>
  </si>
  <si>
    <t>Elderly,elderly elderly,womens</t>
  </si>
  <si>
    <t>Erika Carla Gomes</t>
  </si>
  <si>
    <t>olinda</t>
  </si>
  <si>
    <t>+55 81 34323092</t>
  </si>
  <si>
    <t>erikacarlagomes@yahoo.com.br</t>
  </si>
  <si>
    <t>The Analgesic Effect of Pregabalin and Magnesium Sulfate in the postoperative period of Mastectomy with Axillary Lymphadenectomy</t>
  </si>
  <si>
    <t>U1111-1208-0671</t>
  </si>
  <si>
    <t>Jose Nilson Fortaleza de Araujo</t>
  </si>
  <si>
    <t>nilsonfortaleza@gmail.com</t>
  </si>
  <si>
    <t>Instituto do Câncer do Ceará</t>
  </si>
  <si>
    <t>Evaluation of Oxidative Stress in Obese Children with Chia Seed Treatment (Salvia Hispanica) and its Implications for Vitamin E</t>
  </si>
  <si>
    <t>1111-1209-6609</t>
  </si>
  <si>
    <t>Camila Saran da Silva</t>
  </si>
  <si>
    <t>55(11)49935400</t>
  </si>
  <si>
    <t>mila1_saran@hotmail.com</t>
  </si>
  <si>
    <t>Faculdade de Medicina do ABC - FMABC</t>
  </si>
  <si>
    <t>Evaluation of applicability and clinical outcomes transcutaneous electrical nerve stimulation posterior treatment of children with constipation intractable intestinal</t>
  </si>
  <si>
    <t>03/13/2018</t>
  </si>
  <si>
    <t>U1111-1207-5487</t>
  </si>
  <si>
    <t>Rebeca Mayara Padilha Rego</t>
  </si>
  <si>
    <t>+55 (14) 3880 1703</t>
  </si>
  <si>
    <t>rebecamayarafisio@gmail.com</t>
  </si>
  <si>
    <t>Universidade Estadual Paulista Júlio de Mesquita Filho Faculdade de Medicina de Botucatu-FMB/UNESP</t>
  </si>
  <si>
    <t>Metabolic benefits of nutraceuticals in human health</t>
  </si>
  <si>
    <t>U1111-1208-7347</t>
  </si>
  <si>
    <t>Lia Silveira Adriano</t>
  </si>
  <si>
    <t>liasilveira0404@gmail.com</t>
  </si>
  <si>
    <t>Fundação Universidade Estadual do Ceará FUNECE</t>
  </si>
  <si>
    <t>Effect of telephone consultation associated with short messaging service (SMS) on self-care adherence and quality of life of patients with heart failure</t>
  </si>
  <si>
    <t>U1111-1210-5380</t>
  </si>
  <si>
    <t>Lyvia da Silva Figueiredo</t>
  </si>
  <si>
    <t>+55(21)2629-9464</t>
  </si>
  <si>
    <t>lyviafigueiredo@gmail.com</t>
  </si>
  <si>
    <t>HF in POCKET: Chronic Heart Failure Remote Monitoring Application</t>
  </si>
  <si>
    <t>U1111-1210-5819</t>
  </si>
  <si>
    <t>Multicenter study evaluating the efficacy and safety of Intralesional administration of Meglumine Antimoniate compared to Systemic treatment for Cutaneous Leishmaniasis</t>
  </si>
  <si>
    <t>u1111-1204-8461</t>
  </si>
  <si>
    <t>American tegumentary leishmaniasis</t>
  </si>
  <si>
    <t>Liliane Fátima Antonio Olivieira</t>
  </si>
  <si>
    <t>RIO DE JANEIRO</t>
  </si>
  <si>
    <t>55(21)38659609</t>
  </si>
  <si>
    <t>lilianedefatima@gmail.com</t>
  </si>
  <si>
    <t>Instituto Nacional de Infectologia Evandro Chagas (INI) -Fiocruz</t>
  </si>
  <si>
    <t>Effects of external use of Comfrey on Neuropathic Ulcers for Diabetes at the stomatherapy ambulatory of the hospital of education of the quaternary public network</t>
  </si>
  <si>
    <t>U1111-1207-4454</t>
  </si>
  <si>
    <t>Luis Rafael Leite Sampaio</t>
  </si>
  <si>
    <t>sampaiolrl@unifor.br</t>
  </si>
  <si>
    <t>Influence of Kinesiotherapy on variables of postural control and validation of an instrument for evaluation of isokinetic strength in the Elderly</t>
  </si>
  <si>
    <t>U1111-1199-8793</t>
  </si>
  <si>
    <t>Estele Caroline Welter Meereis</t>
  </si>
  <si>
    <t>55(21)995447817</t>
  </si>
  <si>
    <t>estelemeereis@gmail.com</t>
  </si>
  <si>
    <t>Universidade Federal do RIo de Janeiro</t>
  </si>
  <si>
    <t>The use of Cloth Impregnated with 2% Chlorhexidine of Preoperative: Prevention of Surgical Site Infection</t>
  </si>
  <si>
    <t>U1111-1207-5102</t>
  </si>
  <si>
    <t>Health Promotion</t>
  </si>
  <si>
    <t>Fernanda de Oliveira Andrade</t>
  </si>
  <si>
    <t>feroa1@hotmail.com</t>
  </si>
  <si>
    <t>Escola de Enfermagem da Universidade de São Paulo - EEUSP</t>
  </si>
  <si>
    <t>SUPERA: Permanent Removable and Self-Sustaining Urethral Probe for the Treatment of Incontinence and Urinary Retention</t>
  </si>
  <si>
    <t>U1111-1205-1018</t>
  </si>
  <si>
    <t>Female patients with neurogenic bladder</t>
  </si>
  <si>
    <t>Fernanda Camila Calisto</t>
  </si>
  <si>
    <t>Influence of antimicrobial photodynamic therapy on carious lesion. Clinical analysis of the restorations and microbiological analysis of dentin</t>
  </si>
  <si>
    <t>U1111-1208-8835</t>
  </si>
  <si>
    <t>Caries</t>
  </si>
  <si>
    <t>Luisa Valente Gotardo Lara Alves</t>
  </si>
  <si>
    <t>luisavalente_@hotmail.com</t>
  </si>
  <si>
    <t>Clinical Behavior of Composite Resin Restauarations of Oclusal Cavities in Posterior Teeth</t>
  </si>
  <si>
    <t>U1111-1207-1785</t>
  </si>
  <si>
    <t>Dental Caries. Inlays</t>
  </si>
  <si>
    <t>Brunno Mendonça Lucena de Veras</t>
  </si>
  <si>
    <t>55-81-998080019</t>
  </si>
  <si>
    <t>brunnomendonca@hotmail.com</t>
  </si>
  <si>
    <t>Evaluation of the maintenance of alveolar bone volume in humans after filling with bone composite of bovine origin clinical evaluation</t>
  </si>
  <si>
    <t>U1111-1203-2593</t>
  </si>
  <si>
    <t>Root caries,tooth fractures,alveolar bone loss</t>
  </si>
  <si>
    <t>Vail Natale Júnior</t>
  </si>
  <si>
    <t>+55 19 38692750</t>
  </si>
  <si>
    <t>vailnatalejr@gmail.com</t>
  </si>
  <si>
    <t>Centro de Pesquisas São Leopoldo Mandic</t>
  </si>
  <si>
    <t>Comparison of the efficacy and safety of diode surgical laser with electrocautery in the treatment of inflammatory fibrous hyperplasia</t>
  </si>
  <si>
    <t>U1111-1206-8351</t>
  </si>
  <si>
    <t>Ricardo Alves Mesquita</t>
  </si>
  <si>
    <t>ramesquita@ufmg.br</t>
  </si>
  <si>
    <t>The seminal profile of the Brazilian population</t>
  </si>
  <si>
    <t>U1111-1204-3090</t>
  </si>
  <si>
    <t>Aguinaldo  Cesar Nardi</t>
  </si>
  <si>
    <t>aguinaldonardi@gmail.com</t>
  </si>
  <si>
    <t>Fertility Medical Group</t>
  </si>
  <si>
    <t>Wheelchair basketball for people with disabilities in Mato Grosso: thermogenesis health sports accessibility and quality of life</t>
  </si>
  <si>
    <t>U1111-1204-1907</t>
  </si>
  <si>
    <t>Alberto Bicudo Salomão</t>
  </si>
  <si>
    <t>Cuiabá-MT</t>
  </si>
  <si>
    <t>+55 65 3615-7238</t>
  </si>
  <si>
    <t>albertobsalomao@gmail.com</t>
  </si>
  <si>
    <t>Hospital Universitário Julio Müller-HUJM</t>
  </si>
  <si>
    <t>Effects of Exercise Therapy on Pain Threshold in Chronic Pelvic Pain women</t>
  </si>
  <si>
    <t>U1111-1184-6634</t>
  </si>
  <si>
    <t>Omero Benedicto Poli-Neto</t>
  </si>
  <si>
    <t>55(16)98162-5350</t>
  </si>
  <si>
    <t>polineto@usp.br</t>
  </si>
  <si>
    <t>Faculdade de Medicina da Universidade de São Paulo campus de Ribeirão Preto</t>
  </si>
  <si>
    <t>Fibromyalgia: studies involving pathophysiological mechanisms associated with pain inflammation and muscle damage and the potential effect of acupuncture on these processes</t>
  </si>
  <si>
    <t>U1111-1204-5497</t>
  </si>
  <si>
    <t>Gustavo Urbanetto Baelz</t>
  </si>
  <si>
    <t>55 (55)33175475</t>
  </si>
  <si>
    <t>gustavoub@hotmail.com</t>
  </si>
  <si>
    <t>Evaluation of the training of physiotherapists in palliative care and how they develop their professional skills</t>
  </si>
  <si>
    <t>U111112086908</t>
  </si>
  <si>
    <t>Ana Carolina de Carvalho Gonçalves</t>
  </si>
  <si>
    <t>anacarolinacgoncalves@hotmail.com</t>
  </si>
  <si>
    <t>Universidade Estadual de Campinas (Unicamp) - Faculdade de Ciências Médicas (FCM)</t>
  </si>
  <si>
    <t>Titamax® and Helix® Implants in Protocol Procedures. A Clinical Controlled Randomized Double-Blind and Multicentric Trial</t>
  </si>
  <si>
    <t>U1111-1206-1577</t>
  </si>
  <si>
    <t>Older women with urinary incontinence: evaluation and intervention through physical exercise and physiotherapy</t>
  </si>
  <si>
    <t>U1111-1208-5576</t>
  </si>
  <si>
    <t>urinary incontinence,fecal incontinence,stress urinary incontinence,urge urinary incontinence,pelvic floor muscles,pelvic floor disorders,pelvic floor</t>
  </si>
  <si>
    <t>Enaiane Cristina Menezes</t>
  </si>
  <si>
    <t>+55 48 999729925</t>
  </si>
  <si>
    <t>enaianemenezes@gmail.com</t>
  </si>
  <si>
    <t>The effect of massage therapy on the recovery of runners after sports: a randomized clinical trial</t>
  </si>
  <si>
    <t>U1111-1203-0823</t>
  </si>
  <si>
    <t>Guilherme Nunes</t>
  </si>
  <si>
    <t>+55 48 3321-8606</t>
  </si>
  <si>
    <t>gui_nunes_1@yahoo.com.br</t>
  </si>
  <si>
    <t>Proposal of prenatal nutritional assistance in primary health care at Manguinhos</t>
  </si>
  <si>
    <t>U1111-1188-2585</t>
  </si>
  <si>
    <t>Women who have postpartum weight retention.Womens Health,Postpartum Period,Body Weight Maintenance</t>
  </si>
  <si>
    <t>Karina dos Santos</t>
  </si>
  <si>
    <t>55 (21) 992900482</t>
  </si>
  <si>
    <t>karsantos@gmail.com</t>
  </si>
  <si>
    <t>Effectiveness of a Supervised and Unsupervised Exercise Program for the Elderly: a Randomized Controlled Trial</t>
  </si>
  <si>
    <t>U1111-1198-1407</t>
  </si>
  <si>
    <t>Frail Elderly,Depression,Musculoskeletal Pain,Quality of Life,Activities of Daily Living</t>
  </si>
  <si>
    <t>Letícia  Carnaz</t>
  </si>
  <si>
    <t>55-14-998258771</t>
  </si>
  <si>
    <t>lecarnaz@gmail.com</t>
  </si>
  <si>
    <t>Asperisation of the dental cavity to maximize the adhesion of Composite Resin Restoration in patients with Non-Carious Cervical Lesions (LCNC) - using a Universal Adhesive System in the conventional and self-etching mode: Double Blind Randomized Clinical Trial</t>
  </si>
  <si>
    <t>U1111-1208-5006</t>
  </si>
  <si>
    <t>Tooth Discoloration. Sensitivity of Dentin. Dental cavity</t>
  </si>
  <si>
    <t>55(42)3220-3000</t>
  </si>
  <si>
    <t>Effect of Aquatic Exercise on the autonomic modulation of the heart rate of postmenopausal women with Diabetes</t>
  </si>
  <si>
    <t>U1111-1202-9469</t>
  </si>
  <si>
    <t>Eduardo Federighi Bais Chagas</t>
  </si>
  <si>
    <t>efbchagas@gmail.com</t>
  </si>
  <si>
    <t>Supplementation of whey protein in type 2 diabetic elderly subjects submitted to a resisted exercise program as strategy to preserve lean mass and blood glucose control: a randomized controlled clinical trial</t>
  </si>
  <si>
    <t>02/26/2018</t>
  </si>
  <si>
    <t>U1111-1202-4037</t>
  </si>
  <si>
    <t xml:space="preserve">Blood Glucose,Muscle,Skeletal,Non-insulin-dependent diabetes mellitus without complications </t>
  </si>
  <si>
    <t>Celine de Carvalho Furtado</t>
  </si>
  <si>
    <t>santos</t>
  </si>
  <si>
    <t>celine_carvalho@yahoo.com.br</t>
  </si>
  <si>
    <t>Comparative study between maintenance and resection of retropatellar fat pad in total knee arthroplasty,Clinical functional evaluation</t>
  </si>
  <si>
    <t>U1111-1207-1445</t>
  </si>
  <si>
    <t>Gonarthrosis,unspecified Pain in joint</t>
  </si>
  <si>
    <t>Time course of changes in passive properties of triceps surae muscle-tendon unit during 10 minute of passive static stretching</t>
  </si>
  <si>
    <t>U1111-1201-4749</t>
  </si>
  <si>
    <t>Claudia Silveira Lima</t>
  </si>
  <si>
    <t>+55 51 33085804</t>
  </si>
  <si>
    <t>claudia.lima@ufrgs.br</t>
  </si>
  <si>
    <t>UNIVERSIDADE FEDERAL DO RIO GRANDE DO SUL</t>
  </si>
  <si>
    <t>Effects of cupping therapy on myofascial trigger points in the upper trapezius muscle of patients with chronic neck pain</t>
  </si>
  <si>
    <t>U1111-1205-9645</t>
  </si>
  <si>
    <t>Chronic Neck Pain/ Physiotherapy Modalities</t>
  </si>
  <si>
    <t>Vânia Tie Koga Ferreira</t>
  </si>
  <si>
    <t>+55(96)981031239</t>
  </si>
  <si>
    <t>vaniatie@gmail.com</t>
  </si>
  <si>
    <t>Departamento de Ciências da Saúde e Biológicas da Universidade Federal do Amapá</t>
  </si>
  <si>
    <t>Unilateral hearing loss: effectiveness of the FM system</t>
  </si>
  <si>
    <t>U1111-1208-4403</t>
  </si>
  <si>
    <t>Unilateral Hearing Loss</t>
  </si>
  <si>
    <t>Impact of Low-Intensity Extracorporeal Shock Wave Therapy in the treatment of erectile dysfunction</t>
  </si>
  <si>
    <t>U1111-1189-0402</t>
  </si>
  <si>
    <t>Erectile Dysfunction,coronary artery disease</t>
  </si>
  <si>
    <t>The influence of Elongation Reichiano the signs and symptoms of Anxiety</t>
  </si>
  <si>
    <t>02/23/2018</t>
  </si>
  <si>
    <t>U1111-1207-7120</t>
  </si>
  <si>
    <t>Evaluation of the Efficacy of Sodium Hyaluronate Injection in the treatment of signs and symptoms of Temporomandibular Joint Dysfunctions</t>
  </si>
  <si>
    <t>U1111-1203-6915</t>
  </si>
  <si>
    <t>Temporomandibular joint disorder syndrome</t>
  </si>
  <si>
    <t>Luciano Ambrosio Ferreira</t>
  </si>
  <si>
    <t>+55(32)3224-5637</t>
  </si>
  <si>
    <t>l3a6f9@yahoo.com.br</t>
  </si>
  <si>
    <t>A randomized prospective study on the effects of chronic administration of Melatonin on clinical manifestations oxidative stress inflammation and sleep-wake rhythm in patients with Rheumatoid Arthritis</t>
  </si>
  <si>
    <t>U1111-1208-3665</t>
  </si>
  <si>
    <t>Rheumatoid arthritis,unspecified</t>
  </si>
  <si>
    <t>Fernando Henrique Azevedo Lopes</t>
  </si>
  <si>
    <t>prof.fernandovet@gmail.com</t>
  </si>
  <si>
    <t>Task-oriented Group Therapy and Home-based Exercise increase in the amount of practice in the subacute phase after Stroke - Randomized Clinical Trial</t>
  </si>
  <si>
    <t>U1111-1190-0359</t>
  </si>
  <si>
    <t>Comparative analysis between Hydrocholid and Silicone Gel in the prevention of Nasal injury in pre-term newborns submitted to non-invasive mechanical ventilation</t>
  </si>
  <si>
    <t>U1111-1207-5382</t>
  </si>
  <si>
    <t>Débora de Fátima Camillo Ribeiro</t>
  </si>
  <si>
    <t>Campo Largo</t>
  </si>
  <si>
    <t>deborafcamillo@gmail.com</t>
  </si>
  <si>
    <t>Debora de fátima camillo ribeiro</t>
  </si>
  <si>
    <t>Effects of photobiomodulation on pain</t>
  </si>
  <si>
    <t>02/21/2018</t>
  </si>
  <si>
    <t>U1111-1207-9120</t>
  </si>
  <si>
    <t>+55 (14) 2107-7199</t>
  </si>
  <si>
    <t>The influence of femoral quadriceps muscle fatigue on joint knee proprioception</t>
  </si>
  <si>
    <t>U1111-1208-6556</t>
  </si>
  <si>
    <t>Proprioception</t>
  </si>
  <si>
    <t>Felipe Marrese Bersotti</t>
  </si>
  <si>
    <t>+55 (11) 983518347</t>
  </si>
  <si>
    <t>felipemarresebersotti@hotmail.com</t>
  </si>
  <si>
    <t>Evaluation of the function of the masticatory muscles and physiologic sleep variables after therapies of electro-mechanical bioestimulation and use of intraoral device in patients with Down syndrome: electromyography polysomnography and salivary parameters</t>
  </si>
  <si>
    <t>U1111-1201-3155</t>
  </si>
  <si>
    <t>Luís Vicente Franco de Oliveira</t>
  </si>
  <si>
    <t>+55(11)9106-9296</t>
  </si>
  <si>
    <t>oliveira.lvf@uninove.br</t>
  </si>
  <si>
    <t>UNINOVE -Universidade Nove de Julho- São Paulo - SP</t>
  </si>
  <si>
    <t>Investigation of PEEP-ZEEP airway clearance maneuver and its early effects on hemodynamic and respiratory mechanics</t>
  </si>
  <si>
    <t>U1111-1198-7494</t>
  </si>
  <si>
    <t>Ventilator-associated pneumonia,artificial respiration,physical therapy modalities</t>
  </si>
  <si>
    <t>+55(34)991832000</t>
  </si>
  <si>
    <t>marciasvolpe@gmail.com</t>
  </si>
  <si>
    <t>Evaluation of the effects of chiropractic and transcutaneous electrical nerve stimulation (tension) on pain relief in patients with of mechanical origin neck pain</t>
  </si>
  <si>
    <t>U1111-1203-7448</t>
  </si>
  <si>
    <t>Gabriel Martins de Barros</t>
  </si>
  <si>
    <t>gabrielmarrosthe@hotmail.com</t>
  </si>
  <si>
    <t>Faculdade Santo Agostinho</t>
  </si>
  <si>
    <t>Evaluation of Hydrogen and Carbamide Peroxides Degradation using customized and prefilled trays and presence of Peroxides in saliva: randomized clinical trial</t>
  </si>
  <si>
    <t>U1111-1200-5715</t>
  </si>
  <si>
    <t>Discoloured teeth</t>
  </si>
  <si>
    <t>The Effect of the Isostretching Method on Flexibility and Pain relief in badminton players</t>
  </si>
  <si>
    <t>U11111196-0059</t>
  </si>
  <si>
    <t>Low back pain,Muscle Rigidity</t>
  </si>
  <si>
    <t>Mariana Lopes da Silva</t>
  </si>
  <si>
    <t>55 86 999709176</t>
  </si>
  <si>
    <t>marianalopes.ml82@gmail.com</t>
  </si>
  <si>
    <t>Double-blind Randomised Vehicle-controlled Phase III Efficacy and Safety Study with 24-month Open-label Follow-up of Oleogel-S10 in Patients with Inherited Epidermolysis Bullosa</t>
  </si>
  <si>
    <t>02/16/2018</t>
  </si>
  <si>
    <t>U1111-1202-8211</t>
  </si>
  <si>
    <t>Epidermolysis Bullosa</t>
  </si>
  <si>
    <t>Ana Elisa Bau</t>
  </si>
  <si>
    <t>55 51 3214-8998</t>
  </si>
  <si>
    <t>kiszewski@gmail.com</t>
  </si>
  <si>
    <t>Núcleo de Pesquisa Clínica do Hospital Pequeno Príncipe</t>
  </si>
  <si>
    <t>Comparison of two medium for semen cryopreservation regarding the effects of lipid supplementation and antioxidant action on sperm viability in men with altered seminal parameters: a randomized clinical trial</t>
  </si>
  <si>
    <t>02/14/2018</t>
  </si>
  <si>
    <t>U1111-1203-6006</t>
  </si>
  <si>
    <t>Aline Bomfim Silva</t>
  </si>
  <si>
    <t>+ 55 (16) 98120 7259</t>
  </si>
  <si>
    <t>alinebs@msn.com</t>
  </si>
  <si>
    <t>Effects of Green Banana and Inulin Resistant Starch Consumption on Clinical and Nutritional Status of Hemodialysis Patients</t>
  </si>
  <si>
    <t>U1111-1207-5016</t>
  </si>
  <si>
    <t>renal dialysis patients</t>
  </si>
  <si>
    <t>Fabíola Pansani Maniglia</t>
  </si>
  <si>
    <t>Electromyographic assessment of the trunk muscles in individuals with Non-especific Low Back Pain submitted to a Pilates protocol</t>
  </si>
  <si>
    <t>U1111-1206-4097</t>
  </si>
  <si>
    <t>Use of Intracanal Fiber Post effect in the fracture resistance of Teeth with Veneers: randomized clinical trial</t>
  </si>
  <si>
    <t>U1111-1204-9507</t>
  </si>
  <si>
    <t>Clinical Evaluation of Restorations in Composite Resin Packable and micro-hybrids performed 14 years ago</t>
  </si>
  <si>
    <t>U1111-1209-0746</t>
  </si>
  <si>
    <t>Luis Felipe Espíndola</t>
  </si>
  <si>
    <t>+55(81)997867662</t>
  </si>
  <si>
    <t>lipe_espindola@hotmail.com</t>
  </si>
  <si>
    <t>Faculdade de Odontologia da Universidade Federal de Pernambuco</t>
  </si>
  <si>
    <t>Length of the gastric tube in newborns: comparison between three methods of measurement</t>
  </si>
  <si>
    <t>U1111-1204-9603</t>
  </si>
  <si>
    <t>Infant,Newborn,Enteral nutrition</t>
  </si>
  <si>
    <t>Elenice Valentim Carmona</t>
  </si>
  <si>
    <t>+55(19)35218826</t>
  </si>
  <si>
    <t>elenicevalentim@uol.com.br</t>
  </si>
  <si>
    <t>Assessment of adherence to the guidelines for self-management of Obesity in patients in the waiting line for Bariatric Surgery in SUS: a randomized clinical trial</t>
  </si>
  <si>
    <t>U1111-1195-2877</t>
  </si>
  <si>
    <t>Obesity Morbid,Adult,Bariátric Surgery</t>
  </si>
  <si>
    <t>Maria Rita Marques de Oliveira</t>
  </si>
  <si>
    <t>mrmolive@ibb.unesp.br</t>
  </si>
  <si>
    <t>UNESP - Campus de Botucatu Instituto de Biociências</t>
  </si>
  <si>
    <t>The inclusion of non-drug therapy in the nursing process for the management of emesis and mucositis in patients with breast and lung Cancer submitted to chemotherapy</t>
  </si>
  <si>
    <t>U1111-1197-1264</t>
  </si>
  <si>
    <t>Cinthia Scolástico Cecílio</t>
  </si>
  <si>
    <t>eap@fmb.unesp.br</t>
  </si>
  <si>
    <t>Universidade Estadual de São Paulo</t>
  </si>
  <si>
    <t>Short-term sensorimotor adaptations after a single robotic therapy associated with the video game</t>
  </si>
  <si>
    <t>U1111-1202-4199</t>
  </si>
  <si>
    <t>Stroke,paresis,Chronic diseases</t>
  </si>
  <si>
    <t>A double-blind randomized clinical study with a single subcutaneous dose to compare the pharmacokinetics (PK) and pharmacodynamics (PD) of two Regular recombinant human insulins the test drug being the Regular Human Insulin produced by Bioton SA and the reference medicine Humulin® R produced by Eli Lilly Brasil Ltda using euglycemic and hyperinsulinemic clamp technique in type 1 diabetic research participants (PPES005/17)</t>
  </si>
  <si>
    <t>U1111-1208-3749</t>
  </si>
  <si>
    <t>Sérgio Cunha Vêncio</t>
  </si>
  <si>
    <t>Aparecida de Goiania</t>
  </si>
  <si>
    <t>+55 62 3240 1900</t>
  </si>
  <si>
    <t>sergio.vencio@icf.com.br</t>
  </si>
  <si>
    <t>Instituto de Ciências Farmacêuticas de Estudos e Pesquisas Ltda</t>
  </si>
  <si>
    <t>Baropodométrico study in Talipes Cavus Essentials after the passage of Symmetrical Biphasic Currents</t>
  </si>
  <si>
    <t>U1111-1207-0161</t>
  </si>
  <si>
    <t>Lourdes Fernández Seguín</t>
  </si>
  <si>
    <t>lfdez@us.es</t>
  </si>
  <si>
    <t>T-cell Brazil Project: prospective collection of data in patients with T-cell Lymphomas distributed in the five distinct macro regions in Brazil</t>
  </si>
  <si>
    <t>U1111-1198-4743</t>
  </si>
  <si>
    <t>Malignant neoplasms (malign tumors) called T-cell Lymphoma,peripherical,T zone Lymphoma</t>
  </si>
  <si>
    <t>Marcia T Delamain</t>
  </si>
  <si>
    <t>marciatd@unicamp.br</t>
  </si>
  <si>
    <t>Hemocentro-Unicamp (Centro de Hematologia e Hemoterapia da Universidade Estadual de Campinas)</t>
  </si>
  <si>
    <t>Positioning of electrodes influence on hyporalgesia induced by TENS</t>
  </si>
  <si>
    <t>U1111-1182-3599</t>
  </si>
  <si>
    <t>Unspecified pain</t>
  </si>
  <si>
    <t>Mayara Ellen de Jesus Agripino</t>
  </si>
  <si>
    <t>mayara_ellen@hotmail.com</t>
  </si>
  <si>
    <t>Effects of high-intensity sweeteners on glycemic response and their acute impact on food intake</t>
  </si>
  <si>
    <t>U1111-1208-3481</t>
  </si>
  <si>
    <t>Effect of epigallocatechin-3-gallate (EGCG) in the clinical performance of an universal adhesive system: a randomized clinical study</t>
  </si>
  <si>
    <t>U1111-1205-0802</t>
  </si>
  <si>
    <t>Cecilia Atem Gonçalves de Araújo Costa</t>
  </si>
  <si>
    <t>+55 85 988911887</t>
  </si>
  <si>
    <t>ceciliaatem@hotmail.com</t>
  </si>
  <si>
    <t>A randomized clinical trial evaluating of CA-125 and CD 23 soluble serum levels and nerve fibers in the endometrium of patients with pain associated with Endometriosis before and after 6 months of use of the Levonorgestrel-releasing Intrauterine System or the Etonogestrel Subdermal Implant</t>
  </si>
  <si>
    <t>U111112070899</t>
  </si>
  <si>
    <t>luis bahamondes</t>
  </si>
  <si>
    <t>5519 3289.2856</t>
  </si>
  <si>
    <t>Hypoalgesic effect frequency average in current alternating khz on health individuals</t>
  </si>
  <si>
    <t>U1111-1182-3443</t>
  </si>
  <si>
    <t>Efficacy of Regenerated Oxidized Cellulose versus Calcium Alginate in the control of Bleeding from Malignant Wounds due to Breast Cancer: a Randomized Clinical Trial</t>
  </si>
  <si>
    <t>U1111-1202-8006</t>
  </si>
  <si>
    <t>Flavia Firmino</t>
  </si>
  <si>
    <t>+55 21 3259-1754</t>
  </si>
  <si>
    <t>flaviafirmino@usp.br</t>
  </si>
  <si>
    <t>Perception of Dental Fluorosis and Resin Infiltration efficacy on its esthetic treatment</t>
  </si>
  <si>
    <t>U1111-1207-0325</t>
  </si>
  <si>
    <t>Marilia  Bizinoto Silva Duarte</t>
  </si>
  <si>
    <t>+55(61)92788871</t>
  </si>
  <si>
    <t>marilia.bizinoto@gmail.com</t>
  </si>
  <si>
    <t>Effects of a Treadmill program on quality of life and functional capacity of institutionalized elderly</t>
  </si>
  <si>
    <t>U1111-1193-2025</t>
  </si>
  <si>
    <t>Elderly,Health of Institutionalized Elderly,Elderly volunteers</t>
  </si>
  <si>
    <t>Marcos Eduardo Sheicher</t>
  </si>
  <si>
    <t>55(14)3402-1300</t>
  </si>
  <si>
    <t>mscheicher@marilia.unesp.br</t>
  </si>
  <si>
    <t>Efficacy of the strengthening of the postero lateral lateral musculature of the hip in individuals with osteoarthritis of knee</t>
  </si>
  <si>
    <t>U1111-1207-9088</t>
  </si>
  <si>
    <t>Efficiency of muscle training with electrophiographic biofeedback in elderly deguidation</t>
  </si>
  <si>
    <t>U1111-1205-6982</t>
  </si>
  <si>
    <t>Lucas Aragão Carvalho</t>
  </si>
  <si>
    <t>fono_lucas@hotmail.com</t>
  </si>
  <si>
    <t>Analysis of the Effects of Caffeine on cognitive abilities and anxiety</t>
  </si>
  <si>
    <t>U1111-1207-2504</t>
  </si>
  <si>
    <t>Isabel Cristina Céspedes</t>
  </si>
  <si>
    <t>isabel.cespedes@unifesp.br</t>
  </si>
  <si>
    <t>Departamento de Biociências da Universidade Federal de São Paulo - Baixada Santista</t>
  </si>
  <si>
    <t>Impact of phytosterol dietary supplementation on LDL cholesterol in dyslipidemic children and adolescents: double-blind cross-over trial</t>
  </si>
  <si>
    <t>U1111-1204-7813</t>
  </si>
  <si>
    <t>Ana Karolina Marques Moriel Tavares</t>
  </si>
  <si>
    <t>k.moriel2@gmail.com</t>
  </si>
  <si>
    <t>Effects of adjunctive Mononitrate a nitric oxide donor in outpatients with a Schizophrenia diagnosis</t>
  </si>
  <si>
    <t>U1111-1197-7000</t>
  </si>
  <si>
    <t>Tiago Moraes Guimaraes</t>
  </si>
  <si>
    <t>55-16-36021000</t>
  </si>
  <si>
    <t>ogaitm@yahoo.com.br</t>
  </si>
  <si>
    <t>Hospital das Clínicas da Faculdade de Medicina de Ribeirão Preto - USP</t>
  </si>
  <si>
    <t>Cardiovascular biofeedback in autonomic neuropathy in individuals with Diabetes Mellitus type 2</t>
  </si>
  <si>
    <t>U1111-1208-0862</t>
  </si>
  <si>
    <t>Sílvia Regina Arruda Moraes</t>
  </si>
  <si>
    <t>sramoraes@gmail.com</t>
  </si>
  <si>
    <t>Effect of Transcutaneous Electrical Nerve Stimulation on postoperative pain relief</t>
  </si>
  <si>
    <t>U1111-1207-7652</t>
  </si>
  <si>
    <t>Effects of proprioceptive training on the responses and sensorial and functional responses of elderly people with peripheral diabetic neuropathy</t>
  </si>
  <si>
    <t>U1111-1208-3285</t>
  </si>
  <si>
    <t>Claudineia Matos de Araújo</t>
  </si>
  <si>
    <t>+55 73 991623078</t>
  </si>
  <si>
    <t>neialis@yahoo.com.br</t>
  </si>
  <si>
    <t>Cross-over double-blind randomized single dose euglycemic hyperinsulinemic clamp study to compare the pharmacokinetics (PK) and pharmacodynamics (PD) of NPH recombinant human insulin produced by Biomm/Bioton and the reference product Humulin® N produced by Eli Lilly in type 1 diabetic patients (T1DM)</t>
  </si>
  <si>
    <t>U1111-1208-3570</t>
  </si>
  <si>
    <t>The influence of Pelvic Floor Muscle Training in Postural Control of elderly women</t>
  </si>
  <si>
    <t>U1111-1196-3270</t>
  </si>
  <si>
    <t>Elderly women,Pelvic Floor Disorders,Postural Balance</t>
  </si>
  <si>
    <t>Gianluca Loyolla Montanari Leme</t>
  </si>
  <si>
    <t>+55 (11) 014981523175</t>
  </si>
  <si>
    <t>gianlucaleme@hotmail.com</t>
  </si>
  <si>
    <t>UNESP,Universidade Estadual Paulista Júlio de Mesquita Filho,Câmpus de Marília - Faculdade de Filosofia e Ciências,FFC</t>
  </si>
  <si>
    <t>Effectiveness of nutritional intervention in Primary Health Care belonging to Health Promotion Project - BH + Healthy: Belo Horizonte Minas Gerais</t>
  </si>
  <si>
    <t>U1111-1206-5707</t>
  </si>
  <si>
    <t>Efficacy of Biodanza in levels of Depression Anxiety Stress Self-esteem and Life satisfaction in people with Depression in psychosocial care centers: randomized clinical trial</t>
  </si>
  <si>
    <t>U1111-1201-9385</t>
  </si>
  <si>
    <t>Depression,Depressive episodes,Moderate depressive episode,Severe depressive episode without psychotic symptoms</t>
  </si>
  <si>
    <t>Luís Filipe Dias Bezerra</t>
  </si>
  <si>
    <t>Paulo Afonso</t>
  </si>
  <si>
    <t>luisfiliped@yahoo.com.br</t>
  </si>
  <si>
    <t>Hope as Cognitive and Behavioral process: a new Clinical Strategy for the prevention of Mental Health in elderly</t>
  </si>
  <si>
    <t>U1111-1208-1198</t>
  </si>
  <si>
    <t>Combined Physical Exercise and Cardiometabolic Risk Factors in Adolescents</t>
  </si>
  <si>
    <t>U1111-1208-1730</t>
  </si>
  <si>
    <t>+55 (043) 3525-0498</t>
  </si>
  <si>
    <t>Universidade Estadual do Norte do Paraná</t>
  </si>
  <si>
    <t>The effectiveness of the Vestibular Rehabilitation Program in primary health care</t>
  </si>
  <si>
    <t>U1111-1207-3927</t>
  </si>
  <si>
    <t>Universidade Federal dos Vales do Jequtinhonha e Mucuri</t>
  </si>
  <si>
    <t>Impact of Reduced load Strength Training and Peripheral Vascular Occlusion on Body Composition Blood Lipids and Muscle Strength</t>
  </si>
  <si>
    <t>01/30/2018</t>
  </si>
  <si>
    <t>U1111-1197-2438</t>
  </si>
  <si>
    <t>Sarcopenia,Dyslipidemia,metabolic sindrome x</t>
  </si>
  <si>
    <t>Rubens Vinícius Letieri</t>
  </si>
  <si>
    <t>Tocantinópolis</t>
  </si>
  <si>
    <t>rubens.letieri@uft.edu.br</t>
  </si>
  <si>
    <t>Universidade Federal do Tocantins</t>
  </si>
  <si>
    <t>A Phase 3 Randomized Double-blind Placebo-controlled Multicenter Study of Bendamustine and Rituximab (BR) Alone Versus in Combination with Acalabrutinib (ACP-196) in Subjects with Previously Untreated Mantle Cell Lymphoma</t>
  </si>
  <si>
    <t>U1111-1195-3365</t>
  </si>
  <si>
    <t>Mantle Cell Lymphoma</t>
  </si>
  <si>
    <t>Marco Aurélio Salvino de Araujo</t>
  </si>
  <si>
    <t>55 71 32816965</t>
  </si>
  <si>
    <t>marcohemato@hotmail.com</t>
  </si>
  <si>
    <t>Hospital São Rafael</t>
  </si>
  <si>
    <t>Prevention of Post ERCP Pancreatitis (PEP): Guidewire versus Guidewire and Contrast</t>
  </si>
  <si>
    <t>U1111-1207-7823</t>
  </si>
  <si>
    <t>acute pancreatitis</t>
  </si>
  <si>
    <t>Association of cardiovascular and functional effects of different methods of resistance training with psychosocial aspects of men with high blood pressure</t>
  </si>
  <si>
    <t>U1111-1206-8777</t>
  </si>
  <si>
    <t>High blood pressure. Systolic blood pressure (120-139 mmHg),Diastolic blood pressure (80-89 mmHg),Blood Pressure Determination,Arterial Pressure,Blood Pressure Monitoring Ambulatory</t>
  </si>
  <si>
    <t>eduardo seiji numata filho</t>
  </si>
  <si>
    <t>dunumata07@gmail.com</t>
  </si>
  <si>
    <t>Universidade Federal do vale do São Francisco</t>
  </si>
  <si>
    <t>20 core transrectal prostate biopsy is the initial approach of choice in a selected group of patients with suspected prostate adenocarcinoma</t>
  </si>
  <si>
    <t>U1111-1206-2802</t>
  </si>
  <si>
    <t>Malignant neoplasm of prostate</t>
  </si>
  <si>
    <t>Raphael Sandes Solha</t>
  </si>
  <si>
    <t>r_solha@hotmail.com</t>
  </si>
  <si>
    <t>Topical versus systemic use of Tranexamic Acid in patients with Inherited Bleeding Disorders undergoing Dental Extractions: a multicenter study</t>
  </si>
  <si>
    <t>U1111-1206-4180</t>
  </si>
  <si>
    <t>Leandro Dorigan de Macedo</t>
  </si>
  <si>
    <t>Hospital das Clínicas da Faculdade de Medicina de Ribeirão Preto da Universidade de São Paulo (HCFMRPUSP)</t>
  </si>
  <si>
    <t>Effect of supplementation of the Standardized Ginkgo biloba Extract in overweight women</t>
  </si>
  <si>
    <t>U1111-1180-4294</t>
  </si>
  <si>
    <t>+55(82)32141160</t>
  </si>
  <si>
    <t>Effects of an exercise program on the control of cardiovascular risk factors in hypertensive patients</t>
  </si>
  <si>
    <t>U1111-1207-6533</t>
  </si>
  <si>
    <t>The evaluation of the effectiveness of Mometasone Furoate plus Isotonic Nasal Saline in Geriatric Patients with Rhinitis: a Randomized Clinical Trial</t>
  </si>
  <si>
    <t>U1111-1198-9363</t>
  </si>
  <si>
    <t>Chronic rhinitis</t>
  </si>
  <si>
    <t>José Laerte Junior Boechat Morandi</t>
  </si>
  <si>
    <t>jlboechat.alergo@gmail.com</t>
  </si>
  <si>
    <t>Factors associated with no control of hypertension and effectiveness of individual interventions and group for the promotion of disease control</t>
  </si>
  <si>
    <t>U1111-1169-8365</t>
  </si>
  <si>
    <t>Adriane Isabel Rohden</t>
  </si>
  <si>
    <t>+55 (51) 9857 5662</t>
  </si>
  <si>
    <t>adrianeisabel@gmail.com</t>
  </si>
  <si>
    <t>Effects of inclined treadmill on cardiovascular and functional parameters of individuals with Stroke: a randomized clinical trial</t>
  </si>
  <si>
    <t>U1111-1204-2495</t>
  </si>
  <si>
    <t>Evaluation of Eletro Neuromuscular Stimulation and Supplementation of Creatine in Renal hemodialysis Patients</t>
  </si>
  <si>
    <t>U1111-1200-0433</t>
  </si>
  <si>
    <t>dialysis renal,sarcopenia,inflammation,</t>
  </si>
  <si>
    <t>Ana Clara Barreto Marini</t>
  </si>
  <si>
    <t>+55(62)982175651</t>
  </si>
  <si>
    <t>ac.marini22@gmail.com</t>
  </si>
  <si>
    <t>Educational Interventions for the Promotion of Maternal Self-Efficacy for the Prevention of Childhood Diarrhea</t>
  </si>
  <si>
    <t>U1111-1202-8541</t>
  </si>
  <si>
    <t>Childhood diarrhea,Educational Technology Self Efficacy</t>
  </si>
  <si>
    <t>Francisca Mayra Sousa Melo</t>
  </si>
  <si>
    <t>+55 85 33321414</t>
  </si>
  <si>
    <t>mayra.melo@hotmail.com</t>
  </si>
  <si>
    <t>Universidade da Integração Internacional da Lusofonia Afro- Brasileira (UNILAB)</t>
  </si>
  <si>
    <t>Clinical trial on the use of glue surgical to repair episiotomies and perineal lacerations</t>
  </si>
  <si>
    <t>U1111-1184-2507</t>
  </si>
  <si>
    <t>Episiotomy,perineal lacerations,Episiotomy,Perineum</t>
  </si>
  <si>
    <t>Adriana de Souza Caroci</t>
  </si>
  <si>
    <t>+55(11)997573876</t>
  </si>
  <si>
    <t>acaroci@usp.br</t>
  </si>
  <si>
    <t>Escola de Artes Ciências e Humanidades da Universidade de São Paulo</t>
  </si>
  <si>
    <t>Neck rehabilitation in subjects with Temporomandibular Disorders. A randomized controlled clinical trial</t>
  </si>
  <si>
    <t>U1111-1180-0255</t>
  </si>
  <si>
    <t>lecalixtre@gmail.com</t>
  </si>
  <si>
    <t>Evatuation of the metabolomic profile of patients with recurrent glioblastoma in treatment with perillyl alcohol intranasal administration associated with the ketogenic diet and dha suplementation</t>
  </si>
  <si>
    <t>01/24/2018</t>
  </si>
  <si>
    <t>U1111-1206-3384</t>
  </si>
  <si>
    <t>Glioblastoma</t>
  </si>
  <si>
    <t>Wanise Maria de Souza Cruz</t>
  </si>
  <si>
    <t>+55 (21) 26299846</t>
  </si>
  <si>
    <t>wanisecruz@gmail.com</t>
  </si>
  <si>
    <t>Analysis of Neonatal Pain in Premature infants with Respiratory Distress Syndrome and its influence on physiological parameters and the Physiotherapeutic treatment hemodynamic in Intensive Care Unit</t>
  </si>
  <si>
    <t>U1111-1200-8908</t>
  </si>
  <si>
    <t>Preterm,Pain,Pulmonary disease</t>
  </si>
  <si>
    <t>André Gustavo Moura Guimarães</t>
  </si>
  <si>
    <t>55 91 40092274</t>
  </si>
  <si>
    <t>fisioandregustavo@gmail.com</t>
  </si>
  <si>
    <t>Fundação Santa Casa de Misericórdia do Pará</t>
  </si>
  <si>
    <t>Effectiveness of telereabilitation in the functional improvement adherence and oxidative profile of people who had Stroke compared to usual care physical therapy</t>
  </si>
  <si>
    <t>U1111-1205-2411</t>
  </si>
  <si>
    <t>Jose Carlos Tatmatsu-Rocha</t>
  </si>
  <si>
    <t>+55 086 33668632</t>
  </si>
  <si>
    <t>tatmatsu@gmail.com</t>
  </si>
  <si>
    <t>Comparison of the Effects of Eccentric Strength Training and Muscle Power on Neuromuscular Functional and Biochemical Variables in Elderly Individuals</t>
  </si>
  <si>
    <t>U1111-1207-2348</t>
  </si>
  <si>
    <t>Vânia Silva Macedo Orsano</t>
  </si>
  <si>
    <t>vania.orsano@hotmail.com</t>
  </si>
  <si>
    <t>Universidade Federal do Piauí - UFPI</t>
  </si>
  <si>
    <t>Effect of specific training on reaching behavior of socioenvironmental risk infants: randomized clinical trial</t>
  </si>
  <si>
    <t>01/22/2018</t>
  </si>
  <si>
    <t>U1111-1206-7431</t>
  </si>
  <si>
    <t>Socioenvironmental risk infants</t>
  </si>
  <si>
    <t>Ana  Luiza Righetto Greco</t>
  </si>
  <si>
    <t>+ 55 (16) 982088604</t>
  </si>
  <si>
    <t>analuiza.nenem@gmail.com</t>
  </si>
  <si>
    <t>Electromyographic analysis of the trunk muscles in subjects with non-specific low back pain submitted to a Pilates protocol</t>
  </si>
  <si>
    <t>U1111-1205-1002</t>
  </si>
  <si>
    <t>People with low back pain</t>
  </si>
  <si>
    <t>Morgana Cardoso Alves</t>
  </si>
  <si>
    <t>morgcardoso@gmail.com</t>
  </si>
  <si>
    <t>Effect of prebiotic and simbiotic supplementation on lipidic and glycemic profile inflammatory markers and symptoms of depression and anxiety in individuals with diabetes mellitus type 1 and 2: randomized clinical trial placebo-controlled and triple blind</t>
  </si>
  <si>
    <t>U1111-1199-7864</t>
  </si>
  <si>
    <t>Diabetes mellitus,Type 1 diabetes,type 2 diabetes,depression,anxiety,inflamation</t>
  </si>
  <si>
    <t>Erasmo Benício Santos de Moraes Trindade</t>
  </si>
  <si>
    <t>+55 (48) 37219784</t>
  </si>
  <si>
    <t>erasmotrindade@gmail.com</t>
  </si>
  <si>
    <t>Treatment of Single Miller Class I Gingival Recessions With a Xenogeneic Collagen Matrix: a Split-Mouth Randomized Clinical Trial</t>
  </si>
  <si>
    <t>U1111-1189-6940</t>
  </si>
  <si>
    <t>Gingival Retraction</t>
  </si>
  <si>
    <t>Renata Cimões Silveira</t>
  </si>
  <si>
    <t>(81) 2126-8817</t>
  </si>
  <si>
    <t>Programa de Pós-graduação em Odontologia da Universidade Federal de Pernambuco</t>
  </si>
  <si>
    <t>TENS effect in Primary Dysmenorrhea and its influence on central sensitization pre and post exercise: randomized clinical trial</t>
  </si>
  <si>
    <t>U1111-1206-1546</t>
  </si>
  <si>
    <t>Josimari Melo Santana</t>
  </si>
  <si>
    <t>+55(79)99946944</t>
  </si>
  <si>
    <t>Evaluation of craving reduction in smokers with withdrawal syndrome under the effect of lavender essential oil</t>
  </si>
  <si>
    <t>01/18/2018</t>
  </si>
  <si>
    <t>U1111-1191-7176</t>
  </si>
  <si>
    <t>Nelson Bruno de Almeida Cunha</t>
  </si>
  <si>
    <t>+55 (83) 3335 4126</t>
  </si>
  <si>
    <t>nelsonbrunoac@hotmail.com</t>
  </si>
  <si>
    <t>Efficacy of Aerobic Training in changing inflammatory mediators and neurotrophins and the impact on clinical outcomes in individuals with chronic vascular Stroke: a randomized trial</t>
  </si>
  <si>
    <t>U1111-1207-0819</t>
  </si>
  <si>
    <t>paula@icb.ufmg.br</t>
  </si>
  <si>
    <t>II Health Diagnosis of Maternal and Child Population of Alagoas State</t>
  </si>
  <si>
    <t>U1111-1206-4263</t>
  </si>
  <si>
    <t>Haroldo da Silva Ferreira</t>
  </si>
  <si>
    <t>55-82-988538243</t>
  </si>
  <si>
    <t>haroldo.ufal@gmail.com</t>
  </si>
  <si>
    <t>Evaluation of the safety and efficacy of Vancomycin use in septic patients admitted to the Clinical Hospital of the Botucatu Medical School - UNESP</t>
  </si>
  <si>
    <t>U1111-1200-3871</t>
  </si>
  <si>
    <t>Critical patients,sepsis,acute kidney injury,dialysis,vancomycin</t>
  </si>
  <si>
    <t>Investigation of the Effects of Neurostimulation Techniques in Schizophrenia and Their Impact on Executive Functioning</t>
  </si>
  <si>
    <t>U1111-1167-1683</t>
  </si>
  <si>
    <t>July Silveira Gomes</t>
  </si>
  <si>
    <t>+55 (11) 98571 8551</t>
  </si>
  <si>
    <t>july.flp@gmail.com</t>
  </si>
  <si>
    <t>Multisensory Stimulation in the treatment of the elderly with Dementia or Depression</t>
  </si>
  <si>
    <t>U1111-1207-3971</t>
  </si>
  <si>
    <t>Bento Miguel Machado</t>
  </si>
  <si>
    <t>bento-miguel@hotmail.com</t>
  </si>
  <si>
    <t>Effect of Aerobic Train in the Type 2 Diabetes Patients</t>
  </si>
  <si>
    <t>U1111-1206-0840</t>
  </si>
  <si>
    <t>Jean Flávio Alves</t>
  </si>
  <si>
    <t>+55 19 98195-5731</t>
  </si>
  <si>
    <t>jeanedfis@yahoo.com.br</t>
  </si>
  <si>
    <t>Effects of Inspiratory Muscle Training in patients with Chronic Heart Failure and Sleep Apneia</t>
  </si>
  <si>
    <t>U1111-1202-7850</t>
  </si>
  <si>
    <t>Nayara Yamada Tamburús</t>
  </si>
  <si>
    <t>+55 16 3306 6705</t>
  </si>
  <si>
    <t>nayaratamburus@hotmail.com</t>
  </si>
  <si>
    <t>Inspiratory Muscle training in patients with traumatic brain injury undergoing prolonged mechanical ventilation: Randomized controlled trial study</t>
  </si>
  <si>
    <t>01/17/2018</t>
  </si>
  <si>
    <t>U1111-1182-0194</t>
  </si>
  <si>
    <t>individuals with traumatic head injury with invasive mechanical ventilation at least 72 hours</t>
  </si>
  <si>
    <t>Effects of a program of therapeutic exercises associated or not to electrotherapy in patients with chronic neck pain: blinded randomized clinical trial</t>
  </si>
  <si>
    <t>U1111-1200-1029</t>
  </si>
  <si>
    <t>Almir Vieira Dibai Filho</t>
  </si>
  <si>
    <t>dibaifilho@gmail.com</t>
  </si>
  <si>
    <t>Influence of the Music Therapy Intervention on the Cardiac Autonomic Modulation in mothers in the Neonatal ICU: Randomizaed Study</t>
  </si>
  <si>
    <t>U1111-1205-4079</t>
  </si>
  <si>
    <t>Ana Cristina Silva Rebelo</t>
  </si>
  <si>
    <t>+55 (62) 981380503</t>
  </si>
  <si>
    <t>anacristina.silvarebelo@gmail.com</t>
  </si>
  <si>
    <t>Analysis of mental and physical fatigue and its relatonship with cytokines in cancer patients submitted to exergames practice. Randomized controlled follow-up and cross-over study</t>
  </si>
  <si>
    <t>U1111-1195-5165</t>
  </si>
  <si>
    <t>Leonardo César Carvalho</t>
  </si>
  <si>
    <t>Effect of Mouthwash with Nutritional Products containing Caffeine on the Immunometabolic Profile and Physical Performance</t>
  </si>
  <si>
    <t>U1111-1207-4753</t>
  </si>
  <si>
    <t>Randomized controlled trial between Minisling (Solyx) vs Transobturator Sling (Obtryx II) in women with Stress Urinary Incontinence (SUI)</t>
  </si>
  <si>
    <t>U1111-1204-3725</t>
  </si>
  <si>
    <t>Non-specified urinary incontinence</t>
  </si>
  <si>
    <t>Luiz Gustavo Oliveira Brito</t>
  </si>
  <si>
    <t>Campínas</t>
  </si>
  <si>
    <t>lgobrito@gmail.com</t>
  </si>
  <si>
    <t>Hospital da Mulher José Aristodemo Pinotti</t>
  </si>
  <si>
    <t>Evaluation and rehabilitation using a Serious Game in hemiparetic patients for Stroke</t>
  </si>
  <si>
    <t>U1111-1188-4648</t>
  </si>
  <si>
    <t>Stroke,Paresis,Muscle Weakness</t>
  </si>
  <si>
    <t>Fernando Luís Fischer Eichinger</t>
  </si>
  <si>
    <t>fernando_lfe@hotmail.com</t>
  </si>
  <si>
    <t>Effects of PEEP-ZEEP Maneuver on pulmonary secretion clearance and respiratory mechanics</t>
  </si>
  <si>
    <t>U1111-1203-5357</t>
  </si>
  <si>
    <t>Ventilator-associated pneumonia. Prolonged mechanical ventilation. Mechanical ventilation weaning failure</t>
  </si>
  <si>
    <t>Matrix support in mental Health in primary care: strategy for resolving and satisfying the team</t>
  </si>
  <si>
    <t>U1111-1191-7774</t>
  </si>
  <si>
    <t>Maria Clara Schnaidman Suarez</t>
  </si>
  <si>
    <t>dra.clara@gmail.com</t>
  </si>
  <si>
    <t>Pontificia Universidade Católica de São Paulo</t>
  </si>
  <si>
    <t>Epsilon Aminocaproic Acid(EACA) and Tranexamic Acid(TXA) in Total Knee Arthroplasty</t>
  </si>
  <si>
    <t>U1111-1207-0408</t>
  </si>
  <si>
    <t>Knee Arthrosis</t>
  </si>
  <si>
    <t>The influence of Maternal anemia mediated Periodontitis on Low birth weight</t>
  </si>
  <si>
    <t>U1111-1205-6011</t>
  </si>
  <si>
    <t>Anemia,periapical abscess,women</t>
  </si>
  <si>
    <t>Ana Claudia Morais Godoy Figueiredo</t>
  </si>
  <si>
    <t>Santo Antônio de Jesus</t>
  </si>
  <si>
    <t>nesufrb@outlook.com</t>
  </si>
  <si>
    <t>Núcleo de Epidemiologia e Saúde</t>
  </si>
  <si>
    <t>Masticatory Function and Quality of Life in Frail Elderly Persons</t>
  </si>
  <si>
    <t>U1111-1205-0210</t>
  </si>
  <si>
    <t>Olívia Maria Costa de Figueredo</t>
  </si>
  <si>
    <t>oliviamariacf@hotmail.com</t>
  </si>
  <si>
    <t>Effects of Deep Water Running on the cardiac autonomic control and functional capacity in adults with Overweight and Obesity</t>
  </si>
  <si>
    <t>U1111-1207-0256</t>
  </si>
  <si>
    <t>Antonio Roberto Zamunér</t>
  </si>
  <si>
    <t>+55(14)998110052</t>
  </si>
  <si>
    <t>beto.zam@gmail.com</t>
  </si>
  <si>
    <t>Evaluation of Pharmacological Adhesion and Self Care at the feet of diabetic patients submitted to Pharmaceutical intervention</t>
  </si>
  <si>
    <t>U1111-1201-9126</t>
  </si>
  <si>
    <t>Diabetes mellitus type 2,diabetic foot</t>
  </si>
  <si>
    <t>55-81-997714177</t>
  </si>
  <si>
    <t>Influence of Auricular Acupuncture in order to prevent nausea and vomiting after Laparoscopic Cholecystectomy</t>
  </si>
  <si>
    <t>U1111-1207-4692</t>
  </si>
  <si>
    <t>luiz eduardo miranda</t>
  </si>
  <si>
    <t>+55(81)30311795</t>
  </si>
  <si>
    <t>lecmiranda@gmail.com</t>
  </si>
  <si>
    <t>Faculda de Ciências Médicas Universidade de Pernambuco</t>
  </si>
  <si>
    <t>Comparison of a Kinesiotherapy Protocol with and without Association of Posterior Tibial Nerve Stimulation for Mixed Urinary Incontinence: A Randomized and Blind Study</t>
  </si>
  <si>
    <t>U1111-1204-3225</t>
  </si>
  <si>
    <t>Female Urinary Incontinence</t>
  </si>
  <si>
    <t>Halana Karolina Vicente</t>
  </si>
  <si>
    <t>+55(84)99915-3345</t>
  </si>
  <si>
    <t>halana.karolina@gmail.com</t>
  </si>
  <si>
    <t>Effect of TENS in Delayed Onset Muscle Soreness (DOMS): prevention and treatment</t>
  </si>
  <si>
    <t>U1111-1198-1103</t>
  </si>
  <si>
    <t>Thaís Alves Barreto Pereira</t>
  </si>
  <si>
    <t>55 (79) 998439512</t>
  </si>
  <si>
    <t>thais_pra@hotmail.com</t>
  </si>
  <si>
    <t>Postural analysis and body awareness in visually impaired individuals after intervention with the pilates method</t>
  </si>
  <si>
    <t>U1111-1203-7528</t>
  </si>
  <si>
    <t>Visual impairment. Healthy Volunteers</t>
  </si>
  <si>
    <t>Effects of Constraint Induced Moviment Therapy associated with Funcional Bandage in the upper-extremity of acute and chronic hemiparetic patients</t>
  </si>
  <si>
    <t>U1111-1200-8623</t>
  </si>
  <si>
    <t>Laís Andrieli Ferreira Gattino</t>
  </si>
  <si>
    <t>laisgattino@hotmail.com</t>
  </si>
  <si>
    <t>Mental Practice protocols for Functional Mobility and Risk of Falls in Parkinsons disease: A Randomized trial</t>
  </si>
  <si>
    <t>U1111-1203-2737</t>
  </si>
  <si>
    <t>Liliane  Pereira da Silva</t>
  </si>
  <si>
    <t>Paulista</t>
  </si>
  <si>
    <t>+55(81)984527989</t>
  </si>
  <si>
    <t>pereiradasilva20@hotmail.com</t>
  </si>
  <si>
    <t>Influence of a physical activity program in adolescents with cardiovascular risk</t>
  </si>
  <si>
    <t>U1111-1197-9919</t>
  </si>
  <si>
    <t>Obesity,overweight,diabetes mellitus,hypertension,dyslipidemia,hypovitaminosis D,Adolescent. Physical activity. School health</t>
  </si>
  <si>
    <t>Carla Silvana de Oliveira Silva</t>
  </si>
  <si>
    <t>profcarlasosilva@gmail.com</t>
  </si>
  <si>
    <t>Universidade Estadual de Montes Claros</t>
  </si>
  <si>
    <t>Effect of whole-body vibration training in subjects with Chronic Obstructive Pulmonary Disease</t>
  </si>
  <si>
    <t>08/28/2015</t>
  </si>
  <si>
    <t>U1111-1169-0718</t>
  </si>
  <si>
    <t>+55 (38) 3532 1200</t>
  </si>
  <si>
    <t>vaafisio@hotmail.com</t>
  </si>
  <si>
    <t>The effects of auriculotherapy in women with breast cancer undergoing chemotherapy</t>
  </si>
  <si>
    <t>U1111-1196-7471</t>
  </si>
  <si>
    <t>Elizabeth Tischenberg Aguiar Vallim</t>
  </si>
  <si>
    <t>+55 (41) 3360 1800</t>
  </si>
  <si>
    <t>elizabethvallim@gmail.com</t>
  </si>
  <si>
    <t>Effects of nutritional orientation and or supplementation with Whey Protein on the nutritional and metabolic status of individuals with risk factors for Metabolic Syndrome</t>
  </si>
  <si>
    <t>U111111889191</t>
  </si>
  <si>
    <t>Obesity,food supplementation</t>
  </si>
  <si>
    <t>Evaluation of the effects of regular consumption of Unripe Banana Flour on the metabolic and anthropometric parameters of Overweight Individuals and Visceral Adiposity</t>
  </si>
  <si>
    <t>U1111-1206-7712</t>
  </si>
  <si>
    <t>Burnout Syndrome and Integrative and Complementary Practices in Health in Nurses of Primary Health Care</t>
  </si>
  <si>
    <t>U1111-1206-4315</t>
  </si>
  <si>
    <t>Burnout Syndrome</t>
  </si>
  <si>
    <t>Soraya Maria de Medeiros</t>
  </si>
  <si>
    <t>sorayamaria_ufrn@hotmail.com</t>
  </si>
  <si>
    <t>Effects of the inclusion of Sunflower Oil with addition of Selenium and Vitamin E in the diet of lactating cows on the production and milk composition and its influence on human nutrition</t>
  </si>
  <si>
    <t>U1111-1205-9326</t>
  </si>
  <si>
    <t>healthy children</t>
  </si>
  <si>
    <t>Arlindo Saran Netto</t>
  </si>
  <si>
    <t>saranetto@usp.br</t>
  </si>
  <si>
    <t>Faculdade de Zootecnia e Engenharia de Alimentos</t>
  </si>
  <si>
    <t>Treatment of Cervical Gladular Epithelium Ectopy with Sistemic Acupuncture and Analisys of Interference Factors in the Metaplasic Process</t>
  </si>
  <si>
    <t>U1111-1197-2245</t>
  </si>
  <si>
    <t>Silvana Maria Silva Fernandes</t>
  </si>
  <si>
    <t>+55(11)999183534</t>
  </si>
  <si>
    <t>silvanamsfernandes@uol.com.br</t>
  </si>
  <si>
    <t>Nutritional status and inflammatory profile of patients with Ulcerative Colitis in use of turmeric in outpatient care</t>
  </si>
  <si>
    <t>U1111-1187-2194</t>
  </si>
  <si>
    <t>Ulcerative colitis activity</t>
  </si>
  <si>
    <t>Jéssica Fernandes Miclos Aguiar</t>
  </si>
  <si>
    <t>jessica_miclos@hotmail.com</t>
  </si>
  <si>
    <t>Hospital das Clínicas de Goiânia</t>
  </si>
  <si>
    <t>Labor Analgesia: Comparison between low doses of Pethidine and Sodium Dipyrone</t>
  </si>
  <si>
    <t>1111-1196-3779</t>
  </si>
  <si>
    <t>Pain,Maternal Suffering during labor,women</t>
  </si>
  <si>
    <t>Rogevando Rodrigues Nunes</t>
  </si>
  <si>
    <t>rogevando@hotmail.com</t>
  </si>
  <si>
    <t>UNIFOR - Universidade de Fortaleza</t>
  </si>
  <si>
    <t>Transcutaneous electrical diaphragmatic stimulation in the spinal cord injury: an weaning retrospective analysis 2007 to 2016</t>
  </si>
  <si>
    <t>U1111-1194-1627</t>
  </si>
  <si>
    <t>Gregory Lui Duarte</t>
  </si>
  <si>
    <t>+55 (19) 99976 6337</t>
  </si>
  <si>
    <t>gregoryluiduarte@hotmail.com</t>
  </si>
  <si>
    <t>Hospital de clinicas da universidade estadual de Campinas</t>
  </si>
  <si>
    <t>Isometric Exercises of Muscular Resistance to Fatigue in the treatment of Dysfunction Temporomandibular via Biofeedback: randomized control study</t>
  </si>
  <si>
    <t>U1111-1199-1611</t>
  </si>
  <si>
    <t>Temporomandibular Joint Dysfunction Syndrome,Fatigue</t>
  </si>
  <si>
    <t>alexwbarbosa@hotmail.com</t>
  </si>
  <si>
    <t>Curcuma longa as adjuvant in the treatment of Idiopathic Childhood Nephrotic Syndrome</t>
  </si>
  <si>
    <t>U1111-1201-0098</t>
  </si>
  <si>
    <t>Edema,Nephrotic syndrome,Proteinuria</t>
  </si>
  <si>
    <t>Fábio Carmona</t>
  </si>
  <si>
    <t>55(16)3602-1000</t>
  </si>
  <si>
    <t>carmona@usp.br</t>
  </si>
  <si>
    <t>Impact of Pilates mat versus aerobic exercise on hepatic steatosis and insulin resistance in women</t>
  </si>
  <si>
    <t>05/25/2015</t>
  </si>
  <si>
    <t>U1111-1161-9896</t>
  </si>
  <si>
    <t>Fatty Liver,abdominal obesity</t>
  </si>
  <si>
    <t>Maria Isabel Schinoni</t>
  </si>
  <si>
    <t>+55 (71) 30122124</t>
  </si>
  <si>
    <t>didapestana@yahoo.com.br</t>
  </si>
  <si>
    <t>Hospital Universitário- Prof Edgard Santos- UFBA- HUPES</t>
  </si>
  <si>
    <t>Randomized study of the use of transcutaneous nervous eletric stimulation (TENS) in the relief of pain in labor</t>
  </si>
  <si>
    <t>12/26/2017</t>
  </si>
  <si>
    <t>U1111-1195-2858</t>
  </si>
  <si>
    <t>Angela Juliana Cappeli</t>
  </si>
  <si>
    <t>juliana.cappeli@yahoo.com.br</t>
  </si>
  <si>
    <t>Use of Low-power Laser Therapy and Acupuncture in the treatment of radio-induced Mucositis and Radiodermatitis in patients with head and neck Cancer</t>
  </si>
  <si>
    <t>12/21/2017</t>
  </si>
  <si>
    <t>U1111-1204-8410</t>
  </si>
  <si>
    <t>Xerostomia. mucositis</t>
  </si>
  <si>
    <t>55 38 9 8831 3705</t>
  </si>
  <si>
    <t>Effect of Aerobic Training on cognitive function and symptomatology of Depression in the elderly</t>
  </si>
  <si>
    <t>U1111-1204-4637</t>
  </si>
  <si>
    <t>Marisa Moreira Braga</t>
  </si>
  <si>
    <t>+55(81)998250329</t>
  </si>
  <si>
    <t>marisa.moreira.braga@gmail.com</t>
  </si>
  <si>
    <t>Impact of guidance of Pelvic Exercises on urinary Incontinence and genital Prolapse</t>
  </si>
  <si>
    <t>U1111-1202-9251</t>
  </si>
  <si>
    <t>Stress Urinary incontinence</t>
  </si>
  <si>
    <t>Cassia T Juliato</t>
  </si>
  <si>
    <t>Physical Training to Differentiate the Functional Capacity of Older Adults</t>
  </si>
  <si>
    <t>U1111-1202-9167</t>
  </si>
  <si>
    <t>Paula Born Lopes</t>
  </si>
  <si>
    <t>paulinhaborn@gmail.com</t>
  </si>
  <si>
    <t>Assessment of the influence of metabolic and genetic factors on energy homeostasis after Bariatric Surgery</t>
  </si>
  <si>
    <t>U1111-1206-0858</t>
  </si>
  <si>
    <t>Michele Novaes Ravelli</t>
  </si>
  <si>
    <t>michellenovaesr@hotmail.com</t>
  </si>
  <si>
    <t>Comparison between the effects of Roux-en-Y gastric bypass and one-anastomosis gastric bypass as treatments of morbid obesity: prospective randomized controlled trial</t>
  </si>
  <si>
    <t>12/20/2017</t>
  </si>
  <si>
    <t>U1111-1203-0901</t>
  </si>
  <si>
    <t>Everton Cazzo</t>
  </si>
  <si>
    <t>cazzo@unicamp.br</t>
  </si>
  <si>
    <t>Clinical cohort of children with microcephaly and other abnormalities associated with congenital zika infection in Pernambuco</t>
  </si>
  <si>
    <t>12/14/2017</t>
  </si>
  <si>
    <t>U1111-1198-4851</t>
  </si>
  <si>
    <t>Zika,Virus,Children,Microcephaly</t>
  </si>
  <si>
    <t>Ricardo Ximenes</t>
  </si>
  <si>
    <t>55 (81) 2101-2500/2600</t>
  </si>
  <si>
    <t>raaximenes@uol.com.br</t>
  </si>
  <si>
    <t>Physical exercise cognition and neuroplasticity</t>
  </si>
  <si>
    <t>U1111-1191-3191</t>
  </si>
  <si>
    <t>Elderly health</t>
  </si>
  <si>
    <t>Lucas Melo Neves</t>
  </si>
  <si>
    <t>lucasmeloneves@uol.com.br</t>
  </si>
  <si>
    <t>Low-level Laser therapy in Rapid Maxillary Expansion</t>
  </si>
  <si>
    <t>12/19/2017</t>
  </si>
  <si>
    <t>U1111-12060888</t>
  </si>
  <si>
    <t>Clinical study of the efficacy of oral rinse-containing vegetable oils for the control of dental biofilm</t>
  </si>
  <si>
    <t>12/18/2017</t>
  </si>
  <si>
    <t>U1111-1202-7743</t>
  </si>
  <si>
    <t>Danielle Tupinamba Emmi</t>
  </si>
  <si>
    <t>+55(91)3201-7494</t>
  </si>
  <si>
    <t>dtemmi@yahoo.com.br</t>
  </si>
  <si>
    <t>Topical Application of Nanoparticles containing Vitamin E for Prevention of Radiodermatitis in Women with Breast Cancer: Randomized Clinical Trial</t>
  </si>
  <si>
    <t>U1111-1201-5923</t>
  </si>
  <si>
    <t>Radiotherapy,Breast neoplasms,Radiodermatitis,Women</t>
  </si>
  <si>
    <t>Fernanda Mateus Queiroz Schmidt</t>
  </si>
  <si>
    <t>Passos</t>
  </si>
  <si>
    <t>55 35 999118288</t>
  </si>
  <si>
    <t>fernandamqueiroz@yahoo.com.br</t>
  </si>
  <si>
    <t>Pilot study of the application of formulation containing Clobetasol Propionate Nanoparticles for the treatment of Alopecia Areata</t>
  </si>
  <si>
    <t>U1111-1205-8842</t>
  </si>
  <si>
    <t>Alopecia areata,Alopecia in Areas</t>
  </si>
  <si>
    <t>Fundação de Ensino e Pesquisa em Ciências da Saúde (FEPECS)</t>
  </si>
  <si>
    <t>Fundação de Ensino e Pesquisa em Ciências da Saúde</t>
  </si>
  <si>
    <t>Epigenetic modulation by N-3 Polyunsaturated Fatty Acids and bioactive compounds (Silybum Marianum L) in Non-Alcoholic Fatty Liver Disease</t>
  </si>
  <si>
    <t>U1111-1201-3408</t>
  </si>
  <si>
    <t>Non-alcoholic Fatty Liver Disease</t>
  </si>
  <si>
    <t>Katia Cansanção Correa de Oliveira</t>
  </si>
  <si>
    <t>Nova Iguaçu</t>
  </si>
  <si>
    <t>+55(21)27991358</t>
  </si>
  <si>
    <t>kcansancao@gmail.com</t>
  </si>
  <si>
    <t>Instituto de Nutrição Josué de castro</t>
  </si>
  <si>
    <t>Assessment of Tenofovir effects on bone mineral density in chronic Hepatitis B patients non infected with HIV</t>
  </si>
  <si>
    <t>U1111-1205-5427</t>
  </si>
  <si>
    <t>55(16)33153000</t>
  </si>
  <si>
    <t>The Effect of Different Medications in preventing the Sensitivity caused by Tooth whitening</t>
  </si>
  <si>
    <t>U1111-1205-4989</t>
  </si>
  <si>
    <t>Efects of physiotherapy with aproach based on patient preferences and conventional physiotherapy in motor and non-motor symptoms of individuals with Parkinson disease</t>
  </si>
  <si>
    <t>U1111-1200-9944</t>
  </si>
  <si>
    <t>Alessandra S Martin</t>
  </si>
  <si>
    <t>+55 (48) 984753759</t>
  </si>
  <si>
    <t>alessandra.martin@udesc.br</t>
  </si>
  <si>
    <t>Low-Level Laser Therapy and Manual Therapy in the Treatment in Patients with Low Back Pain</t>
  </si>
  <si>
    <t>U1111-1198-2486</t>
  </si>
  <si>
    <t>Chronic Low back pain</t>
  </si>
  <si>
    <t>Effects of Pilates Method Breaths on balance lower limb fatigue and functional capacity of fallers elderly: randomized clinical trial</t>
  </si>
  <si>
    <t>U1111-1195-1759</t>
  </si>
  <si>
    <t>Ilha Gonçalves Fernandes</t>
  </si>
  <si>
    <t>55(32)91567743</t>
  </si>
  <si>
    <t>ilha.fernandes@hotmail.com</t>
  </si>
  <si>
    <t>Universidade Federal de Juiz de Fora - UFJF</t>
  </si>
  <si>
    <t>Internal Jugular vein versus Axilar Vein with single-incision for Implantable Ports: a prospective and randomized study</t>
  </si>
  <si>
    <t>U111111995796</t>
  </si>
  <si>
    <t>Malignant neoplasm,postoperative complications</t>
  </si>
  <si>
    <t>Bruno Soriano Pignataro</t>
  </si>
  <si>
    <t>brunosoriano86@yahoo.com.br</t>
  </si>
  <si>
    <t>Conservative treatment in female urinary incontinence: biofeedback and vesical training comparative study</t>
  </si>
  <si>
    <t>U1111-12040923</t>
  </si>
  <si>
    <t>maria alexandre</t>
  </si>
  <si>
    <t>mgraca@hmipv.prefpoa.com.br</t>
  </si>
  <si>
    <t>hospital materno infantil presidente vargas</t>
  </si>
  <si>
    <t>Glycemic Index of Enteral Formulas and Effect on Glycemic Control of Hyperglycemic Patients Hospitalized in Intensive Care Unit</t>
  </si>
  <si>
    <t>U1111-1202-7140</t>
  </si>
  <si>
    <t>Healthy subjects</t>
  </si>
  <si>
    <t>Flávia Moraes Silva</t>
  </si>
  <si>
    <t>+55 51 3303-9000</t>
  </si>
  <si>
    <t>flavia.moraes.silva@hotmail.com</t>
  </si>
  <si>
    <t>Effects of the combination of photobiomodulation transcranial direct current stimulation and treadmill training on functional mobility in stroke survivors: Protocol for a randomized sham-controlled double-blind clinical trial</t>
  </si>
  <si>
    <t>U1111-1203-0356</t>
  </si>
  <si>
    <t>Arislander Jonathan Lopes Dumont</t>
  </si>
  <si>
    <t>arislanderlg@gmail.com</t>
  </si>
  <si>
    <t>A randomized double-blind monocentric phase I clinical trial to assess the tolerability safety and pharmacokinetics of melatonin nasal suspension after a single dose in healthy male participants</t>
  </si>
  <si>
    <t>10/31/2017</t>
  </si>
  <si>
    <t>U1111-1203-9844</t>
  </si>
  <si>
    <t>Effects of different intensities of Aerobic Training in women with Migraine or Tension-type Headache: Randomized and Controlled Clinical Study</t>
  </si>
  <si>
    <t>u1111-1204-0543</t>
  </si>
  <si>
    <t>Yumie Okuyama da Silva Gauto</t>
  </si>
  <si>
    <t>+55(81)9950687</t>
  </si>
  <si>
    <t>yumie_okuyama@yahoo.com.br</t>
  </si>
  <si>
    <t>Comparative analysis of the effectiveness of EMLA®( Euthetic Misture of Local Anesthetic) (Prilocaine 25% and lidocaine 25%) and benzocaine 20% on topical anesthetic in humans gengival mucosa</t>
  </si>
  <si>
    <t>U1111-1203-3623</t>
  </si>
  <si>
    <t>Pain,dissociative sensory loss</t>
  </si>
  <si>
    <t>David Gomes de Alencar Gondim</t>
  </si>
  <si>
    <t>55-88-98837-1806</t>
  </si>
  <si>
    <t>davidalencar@gmail.com</t>
  </si>
  <si>
    <t>CENTRO UNIVERSITÁRIO DR. LEÃO SAMPAIO-UNILEÃO</t>
  </si>
  <si>
    <t>Healing Oil for the treatment of Cracks in the Diabetic Foot</t>
  </si>
  <si>
    <t>U1111-1200-3278</t>
  </si>
  <si>
    <t>Heloísa Werneck de Macedo</t>
  </si>
  <si>
    <t>São Pedro da Serra</t>
  </si>
  <si>
    <t>heloisawm@gmail.com</t>
  </si>
  <si>
    <t>Cocaine and crack Addiction Treatment with Ibogaine</t>
  </si>
  <si>
    <t>U1111-1197-7187</t>
  </si>
  <si>
    <t>Bruno Daniel Rasmussen Chaves</t>
  </si>
  <si>
    <t>brunodrc@terra.com.br</t>
  </si>
  <si>
    <t>Instituto Veracruz de Pesquisa e Tratamento da Dependência Química Ltda</t>
  </si>
  <si>
    <t>Effects of a physiotherapy protocol in patients with chronic obstructive pulmonary disease (COPD)</t>
  </si>
  <si>
    <t>U1111-1155-0947</t>
  </si>
  <si>
    <t>Chronic Obstructive Pulmonary Disease (COPD)</t>
  </si>
  <si>
    <t>+55 (83) 9613-7900</t>
  </si>
  <si>
    <t>Cell health of elderly and elderly people involved in programs resistance training</t>
  </si>
  <si>
    <t>U1111-1203-6598</t>
  </si>
  <si>
    <t>Luis Alberto Gobbo</t>
  </si>
  <si>
    <t>PRES.PRUDENTE</t>
  </si>
  <si>
    <t>55 18 32295720</t>
  </si>
  <si>
    <t>luisgobbo@fct.unesp.br</t>
  </si>
  <si>
    <t>UNESP-Faculdade de Ciências e Tecnologia do Campus de Presidente Prudente</t>
  </si>
  <si>
    <t>Comparison of the Expiratory Flow Peak among elderly women before and after respiratory exercises</t>
  </si>
  <si>
    <t>U1111-1202-0149</t>
  </si>
  <si>
    <t>Expiratory Flow Peak,Thoracic Complacency,Respiratory Mechanics,Elderly</t>
  </si>
  <si>
    <t>Patrícia Maria de Melo Carvalho</t>
  </si>
  <si>
    <t>Barbacena</t>
  </si>
  <si>
    <t>patriciamelounipac@gmail.com</t>
  </si>
  <si>
    <t>Universidade Presidente Antônio Carlos</t>
  </si>
  <si>
    <t>Effectiveness of Aquapilates on physical and functional performance in patients with Chronic Low Back Pain</t>
  </si>
  <si>
    <t>U1111-1204-9975</t>
  </si>
  <si>
    <t>+55(48)3721-6255</t>
  </si>
  <si>
    <t>Long Latency Auditory Evoked Potentials (P300) outcomes in patients with unilateral cochlear implants</t>
  </si>
  <si>
    <t>U1111-1204-1124</t>
  </si>
  <si>
    <t>Bilateral hearing loss</t>
  </si>
  <si>
    <t>Maria Stella Arantes do Amaral</t>
  </si>
  <si>
    <t>55-16-36022863</t>
  </si>
  <si>
    <t>stella_arantes@yahoo.com</t>
  </si>
  <si>
    <t>Hospital das Clinicas da Faculdade de Medicina de Ribeirão Preto- Universidade de São Paulo</t>
  </si>
  <si>
    <t>The effect of Natural Latex Membrane on the Healing of the Donor Site of the Free Gingival Graft. A Randomized Controlled Clinical Trial</t>
  </si>
  <si>
    <t>U1111-1204-1637</t>
  </si>
  <si>
    <t>Surgical wounds</t>
  </si>
  <si>
    <t>Role of the Fifroblastic growth factor 23 (FGF2) in the Bone Disease in Idiopathic Hypercalciuria</t>
  </si>
  <si>
    <t>U1111-1204-8545</t>
  </si>
  <si>
    <t>Hypercalciuria</t>
  </si>
  <si>
    <t>Maria Goretti Moreira Guimarães Penido</t>
  </si>
  <si>
    <t>55 (31) 3409-9300</t>
  </si>
  <si>
    <t>mariagorettipenido@yahoo.com.br</t>
  </si>
  <si>
    <t>Comparison of the Pilates Mat Method with Perineal Exercises in the treatment of Stress Urinary Incontinence and on Pelvic Floor Muscle Function in women between the ages of 40 and 65</t>
  </si>
  <si>
    <t>U1111-1204-3833</t>
  </si>
  <si>
    <t>Nathalia Manfio Marroni</t>
  </si>
  <si>
    <t>Cândido Mota</t>
  </si>
  <si>
    <t>55-018-997233642</t>
  </si>
  <si>
    <t>natymarroni@hotmail.com</t>
  </si>
  <si>
    <t>Correlation between post-surgery hematuria degree for benign prostatic hyperplasia and intra and perioperative outcomes evaluated by a new hematuria scale</t>
  </si>
  <si>
    <t>11/28/2017</t>
  </si>
  <si>
    <t>U1111-1199-7069</t>
  </si>
  <si>
    <t>Priscila Kuriki Vieira Mota</t>
  </si>
  <si>
    <t>55(11)3071-6298</t>
  </si>
  <si>
    <t>prikuriki@hotmail.com</t>
  </si>
  <si>
    <t>Warming Program to Prevent Injuries in Basketball Athletes:Cluster Randomised Controlled Trial</t>
  </si>
  <si>
    <t>U1111-1200-7585</t>
  </si>
  <si>
    <t>Traumatic injuries in athletes,Teenager,Adult</t>
  </si>
  <si>
    <t>Marina Stefani Souza Silva</t>
  </si>
  <si>
    <t>55 (11) 55764848</t>
  </si>
  <si>
    <t>marinastefani92@gmail.com</t>
  </si>
  <si>
    <t>Centro de Traumatologia do Esporte - CETE</t>
  </si>
  <si>
    <t>Intranasal Azelastine and Fluticasone combination in the treatment of adolescents with difficult to treat Allergic Rhinitis</t>
  </si>
  <si>
    <t>U1111-1189-0785</t>
  </si>
  <si>
    <t>Allergic rhinitis</t>
  </si>
  <si>
    <t>Gustavo Falbo Wandalsen</t>
  </si>
  <si>
    <t>+55(11)55764426</t>
  </si>
  <si>
    <t>gfwandalsen@unifesp.br</t>
  </si>
  <si>
    <t>Hospital São Paulo - Universidade Federal de São Paulo</t>
  </si>
  <si>
    <t>The effects of constraint induced movement therapy on the functionality and occupations of individuals after stroke</t>
  </si>
  <si>
    <t>U1111-1187-7474</t>
  </si>
  <si>
    <t>Rafael Eras-Garcia</t>
  </si>
  <si>
    <t>rafaeleras@gmail.com</t>
  </si>
  <si>
    <t>Biochemical evaluation of the application of ischemic remote preconditioning in patients with breast cancer in chemotherapeutic treatment containing anthracyclines</t>
  </si>
  <si>
    <t>U1111-1204-1378</t>
  </si>
  <si>
    <t>breast neoplasms,anthracyclines,adjuvant chemotherapy</t>
  </si>
  <si>
    <t>Simone Meneghetti Zatta</t>
  </si>
  <si>
    <t>szatta50@gmail.com</t>
  </si>
  <si>
    <t>Faculdade de Medicina do ABC (FMABC)</t>
  </si>
  <si>
    <t>The Influence of mat Pilates in the Diastasis of rectus abdominis muscle in women in Climatory Syndrome:Clinical Trial Randomized Single-blind</t>
  </si>
  <si>
    <t>U1111-1191-0210</t>
  </si>
  <si>
    <t>Climacteric,muscular diastasis,women,nocturnal enuresis</t>
  </si>
  <si>
    <t>Gabriela  Marini</t>
  </si>
  <si>
    <t>+55(14)99758 6755</t>
  </si>
  <si>
    <t>gacamarini@yahoo.com.br</t>
  </si>
  <si>
    <t>Universidade Sagrado Coração</t>
  </si>
  <si>
    <t>Use of 18FDG-PET-CT as a predictor of efficacy for locoregional control and survival in the treatment of Head and Neck Squamous-Cell Carcinoma</t>
  </si>
  <si>
    <t>U1111-1204-7946</t>
  </si>
  <si>
    <t>Ulisses Ribaldo Nicolau</t>
  </si>
  <si>
    <t>+55(11)21895000</t>
  </si>
  <si>
    <t>ur.nicolau@uol.com.br</t>
  </si>
  <si>
    <t>Effect of Strength Training associated with Neuromuscular Electrical Stimulation on a structure and function of knee extensor muscles</t>
  </si>
  <si>
    <t>11/23/2017</t>
  </si>
  <si>
    <t>U1111-1201-7708</t>
  </si>
  <si>
    <t>Claudia Ferreira Gomes da Silva</t>
  </si>
  <si>
    <t>claudiaferreirags@hotmail.com</t>
  </si>
  <si>
    <t>Effect of Ginger in the occurrence of nauses and vomiting and on the quality of life in patients submitted to Chemoteraphy</t>
  </si>
  <si>
    <t>U1111-1200-5326</t>
  </si>
  <si>
    <t>Adriele Silva Freitas</t>
  </si>
  <si>
    <t>55-62-32698513</t>
  </si>
  <si>
    <t>adriele.nutri@gmail.com</t>
  </si>
  <si>
    <t>Hospital das Clínicas Universidade Federal de Goiás - GO</t>
  </si>
  <si>
    <t>Influence of different dosimetry of Low Level Laser Therapy in patients with Temporomandibular Disorders: a randomized placebo-controlled clinical trial</t>
  </si>
  <si>
    <t>U1111-1201-1689</t>
  </si>
  <si>
    <t>Art Therapy and Depression: Effects of Art Therapy as a Complementary Therapy for the Treatment of Depression in the Elderly</t>
  </si>
  <si>
    <t>U1111-1192-1365</t>
  </si>
  <si>
    <t>Paula Villela Nunes</t>
  </si>
  <si>
    <t>55-11-92661-0000</t>
  </si>
  <si>
    <t>paula@formato.com.br</t>
  </si>
  <si>
    <t>Comparison of the effects of Inspiratory Muscle Training and Aerobic Training of the lower limbs in physiological and functional parameters in Hemodialysis patients</t>
  </si>
  <si>
    <t>U1111-1164-3741</t>
  </si>
  <si>
    <t>Chronic Kidney disease in final stage</t>
  </si>
  <si>
    <t>Pedro Henrique Scheidt Figueiredo</t>
  </si>
  <si>
    <t>+55(38)88291288</t>
  </si>
  <si>
    <t>phsfig@yahoo.com.br</t>
  </si>
  <si>
    <t>Canabidiol in treatment of REM behavior sleep disorder associated with Parkinsons disease- a double-blind placebo controlled clinical trial</t>
  </si>
  <si>
    <t>U1111-1200-8045</t>
  </si>
  <si>
    <t>Carlos Mauricio Almeida</t>
  </si>
  <si>
    <t>Albania</t>
  </si>
  <si>
    <t>acrmauri33@usp.br</t>
  </si>
  <si>
    <t>Universidade de Sao Paulo</t>
  </si>
  <si>
    <t>Effects of Acupunture at the yanglinquan point (vb-34) on quality of life in women with Fibromialgia: a pilot clinical trial</t>
  </si>
  <si>
    <t>U1111-1196-3354</t>
  </si>
  <si>
    <t>Graciela Mendonca Da Silva De Medeiros</t>
  </si>
  <si>
    <t>+55 (48) 84223114</t>
  </si>
  <si>
    <t>Effect of Pilates exercises on glycemic indexes urinary and sexual symptoms mobility and quality of life of women with gestational diabetes mellitus</t>
  </si>
  <si>
    <t>07/13/2017</t>
  </si>
  <si>
    <t>1111-1196-1156</t>
  </si>
  <si>
    <t>Gestational Diabetes Mellitus</t>
  </si>
  <si>
    <t>Effect of Stretching intensity on acute and chronic Neuromuscular Responses in adults and the elderly: a randomized trial</t>
  </si>
  <si>
    <t>11/21/2017</t>
  </si>
  <si>
    <t>U1111-1204-5316</t>
  </si>
  <si>
    <t>Healthy volunteers,adults,elderly,men</t>
  </si>
  <si>
    <t>Natália Barros Beltrão</t>
  </si>
  <si>
    <t>nat.barros@gmail.com</t>
  </si>
  <si>
    <t>Evaluation of ultrasound impact on central venous catheterization in pediatric patients admitted to the Intensive Care Unit of the Clinical Hospital - Unicamp</t>
  </si>
  <si>
    <t>U1111-1204-2923</t>
  </si>
  <si>
    <t>Pediatric Intensive Care Units,Accidental cutting,puncture,perforation or bleeding during medical or surgical care</t>
  </si>
  <si>
    <t>Tiago Henrique Souza</t>
  </si>
  <si>
    <t>Associated factors with risk for falls in the elderly: effects of different interventions on Perceptual Cognitive Clinical and Functional Aspects</t>
  </si>
  <si>
    <t>U1111-1200-5815</t>
  </si>
  <si>
    <t>Sclerotherapy with 5% Monoethanolamine Oleate Foam in Treatment of Vascular Malformations of the Head and Neck Region: A Case Series</t>
  </si>
  <si>
    <t>U1111-1199-6734</t>
  </si>
  <si>
    <t>Diseases of the circulatory system,Endothelium vascular</t>
  </si>
  <si>
    <t>55-31-34092499</t>
  </si>
  <si>
    <t>A translational approach of the neurobiological determinants of Premenstrual Syndrome A clinical trial using Fluoxetine in patients with Premenstrual Syndrome</t>
  </si>
  <si>
    <t>11/17/2017</t>
  </si>
  <si>
    <t>U1111-1197-9900</t>
  </si>
  <si>
    <t>Maria Clara de Morais Faleiros</t>
  </si>
  <si>
    <t>mclaramorais@gmail.com</t>
  </si>
  <si>
    <t>Effects of recreational football on body composition physical abilities and executive functions in elderly</t>
  </si>
  <si>
    <t>U1111-1198-0770</t>
  </si>
  <si>
    <t>guilherme henrique matias</t>
  </si>
  <si>
    <t>jaboatão</t>
  </si>
  <si>
    <t>guilhermehenriquelm@yahoo.com.br</t>
  </si>
  <si>
    <t>universidade federal de pernambuco</t>
  </si>
  <si>
    <t>Azithromycin in the treatment of Eosinophilic nasossinusal polypose: clinical and histomorphological analysis in a randomized masked study with placebo</t>
  </si>
  <si>
    <t>11/16/2017</t>
  </si>
  <si>
    <t>U1111-1201-8926</t>
  </si>
  <si>
    <t>Isamara Simas de Oliveira</t>
  </si>
  <si>
    <t>simasmed@yahoo.com.br</t>
  </si>
  <si>
    <t>The effect of Motivational Interview on the self-care of patients with Heart Failure: randomized clinical trial</t>
  </si>
  <si>
    <t>U1111-1204-7348</t>
  </si>
  <si>
    <t>Paula Vanessa Peclat Flores</t>
  </si>
  <si>
    <t>+55 (21) 2629 9464</t>
  </si>
  <si>
    <t>paulapeclat@gmail.com</t>
  </si>
  <si>
    <t>Evaluation of the Efficacy of a Protocol for patients Anticoagulants of the public health system in the city of Ijuí/RS</t>
  </si>
  <si>
    <t>U1111-1204-4363</t>
  </si>
  <si>
    <t>Effectiveness of a Cognitive Behavioral Management Pilot Program in a sample of Brazilian adolescents with Anorexia Nervosa</t>
  </si>
  <si>
    <t>U1111-1202-0493</t>
  </si>
  <si>
    <t>Bacy Fleitlich Bilyk</t>
  </si>
  <si>
    <t>+55(11)30317543</t>
  </si>
  <si>
    <t>bacy@uol.com.br</t>
  </si>
  <si>
    <t>Arrabidaea chica for Oral Mucositis in patients with Head and Neck Cancer: a Protocol of a Randomized Clinical Trial</t>
  </si>
  <si>
    <t>U1111-1203-3566</t>
  </si>
  <si>
    <t>João Ernesto  de Carvalho</t>
  </si>
  <si>
    <t>carvalho@fcf.unicamp.br</t>
  </si>
  <si>
    <t>Faculdade de Ciências Farmacêuticas-Unicamp</t>
  </si>
  <si>
    <t>Ultrasound as an auxiliary tool in the diagnosis and treatment of patients with Myofascial Pain Syndrome. A randomized clinical trial</t>
  </si>
  <si>
    <t>U1111-1184-0975</t>
  </si>
  <si>
    <t>Marcos André Nogueira Frasson Filho</t>
  </si>
  <si>
    <t>+55 61 999488719</t>
  </si>
  <si>
    <t>frasson.andre@gmail.com</t>
  </si>
  <si>
    <t>Assessment and proposed cutoffs for adiposity indices to predict Cardiovascular Risk in HIV-infected patients on Antiretroviral Therapy</t>
  </si>
  <si>
    <t>U1111-1201-2868</t>
  </si>
  <si>
    <t>Human immunodeficiency virus (HIV) disease</t>
  </si>
  <si>
    <t>Maria Cristina Foss-Freitas</t>
  </si>
  <si>
    <t>crisfoss@fmrp.usp.br</t>
  </si>
  <si>
    <t>Aromatherapy for Anxiety in nursing teachers at public university</t>
  </si>
  <si>
    <t>U111112013343</t>
  </si>
  <si>
    <t>Eliana Mara Braga</t>
  </si>
  <si>
    <t>elmara@fmb.unesp.br</t>
  </si>
  <si>
    <t>Departamento de Enfermagem da Universidade Estadual Paulista</t>
  </si>
  <si>
    <t>Identification of ideal amounts of suprascapular nerve blocks in adhesive capsulitis - randomized clinical trial</t>
  </si>
  <si>
    <t>U1111-1201-3298</t>
  </si>
  <si>
    <t>Bursitis</t>
  </si>
  <si>
    <t>Waldivino Dos Reis Barreto</t>
  </si>
  <si>
    <t>Senador Canedo</t>
  </si>
  <si>
    <t>w.junior.contato@hotmail.com</t>
  </si>
  <si>
    <t>Faculdade de medicina da Universidade Federal de Goiás</t>
  </si>
  <si>
    <t>Effect Of Whole Body Vibration Training In Women With Fibromyalgia</t>
  </si>
  <si>
    <t>U1111-1165-5766</t>
  </si>
  <si>
    <t>Vanessa Gonçalves César Ribeiro</t>
  </si>
  <si>
    <t>vanessa.ribeirocr@yahoo.com.br</t>
  </si>
  <si>
    <t>Effects of a physical rehabilitation program in patients with diabetic nephropathy with different types of exercises compared to proteinuria- randomized clinical trial</t>
  </si>
  <si>
    <t>U1111-1170-7530</t>
  </si>
  <si>
    <t>Chronic Kidney Disease,diabetic nephropathy</t>
  </si>
  <si>
    <t>Juliana Rodrigues Daniel</t>
  </si>
  <si>
    <t>+55 14 998566395</t>
  </si>
  <si>
    <t>juhrodriguess2@hotmail.com</t>
  </si>
  <si>
    <t>Acute Blood Pressure behavior after a Pilates session in hypertensive patients</t>
  </si>
  <si>
    <t>U1111-1196-9479</t>
  </si>
  <si>
    <t>Pre-hypertensive,Hypertensive,post exercise hypotension</t>
  </si>
  <si>
    <t>Jeferson Silva da Rocha</t>
  </si>
  <si>
    <t>55 21 982551927</t>
  </si>
  <si>
    <t>jefersonsilvarocha@yahoo.om.br</t>
  </si>
  <si>
    <t>Universidade Salgado de Oliveira</t>
  </si>
  <si>
    <t>Clinical evaluation of the effects of esmolol and magnesium sulphate on the hemodynamic response to tracheal intubation</t>
  </si>
  <si>
    <t>U1111-1197-7119</t>
  </si>
  <si>
    <t>Fabiana Schuelter-Trevisol</t>
  </si>
  <si>
    <t>+55 (48)36317239</t>
  </si>
  <si>
    <t>fastrevisol@gmail.com</t>
  </si>
  <si>
    <t>Evaluation of pharmacists knowledge about dispensing of drugs after completing a training course</t>
  </si>
  <si>
    <t>04/13/2015</t>
  </si>
  <si>
    <t>U1111-1166-2040</t>
  </si>
  <si>
    <t>Health Human Resource Training. Education,Pharmacy,Continuing</t>
  </si>
  <si>
    <t>Leonardo Regis Leira Pereira</t>
  </si>
  <si>
    <t>+55 16 3315 1054</t>
  </si>
  <si>
    <t>Faculdade de Ciências Farmacêuticas de Ribeirão Preto - Universidade de São Paulo</t>
  </si>
  <si>
    <t>Evaluation of the effects of dark chocolate with 70% cocoa on hemodynamic and endothelial parameteres in patients with heart failure</t>
  </si>
  <si>
    <t>U1111-1197-1444</t>
  </si>
  <si>
    <t>Gabrielle de Souza Rocha</t>
  </si>
  <si>
    <t>+55(21)26299846</t>
  </si>
  <si>
    <t>profgabrielle.rocha2@globo.com</t>
  </si>
  <si>
    <t>Faculdade de Nutrição- UFF</t>
  </si>
  <si>
    <t>Effects of Physical Training on Metabolic Hemodynamic Autonomic and Inflammatory Parameters of post-Stroke individuals</t>
  </si>
  <si>
    <t>U1111-1202-8242</t>
  </si>
  <si>
    <t>Bruno Bavaresco Gambassi</t>
  </si>
  <si>
    <t>professorbrunobavaresco@gmail.com</t>
  </si>
  <si>
    <t>Effects of neurodynamic exercises addition to extension-oriented treatment approach among individuals with low back-related leg pain</t>
  </si>
  <si>
    <t>U1111-1199-0384</t>
  </si>
  <si>
    <t>Luis Fernando Sousa Filho</t>
  </si>
  <si>
    <t>+55(79)991056592</t>
  </si>
  <si>
    <t>fernandosouf@hotmail.com</t>
  </si>
  <si>
    <t>Genetic monitoring and redox balance in resident physicians occupationally exposed to inhaled anesthetics</t>
  </si>
  <si>
    <t>U1111-1168-4274</t>
  </si>
  <si>
    <t>DNA damage of residents in anesthesiology during the period of residence</t>
  </si>
  <si>
    <t>OM-85BV for prevention of respiratory tract infections: a double-blind placebo-controlled randomized clinical trial</t>
  </si>
  <si>
    <t>U1111-1158-4919</t>
  </si>
  <si>
    <t>Acute respiratory infections,Infant,child</t>
  </si>
  <si>
    <t>Effect of the use of topical Dipyrone in tooth sensitivity resulting from In Office Dental Bleaching</t>
  </si>
  <si>
    <t>01/29/2016</t>
  </si>
  <si>
    <t>U1111-1177-5411</t>
  </si>
  <si>
    <t>Dentin sensitivity,Tooth bleaching</t>
  </si>
  <si>
    <t>Influence of Leukocyte- and Platelet-rich Fibrin (L-PRF) on Bone Regeneration after Maxillary Sinus Augmentation with Bio-Oss®: a radomized clinical trial</t>
  </si>
  <si>
    <t>U1111-1193-1287</t>
  </si>
  <si>
    <t>Daniela Leal Zandim-Barcelos</t>
  </si>
  <si>
    <t>+55(16)33016508</t>
  </si>
  <si>
    <t>danielalzandim@foar.unesp.br</t>
  </si>
  <si>
    <t>Faculdade de Odontologia de Araraquara - Universidade Estadual Paulista (UNESP)</t>
  </si>
  <si>
    <t>Comparison of different Strengthening protocols associated with Blood Flow Restriction to increase handgrip strength</t>
  </si>
  <si>
    <t>U1111-1202-3105</t>
  </si>
  <si>
    <t>+55 (48) 3721-6250</t>
  </si>
  <si>
    <t>Team-Based Learning: A randomized clinical trial in undergraduate nursing and the construction of educational technology</t>
  </si>
  <si>
    <t>U111111909683</t>
  </si>
  <si>
    <t>This study will be conducted in healthy volunteers,undergraduate nursing students from Unesp,for evaluation of teaching methodology</t>
  </si>
  <si>
    <t>Sabrina Ramires Sakamoto</t>
  </si>
  <si>
    <t>Penápolis</t>
  </si>
  <si>
    <t>55 (18) 981268489</t>
  </si>
  <si>
    <t>saflafe2014@gmail.com</t>
  </si>
  <si>
    <t>Unesp ( Universidade Estadual Paulista)</t>
  </si>
  <si>
    <t>Comparison of antibody responses to the Gardasil® Quadrivalent Human Papillomavirus Vaccine in HIV-positive men in the Municipality of Campos dos Goytacazes Rio de Janeiro Brazil 2016-2018</t>
  </si>
  <si>
    <t>U1111-1200-4871</t>
  </si>
  <si>
    <t>Charbell Miguel Hadadd Kury</t>
  </si>
  <si>
    <t>charbellkury@hotmail.com</t>
  </si>
  <si>
    <t>Infant Care Serviços medicos LTDA</t>
  </si>
  <si>
    <t>Pain control in breast surgery: analgesia opioide consumption and inflamatory response evaluation</t>
  </si>
  <si>
    <t>U1111-1201-3686</t>
  </si>
  <si>
    <t>The effect of foot orthoses on balance in rheumatoid arthritis</t>
  </si>
  <si>
    <t>U1111-1200-6556</t>
  </si>
  <si>
    <t>Rheumatoid arthritis,foot function,balance</t>
  </si>
  <si>
    <t>Juliana Zonzini Gaino</t>
  </si>
  <si>
    <t>jugaino@hotmail.com</t>
  </si>
  <si>
    <t>Faculdade de Ciências MédicasUniversidade Estadual de Campinas</t>
  </si>
  <si>
    <t>Influence of Brown Adipose Tissue in energetic metabolism of People living with HIV and Aids</t>
  </si>
  <si>
    <t>U1111-1202-9596</t>
  </si>
  <si>
    <t>Men,HIV-associated lipodystrophy syndrome</t>
  </si>
  <si>
    <t>+55(16)33150745</t>
  </si>
  <si>
    <t>Impact of an Educational and Motivational Intervention in the control of Hydraulic Intake of patients in Hemodialysis Treatment</t>
  </si>
  <si>
    <t>U1111-1198-8071</t>
  </si>
  <si>
    <t>Graziella Allana Serra Alves de Oliveira Oller</t>
  </si>
  <si>
    <t>+55 (17) 98821 1324</t>
  </si>
  <si>
    <t>gra_enf@yahoo.com.br</t>
  </si>
  <si>
    <t>Comparative Study of the Elixir Sanativo and Chlorhexidine on Alveolar Healing</t>
  </si>
  <si>
    <t>U111112038369</t>
  </si>
  <si>
    <t>Gustavo Marques Sobral dos Santos</t>
  </si>
  <si>
    <t>gmsobral@hotmail.com</t>
  </si>
  <si>
    <t>Consequences of Total Edentulism on Masticatory Function Masseter Thickness and Oral Stereognosis</t>
  </si>
  <si>
    <t>U1111-1200-6460</t>
  </si>
  <si>
    <t>Effect of Fluoride Varnish containing Sodium Trimetaphosphate on the progression of Dental Caries in vivo: randomized controlled clinical trial</t>
  </si>
  <si>
    <t>U1111-1201-1321</t>
  </si>
  <si>
    <t>Dental Caries,Preschool,Child,Adolescent</t>
  </si>
  <si>
    <t>Michele Maurico Manarelli</t>
  </si>
  <si>
    <t>55-95-981039876</t>
  </si>
  <si>
    <t>michelemanarelli@gmail.com</t>
  </si>
  <si>
    <t>Use of intravenous morphine for postoperative analgesia in children submitted to adenotonsillectomy surgeries</t>
  </si>
  <si>
    <t>U1111-1200-4676</t>
  </si>
  <si>
    <t>Marcus Cavalcante de Oliveira Araújo</t>
  </si>
  <si>
    <t>marcuscaval@yahoo.com.br</t>
  </si>
  <si>
    <t>Efficacy Latency Duration and Anesthetic Depth of the traditional Anesthesia method and an In-System Anesthetic Injection without Comfort-In needle in maxillary molars through the Pulp Tester</t>
  </si>
  <si>
    <t>U1111-1192-3295</t>
  </si>
  <si>
    <t>+55 (79) 3214 2352</t>
  </si>
  <si>
    <t>Delayed breast reconstruction with autologous fat grafting and implant after mastectomy and radioterapy</t>
  </si>
  <si>
    <t>10/29/2017</t>
  </si>
  <si>
    <t>u1111-1202-1953</t>
  </si>
  <si>
    <t>breast reconstruction,radio dermatitis,women</t>
  </si>
  <si>
    <t>Luís Otávio Zanatta Sarian</t>
  </si>
  <si>
    <t>55-19-35219305</t>
  </si>
  <si>
    <t>luis.sarian@gmail.com</t>
  </si>
  <si>
    <t>Hospital da Mullher Professor José Aristodemo Pinote</t>
  </si>
  <si>
    <t>Influence of an Aquatic Exercise session on Hemodynamic Responses of Hypertensive elderly subjects</t>
  </si>
  <si>
    <t>U1111-1197-3351</t>
  </si>
  <si>
    <t>Cardiovascular diseases,Hypetension,Elderly</t>
  </si>
  <si>
    <t>Bruno Teixeira Barbosa</t>
  </si>
  <si>
    <t>+55 (83) 9 9814 0500</t>
  </si>
  <si>
    <t>brunobarbosacg@gmail.com</t>
  </si>
  <si>
    <t>Evaluation of Ethanol Wet Bonding with Hydrophilic Hydrophobic and Association Adhesives: clinical trial</t>
  </si>
  <si>
    <t>10/27/2017</t>
  </si>
  <si>
    <t>U1111-1196-6993</t>
  </si>
  <si>
    <t>Tooth Erosion,Dentin,Dental Abrasion</t>
  </si>
  <si>
    <t>Eduardo  Bresciani</t>
  </si>
  <si>
    <t>+55(12)39479000</t>
  </si>
  <si>
    <t>eduardob@ict.unesp.br</t>
  </si>
  <si>
    <t>Universidade do Estado de São Paulo - UNESP</t>
  </si>
  <si>
    <t>A randomized controlled trial to evaluate a method of occupational therapy in reducing neuropsychiatric symptoms in individuals with alzheimers disease</t>
  </si>
  <si>
    <t>U111111887165</t>
  </si>
  <si>
    <t>Dementia,Alzheimers Disease</t>
  </si>
  <si>
    <t>Alexandra Martini de Oliveira</t>
  </si>
  <si>
    <t>+55 (11) 26618043</t>
  </si>
  <si>
    <t>xandamartini@uap.br</t>
  </si>
  <si>
    <t>Departamento de Psiquiatria da Faculdade de Medicina da Universidade de São Paulo</t>
  </si>
  <si>
    <t>Impact of seats with different ergonomic designs on postural changes low back pain and cervicalgia in dental academics</t>
  </si>
  <si>
    <t>10/26/2017</t>
  </si>
  <si>
    <t>U1111-1169-5962</t>
  </si>
  <si>
    <t>Antonio Carlos Pereira</t>
  </si>
  <si>
    <t>+55 19 21065200</t>
  </si>
  <si>
    <t>apereira111@gmail.com</t>
  </si>
  <si>
    <t>Faculdade de Odontologia de Piracicaba- Unicamp</t>
  </si>
  <si>
    <t>Use of Realistic Simulation for the teaching of palliative care in nursing: a randomized study</t>
  </si>
  <si>
    <t>U1111-1201-4685</t>
  </si>
  <si>
    <t>Margareth Alves Bastos e Castro</t>
  </si>
  <si>
    <t>55(32)99819-3700</t>
  </si>
  <si>
    <t>maghms@terra.com.br</t>
  </si>
  <si>
    <t>Faculdade de Ciências Médicas e da Saúde Juiz de Fora</t>
  </si>
  <si>
    <t>Effects of intradialitic aerophonal exercise with partial restriction of blood flow in patients in hemodialysis: a randomized clinical trial</t>
  </si>
  <si>
    <t>U1111-1190-4495</t>
  </si>
  <si>
    <t>Kidney disease</t>
  </si>
  <si>
    <t>Rodrigo Kohn Cardoso</t>
  </si>
  <si>
    <t>+55(53)999114559</t>
  </si>
  <si>
    <t>rodrigokohn21@yahoo.com.br</t>
  </si>
  <si>
    <t>Escola Superior de Educação Física/Universidade Federal de Pelotas</t>
  </si>
  <si>
    <t>Therapeutic Nursing Guidelines for Prehospital Clinical Care in Emergencies and Cardiovascular Emergencies</t>
  </si>
  <si>
    <t>U1111-1202-8081</t>
  </si>
  <si>
    <t>Other heart conditions in diseases classified elsewhere</t>
  </si>
  <si>
    <t>Thiago Enggle de Araújo Alves</t>
  </si>
  <si>
    <t>55(84)8846-0596</t>
  </si>
  <si>
    <t>thiagoenggle@gmail.com</t>
  </si>
  <si>
    <t>Faculdade de Enfermagem e Medicina Nova Esperança</t>
  </si>
  <si>
    <t>Multimedia Application on Mobile Platform to Promote foot Care for people with Diabetes: randomized controlled trial</t>
  </si>
  <si>
    <t>U1111-1202-6318</t>
  </si>
  <si>
    <t>Diabetes Mellitus,diabetic foot</t>
  </si>
  <si>
    <t>Antonio Dean Barbosa Marques</t>
  </si>
  <si>
    <t>antonio-dean@hotmail.com</t>
  </si>
  <si>
    <t>Salivary Biomarkers associated with Gingivitis in children and adolescents with Spastic Cerebral Palsy</t>
  </si>
  <si>
    <t>U1111-1200-9644</t>
  </si>
  <si>
    <t>Maria Teresa Botti R Santos</t>
  </si>
  <si>
    <t>maria.botti@cruzeirodosul.edu.br</t>
  </si>
  <si>
    <t>Fatigue Management Project</t>
  </si>
  <si>
    <t>U1111-1199-8811</t>
  </si>
  <si>
    <t>Fausto Aloísio Pedrosa Pimenta</t>
  </si>
  <si>
    <t>55(31)3559-1018</t>
  </si>
  <si>
    <t>faloisio@uol.com.br</t>
  </si>
  <si>
    <t>Universidade Federal de Ouro Preto</t>
  </si>
  <si>
    <t>Double Blind Randomized Trial for L-arginine Effectineness study as a coadjuvante therapeutic protocol in the treatment of Sickle Cell Anemia</t>
  </si>
  <si>
    <t>U1111-1201-6937</t>
  </si>
  <si>
    <t>sickle cell anemia</t>
  </si>
  <si>
    <t>Renata Mirian Nunes Eleuterio</t>
  </si>
  <si>
    <t>renatameleuterio@gmail.com</t>
  </si>
  <si>
    <t>Phase III Randomized Clinical Trial of Lurbinectedin (PM01183)/ Doxorubicin (DOX) versus Cyclophosphamide (CTX) Doxorubicin (DOX) and Vincristine (VCR) (CAV) or Topotecan as Treatment in Patients with Small-Cell Lung Cancer (SCLC) Who Failed One Prior Platinum-containing Line (ATLANTIS Trial)</t>
  </si>
  <si>
    <t>U1111-1185-0508</t>
  </si>
  <si>
    <t>Fabio Andre Franke</t>
  </si>
  <si>
    <t>Ijui</t>
  </si>
  <si>
    <t>55 55 3331-9393</t>
  </si>
  <si>
    <t>ff.oncosite@gmail.com</t>
  </si>
  <si>
    <t>Hospital de Caridade de Ijui</t>
  </si>
  <si>
    <t>Effect of a controlled release system of doxycycline for control of periodontal disease: randomized double masking clinical trial</t>
  </si>
  <si>
    <t>U111112024907</t>
  </si>
  <si>
    <t>Vivianne Carvalho da Cunha Trajano</t>
  </si>
  <si>
    <t>+55(31)991545259</t>
  </si>
  <si>
    <t>viviannecunha@hotmail.com</t>
  </si>
  <si>
    <t>Rhizophora mangle cream on skin wound healing. randomized clinical trial</t>
  </si>
  <si>
    <t>U1111-1200-3046</t>
  </si>
  <si>
    <t>cutaneous wound</t>
  </si>
  <si>
    <t>Jerrar Xavier Silva</t>
  </si>
  <si>
    <t>jerrarx@hotmail.com</t>
  </si>
  <si>
    <t>Fundação Santa Luzia</t>
  </si>
  <si>
    <t>Effects of physical training and vitamin D supplementation on muscle mass of hemodialysis patients</t>
  </si>
  <si>
    <t>06/25/2015</t>
  </si>
  <si>
    <t>U1111-1149-7244</t>
  </si>
  <si>
    <t>Chronic kidney disease,hemodialysis</t>
  </si>
  <si>
    <t>Jacqueline Teixeira Caramori</t>
  </si>
  <si>
    <t>jteixeir@fmb.unesp.br</t>
  </si>
  <si>
    <t>Nursing Home Visit in the treatment of children and adolescents with Severe Asthma</t>
  </si>
  <si>
    <t>U1111-1195-7008</t>
  </si>
  <si>
    <t>Laura Maria de Lima Belizario Facury Lasmar</t>
  </si>
  <si>
    <t>laurabl@uol.com.br</t>
  </si>
  <si>
    <t>Use of different Desensitizing Gels on Sensitivity to Cleaching</t>
  </si>
  <si>
    <t>10/19/2017</t>
  </si>
  <si>
    <t>U1111-1200-5624</t>
  </si>
  <si>
    <t>leandro de moura martins</t>
  </si>
  <si>
    <t>55(92)98119-0199</t>
  </si>
  <si>
    <t>martins.l.m@gmail.com</t>
  </si>
  <si>
    <t>Nurse caring for adult type 2 diabetic people. What are the outcomes in lifestyle?</t>
  </si>
  <si>
    <t>U1111-1199-5506</t>
  </si>
  <si>
    <t>Maria do Rosário dos Santos Figueiredo Pinto da Paz Batista</t>
  </si>
  <si>
    <t>Santarem</t>
  </si>
  <si>
    <t>mrosariopinto.essaude@gmail.com</t>
  </si>
  <si>
    <t>Universidade de Lisboa</t>
  </si>
  <si>
    <t>Association between Cardiorespiratory fitness and Sleep in Elderly</t>
  </si>
  <si>
    <t>U1111-1182-9392</t>
  </si>
  <si>
    <t>Obstructive Sleep Apnea Syndrome</t>
  </si>
  <si>
    <t>Effect of a TiF4 Varnish in the Prevention and Remineralization of caries lesions in permanent teeth of children living in a fluoridated region: randomized clinical trial of 18 months</t>
  </si>
  <si>
    <t>10/18/2017</t>
  </si>
  <si>
    <t>U1111-1175-2380</t>
  </si>
  <si>
    <t>non-cavitated enamel carious lesions (white spot lesions) in permanent teeth in children</t>
  </si>
  <si>
    <t>Beatriz  Martines de Souza</t>
  </si>
  <si>
    <t>+55 (14) 98154-8927</t>
  </si>
  <si>
    <t>beatrizmartines@hotmail.com</t>
  </si>
  <si>
    <t>Faculdade de Odontologia de Bauru - FOB/USP</t>
  </si>
  <si>
    <t>Kinesio Taping® associated with Lumbopelvic Stabilization Exercises in patients with Cronic non-radicular Low Back Pain</t>
  </si>
  <si>
    <t>U1111-1201-1137</t>
  </si>
  <si>
    <t>Non-Specific Chronic Low Back Pain</t>
  </si>
  <si>
    <t>Effects of Acupuncture with electrodes in heart Transplant patients</t>
  </si>
  <si>
    <t>10/17/2017</t>
  </si>
  <si>
    <t>U1111-1202-5573</t>
  </si>
  <si>
    <t>Heart transplantation</t>
  </si>
  <si>
    <t>Luiz Fernando Rodrigues Junior</t>
  </si>
  <si>
    <t>+55 21 2285-3344</t>
  </si>
  <si>
    <t>luiz.junior@unirio.br</t>
  </si>
  <si>
    <t>Evaluation of the Cooking Skills Intervention impact on Eating Habits of university students</t>
  </si>
  <si>
    <t>U1111-1202-4954</t>
  </si>
  <si>
    <t>Greyce Luci Bernardo</t>
  </si>
  <si>
    <t>+55(048)37213410</t>
  </si>
  <si>
    <t>greyce.bernardo@ufsc.br</t>
  </si>
  <si>
    <t>Effectiveness of the Aquatic Physiotherapy program in functional fitness and quality of life in older people with Non-Transmissible Chronic Diseases</t>
  </si>
  <si>
    <t>U1111-1202-4887</t>
  </si>
  <si>
    <t>Eduardo Aguilar Arca</t>
  </si>
  <si>
    <t>+55(14)21077000</t>
  </si>
  <si>
    <t>eduardo.arca@usc.br</t>
  </si>
  <si>
    <t>Effectiveness MWM e Tape of Mulligan in ankles Functional Unstable: a randomized study</t>
  </si>
  <si>
    <t>U1111-1201-3770</t>
  </si>
  <si>
    <t>Flatfoot</t>
  </si>
  <si>
    <t>Frederico Igor Ribeiro Calaça</t>
  </si>
  <si>
    <t>Goiânia,Goiás,Brasil</t>
  </si>
  <si>
    <t>+55 (062) 98125 2974</t>
  </si>
  <si>
    <t>firc@hotmail.com</t>
  </si>
  <si>
    <t>Universidade Nacional de Brasilia</t>
  </si>
  <si>
    <t>Telephone intervention for the management of Fatigue in Cancer patients submitted to Radiotherapy: a randomized clinical trial</t>
  </si>
  <si>
    <t>U1111-1201-1465</t>
  </si>
  <si>
    <t>radiotherapy,fatigue,Cancer</t>
  </si>
  <si>
    <t>Emanuelly Mota Silva Rodrigues</t>
  </si>
  <si>
    <t>+55(85)3521 1515</t>
  </si>
  <si>
    <t>centrodeestudos.crio@gmail.com</t>
  </si>
  <si>
    <t>Centro Regional Integrado de Oncologia</t>
  </si>
  <si>
    <t>Effects of Brazil nut supplementation (Bertholletia excelsa H.B.K.) in Nrf2 and NFkB expression in coronary arterial disease patients</t>
  </si>
  <si>
    <t>U1111-1198-1417</t>
  </si>
  <si>
    <t>Atherosclerosis of aorta</t>
  </si>
  <si>
    <t>Ludmila FMF Cardozo</t>
  </si>
  <si>
    <t>nIteroi</t>
  </si>
  <si>
    <t>+55(21)2629 9382</t>
  </si>
  <si>
    <t>ludmila.cardozo@gmail.com</t>
  </si>
  <si>
    <t>Pós-graduação em Ciências Cardiovasculares,Universidade Federal Fluminense</t>
  </si>
  <si>
    <t>Effect of Supplementation of Resveratrol Sublingual on Oxidative And Inflammatory Stress Markers in Hemodialysis Patients with Chronic Kidney Disease</t>
  </si>
  <si>
    <t>U1111-1202-1584</t>
  </si>
  <si>
    <t>Chronic Kidney Disease</t>
  </si>
  <si>
    <t>Maicon Roberto Kviecinski</t>
  </si>
  <si>
    <t>maicon.kviecinski@gmail.com</t>
  </si>
  <si>
    <t>The peripheral muscular oxygenation and ventilatory during dynamic exercise of high intensity players from football: A randomized clinical trial of the effects of respiratory muscle training in improving exercise tolerance</t>
  </si>
  <si>
    <t>U1111-1167-2606</t>
  </si>
  <si>
    <t>Musculoskeletal Disease</t>
  </si>
  <si>
    <t>Flavia Rossi Caruso Bonjorno</t>
  </si>
  <si>
    <t>+55(16)33518952</t>
  </si>
  <si>
    <t>fla.rossi@hotmail.com</t>
  </si>
  <si>
    <t>Effects of Auricular Acupuncture and Cupping Therapy on Chronic Back Pain: Randomized Clinical Trial</t>
  </si>
  <si>
    <t>10/16/2017</t>
  </si>
  <si>
    <t>U1111-1203-1037</t>
  </si>
  <si>
    <t>+55(31)34099887</t>
  </si>
  <si>
    <t>Effects of use mobile application on adherence to treatment after Percutaneous Coronary Intervention: a randomized clinical trial</t>
  </si>
  <si>
    <t>U1111-1202-2415</t>
  </si>
  <si>
    <t>Mari Ângela Gaedke</t>
  </si>
  <si>
    <t>+55 51 999835673</t>
  </si>
  <si>
    <t>mari_enf@yahoo.com.br</t>
  </si>
  <si>
    <t>Universidade do Vale do Rio dos Sinos - UNISINOS</t>
  </si>
  <si>
    <t>Effect of Ginger (Zingiber Officinale) on glycemic and lipemic control of people with Type 2 Diabetes Mellitus: a randomized clinical trial</t>
  </si>
  <si>
    <t>U1111-1202-1650</t>
  </si>
  <si>
    <t>Gerdane Celene Carvalho</t>
  </si>
  <si>
    <t>gerdanecelene@hotmail.com</t>
  </si>
  <si>
    <t>Effect of electromyographic biofeedback associated with vocal therapy in the larynx voice and muscular electrical activity of dysphonic women: controlled randomized and blinded clinical trial</t>
  </si>
  <si>
    <t>U1111-1198-6443</t>
  </si>
  <si>
    <t>Kelly Cristina Alves Silverio</t>
  </si>
  <si>
    <t>+55 (14)3223-4679</t>
  </si>
  <si>
    <t>kellysilverio@usp.br</t>
  </si>
  <si>
    <t>A phase 3 multicenter open-label randomized comparator controlled trial of the safety and efficacy of Dalbavancin versus Active Comparator in pediatric subjects with Acute Bacterial Skin and Skin Structure Infections</t>
  </si>
  <si>
    <t>U1111-1199-0232</t>
  </si>
  <si>
    <t>Fabio de Araujo Motta</t>
  </si>
  <si>
    <t>55 41 3310-1356</t>
  </si>
  <si>
    <t>Effects of Photobiomodulation on anterior serratus muscle and electromyographic indicators of Fatigue and synergism of shoulder muscles</t>
  </si>
  <si>
    <t>U1111-1194-4781</t>
  </si>
  <si>
    <t>Muscle fatigue,Men</t>
  </si>
  <si>
    <t>helga.tucci@gmail.com</t>
  </si>
  <si>
    <t>Physiotherapeutic intervention in individuals with Chronic Renal Insufficiency submitted to intradialytic physiotherapeutic treatment</t>
  </si>
  <si>
    <t>U1111-1202-7221</t>
  </si>
  <si>
    <t>Chronic Renal Insufficiency in Hemodialysis</t>
  </si>
  <si>
    <t>Mayara Simões</t>
  </si>
  <si>
    <t>mayara_simoes_13@hotmail.com</t>
  </si>
  <si>
    <t>Brush effectiveness compared to manual brush without dental biofilm control with down syndrome</t>
  </si>
  <si>
    <t>U1111-1201-4484</t>
  </si>
  <si>
    <t>Regina Ferraz Mendes Viana</t>
  </si>
  <si>
    <t>+55(86)999824947</t>
  </si>
  <si>
    <t>inafmendes@hotmail.com</t>
  </si>
  <si>
    <t>Effect of Low Level Laser Therapy for pain relief in the Cesarean Section</t>
  </si>
  <si>
    <t>U1111-1199-1596</t>
  </si>
  <si>
    <t>Care post operative,cesarean,women</t>
  </si>
  <si>
    <t>Alane Macatrão Pires de Holanda Araújo</t>
  </si>
  <si>
    <t>+55(084)994331633</t>
  </si>
  <si>
    <t>alanemacatrao@yahoo.com.br</t>
  </si>
  <si>
    <t>The influence of music therapy on pain and physiological responses in patients of an Adult Intensive Care Unit of the Federal District</t>
  </si>
  <si>
    <t>U1111-1199-2971</t>
  </si>
  <si>
    <t>Raphael Neiva Praça Adjuto</t>
  </si>
  <si>
    <t>+55 (61) 996710472</t>
  </si>
  <si>
    <t>raphael.adjuto@gmail.com</t>
  </si>
  <si>
    <t>Escola Superior de Ciências da Saúde</t>
  </si>
  <si>
    <t>Can Esophageal Varices in children be predicted without the performance of Upper Digestive Endoscopy?</t>
  </si>
  <si>
    <t>U1111-1196-2897</t>
  </si>
  <si>
    <t>portal hypertension,esophageal varices,liver diseases</t>
  </si>
  <si>
    <t>55-14-996212531</t>
  </si>
  <si>
    <t>epaiva@fmb.unesp.br</t>
  </si>
  <si>
    <t>Unesp-Universidade Estadual Julio de Mesquita-Faculdade de Medicina de Botucatu</t>
  </si>
  <si>
    <t>Cryotherapy applied to people using antineoplastic chemotherapy with 5-fluorouracil: a randomized clinical trial</t>
  </si>
  <si>
    <t>U1111-1187-6198</t>
  </si>
  <si>
    <t>Post traumatic stress disorder and neuroprogression. Trauma and stress increasing alostatic load and accelerating the aging process</t>
  </si>
  <si>
    <t>09/28/2017</t>
  </si>
  <si>
    <t>U1111-1168-6727</t>
  </si>
  <si>
    <t>Post traumatic stress disorder</t>
  </si>
  <si>
    <t>Marcelo Feijo de Mello</t>
  </si>
  <si>
    <t>+55 (11) 55764991</t>
  </si>
  <si>
    <t>feijomellom@me.com</t>
  </si>
  <si>
    <t>Universidade Federal de Sao Paulo-Depto de Psiquiatria</t>
  </si>
  <si>
    <t>Influence of a Balance development program on elderly community residents</t>
  </si>
  <si>
    <t>U1111-1201-1379</t>
  </si>
  <si>
    <t>Jonas Lírio Gurgel</t>
  </si>
  <si>
    <t>+55 (21) 26292809</t>
  </si>
  <si>
    <t>jonasgurgel@terra.com.br</t>
  </si>
  <si>
    <t>Exercise and Stress</t>
  </si>
  <si>
    <t>U1111-1201-9214</t>
  </si>
  <si>
    <t>Burnout,Professional</t>
  </si>
  <si>
    <t>Flavia Porto Melo Ferreira</t>
  </si>
  <si>
    <t>Effects of Acute Supplementation with Epigalocatequine 3 Galate (EGCG) on Appetites Modulation in healthy women</t>
  </si>
  <si>
    <t>U1111-1194-7069</t>
  </si>
  <si>
    <t>Continued access to Darunavir/Ritonavir (DRV/RTV) in HIV-1 infected children and adolescents aged 3 years and above</t>
  </si>
  <si>
    <t>U1111-1199-1045</t>
  </si>
  <si>
    <t>José Henrique Pilotto</t>
  </si>
  <si>
    <t>55 21 2667-3022</t>
  </si>
  <si>
    <t>pilotto@uninet.com.br</t>
  </si>
  <si>
    <t>Hospital Geral de Nova Iguaçu</t>
  </si>
  <si>
    <t>Effect of the Pilates Method in the elderly with pains</t>
  </si>
  <si>
    <t>12/29/2016</t>
  </si>
  <si>
    <t>U1111-1191-0771</t>
  </si>
  <si>
    <t>Elderly,with presence of low back pain</t>
  </si>
  <si>
    <t>Knowledge of the nursing team about Basic Life Support for infants - pre and post Training in Service: a randomized study</t>
  </si>
  <si>
    <t>09/27/2017</t>
  </si>
  <si>
    <t>U1111-1199-7938</t>
  </si>
  <si>
    <t>+55 (32) 99819-3700</t>
  </si>
  <si>
    <t>Telephone Assistance and Monitoring for Nausea and Vomiting control associated with outpatient Antineoplastic Chemotherapy</t>
  </si>
  <si>
    <t>U1111-1196-9969</t>
  </si>
  <si>
    <t>Neoplasms,nausea,vomiting</t>
  </si>
  <si>
    <t>Andressa Carneiro França</t>
  </si>
  <si>
    <t>55-85-999383837</t>
  </si>
  <si>
    <t>andressacfranca.enf@gmail.com</t>
  </si>
  <si>
    <t>Influence of Physical Activity levels and Sedentary behavior in the prevalence of Urinary Incontinence in young nuliparous women</t>
  </si>
  <si>
    <t>U1111-1199-1058</t>
  </si>
  <si>
    <t>urinary incontinence,sexual dysfunction,physiological,women,sedentary lifestyle</t>
  </si>
  <si>
    <t>Soraia Cristina Tonon da Luz</t>
  </si>
  <si>
    <t>+55(48)36648670</t>
  </si>
  <si>
    <t>soraiaudesc@hotmail.com</t>
  </si>
  <si>
    <t>Universidade do estado de Santa Catarina/UDESC</t>
  </si>
  <si>
    <t>Proteomal analysis of dental biofilm and its association with the effectiveness of the resin infiltration technique for the prevention of post-eruptive breakdown in children with molar-incisor hypomineralization (MIH)</t>
  </si>
  <si>
    <t>U1111-1201-4854</t>
  </si>
  <si>
    <t>Fernanda Raposo</t>
  </si>
  <si>
    <t>+55(61)981355697</t>
  </si>
  <si>
    <t>fe.raposo6@gmail.com</t>
  </si>
  <si>
    <t>Faculdade de Ciências da Saúde - Universidade de Brasília</t>
  </si>
  <si>
    <t>Lumbopelvic Stabilization Exercises in nursing professionals with Non-specific Low Back Pain</t>
  </si>
  <si>
    <t>U1111-1201-3778</t>
  </si>
  <si>
    <t>Non-specific low back pain</t>
  </si>
  <si>
    <t>Effects of Kinesio Taping on Scapular Dyskinesia Umeral Retroversion and Shoulder Symptomatology in Handball Athletes</t>
  </si>
  <si>
    <t>U1111-1201-1201</t>
  </si>
  <si>
    <t>Effect between two methods of interval training of high intensity in the process Inflammation and subclinical atherosclerosis of people living with HIV/Aids: a study Double blind clinical trial</t>
  </si>
  <si>
    <t>U1111-1199-4633</t>
  </si>
  <si>
    <t>enfermedad por el virus de la inmunodeficiencia humana (HIV)</t>
  </si>
  <si>
    <t>Gustavo Willames Barros</t>
  </si>
  <si>
    <t>+55(81)996575159</t>
  </si>
  <si>
    <t>gustavowillames@hotmail.com</t>
  </si>
  <si>
    <t>Photobiomodulation Before and After the femoral quadriceps Fatigue Protocol of Healthy patients in Pain Control and Muscle Damage: a controlled study randomized double blind</t>
  </si>
  <si>
    <t>U1111-1193-6691</t>
  </si>
  <si>
    <t>Henderson Palma</t>
  </si>
  <si>
    <t>+55(13)32217295</t>
  </si>
  <si>
    <t>henderson.palma@uol.com.br</t>
  </si>
  <si>
    <t>Analysis of the effect of the pilates method on the postural profile and balance of the elderly community in the neighborhood of Pedro in Teresina - PI</t>
  </si>
  <si>
    <t>U1111-11919216</t>
  </si>
  <si>
    <t>Monaliza Sousa dos Anjos</t>
  </si>
  <si>
    <t>+55(86)99462-1694</t>
  </si>
  <si>
    <t>monalizaanjos@hotmail.com</t>
  </si>
  <si>
    <t>Longitudinal evaluation effects of phototherapy with low-power laser in mandibular movements pain and edema after orthognathic surgery</t>
  </si>
  <si>
    <t>U1111-1198-9570</t>
  </si>
  <si>
    <t>55 11 30788264</t>
  </si>
  <si>
    <t>ricardodavila@usp.br</t>
  </si>
  <si>
    <t>A Clinical Phase II Trial to Describe Pharmacokinetics Pharmacodynamics Safety and Immunogenicity of Spectrila® with the Pharmaceutical Active Ingredient Recombinant L-Asparaginase in Adult Subjects with Newly Diagnosed Acute B-Cell Lymphoblastic Leukaemia</t>
  </si>
  <si>
    <t>09/20/2017</t>
  </si>
  <si>
    <t>U1111-1201-6857</t>
  </si>
  <si>
    <t>Acute Lymphoblastic Leukaemia</t>
  </si>
  <si>
    <t>Anna Carolina Coimbra</t>
  </si>
  <si>
    <t>+55 (21) 3553 9763</t>
  </si>
  <si>
    <t>annacarolina.coimbra@incresearch.com</t>
  </si>
  <si>
    <t>INC Research BR Serviços de Pesquisas Clínicas Ltda</t>
  </si>
  <si>
    <t>In vivo analysis of the inflammatory response in patients with Chronic Obstructive Pulmonary Disease (COPD) after orange juice intake</t>
  </si>
  <si>
    <t>U1111-1188-1377</t>
  </si>
  <si>
    <t>Chronic obstructive pulmonary disease (COPD) Inflammation</t>
  </si>
  <si>
    <t>Sergio Alberto Rupp de Paiva</t>
  </si>
  <si>
    <t>paiva@fmb.unesp.br</t>
  </si>
  <si>
    <t>Faculdade de Medicina de Botucatu Unesp</t>
  </si>
  <si>
    <t>Postoperative quality of recovery in women undergoing cholecystectomies: a randomized and double-blind clinical trial</t>
  </si>
  <si>
    <t>U1111-1198-0079</t>
  </si>
  <si>
    <t>Laparoscopic Cholecystectomy,General Anesthesia,Cholelithiasis</t>
  </si>
  <si>
    <t>Effectiveness of Acupuncture as auxiliary treatment on Chronic Headache</t>
  </si>
  <si>
    <t>U1111-1190-6791</t>
  </si>
  <si>
    <t>Wildete Carvalho Mayrink</t>
  </si>
  <si>
    <t>pubmail@yahoo.com.br</t>
  </si>
  <si>
    <t>Breastfeeding: impact of a program of guidance individuals on the attitude of breastfeeding of puerperae with newborns hospitalized in an intermediate care unit</t>
  </si>
  <si>
    <t>U1111-1194-8183</t>
  </si>
  <si>
    <t>Tatiane Falcão dos Santos Albergaria</t>
  </si>
  <si>
    <t>+55(71)987703696</t>
  </si>
  <si>
    <t>tatianefalcao@hotmail.com</t>
  </si>
  <si>
    <t>Clinical evaluation of a universal adhesive system containing copper nanoparticles in composite resin restorations in non-carious cervical lesions: triple blind randomized clinical trial</t>
  </si>
  <si>
    <t>U1111-1197-8460</t>
  </si>
  <si>
    <t>Comparative analysis of anti-inflammatory effect of a corticosteroid and a NSAID administered previously to impacted thrid molars surgery: a randomized double-blind clinical trial</t>
  </si>
  <si>
    <t>U1111-1194-9558</t>
  </si>
  <si>
    <t>Postoperative Complications,Postoperative Pain,Edema,Trismus,Unerupted Tooth</t>
  </si>
  <si>
    <t>Fábio Andrey da Costa Araújo</t>
  </si>
  <si>
    <t>fabio.andrey@upe.br</t>
  </si>
  <si>
    <t>Universidade de Pernambuco,Campus Arcoverde</t>
  </si>
  <si>
    <t>Class II restorations evaluation using bulk-fill resin base or glass ionomer cement: Clinical trial</t>
  </si>
  <si>
    <t>U1111-1193-8497</t>
  </si>
  <si>
    <t>Dentin caries,compomers,intermediary base in dental cavity</t>
  </si>
  <si>
    <t>74605220. Tel: 55 62 3209 6050,Fax: 55 62 3521 1882</t>
  </si>
  <si>
    <t>Effect of chromium supplementation in HIV patients with lipodystrophy</t>
  </si>
  <si>
    <t>U1111-1198-7825</t>
  </si>
  <si>
    <t>HIV infections,HIV-Associated Lipodystrophy Syndrome</t>
  </si>
  <si>
    <t>+55 (16) 3315 3367</t>
  </si>
  <si>
    <t>Randomized clinical trial of two high viscosity´s restorative Glass Ionomer Cements used in deciduous molars</t>
  </si>
  <si>
    <t>U1111-1198-5906</t>
  </si>
  <si>
    <t>Lara Jansiski Motta</t>
  </si>
  <si>
    <t>+55 11 998829511</t>
  </si>
  <si>
    <t>larajmotta@terra.com.br</t>
  </si>
  <si>
    <t>Impact of capoeira lessons in the executive functions of children from 06 to 12 years</t>
  </si>
  <si>
    <t>U1111-1188-9230</t>
  </si>
  <si>
    <t>Valter da Rocha Fernandes</t>
  </si>
  <si>
    <t>capoeiracurumim@hotmail.com</t>
  </si>
  <si>
    <t>Study of urinary and bladder abnormalities prevalent in women with non-traumatic diseases of the spinal cord and comparative analysis of the conservative therapeutic approach with the techniques of sacral and tibial nervous eletroestimulation</t>
  </si>
  <si>
    <t>U1111-1196-8372</t>
  </si>
  <si>
    <t>Demyelinating Autoimmune Diseases CNS,Urinary Incontinence,Transcutaneous Electric Nerve Stimulation</t>
  </si>
  <si>
    <t>Amene Cidrão Lima</t>
  </si>
  <si>
    <t>+55 (85) 3366 8523</t>
  </si>
  <si>
    <t>amenelima@hotmail.com</t>
  </si>
  <si>
    <t>Maternidade Escola Assis Chateubriand</t>
  </si>
  <si>
    <t>The use of Facilitated Tucking Peripheral Venous Puncture in hospitalized neonates</t>
  </si>
  <si>
    <t>09/18/2017</t>
  </si>
  <si>
    <t>U1111-1150-8678</t>
  </si>
  <si>
    <t>Dor.Prematuro</t>
  </si>
  <si>
    <t>Denis da Silva Moreira</t>
  </si>
  <si>
    <t>55(35)88686009</t>
  </si>
  <si>
    <t>denisunifal@gmail.com</t>
  </si>
  <si>
    <t>Effect of Natural Compounds on Bone Regeneration: a human study</t>
  </si>
  <si>
    <t>U1111-1198-1497</t>
  </si>
  <si>
    <t>José Moisés Souza Júnior</t>
  </si>
  <si>
    <t>55(48)99951-0472</t>
  </si>
  <si>
    <t>dr.josemoises@hotmail.com</t>
  </si>
  <si>
    <t>Balance Exercises Circuit on fall prevention and quality of living in elderly: a follow-up estudy</t>
  </si>
  <si>
    <t>U1111-1197-3510</t>
  </si>
  <si>
    <t>Marisete Peralta Safons</t>
  </si>
  <si>
    <t>+55(61) 31072557</t>
  </si>
  <si>
    <t>mari7ps@gmail.com</t>
  </si>
  <si>
    <t>Faculdade de Educação Física</t>
  </si>
  <si>
    <t>Treatment protocol of exercises for chronic lumbar pain comparison between assisted group x not-assisted group</t>
  </si>
  <si>
    <t>U1111-1185-1871</t>
  </si>
  <si>
    <t>René Souza Faria</t>
  </si>
  <si>
    <t>+55 (14) 996715696</t>
  </si>
  <si>
    <t>renefaria_0013@hotmail.com</t>
  </si>
  <si>
    <t>Centro de Traumato-Ortopedia do Esporte</t>
  </si>
  <si>
    <t>Effects of Transcutaneous Electrostimulation at Acupuncture Points on the Autonomic Balance of Healthy Subjects</t>
  </si>
  <si>
    <t>U1111-1190-2567</t>
  </si>
  <si>
    <t>Cardiovascular diseases,Autonomic Nervous System</t>
  </si>
  <si>
    <t>+55 (21) 981212029</t>
  </si>
  <si>
    <t>Developing an Early Mobility Protocol to neurological patients in the wards of hucff</t>
  </si>
  <si>
    <t>U1111-1200-5633</t>
  </si>
  <si>
    <t>Ana Paula Fontana</t>
  </si>
  <si>
    <t>55 21 39382224</t>
  </si>
  <si>
    <t>fontanaap@gmail.com</t>
  </si>
  <si>
    <t>Faculdade de Medicina da universidade Federal do Rio de Janeiro</t>
  </si>
  <si>
    <t>Augmenting pharmacological treatment of treatment-resistant social anxiety disorder with cognitive therapy</t>
  </si>
  <si>
    <t>09/13/2017</t>
  </si>
  <si>
    <t>U1111-1174-2472</t>
  </si>
  <si>
    <t>Social Phobia</t>
  </si>
  <si>
    <t>Gabriela Martins Bezerra de Menezes</t>
  </si>
  <si>
    <t>55 21 999973813</t>
  </si>
  <si>
    <t>gabrielamenezes@gmail.com</t>
  </si>
  <si>
    <t>Instituto de Psiquiatria da UFRJ - IPUB</t>
  </si>
  <si>
    <t>Pilates and Dance to Breast Cancer patients undergoing treatment: MoveMama Project</t>
  </si>
  <si>
    <t>U1111-1195-1623</t>
  </si>
  <si>
    <t>Breast cancer,Quality of life,Fatigue,Lymphedema,Depression,Range of Motion,Articular</t>
  </si>
  <si>
    <t>Adriana Coutinho de Azevedo Guimarães</t>
  </si>
  <si>
    <t>The influence of Strength Training Endurance and Balance in institutionalized Elderly: a Randomized Controlled Trial</t>
  </si>
  <si>
    <t>U1111-1199-4155</t>
  </si>
  <si>
    <t>Kacylen Costa da Silva dos Santos</t>
  </si>
  <si>
    <t>Alvorada</t>
  </si>
  <si>
    <t>55-51-996992421</t>
  </si>
  <si>
    <t>kacy.cs@gmail.com</t>
  </si>
  <si>
    <t>Centro Universitário Metodista IPA/ Federação de Faculdades Metodista do Sul</t>
  </si>
  <si>
    <t>Aromatherapy with Massage on Stress from a nursing staff at the surgical center</t>
  </si>
  <si>
    <t>U11112005368</t>
  </si>
  <si>
    <t>55(14)3008-1001</t>
  </si>
  <si>
    <t>Supplementation with Vitamin D assessment on Physical Fitness: study heritability</t>
  </si>
  <si>
    <t>U1111-1181-3125</t>
  </si>
  <si>
    <t>twins,healthy volunteers</t>
  </si>
  <si>
    <t>Jeane Pires Medeiros</t>
  </si>
  <si>
    <t>+55(84)3215-3400</t>
  </si>
  <si>
    <t>jeanefpires@hotmail.com</t>
  </si>
  <si>
    <t>Comparative study of Platelet-rich Plasma and Corticosteroids in treatment of Rotator Cuff Tendinopathy</t>
  </si>
  <si>
    <t>U1111-1195-9769</t>
  </si>
  <si>
    <t>Rotator Cuff Impingment Syndrome</t>
  </si>
  <si>
    <t>Arthur Rangel Azevedo</t>
  </si>
  <si>
    <t>+55(79)99934-8300</t>
  </si>
  <si>
    <t>rangel.aaz@gmail.com</t>
  </si>
  <si>
    <t>Impact of Dietary Intervention and Exercises on body composition and metabolic and molecular biomarcators: randomized and controlled clinical test on Overweight elderly</t>
  </si>
  <si>
    <t>U11111176-3855</t>
  </si>
  <si>
    <t>The impact of Physical Activity on Androgenic Deficiency in the Aging Male and Associated Factors</t>
  </si>
  <si>
    <t>U1111-1197-9172</t>
  </si>
  <si>
    <t>Melissa de Carvalho Souza Vieira</t>
  </si>
  <si>
    <t>+55 (48) 36648600</t>
  </si>
  <si>
    <t>mecarvalho.s@gmail.com</t>
  </si>
  <si>
    <t>Effectiveness Implementation Quality and Social Validity Evaluation of the Strengthening Families Program</t>
  </si>
  <si>
    <t>U1111-1200-2788</t>
  </si>
  <si>
    <t>Larissa de Almeida Nobre-Sandoval</t>
  </si>
  <si>
    <t>55(61)99847-0190</t>
  </si>
  <si>
    <t>nobre.lan@gmail.com</t>
  </si>
  <si>
    <t>Evaluation of knee extension and bend strength in patients with knee arthrosis who will receive and will not receive an injection in the knees of HILANO GF-20 and who will do bodybuilding</t>
  </si>
  <si>
    <t>U1111-1199-0001</t>
  </si>
  <si>
    <t>Gonarthrosis [arthrosis of knee],women,Sedentary Lifestyle</t>
  </si>
  <si>
    <t>Paulo Cesar Hamdan</t>
  </si>
  <si>
    <t>+55 (21) 3938-2789</t>
  </si>
  <si>
    <t>hamdanacademico@yahoo.com</t>
  </si>
  <si>
    <t>Hospital universitario clementino fraga filho da universidade federal do rio de janeiro</t>
  </si>
  <si>
    <t>Clinical trial of valproic acid with radiochemotherapy for diffuse pontine intrinsic glioma patients</t>
  </si>
  <si>
    <t>05/30/2016</t>
  </si>
  <si>
    <t>U1111-1179-2263</t>
  </si>
  <si>
    <t>Glioma,brain stem neoplasm</t>
  </si>
  <si>
    <t>Francisco Helder Cavalcante Felix</t>
  </si>
  <si>
    <t>+55(85)32579613</t>
  </si>
  <si>
    <t>heldercfelix@gmail.com</t>
  </si>
  <si>
    <t>Hospital Infantil Albert Sabin</t>
  </si>
  <si>
    <t>Conscious sedation technique with oral midazolam for dental treatment in adult patients with Downs Syndrome</t>
  </si>
  <si>
    <t>U1111-1192-2346</t>
  </si>
  <si>
    <t>Down syndrome,behavioral changes</t>
  </si>
  <si>
    <t>Quality of life in women submitted to Chemotherapy on post-operative Breast Cancer: hiking effects on Myelosuppression and Muscle Fatigue</t>
  </si>
  <si>
    <t>U1111-1195-9641</t>
  </si>
  <si>
    <t>Myelosuppression,malaise,muscle fatigue,women</t>
  </si>
  <si>
    <t>Rebeca Garcia Rosa Ferreira</t>
  </si>
  <si>
    <t>+55(19)3638-0240</t>
  </si>
  <si>
    <t>rebeca@fae.br</t>
  </si>
  <si>
    <t>UNIFAE - Centro Universitário das Faculdades Associadas de Ensino de São João da Boa Vista</t>
  </si>
  <si>
    <t>Effect of rigid elastic and hyperelastic banding on excessive pronation of healthy young adults: a randomized clinical trial</t>
  </si>
  <si>
    <t>U1111-1197-4728</t>
  </si>
  <si>
    <t>Flatfoot,Deformidades Adquiridas do Pé</t>
  </si>
  <si>
    <t>João Paulo Chieregato Matheus</t>
  </si>
  <si>
    <t>jpcmatheus@unb.br</t>
  </si>
  <si>
    <t>Bioactive Compound: nutritional therapy in the lipid and glycemic alterations caused by HIV infection in individuals using combined antiretroviral therapy</t>
  </si>
  <si>
    <t>U1111-1199-3532</t>
  </si>
  <si>
    <t>Dyslipidemias,Antiretroviral Therapy,Highly Active,Functional Food</t>
  </si>
  <si>
    <t>Rosângela dos Santos Ferreira</t>
  </si>
  <si>
    <t>+55 (67) 3345 7445</t>
  </si>
  <si>
    <t>rosangela.ferreira@ufms.br</t>
  </si>
  <si>
    <t>Influence Of Intradialytic Aerobic Training On Cerebral Blood Flow And The Reflex On Cognitive Function And Quality Of Life In Chronic Renal Patients</t>
  </si>
  <si>
    <t>U1111-1195-9159</t>
  </si>
  <si>
    <t>Fernanda Stringuetta Belik</t>
  </si>
  <si>
    <t>+55(14)38137814</t>
  </si>
  <si>
    <t>ferstringuetta@hotmail.com</t>
  </si>
  <si>
    <t>Mindfulness Based Cognitive Therapy Program for university students with symptoms of Depression Anxiety and Stress</t>
  </si>
  <si>
    <t>Anxiety,Depression,Stress</t>
  </si>
  <si>
    <t>Alessandra Almeida Assumpção</t>
  </si>
  <si>
    <t>alesump@gmail.com</t>
  </si>
  <si>
    <t>Living with Style and Health Program:pilot study of an educational approach for the prevention and control of Diabetes and Hypertension</t>
  </si>
  <si>
    <t>U1111-1198-6556</t>
  </si>
  <si>
    <t>Diabetes,hypertension,overweight,obesity,chronic disease</t>
  </si>
  <si>
    <t>Maria Meimei Brevidelli</t>
  </si>
  <si>
    <t>meibi@unip.br</t>
  </si>
  <si>
    <t>Universidade Paulista - UNIP</t>
  </si>
  <si>
    <t>Analysis of the Thermographic Standard and Energy Expendutire during Aerobic Training with and without Blood Flow Restriction in physically active subjects: a controlled study</t>
  </si>
  <si>
    <t>U1111-1198-1658</t>
  </si>
  <si>
    <t>Obesity,Sedentary lifestyle,Men,</t>
  </si>
  <si>
    <t>Patrick de Souza Pfeiffer</t>
  </si>
  <si>
    <t>patrickpfeiffer_13@hotmail.com</t>
  </si>
  <si>
    <t>Hippotherapy effects in the upper limb function of children with Cerebral Palsy</t>
  </si>
  <si>
    <t>U1111-1184-5435</t>
  </si>
  <si>
    <t>Hemiplegia,Upper limb monoplegia,Spastic diplegic cerebral palsy,preschool,child</t>
  </si>
  <si>
    <t>Nathalia Trasmonte Silva</t>
  </si>
  <si>
    <t>Santos,São Paulo,Brasil</t>
  </si>
  <si>
    <t>+55(13)981266562</t>
  </si>
  <si>
    <t>nathalia.trasmonte@gmail.com</t>
  </si>
  <si>
    <t>Effects of a Non-Supervised and Guided Home Physical Exercise Program on Elderly Sleep Quality: A Randomized Clinical Trial</t>
  </si>
  <si>
    <t>U1111-1190-5701</t>
  </si>
  <si>
    <t>Glauber Sá Brandão</t>
  </si>
  <si>
    <t>Senhor do Bonfim</t>
  </si>
  <si>
    <t>+55 (74) 98848 7858</t>
  </si>
  <si>
    <t>gbrandao@uneb.br</t>
  </si>
  <si>
    <t>Universidade do Estado da Bahia - UNEB</t>
  </si>
  <si>
    <t>Repercussions of Bariatric Surgery on oral health</t>
  </si>
  <si>
    <t>U1111-1198-8293</t>
  </si>
  <si>
    <t>Dental Caries,Xerostomia,Tooth Erosion,Periodontal Diseases,Bariatric Surgery</t>
  </si>
  <si>
    <t>Ilma Carla de Souza Porcelli</t>
  </si>
  <si>
    <t>ilmacarlaics@gmail.com</t>
  </si>
  <si>
    <t>Evaluation of a Pomegranates (Punica granatum L.) Brute Ethanol Extract (BEE) Mouthwash in the Periodontal Health of women in the postpartum period attended at Maternity Hospital Dona Evangelina Rosa in Teresina-PI Brazil</t>
  </si>
  <si>
    <t>08/28/2017</t>
  </si>
  <si>
    <t>U1111-1199-0765</t>
  </si>
  <si>
    <t>Dental Plaque. Gingival bleeding. Gingivitis. Periodontal Diseases. Women</t>
  </si>
  <si>
    <t>Lis Cardoso Marinho Medeiros</t>
  </si>
  <si>
    <t>55-86-99404-5607</t>
  </si>
  <si>
    <t>liscmm@oi.com.br</t>
  </si>
  <si>
    <t>The Effects of the Pilates Method on Pain and Joint Mobility of Chikungunya Fever Patients: A Randomized Trial</t>
  </si>
  <si>
    <t>U1111-1199-6434</t>
  </si>
  <si>
    <t>Bruna Fernanda Alves de Oliveira</t>
  </si>
  <si>
    <t>+55(81)999833315</t>
  </si>
  <si>
    <t>brunafernanda.edf@hotmail.com</t>
  </si>
  <si>
    <t>Rehospitalization and treatment adherence of patients with Heart Failure after hospital discharge orientation and telephone contact</t>
  </si>
  <si>
    <t>U1111-1200-6143</t>
  </si>
  <si>
    <t>Monica Isabelle Lopes Oscalices</t>
  </si>
  <si>
    <t>monicaoscalices@gmail.com</t>
  </si>
  <si>
    <t>Chronic effects of Aerobic Training with Blood Flow Restriction (rfs) on bone health neuromuscular performance and perception of pleasure / discharge in elderly</t>
  </si>
  <si>
    <t>U1111-1199-8144</t>
  </si>
  <si>
    <t>Osteoporosis,women,metabolic bone diseases</t>
  </si>
  <si>
    <t>Simoni Teixeira Bittar</t>
  </si>
  <si>
    <t>55(83)98182-9597</t>
  </si>
  <si>
    <t>simonibittar@hotmail.com</t>
  </si>
  <si>
    <t>Auriculotherapy for stress management in women who work more than 30 hours a week</t>
  </si>
  <si>
    <t>1.693.993/2016</t>
  </si>
  <si>
    <t>Yasmin Assera Dos Santos</t>
  </si>
  <si>
    <t>São José Do Rio Pardo</t>
  </si>
  <si>
    <t>yayah-10@hotmail.com</t>
  </si>
  <si>
    <t>Universidade Paulista-Campus São José do Rio Pardo</t>
  </si>
  <si>
    <t>Brazilian version of Preschool-age Childrens Physical Activity Questionnaire (Pre-PAQ)</t>
  </si>
  <si>
    <t>08/25/2017</t>
  </si>
  <si>
    <t>U1111-1185-8689</t>
  </si>
  <si>
    <t>Translating</t>
  </si>
  <si>
    <t>The impact of Corrected Age information on the development of Preterm Infants and their parents Daily Lives</t>
  </si>
  <si>
    <t>1111-1183-4723</t>
  </si>
  <si>
    <t>Dani Laura Peruzzolo</t>
  </si>
  <si>
    <t>+55 (55) 32209584</t>
  </si>
  <si>
    <t>danilaura8@gmail.com</t>
  </si>
  <si>
    <t>Effects of Probiotic Supplementation on Intestinal Function in adult women</t>
  </si>
  <si>
    <t>U1111-1196-9502</t>
  </si>
  <si>
    <t>Intestinal Constipation</t>
  </si>
  <si>
    <t>+55 (65) 3615 8833</t>
  </si>
  <si>
    <t>NAFIMES Núcleo de Aptidão Física,Informática,Metabolismo,Esporte e Saúde</t>
  </si>
  <si>
    <t>Assessment of the effect of Transcutaneous Nerve Stimulation of corpus cavernosum rehabilitation after Radical Prostatectomy</t>
  </si>
  <si>
    <t>U1111-1175-1014</t>
  </si>
  <si>
    <t>Ana Paula dos Santos Bispo</t>
  </si>
  <si>
    <t>anapaula_bispo@yahoo.com.br</t>
  </si>
  <si>
    <t>Evaluation of maternal vitamin E supplementation on retinol levels in serum and breast milk</t>
  </si>
  <si>
    <t>U1111-1198-3446</t>
  </si>
  <si>
    <t>Roberto Dimenstein</t>
  </si>
  <si>
    <t>+55(84)32153416</t>
  </si>
  <si>
    <t>rdimenstein@gmail.com</t>
  </si>
  <si>
    <t>The low level Laser therapy in the treatment of Oral Mucositis in patients with head and neck cancer submitted to radiotherapy and chemotherapy</t>
  </si>
  <si>
    <t>U1111-1197-9213</t>
  </si>
  <si>
    <t>Allisson Filipe Lopes Martins</t>
  </si>
  <si>
    <t>+55 62 38787463</t>
  </si>
  <si>
    <t>allissonfilipe@hotmail.com</t>
  </si>
  <si>
    <t>Hospital Araújo Jorge - Associação de Combate ao Cancer em Goias</t>
  </si>
  <si>
    <t>Effects of Pilates Method Exercises in Chronic Nonspecific Low Back Pain Functional Capacity and Quality of Life: A Randomised Controlled Trial</t>
  </si>
  <si>
    <t>08/23/2017</t>
  </si>
  <si>
    <t>U1111-1165-7006</t>
  </si>
  <si>
    <t>Rita di Cássia Angelo</t>
  </si>
  <si>
    <t>+55 87 3866-6470</t>
  </si>
  <si>
    <t>rita.angelo@upe.br</t>
  </si>
  <si>
    <t>Physical therapy after breast cancer surgery: focus on funcional performance and quality of life</t>
  </si>
  <si>
    <t>08/18/2017</t>
  </si>
  <si>
    <t>U1111-1130-4996</t>
  </si>
  <si>
    <t>breast cancer,pain,quality of life</t>
  </si>
  <si>
    <t>Mariana  Tirolli Rett</t>
  </si>
  <si>
    <t>+55(79)81043005</t>
  </si>
  <si>
    <t>marianatrb@gmail.com</t>
  </si>
  <si>
    <t>Universidade Federal de Sergipe (UFS)</t>
  </si>
  <si>
    <t>Effectiveness of brushing associated with oral irrigation in maintenance of peri-implant tissues and overdentures – randomized clinical trial</t>
  </si>
  <si>
    <t>U1111-1199-9592</t>
  </si>
  <si>
    <t>Helena de Freiras Oliveira Paranhos</t>
  </si>
  <si>
    <t>+55 (16) 3315 4031</t>
  </si>
  <si>
    <t>Faculdade de Odontologia de Ribeirão Preto - Universidade de São Paulo</t>
  </si>
  <si>
    <t>Effect of Protein Supplementation on nutritional status and clinical outcomes in Critically Ill Children on enteral nutritional therapy: a randomized clinical trial</t>
  </si>
  <si>
    <t>U1111-1195-9256</t>
  </si>
  <si>
    <t>Pediatric Intensive Care Unit,Critically ill,Respiratory insufficiency,Respiration,Artificial,Protein Malnutrition</t>
  </si>
  <si>
    <t>Yara Maria Franco Moreno</t>
  </si>
  <si>
    <t>+55 48 37212215</t>
  </si>
  <si>
    <t>yarafmoreno@gmail.com</t>
  </si>
  <si>
    <t>A Phase 3 Multicenter Randomized Open-label Clinical Trial of Telavancin Versus Standard Intravenous Therapy in the Treatment of Subjects with Staphylococcus aureus Bacteremia Including Infective Endocarditis</t>
  </si>
  <si>
    <t>U1111-1184-1548</t>
  </si>
  <si>
    <t>Staphylococcus aureus Bacteremia Including Infective Endocarditis</t>
  </si>
  <si>
    <t>Fact-p instrument validation in brazilian men with prostate cancer</t>
  </si>
  <si>
    <t>U1111-1189-5664</t>
  </si>
  <si>
    <t>prostate cancer</t>
  </si>
  <si>
    <t>Priscila Antonichelli Held</t>
  </si>
  <si>
    <t>+55 (19) 98241 6359</t>
  </si>
  <si>
    <t>priheld@gmail.com</t>
  </si>
  <si>
    <t>Evaluation of the effect of mechanical vibrations generated on oscillating / vibratory platform in patients with systemic lupus erythematosus and bone mass impairment</t>
  </si>
  <si>
    <t>U1111-1192-0678</t>
  </si>
  <si>
    <t>Systemic lupus erythematosus,Osteoporosis</t>
  </si>
  <si>
    <t>Carla da Fontoura Dionello</t>
  </si>
  <si>
    <t>+55(21)28688332</t>
  </si>
  <si>
    <t>carla_dionello@yahoo.com.br</t>
  </si>
  <si>
    <t>Impact of branched-chain amino acid supplementation on omega-3 association in clinical nutritional cardiorespiratory metabolic parameters and quality of life in cachectic patients</t>
  </si>
  <si>
    <t>U1111-1195-5621</t>
  </si>
  <si>
    <t>Cachexia,cancer,heart failure</t>
  </si>
  <si>
    <t>Alexsandro Ferreira Santos</t>
  </si>
  <si>
    <t>+55 (98) 98477 6125</t>
  </si>
  <si>
    <t>Influence of Pilates Practice on Physical Composition Functionality Body Posture Life Quality and Autonomic Modulation in Adults</t>
  </si>
  <si>
    <t>U1111-1199-4120</t>
  </si>
  <si>
    <t>Sedentary life style</t>
  </si>
  <si>
    <t>Silvio Assis de Oliveira Júnior</t>
  </si>
  <si>
    <t>+55(67) 3345 7000</t>
  </si>
  <si>
    <t>oliveirajr.ufms@gmail.com</t>
  </si>
  <si>
    <t>Longitudinal clinical evaluation of non-carious cervical lesions of different sizes restored with bulk-fill or conventional resin composite: randomized clinical trial</t>
  </si>
  <si>
    <t>U1111-1190-1428</t>
  </si>
  <si>
    <t>+55 1239479304</t>
  </si>
  <si>
    <t>taciana@fosjc.unesp.br</t>
  </si>
  <si>
    <t>Instituto de Ciência e Tecnologia - ICT UNESP</t>
  </si>
  <si>
    <t>Healthy feeding practices and nutrition in the school environment: construction development and evaluation</t>
  </si>
  <si>
    <t>08/14/2017</t>
  </si>
  <si>
    <t>U111111553103</t>
  </si>
  <si>
    <t>Maria Bisi Molina</t>
  </si>
  <si>
    <t>+55 (27) 3335 7399</t>
  </si>
  <si>
    <t>Supplementation of the juçara palm fruit (Euterpe edulis Mart.) In the modulation of the microbiota and inflammatory state in adults</t>
  </si>
  <si>
    <t>U1111-1187-3529</t>
  </si>
  <si>
    <t>obesity,diabetes,dyslipidemia</t>
  </si>
  <si>
    <t>Giovana Jamar de Queiroz Gois</t>
  </si>
  <si>
    <t>+55 (13) 97410 0629</t>
  </si>
  <si>
    <t>gi_jamar@hotmail.com</t>
  </si>
  <si>
    <t>Effects of virtual reality therapy in the treatment of gait in chronic hemiparetic individuals after ischemic stroke</t>
  </si>
  <si>
    <t>U1111-1196-9301</t>
  </si>
  <si>
    <t>Ana Claudia Nunciato</t>
  </si>
  <si>
    <t>+55 (16) 981587805</t>
  </si>
  <si>
    <t>ananunciato@gmail.com</t>
  </si>
  <si>
    <t>Universidade de Araraquara (UNIARA)</t>
  </si>
  <si>
    <t>Resistance Training Program for patients with Parkinsons Disease diagnosed by molecular analysis</t>
  </si>
  <si>
    <t>U1111-1199-2445</t>
  </si>
  <si>
    <t>Erik Artur Cortinhas Alves</t>
  </si>
  <si>
    <t>+55(91)988669354</t>
  </si>
  <si>
    <t>prof.erikartur@gmail.com</t>
  </si>
  <si>
    <t>Education for Self-management: A Comparative Study of the Quality of Life of Patients With Head and Neck Neoplasia</t>
  </si>
  <si>
    <t>U1111-1198-5795</t>
  </si>
  <si>
    <t>+ 55 (11) 5576-4430</t>
  </si>
  <si>
    <t>Influence of Playing Practice on Typical Childrens Throwing Performance</t>
  </si>
  <si>
    <t>U1111-1198-1062</t>
  </si>
  <si>
    <t>Effect of Unstable Surfaces on Neuromuscular Training on the functional performance of elderly with a history of falls: a randomized controlled trial</t>
  </si>
  <si>
    <t>U1111-1199-2393</t>
  </si>
  <si>
    <t>Valéria Mayaly Oliveira</t>
  </si>
  <si>
    <t>Nutritional effects of Protein-Energy Fortification of school meals for children in situation of Food Insecurity</t>
  </si>
  <si>
    <t>U1111-1199-0953</t>
  </si>
  <si>
    <t>Ivo Roberto Prola</t>
  </si>
  <si>
    <t>55- 3220-8000</t>
  </si>
  <si>
    <t>iprolla@gmail.com</t>
  </si>
  <si>
    <t>Prevalence of Celiac Disease among patients with chronic kidney diseases and implementation of dietary strategies</t>
  </si>
  <si>
    <t>U1111-1196-8287</t>
  </si>
  <si>
    <t>Kidney Failure Chronic</t>
  </si>
  <si>
    <t>Rita de Cássia Stampini Oliveira Lopes</t>
  </si>
  <si>
    <t>+55(31)38992899</t>
  </si>
  <si>
    <t>rita.lopes@ufv.br</t>
  </si>
  <si>
    <t>Postoperative renal function analysis in Cardiac Surgery with Cardiopulmonary bypass in patients undergoing inhalation anesthesia with Sevoflurane using low fresh gas flow</t>
  </si>
  <si>
    <t>U1111-1191-9332</t>
  </si>
  <si>
    <t>Disorders resulting from impaired renal tubular function</t>
  </si>
  <si>
    <t>55 48 34311500</t>
  </si>
  <si>
    <t>Mapping of the Surface Electromyographic Signal in the pectoralis major muscle during the cough in subjects without and with Spinal Cord Injury</t>
  </si>
  <si>
    <t>U1111-1198-9507</t>
  </si>
  <si>
    <t>Felipe Soares Macedo</t>
  </si>
  <si>
    <t>55(61)982153658</t>
  </si>
  <si>
    <t>macedosfelipe@gmail.com</t>
  </si>
  <si>
    <t>Interval Exercise of High Intensity and Moderate Continuous</t>
  </si>
  <si>
    <t>U1111-1197-5062</t>
  </si>
  <si>
    <t>Obesity,Sedentary Lifestyle,Mens</t>
  </si>
  <si>
    <t>+55 (84) 32153451</t>
  </si>
  <si>
    <t>ecc.ufrn@gmail.com</t>
  </si>
  <si>
    <t>Evaluation of Biochemical Metabolic Nutritional and Cardiovascular Risk in Obese Patients Undergoing Two Hypocaloric Diets: Traditional Diet and Restricted Carbohydrate Diet</t>
  </si>
  <si>
    <t>U1111-1190-5613</t>
  </si>
  <si>
    <t>Francisco Antonio Helfenstein Fonseca</t>
  </si>
  <si>
    <t>+55(11)55764961</t>
  </si>
  <si>
    <t>fahfonseca@terra.com.br</t>
  </si>
  <si>
    <t>Universidade Federal de são Paulo -UNIFESP</t>
  </si>
  <si>
    <t>Clinical evaluation of different potassium oxalate concentrations in dentin hypersensitivity treatment</t>
  </si>
  <si>
    <t>U1111-1194-3572</t>
  </si>
  <si>
    <t>Stomatognathic diseases,tooth abrasion,dentin sensitivity,tooth erosion</t>
  </si>
  <si>
    <t>Márcio Magno Costa</t>
  </si>
  <si>
    <t>+55(34)32258117</t>
  </si>
  <si>
    <t>marciocosta@umuarama.ufu.br</t>
  </si>
  <si>
    <t>Evaluation of desensitizing protocols in reduction of dentin hypersensitivity level - randomized clinical trial</t>
  </si>
  <si>
    <t>U1111-1193-9974</t>
  </si>
  <si>
    <t>Stomatognathic diseases,dentin sensitivity,tooth erosion,tooth abrasion</t>
  </si>
  <si>
    <t>Effectiveness of Silver Diamine Fluoride in Arresting Dental Caries</t>
  </si>
  <si>
    <t>U1111-1193-9649</t>
  </si>
  <si>
    <t>Dental Caries,Tooth,Deciduous,Cariostatic Agents,Dental Atraumatic Restorative Treatment,Glass Ionomer Cements</t>
  </si>
  <si>
    <t>Andrea Gonçalves Antonio</t>
  </si>
  <si>
    <t>55(21)39382098</t>
  </si>
  <si>
    <t>Effects of Treatment Osteopathic Manipulative (TMO) and resistance exercise circuit (REC) in cardiorespiratory capacity Muscular Performance and Blood Flow of Patients with Heart Failure</t>
  </si>
  <si>
    <t>U1111-1179-7574</t>
  </si>
  <si>
    <t>Sergio Ricardo Thomaz</t>
  </si>
  <si>
    <t>+55 61 995587173</t>
  </si>
  <si>
    <t>srthomaz@yahoo.com.br</t>
  </si>
  <si>
    <t>Pós-graduação em Ciências e Tecnologias em Saúde da Faculdade de Ceilândia - UNB</t>
  </si>
  <si>
    <t>Effectiveness of magnesium sulphate compared to rocuronium for rapid sequence orotracheal intubation in adult patients</t>
  </si>
  <si>
    <t>U1111-1198-2295</t>
  </si>
  <si>
    <t>Acute abdomen,Acute appendicitis</t>
  </si>
  <si>
    <t>Fabiano Timbó Barbosa</t>
  </si>
  <si>
    <t>fabianotimbo@yahoo.com.br</t>
  </si>
  <si>
    <t>Centro Universitário Tiradentes</t>
  </si>
  <si>
    <t>Effects of kinesio taping on electromyographic activity muscle strength and endurance in subjects with low back pain: a clinical trial</t>
  </si>
  <si>
    <t>U1111-1193-3093</t>
  </si>
  <si>
    <t>Development and evaluation of nutritional interventions in the academia da cidade Program belonging to the BH Saúde Project - Belo Horizonte-MG</t>
  </si>
  <si>
    <t>U1111-1194-6904</t>
  </si>
  <si>
    <t>Food consumption,feeding behavior,obesity,women</t>
  </si>
  <si>
    <t>Aline Cristine S. Lopes</t>
  </si>
  <si>
    <t>55-31-34099179</t>
  </si>
  <si>
    <t>Comparison of effectiveness of chemical peeling of retinoic acid and mandellic acid on oleosity and acne hypercromy in adult women: a randomized controlled trial</t>
  </si>
  <si>
    <t>07/28/2017</t>
  </si>
  <si>
    <t>U1111-1188-4515</t>
  </si>
  <si>
    <t>Sensitivity and Genotoxicity assessment in adolescents submitted to Bleaching with Strips or Trays</t>
  </si>
  <si>
    <t>07/26/2017</t>
  </si>
  <si>
    <t>U1111-1190-5218</t>
  </si>
  <si>
    <t>Diego Cordeiro</t>
  </si>
  <si>
    <t>diego.scordeiro@hotmail.com</t>
  </si>
  <si>
    <t>UFAM - Universidade Federal do Amazonas</t>
  </si>
  <si>
    <t>Efficacy and safety of diode laser during circumvestibular incision for Le Fort I osteotomy during orthognathic surgeries: a triple-blind randomized clinical trial</t>
  </si>
  <si>
    <t>U1111-1198-0706</t>
  </si>
  <si>
    <t>Dentofacial deformity</t>
  </si>
  <si>
    <t>Filipe Jaeger Oliveira</t>
  </si>
  <si>
    <t>Nova Lima</t>
  </si>
  <si>
    <t>+55 (31) 99210-2150</t>
  </si>
  <si>
    <t>filipejaeger@gmail.com</t>
  </si>
  <si>
    <t>Effects of Electrostimulation associated with Active Movement of the lower limbs with Cycloergometro in patients admitted to the intensive care unit and infirmary of the Santa Casa de Alfenas</t>
  </si>
  <si>
    <t>U1111-1197-3841</t>
  </si>
  <si>
    <t>Carolina Kosour</t>
  </si>
  <si>
    <t>+55 (35) 3701 1805</t>
  </si>
  <si>
    <t>International prospective observational cohort study of zika in infants and pregnancy</t>
  </si>
  <si>
    <t>U11111842764</t>
  </si>
  <si>
    <t>Maria Elisabeth Moreira</t>
  </si>
  <si>
    <t>bebeth@iff.fiocruz.br</t>
  </si>
  <si>
    <t>Effect of Pilates exercise method in sexuality self-esteem and quality of life of women survivors of Breast Cancer: a randomized controlled trial</t>
  </si>
  <si>
    <t>07/24/2017</t>
  </si>
  <si>
    <t>U1111-1188-9478</t>
  </si>
  <si>
    <t>Effect of a Strength-Training Program with Self-Selected and Prescribed Intensity on Adherence Psychophysiological Responses Functional Capacity Quality of Life and Body Composition in Sedentary Elderly Women</t>
  </si>
  <si>
    <t>U1111-1196-9594</t>
  </si>
  <si>
    <t>Sérgio Gregório da Silva</t>
  </si>
  <si>
    <t>+55(41)33604331</t>
  </si>
  <si>
    <t>sergiogregorio@ufpr.br</t>
  </si>
  <si>
    <t>Applicability of the Auriculotherapy and Massage to reduce Pain Stress Anxiety and Quality of life improvement</t>
  </si>
  <si>
    <t>U1111-1197-0089</t>
  </si>
  <si>
    <t>Exercise effect on human gut microbiota: an exploratory study</t>
  </si>
  <si>
    <t>07/23/2017</t>
  </si>
  <si>
    <t>U1111-1186-9182</t>
  </si>
  <si>
    <t>Ayane de Sá Resende</t>
  </si>
  <si>
    <t>+55(11)30913096</t>
  </si>
  <si>
    <t>ayanesa@usp.br</t>
  </si>
  <si>
    <t>Treatment of Temporomandibular Disorder with Laser Therapy and Occlusal Splint: double-blind randomized clinical trial</t>
  </si>
  <si>
    <t>07/20/2017</t>
  </si>
  <si>
    <t>U1111-1198-2438</t>
  </si>
  <si>
    <t>Vitória de Oliveira Chami</t>
  </si>
  <si>
    <t>+55(55)999020352</t>
  </si>
  <si>
    <t>vchami@hotmail.com</t>
  </si>
  <si>
    <t>Orofacial assessment of individuals with Temporomandibular Dysfunction after LED therapy associated or not with Occlusal Plaque: a randomized double-blind controlled clinical study</t>
  </si>
  <si>
    <t>U1111-1192-1717</t>
  </si>
  <si>
    <t>Davidson Ribeiro Costa</t>
  </si>
  <si>
    <t>55(12)30471135</t>
  </si>
  <si>
    <t>drcpesquisa@hotmail.com</t>
  </si>
  <si>
    <t>Universidade do Vale do Paraíba - UNIVAP</t>
  </si>
  <si>
    <t>Electromyographic activity of the shoulder muscles during the development of the throw with speed and accuracy</t>
  </si>
  <si>
    <t>U1111-1182-9281</t>
  </si>
  <si>
    <t>specific disorder of motor development / Throw</t>
  </si>
  <si>
    <t>Applicability of Complementary Practices to reduce Pain Stress Anxiety and improvement of Quality of life</t>
  </si>
  <si>
    <t>U1111-1196-8474</t>
  </si>
  <si>
    <t>Pelvic floor training in the treatment of lower urinary tract symptoms in women with Multiple Sclerosis (MS) and HLTV-I associated Myelopathy (HAM / TSP): A randomized trial</t>
  </si>
  <si>
    <t>U1111-1188-9507</t>
  </si>
  <si>
    <t>Effects of Kinect Adventures games compared to conventional physical therapy in postural control of the elderly: a randomized clinical trial</t>
  </si>
  <si>
    <t>U1111-1176-1867</t>
  </si>
  <si>
    <t>Jéssica Maria Ribeiro Bacha</t>
  </si>
  <si>
    <t>+55 11 3091-7459</t>
  </si>
  <si>
    <t>jessicarbacha@hotmail.com</t>
  </si>
  <si>
    <t>Neuromuscular electrical stimulation in cirrhotic in peripheral muscle strength and exercise capacity: randomized clinical trial</t>
  </si>
  <si>
    <t>07/18/2017</t>
  </si>
  <si>
    <t>U1111-1183-2298</t>
  </si>
  <si>
    <t>Liver Cirrhosis. Muscle weakness. Reduced exercise capacity</t>
  </si>
  <si>
    <t>Elaine Paulin Ferrazeane</t>
  </si>
  <si>
    <t>+55 48 3664 8600</t>
  </si>
  <si>
    <t>lainepaulin@gmail.com</t>
  </si>
  <si>
    <t>Fundação Universidade do Estado de Santa Catarina</t>
  </si>
  <si>
    <t>Calcium hydroxide as a filler material in pulpectomies of anterior primary teeth - Randomized clinical trial</t>
  </si>
  <si>
    <t>U1111-1194-1105</t>
  </si>
  <si>
    <t>Periapical dental lesions with endodontic origin</t>
  </si>
  <si>
    <t>Lisara Tosatto Pinto</t>
  </si>
  <si>
    <t>55 55 999145155</t>
  </si>
  <si>
    <t>lis_tosatto@hotmail.com</t>
  </si>
  <si>
    <t>Cognitive stimulation therapy for Dementia: Brazilian adaptation and validation</t>
  </si>
  <si>
    <t>U1111-1197-2216</t>
  </si>
  <si>
    <t>Valeska Marinho Rodrigues</t>
  </si>
  <si>
    <t>vm@valeskamarinho.med.br</t>
  </si>
  <si>
    <t>Influence of Bleaching Gel storage temperature on Color stability and Dental Sensitivity</t>
  </si>
  <si>
    <t>U1111-1198-7930</t>
  </si>
  <si>
    <t>Patricia Bahls de Almeida Farhat</t>
  </si>
  <si>
    <t>55 (42) 3028-6980</t>
  </si>
  <si>
    <t>palmeidaf7@hotmail.com</t>
  </si>
  <si>
    <t>Centro de Ensino dos Campos Gerais</t>
  </si>
  <si>
    <t>The impact of pulmonary rehabilitation on sexuality and religiosity of patients with chronic obstructive pulmonary disease</t>
  </si>
  <si>
    <t>U1111-1194-5255</t>
  </si>
  <si>
    <t>Guilherme Pinheiro Ferreira da Silva</t>
  </si>
  <si>
    <t>+55(85)988444005</t>
  </si>
  <si>
    <t>guilhermepinheiro87@hotmail.com</t>
  </si>
  <si>
    <t>Effect of transcutaneous nerve electrostimulation (TENS) during exercise In the control of pain and in the physical performance of healthy individuals</t>
  </si>
  <si>
    <t>U1111-1193-3156</t>
  </si>
  <si>
    <t>Mayara Alves Menezes</t>
  </si>
  <si>
    <t>mayara_amenezes@hotmail.com</t>
  </si>
  <si>
    <t>Evaluation of a Glass Ionomer Cement recommended for ART and a Nanofilled Composite resin in primary molars: Randomized Clinical Trial</t>
  </si>
  <si>
    <t>U1111-1149-2629</t>
  </si>
  <si>
    <t>José Carlos P Imparato</t>
  </si>
  <si>
    <t>jimparato@usp.br</t>
  </si>
  <si>
    <t>Centro de Pesquisas Odontológicas São Leopoldo Mandic</t>
  </si>
  <si>
    <t>Effect of non-surgical periodontal treatment associated with 1.2% simvastatin locally delivered in patients with chronic periodontitis and hyperlipidemia</t>
  </si>
  <si>
    <t>U1111-1197-2209</t>
  </si>
  <si>
    <t>Cassiano Kuchenbecker Rosing</t>
  </si>
  <si>
    <t>+55(51)33085318</t>
  </si>
  <si>
    <t>ckrosing@hotmail.com</t>
  </si>
  <si>
    <t>Comparison of the immediate effects on the angles of the thoracic and lumbar curvatures produced by mobilization of soft tissues through massage balls and the execution of wall exercises at the end of the Pilates Method session</t>
  </si>
  <si>
    <t>U1111-1196-9681</t>
  </si>
  <si>
    <t>Adriane Vieira</t>
  </si>
  <si>
    <t>+55 (51) 3308.5804 / +55 (51) 3308.5885</t>
  </si>
  <si>
    <t>adriane.vieira@gmail.com</t>
  </si>
  <si>
    <t>Gynecological and dermatological aceitabiity evaluation of cosmetics products in normal conditions of use</t>
  </si>
  <si>
    <t>U1111-1196-6965</t>
  </si>
  <si>
    <t>Women - Other specified noninflammatory disorders of vagina</t>
  </si>
  <si>
    <t>Muscle responses after the physiotherapeutic intervention with the use of the vaginal dilator in pregnant women</t>
  </si>
  <si>
    <t>U1111-1198-9195</t>
  </si>
  <si>
    <t>Pregnant,complacency,muscle contraction</t>
  </si>
  <si>
    <t>Rânia Cristina Carvalho de Oliveira</t>
  </si>
  <si>
    <t>+55 (34) 99790-4890</t>
  </si>
  <si>
    <t>raniacristina@hotmail.com</t>
  </si>
  <si>
    <t>Influence of different therapeutic interventions of Post-Exercise Recovery on Muscle Performance and Cardiac Autonomic Modulation in practitioners of different Sports Modalities</t>
  </si>
  <si>
    <t>U1111-1196-4595</t>
  </si>
  <si>
    <t>Cumulative traumatic disorders,physical exertion</t>
  </si>
  <si>
    <t>Effects of a telephone follow-up program to promote the health of people living with HIV/aids</t>
  </si>
  <si>
    <t>U1111-1192-5737</t>
  </si>
  <si>
    <t>Acquired Immunodeficiency Syndrome,Human immunodeficiency virus [HIV] disease resulting in other specified diseases</t>
  </si>
  <si>
    <t>Marli Teresinha Gimeniz Galvão</t>
  </si>
  <si>
    <t>+55(85)3366 8455</t>
  </si>
  <si>
    <t>marligalvao@gmail.com</t>
  </si>
  <si>
    <t>Influence of Strength Training In Circuit Combined To Interval Exercise on modulation of the autonomic nervous system in Individuals With Sedentary Behavior</t>
  </si>
  <si>
    <t>U1111-1185-4555</t>
  </si>
  <si>
    <t>Sedentary lifestyle,hypertensive heart disease,obesity</t>
  </si>
  <si>
    <t>+55(67)33457832</t>
  </si>
  <si>
    <t>Effect of textured and flat insoles on the balance of community elderly people: a randomized clinical trial</t>
  </si>
  <si>
    <t>U1111-1191-9970</t>
  </si>
  <si>
    <t>Cecília de Morais Barbosa Horita</t>
  </si>
  <si>
    <t>+55 (19) 98326-2313</t>
  </si>
  <si>
    <t>cecimbarbosa@gmail.com</t>
  </si>
  <si>
    <t>Unilateral hearing loss: benefit of amplification in the ordering and temporal resolution and sound localization</t>
  </si>
  <si>
    <t>U1111-1198-1469</t>
  </si>
  <si>
    <t>Unilateral hearing loss</t>
  </si>
  <si>
    <t>Maria Fernanda Capoani Maria Fernanda Capoani Mondelli</t>
  </si>
  <si>
    <t>mfernandamondelli@hotmail.com</t>
  </si>
  <si>
    <t>Parkinson disease and physical exercise</t>
  </si>
  <si>
    <t>U1111-1191-0247</t>
  </si>
  <si>
    <t>Gilmara Gomes de Assis</t>
  </si>
  <si>
    <t>gilmaragomesdeassis@hotmail.com</t>
  </si>
  <si>
    <t>Effectiveness of Ophthalmic Physiotherapy versus Home Exercises in the Convergence Insufficiency</t>
  </si>
  <si>
    <t>U1111-1194-7855</t>
  </si>
  <si>
    <t>Ocular Motility Disorders,Convergence Ocular</t>
  </si>
  <si>
    <t>Marcelo Taglietti</t>
  </si>
  <si>
    <t>Faculdade Assis Gurgacz - FAG</t>
  </si>
  <si>
    <t>The influence of robot-assisted gait training on Stroke survivors with ataxia</t>
  </si>
  <si>
    <t>U1111-1188-3506</t>
  </si>
  <si>
    <t>Stroke,Ataxia,Balance,Robot-Assisted Gait Training</t>
  </si>
  <si>
    <t>Marcia Belas dos Santos</t>
  </si>
  <si>
    <t>+55(11)55764848</t>
  </si>
  <si>
    <t>marciabelas@yahoo.com.br</t>
  </si>
  <si>
    <t>UNIFESP- Universidade Federal do Estado de São Paulo</t>
  </si>
  <si>
    <t>Effect of gait training and virtual reality on balance and gait in individuals with Parkinsons disease: Protocol for a randomized controlled blind clinical trial</t>
  </si>
  <si>
    <t>U1111-1184-4881</t>
  </si>
  <si>
    <t>Parkinsons Disease,Gait Training on a Treadmill,Virtual Reality,Balance,Gait</t>
  </si>
  <si>
    <t>csantos@uninove.br</t>
  </si>
  <si>
    <t>uninove</t>
  </si>
  <si>
    <t>Effects of metformin on levels irisin and distribution of brown fat in women with Polycystic Ovary Syndrome</t>
  </si>
  <si>
    <t>U1111-1148-3614</t>
  </si>
  <si>
    <t>Fernando M Reis</t>
  </si>
  <si>
    <t>+55 (31) 3409 9485</t>
  </si>
  <si>
    <t>fmreis@ufmg.br</t>
  </si>
  <si>
    <t>Supplementation Effect of Whey Protein in Bone Health Women in Postmenopausal in Modification Program Lifestyle with Exercises Physical and Food Adequacy</t>
  </si>
  <si>
    <t>U1111-1181-7791</t>
  </si>
  <si>
    <t>food intake,bone density,exercise,post-menopause,nutritional supplementation</t>
  </si>
  <si>
    <t>Roberto Carlos Burini</t>
  </si>
  <si>
    <t>+55(14)38801753</t>
  </si>
  <si>
    <t>burini@fmb.unesp.br</t>
  </si>
  <si>
    <t>Effectiveness of heparin solution in preventing Hickman® catheter occlusion: clinical trial</t>
  </si>
  <si>
    <t>U1111-1194-3653</t>
  </si>
  <si>
    <t>Central venous catheters,hematopoietic stem cell transplantation</t>
  </si>
  <si>
    <t>Sandra Regina da Silva</t>
  </si>
  <si>
    <t>+55(41)99199.2470</t>
  </si>
  <si>
    <t>sandra_silvah@yahoo.com.br</t>
  </si>
  <si>
    <t>Effect of stability strenght training of plantar flexor muscles in postural sway of elderly women</t>
  </si>
  <si>
    <t>U1111-1188-2650</t>
  </si>
  <si>
    <t>Roberto Negri Barbosa</t>
  </si>
  <si>
    <t>+55(16)999615506</t>
  </si>
  <si>
    <t>robertonegri@usp.br</t>
  </si>
  <si>
    <t>Assessment of Patelofemoral Pain Syndrome patients</t>
  </si>
  <si>
    <t>U1111-1197-3314</t>
  </si>
  <si>
    <t>Patellofemoral pain syndrome,women</t>
  </si>
  <si>
    <t>Effectiveness of an Instructional Video targeted to parents on neonatal Pain management for newborn Screening Test: a non-randomized pragmatic clinical trial</t>
  </si>
  <si>
    <t>06/28/2017</t>
  </si>
  <si>
    <t>U1111-1196-6660</t>
  </si>
  <si>
    <t>Ligyana Korki de Candido</t>
  </si>
  <si>
    <t>+55(11)30617602</t>
  </si>
  <si>
    <t>ligyanakorki@usp.br</t>
  </si>
  <si>
    <t>Evaluation of the preoperative Pelvic Physiotherapy in the Urinary Continence of patients submitted to radical retropubic Prostatectomy</t>
  </si>
  <si>
    <t>U1111-1196-2625</t>
  </si>
  <si>
    <t>Prostate cancer,urinary incontinence,impotence of organic origin</t>
  </si>
  <si>
    <t>Fornari  Alexandre</t>
  </si>
  <si>
    <t>+55(51)32259061</t>
  </si>
  <si>
    <t>afornari@terra.com.br</t>
  </si>
  <si>
    <t>Santa Casa de Misericórdia de Porto Alegre</t>
  </si>
  <si>
    <t>Use of Mechanical Vibration Generated in Oscillating/Vibratory Platform in the Post-Operative Heart Surgery</t>
  </si>
  <si>
    <t>06/26/2017</t>
  </si>
  <si>
    <t>U1111-1197-6667</t>
  </si>
  <si>
    <t>João Vyctor Silva Fortes</t>
  </si>
  <si>
    <t>+55 (98) 2109-2100</t>
  </si>
  <si>
    <t>vyctorfortes@yahoo.com.br</t>
  </si>
  <si>
    <t>Speech-language pathology actions at school: Phonological awareness reading and writing skills training in the elementary school</t>
  </si>
  <si>
    <t>U1111-1192-7984</t>
  </si>
  <si>
    <t>Thais Freire</t>
  </si>
  <si>
    <t>+55 (14) 3214-1946</t>
  </si>
  <si>
    <t>thaisfreire.fono@yahoo.com.br</t>
  </si>
  <si>
    <t>Training with weathered exercises associated with photobiomodulation for muscular strength in post-menopausic women</t>
  </si>
  <si>
    <t>U1111-1196-0861</t>
  </si>
  <si>
    <t>Menopause,womens health</t>
  </si>
  <si>
    <t>Johny Nelson Almeida</t>
  </si>
  <si>
    <t>+55(13)35235000</t>
  </si>
  <si>
    <t>johny.almeida09@gmail.com</t>
  </si>
  <si>
    <t>Brief intervention for hazardous and harmful women´s alcohol consumption</t>
  </si>
  <si>
    <t>06/23/2017</t>
  </si>
  <si>
    <t>U1111-1192-8099</t>
  </si>
  <si>
    <t>alcoholism</t>
  </si>
  <si>
    <t>Talita Dutra Ponce</t>
  </si>
  <si>
    <t>+55 (11) 98717 7368</t>
  </si>
  <si>
    <t>talitadp@usp.br</t>
  </si>
  <si>
    <t>The influence of dance on Parkinsons disease and associated factors</t>
  </si>
  <si>
    <t>U1111-1194-9570</t>
  </si>
  <si>
    <t>Nervous system diseases,Parkinson Disease</t>
  </si>
  <si>
    <t>Protocol for the treatment of Urinary Incontinence in women with overweight and obesity through cinesiotherapy and nutritional education</t>
  </si>
  <si>
    <t>06/22/2017</t>
  </si>
  <si>
    <t>U1111-1192-5013</t>
  </si>
  <si>
    <t>Urinary incontinence,Overweight,Obesity</t>
  </si>
  <si>
    <t>Maria Clara Eugênia de Oliveira</t>
  </si>
  <si>
    <t>+55 (84) 99924-7090</t>
  </si>
  <si>
    <t>mariaclaraeoliveira@gmail.com</t>
  </si>
  <si>
    <t>The effects of hippotherapy on function on postural control and sensory profile in children with cerebral palsy from two to four years old: randomized control trial</t>
  </si>
  <si>
    <t>06/21/2017</t>
  </si>
  <si>
    <t>U1111-1188-3163</t>
  </si>
  <si>
    <t>Gilse Aparecida Almeida Guimarães Araruna</t>
  </si>
  <si>
    <t>+55 (61) 33024566</t>
  </si>
  <si>
    <t>gilseaa@yahoo.com.br</t>
  </si>
  <si>
    <t>Fascia of Scarpa in the formation of seroma in abdominoplasty after bariatric surgery</t>
  </si>
  <si>
    <t>06/20/2017</t>
  </si>
  <si>
    <t>U1111-1197-3671</t>
  </si>
  <si>
    <t>Heraldo Carlos Borges Inforzato</t>
  </si>
  <si>
    <t>Guarujá</t>
  </si>
  <si>
    <t>55(13)99711-2644</t>
  </si>
  <si>
    <t>heraldo@litoral.com.br</t>
  </si>
  <si>
    <t>Effects of the vibratory platform on the function of pelvic floor muscles and dermatosfunctional dysfunctions in women</t>
  </si>
  <si>
    <t>U1111-1196-3640</t>
  </si>
  <si>
    <t>+55 (35) 3701 1921</t>
  </si>
  <si>
    <t>Cardiovascular evaluation before and after Resisted and Aerobic Exercise program in patients with Sjogrens Syndrome: randomized clinical trial</t>
  </si>
  <si>
    <t>U1111-1197-5929</t>
  </si>
  <si>
    <t>Ana Beatriz Andreo Garcia</t>
  </si>
  <si>
    <t>+55 (11) 98261 5081</t>
  </si>
  <si>
    <t>reumatologista@hotmail.com</t>
  </si>
  <si>
    <t>Isolated and combined effects of a Physical Exercise Session and Active Behavior on Cardiometabolic Aspects in healthy individuals</t>
  </si>
  <si>
    <t>U1111-1196-6707</t>
  </si>
  <si>
    <t>Hypertension,Diabetes Mellitus,Dyslipidemia</t>
  </si>
  <si>
    <t>Acupuncture as an alternative method for the treatment of women with Chronic Pelvic Pain and Myofascial Syndrome not-responsive to Topical Injectable Treatment</t>
  </si>
  <si>
    <t>U1111-1178-8502</t>
  </si>
  <si>
    <t>Myofascial pain syndromes,pelvic pain</t>
  </si>
  <si>
    <t>Andréia Moreira de Souza Mitidieri</t>
  </si>
  <si>
    <t>andreia_fisiob@yahoo.com.br</t>
  </si>
  <si>
    <t>Faculdade de Medicina de Ribeirão Preto / Universidade de São Paulo - FMRP/USP</t>
  </si>
  <si>
    <t>Physical Activity related to quality of life and associated factors in men diagnosed with Prostate Cancer</t>
  </si>
  <si>
    <t>06/14/2017</t>
  </si>
  <si>
    <t>U1111-1196-7177</t>
  </si>
  <si>
    <t>Prostate neoplasms</t>
  </si>
  <si>
    <t>Taysi Seemann</t>
  </si>
  <si>
    <t>55(48) 999591421</t>
  </si>
  <si>
    <t>taysiseemann@hotmail.com</t>
  </si>
  <si>
    <t>Inspiratory Muscle Training in Patients Undergoing Cardiac Surgery</t>
  </si>
  <si>
    <t>06/13/2017</t>
  </si>
  <si>
    <t>U1111-1191-8034</t>
  </si>
  <si>
    <t>Effect of virtual reality therapy on the static and dynamic balance of parkinsonians</t>
  </si>
  <si>
    <t>U1111-1178-9644</t>
  </si>
  <si>
    <t>Cassiane Costa Silva</t>
  </si>
  <si>
    <t>cassicosta02@hotmail.com</t>
  </si>
  <si>
    <t>Effectiveness and dental sensitivity resulting from the use of 10% hydrogen peroxide in different use protocols - clinical study</t>
  </si>
  <si>
    <t>U1111-1194-5980</t>
  </si>
  <si>
    <t>Stella Kossatz Pereira</t>
  </si>
  <si>
    <t>+55(42) 3220 3741</t>
  </si>
  <si>
    <t>stellakp@gmail.com</t>
  </si>
  <si>
    <t>Type 2 diabetes and exercise</t>
  </si>
  <si>
    <t>03/14/2017</t>
  </si>
  <si>
    <t>U1111-1192-5540</t>
  </si>
  <si>
    <t>Non-­insulin-­dependent diabetes mellitus</t>
  </si>
  <si>
    <t>Comparison of different methods for making conventional complete dentures</t>
  </si>
  <si>
    <t>U1111-1130-0052</t>
  </si>
  <si>
    <t>Full edentulousness,Jaw,Edentulous,Quality of Life</t>
  </si>
  <si>
    <t>Mara Rúbia Rocha</t>
  </si>
  <si>
    <t>55 (62) 3521-1076 / 3521-1023</t>
  </si>
  <si>
    <t>mrocha@agro.ufg.br</t>
  </si>
  <si>
    <t>Radial artery compression time after coronary angiography: influence on hemostasis and occurrence of vascular complications</t>
  </si>
  <si>
    <t>u1111-1195-8777</t>
  </si>
  <si>
    <t>Ariane  Ferreira Machado Avelar</t>
  </si>
  <si>
    <t>Analysis of a learning object about therapeutic communication: contribution to teaching in nursing</t>
  </si>
  <si>
    <t>U1111-1181-6588</t>
  </si>
  <si>
    <t>Manuela de Mendonça Figueirêdo Coelho</t>
  </si>
  <si>
    <t>+55(85)988522598</t>
  </si>
  <si>
    <t>manumfc2003@yahoo.com.br</t>
  </si>
  <si>
    <t>Chemoprophylaxis of leprosy with rifampicin in contacts of patients with multibacillary form: a randomized double-blind placebo controlled study</t>
  </si>
  <si>
    <t>U1111-1192-9527</t>
  </si>
  <si>
    <t>Leprosy,chemoprevention,clinical trial,rifampicin</t>
  </si>
  <si>
    <t>Nádia Cristina Duppre</t>
  </si>
  <si>
    <t>+55(21)25621594</t>
  </si>
  <si>
    <t>ncduppre@gmail.com</t>
  </si>
  <si>
    <t>Instituto Oswaldo Cruz - Laboratório de Hanseníase</t>
  </si>
  <si>
    <t>Effect of pelvic floor muscle training on the sexual function of women with symptoms of dyspareunia: An experimental study</t>
  </si>
  <si>
    <t>05/26/2017</t>
  </si>
  <si>
    <t>U1111-1193-8133</t>
  </si>
  <si>
    <t>dyspareunia</t>
  </si>
  <si>
    <t>Franciele da Silva Pereira</t>
  </si>
  <si>
    <t>55-48-996915560</t>
  </si>
  <si>
    <t>franciele.pereira@posgrad.ufsc.br</t>
  </si>
  <si>
    <t>Randomised clinical trial of antimicrobial photodinamic therapy (aPDT) and low level laser therapy (LLLT) on oral mucositis of pediatric patients</t>
  </si>
  <si>
    <t>05/31/2017</t>
  </si>
  <si>
    <t>U1111-1190-9887</t>
  </si>
  <si>
    <t>Fabiana Motta Silveira</t>
  </si>
  <si>
    <t>55812122 4100</t>
  </si>
  <si>
    <t>fabianamottamsn@hotmail.com</t>
  </si>
  <si>
    <t>The effect of balance training in children´s gait with spastic hemiplegic cerebral palsy</t>
  </si>
  <si>
    <t>U1111-1192-2631</t>
  </si>
  <si>
    <t>Spastic cerebral palsy / cerebral palsy / postural balance / gait</t>
  </si>
  <si>
    <t>Ane Caroline Dotta Asquidamini</t>
  </si>
  <si>
    <t>Sapucaia do Sul</t>
  </si>
  <si>
    <t>+55 (51) 99616 1837</t>
  </si>
  <si>
    <t>aasquidamini@gmail.com</t>
  </si>
  <si>
    <t>Physiological Signs and Behavioral State in Preterms Newborns Undergoing to Two Techniques of Immersion Bath: A Crossover Clinical Trial</t>
  </si>
  <si>
    <t>05/25/2017</t>
  </si>
  <si>
    <t>U1111-1151-5469</t>
  </si>
  <si>
    <t>Patrícia de Freitas</t>
  </si>
  <si>
    <t>patynurse@usp.br</t>
  </si>
  <si>
    <t>U1111-1195-1009</t>
  </si>
  <si>
    <t>Randomized trial on the use of peripherally inserted central catheter (PICC_ mono and double lumen in neonatal intensive care unit (ICU)</t>
  </si>
  <si>
    <t>05/23/2017</t>
  </si>
  <si>
    <t>U1111-1183-3392</t>
  </si>
  <si>
    <t>Newly born preterm infants in use of peripheral inserted central catheter</t>
  </si>
  <si>
    <t>+55 (41) 99561 7410</t>
  </si>
  <si>
    <t>mozaraz@yahoo.com.br</t>
  </si>
  <si>
    <t>Acute effects of photobiomodulation on respiratory variables and functional capacity in individuals with chronic obstructive pulmonary disease</t>
  </si>
  <si>
    <t>05/22/2017</t>
  </si>
  <si>
    <t>U1111-1194-4695</t>
  </si>
  <si>
    <t>+55(19)992291216</t>
  </si>
  <si>
    <t>Use of estriol at distal third of the vaginal wall improving coital pain in women after menopause: a randomized blinded and controlled trial</t>
  </si>
  <si>
    <t>U1111-1192-2029</t>
  </si>
  <si>
    <t>Sergio Henrique Pires Okano</t>
  </si>
  <si>
    <t>+55 (16) 988120532</t>
  </si>
  <si>
    <t>sergio.okano@usp.br</t>
  </si>
  <si>
    <t>Educational technology about breastfeeding for school children of primary school</t>
  </si>
  <si>
    <t>05/19/2017</t>
  </si>
  <si>
    <t>U1111-1184-7386</t>
  </si>
  <si>
    <t>Knowledge about breastfeeding among primary school students</t>
  </si>
  <si>
    <t>Fernanda Demutti Pimpão Martins</t>
  </si>
  <si>
    <t>55(82)99999-5779</t>
  </si>
  <si>
    <t>fhernandapimpao@yahoo.com.br</t>
  </si>
  <si>
    <t>Acute effects of myofascial release on cardiorespiratory variables in persons with Parkinsons Disease</t>
  </si>
  <si>
    <t>U1111-1194-3889</t>
  </si>
  <si>
    <t>+55 (19) 992291216</t>
  </si>
  <si>
    <t>Ropivacaine in its pure formula versus lidocaine for pain control associated to the removal of included lower third molars- a randomized double blind clinical trial</t>
  </si>
  <si>
    <t>U1111-1190-9562</t>
  </si>
  <si>
    <t>Hugo Santos Cunha</t>
  </si>
  <si>
    <t>+55 61 99223 0509</t>
  </si>
  <si>
    <t>hugo.uniface@gmail.com</t>
  </si>
  <si>
    <t>Effects of a strength training protocol and muscular endurance for upper limbs in individuals with Parkinsons Disease</t>
  </si>
  <si>
    <t>U1111-1191-9760</t>
  </si>
  <si>
    <t>Parkinsons Disease,Muscular Weakness</t>
  </si>
  <si>
    <t>Thais Vianna Corrêa</t>
  </si>
  <si>
    <t>thaisvianna1116@gmail.com</t>
  </si>
  <si>
    <t>Effects of deep water running and training in functional capacity muscle resistance and body composition in pre-obese and obese: pilot study</t>
  </si>
  <si>
    <t>05/18/2017</t>
  </si>
  <si>
    <t>U1111-1193-7408</t>
  </si>
  <si>
    <t>+55 (14) 2107-7000</t>
  </si>
  <si>
    <t>Healthy weight loss program: nutrition monitoring and physical activity for overweight people</t>
  </si>
  <si>
    <t>05/17/2017</t>
  </si>
  <si>
    <t>U111111763855</t>
  </si>
  <si>
    <t>Impact of upper limb training on body alignment in gait of children and adolescents with spastic hemiparesis-type cerebral palsy: pilot project</t>
  </si>
  <si>
    <t>05/15/2017</t>
  </si>
  <si>
    <t>U1111-1173-7902</t>
  </si>
  <si>
    <t>Edlaine Ribeiro Oliveira</t>
  </si>
  <si>
    <t>edi_earo@hotmail.com</t>
  </si>
  <si>
    <t>Associação de assistencia a criança deficiente</t>
  </si>
  <si>
    <t>Development throw in typical children between 5 and 13 years</t>
  </si>
  <si>
    <t>U1111-1195-7018</t>
  </si>
  <si>
    <t>Development of infant throw</t>
  </si>
  <si>
    <t>Raissa Felipe Pádua</t>
  </si>
  <si>
    <t>+55 (013) 99650932</t>
  </si>
  <si>
    <t>raissa_padua@hotmail.com</t>
  </si>
  <si>
    <t>Interference of oral contraceptive use in the treatment of Fibro edema geloide with high power ultrasound</t>
  </si>
  <si>
    <t>U1111-1192-7112</t>
  </si>
  <si>
    <t>Raquel Eleine Wolpe</t>
  </si>
  <si>
    <t>+55 (48) 96158154</t>
  </si>
  <si>
    <t>raquelwolpe@gmail.com</t>
  </si>
  <si>
    <t>Prevalence and effects of aerobic training on cardiovascular risk factors in HIV patients taking antiretrovirals from the metropolitan region of Porto Alegre</t>
  </si>
  <si>
    <t>U1111-1192-9451</t>
  </si>
  <si>
    <t>HIV/AIDS,cardiovascular risk</t>
  </si>
  <si>
    <t>+55(51)33038751</t>
  </si>
  <si>
    <t>Clinical behavior of composite resin restorations silorane-based prepared under different surface treatments: randomized controlled longitudinal study</t>
  </si>
  <si>
    <t>U1111-1192-9353</t>
  </si>
  <si>
    <t>Dental defective restoration,restoration failed</t>
  </si>
  <si>
    <t>+55 (038) 999859911</t>
  </si>
  <si>
    <t>daniela.popoff@unimontes.br</t>
  </si>
  <si>
    <t>Universidade Estadual de MOntes Claros</t>
  </si>
  <si>
    <t>Effect of acupuncture in temporomandibular disorders and energy balance of meridians</t>
  </si>
  <si>
    <t>U1111-1191-2088</t>
  </si>
  <si>
    <t>Pain reffered,Meridians,Temporomandibular Joint</t>
  </si>
  <si>
    <t>VERA LUCIA RASERA ZOTELLI</t>
  </si>
  <si>
    <t>+55 (19)21065209</t>
  </si>
  <si>
    <t>vera.rasera@hotmail.com</t>
  </si>
  <si>
    <t>Effect of an advanced nursing program in descompensated Heart Failure inpatients</t>
  </si>
  <si>
    <t>U1111-1185-1468</t>
  </si>
  <si>
    <t>Juliana de Melo Vellozo Pereira</t>
  </si>
  <si>
    <t>+ 55 (21) 986070304</t>
  </si>
  <si>
    <t>juvellozo.uff@gmail.com</t>
  </si>
  <si>
    <t>Efficacy of realistic simulation in adult immunization teaching in the context of nursing graduation</t>
  </si>
  <si>
    <t>U1111-1195-2580</t>
  </si>
  <si>
    <t>+55 (84) 996245892</t>
  </si>
  <si>
    <t>Cutaneous analysis after adipose mesenchyimal cells from stromal vascular fraction applied in human face</t>
  </si>
  <si>
    <t>U1111-1145-3081</t>
  </si>
  <si>
    <t>Cristina Maeda Takyia</t>
  </si>
  <si>
    <t>Rio de JAneiro</t>
  </si>
  <si>
    <t>21-393865-7914</t>
  </si>
  <si>
    <t>cmtakiya@gmail.com</t>
  </si>
  <si>
    <t>universidade federal do rio de janeiro</t>
  </si>
  <si>
    <t>Analysis of systolic blood pressure and autonomic modulation of heart rate in subjects with pre-hypertension during maximal repetition test</t>
  </si>
  <si>
    <t>U1111-1184-9496</t>
  </si>
  <si>
    <t>Arterial hypertension,pre-hypertension</t>
  </si>
  <si>
    <t>Individualized homeopathic medicines vs. placebo for clinical control of perennial asthma in teenagers during the reduction of inhalatory beclometasone: exploratory randomized double-blind controled trial</t>
  </si>
  <si>
    <t>U1111-1185-6420</t>
  </si>
  <si>
    <t>Perennial asthma</t>
  </si>
  <si>
    <t>+55 (16) 3351 8340</t>
  </si>
  <si>
    <t>Evaluation of Intragastric Balloon effectiveness associated to diet on treatment of diabetic patients with BMI&lt;35</t>
  </si>
  <si>
    <t>U1111-1191-5058</t>
  </si>
  <si>
    <t>Maria Elizabeth Rossi da Silva</t>
  </si>
  <si>
    <t>mbeth@usp.br</t>
  </si>
  <si>
    <t>Faculdade de Medicina da Univesidade de São Paulo</t>
  </si>
  <si>
    <t>Total parathyroidectomy with autotransplantation for secondary hyperparathyroidism: Analysis of the number of parathyroid fragments used in the autograft</t>
  </si>
  <si>
    <t>U1111-1188-9838</t>
  </si>
  <si>
    <t>Cronic kidney disease,secondary hyperparathyroidism,parathyroidectomy</t>
  </si>
  <si>
    <t>murilo catafesta das neves</t>
  </si>
  <si>
    <t>+55(11)992511941</t>
  </si>
  <si>
    <t>muriloneves@hotmail.com</t>
  </si>
  <si>
    <t>Clinical evaluation of exposure to glue derivatives after tooth whitening of vital teeth</t>
  </si>
  <si>
    <t>U1111-1173-6537</t>
  </si>
  <si>
    <t>Prevention - Sensitivity control</t>
  </si>
  <si>
    <t>+55(98)996180199</t>
  </si>
  <si>
    <t>Effect of fluconazole in the treatment of localized cutaneous leishmaniasis caused by Leishmania (Viannia) guyanensis: an open-label phase two study with sequential dose-escalation groups</t>
  </si>
  <si>
    <t>U1111-1158-2421</t>
  </si>
  <si>
    <t>Cutaneous leishmaniasis</t>
  </si>
  <si>
    <t>Maria das Graças Costa Alecrim</t>
  </si>
  <si>
    <t>+55 (92) 2127 3555</t>
  </si>
  <si>
    <t>galecrim@gmail.com</t>
  </si>
  <si>
    <t>Fundação de Medicina Tropical Doutor Heitor Vieira Dourado</t>
  </si>
  <si>
    <t>Influence of weight loss on the mobility balance and body perception in obese patients submitted to bariatric surgery</t>
  </si>
  <si>
    <t>U1111-1191-2471</t>
  </si>
  <si>
    <t>Non-invasive treatment of facial wrinkles</t>
  </si>
  <si>
    <t>04/27/2017</t>
  </si>
  <si>
    <t>U1111-1193-7484</t>
  </si>
  <si>
    <t>Aging,skin aging,rejuvenation</t>
  </si>
  <si>
    <t>Program of rehabilitation with therapeutic efficacy control in oropharyngeal dysphagia after Stroke</t>
  </si>
  <si>
    <t>04/19/2017</t>
  </si>
  <si>
    <t>U1111-1188-0335</t>
  </si>
  <si>
    <t>Neurogenic Oropharyngeal Dysphagia</t>
  </si>
  <si>
    <t>Paula Cristina Cola</t>
  </si>
  <si>
    <t>paccola@hotmail.com</t>
  </si>
  <si>
    <t>Faculdade de Filosofia e Ciencias</t>
  </si>
  <si>
    <t>Pregabalin to improve the quality of anesthesia care in bariatric surgery : a randomized clinical trial triple blind placebo controlled</t>
  </si>
  <si>
    <t>U1111-1184-9073</t>
  </si>
  <si>
    <t>Marcelo de Jesus Martins</t>
  </si>
  <si>
    <t>+55(14) 3880-1001</t>
  </si>
  <si>
    <t>celoufba@yahoo.com.br</t>
  </si>
  <si>
    <t>The use of acupuncture in the prevention of nausea and vomiting postoperative</t>
  </si>
  <si>
    <t>04/17/2017</t>
  </si>
  <si>
    <t>U1111-1185-8127</t>
  </si>
  <si>
    <t>Michelle Catarina Pires</t>
  </si>
  <si>
    <t>+55 (14) 38801407</t>
  </si>
  <si>
    <t>catarinamcatarinap@gmail.com</t>
  </si>
  <si>
    <t>Departamento de Anestesiologia - Faculdade de medicina de Botucatu - Universidade Estadual Paulista</t>
  </si>
  <si>
    <t>Effectiveness and tooth sensitivity of at-home dental bleaching with 4% hydrogen peroxide vs associated dental bleaching with 35% and 4% hydrogen peroxide with desensitizing - randomized clinical study</t>
  </si>
  <si>
    <t>U1111-1194-1324</t>
  </si>
  <si>
    <t>55-42-91075507</t>
  </si>
  <si>
    <t>Kinesio taping in patients with exacerbation of Chronic Obstructive Pulmonary Disease</t>
  </si>
  <si>
    <t>U1111-1193-0049</t>
  </si>
  <si>
    <t>+55 (51) 99212 3616</t>
  </si>
  <si>
    <t>Endoscopic analysis of cirrhotic patients with esophageal varices in treating osteoporosis with risedronate</t>
  </si>
  <si>
    <t>U1111-1176-3982</t>
  </si>
  <si>
    <t>Liver cirrhosis,esophageal varices ,osteoporosis,osteopenia</t>
  </si>
  <si>
    <t>Talles Bazeia Lima</t>
  </si>
  <si>
    <t>tallesbazeialima@gmail.com</t>
  </si>
  <si>
    <t>EN17-0067-01 - Comparative randomized clinical study for safety evaluation of the use and whitening effectiveness of the product iStrip – Dental whitening for the combined use of the product iStrip - Dental whitening and the photo activator equipment iDental Whitening</t>
  </si>
  <si>
    <t>U1111-1194-3495</t>
  </si>
  <si>
    <t>Leticia Paula Souza</t>
  </si>
  <si>
    <t>Guaxupé</t>
  </si>
  <si>
    <t>+55 (35) 3559 2520</t>
  </si>
  <si>
    <t>qualidade@lmglasers.com.br</t>
  </si>
  <si>
    <t>Basal Comércio,Importação e Exportação Ltda</t>
  </si>
  <si>
    <t>Effects of intensive nutritional counseling on nutritional status and quality of life of patients with head and neck cancer undergoing radiation therapy</t>
  </si>
  <si>
    <t>U1111-1194-3261</t>
  </si>
  <si>
    <t>José Eluf Neto</t>
  </si>
  <si>
    <t>+55(11) 3061-8278</t>
  </si>
  <si>
    <t>jelufnet@usp.br</t>
  </si>
  <si>
    <t>Faculdade de Medicina</t>
  </si>
  <si>
    <t>Low intensity led therapy (658nm) for burn healing: a non-randomized double-blind and controlled clinical trial</t>
  </si>
  <si>
    <t>U1111-1186-6131</t>
  </si>
  <si>
    <t>Second degree burn</t>
  </si>
  <si>
    <t>Andréa Conceição Gomes Lima</t>
  </si>
  <si>
    <t>+55 (86) 3221-4749</t>
  </si>
  <si>
    <t>acglima@hotmail.com</t>
  </si>
  <si>
    <t>Efficacy of Biofeedback in Stress Management Burnout and Sleep Disorders in Nursing Academics</t>
  </si>
  <si>
    <t>U1111-1193-3770</t>
  </si>
  <si>
    <t>Stress,Psychological. Burnout,Professional. Sleep Wake Disorders</t>
  </si>
  <si>
    <t>Eduardo Motta de Vasconcelos</t>
  </si>
  <si>
    <t>+55 (11) 9515 8440</t>
  </si>
  <si>
    <t>vasconcelos.motta.86@outlook.com</t>
  </si>
  <si>
    <t>Impacct of occlusal pattern on the prognosis of conventional complete denture patients with resorbed edges</t>
  </si>
  <si>
    <t>U1111-1184-6412</t>
  </si>
  <si>
    <t>Teeth loss</t>
  </si>
  <si>
    <t>Edmer Silvestre Pereira Junior</t>
  </si>
  <si>
    <t>55 35 32991000</t>
  </si>
  <si>
    <t>edmer.pereira@unifal-mg.edu.br</t>
  </si>
  <si>
    <t>Universidade Federal de Alfenas - UNIFAL-MG</t>
  </si>
  <si>
    <t>Working Memory Training for healthy older adults: impact the number of sessions and schooling of participants on the effectiveness of intervention</t>
  </si>
  <si>
    <t>U1111-1192-1280</t>
  </si>
  <si>
    <t>healthy older adults</t>
  </si>
  <si>
    <t>Paula Schimidt Brum</t>
  </si>
  <si>
    <t>55 11 980957004</t>
  </si>
  <si>
    <t>pabrum@usp.br</t>
  </si>
  <si>
    <t>Departamento de Neurologia da Faculdade de Medicina da Universidade de São Paulo</t>
  </si>
  <si>
    <t>Activation sequence of the evaluation of lumbopelvic muscles after application of analgesia techniques</t>
  </si>
  <si>
    <t>U1111-1171-7739</t>
  </si>
  <si>
    <t>Marcela da Silva Carvalho</t>
  </si>
  <si>
    <t>+55 (34) 96683323</t>
  </si>
  <si>
    <t>marcelauftm@gmail.com</t>
  </si>
  <si>
    <t>Formulation and clinical trial randomized double-blind herbal medicines with prophylactic and curative purposes of oral mucositis (Phase I)</t>
  </si>
  <si>
    <t>U1111-1156-5406</t>
  </si>
  <si>
    <t>Oral mucositis. Health patients</t>
  </si>
  <si>
    <t>Clinical care nurses in reducing pain suffered by the newborn in blood punch: study interventions with non-pharmacological measures</t>
  </si>
  <si>
    <t>U1111-1185-3849</t>
  </si>
  <si>
    <t>Pain in the arterial puncture</t>
  </si>
  <si>
    <t>+55 (85) 997448848</t>
  </si>
  <si>
    <t>ednacam3@gmail.com</t>
  </si>
  <si>
    <t>Comparison of efficacy and safety in the treatment of severe chronic venous insufficiency: endovenous radiofrequency ablation versus endovenous laser ablation versus foam sclerotherapy versus elastic compression</t>
  </si>
  <si>
    <t>U1111-1188-0162</t>
  </si>
  <si>
    <t>Varicose veins,venous insufficiency,varicose ulcer</t>
  </si>
  <si>
    <t>+55(14)38801686</t>
  </si>
  <si>
    <t>enfermagem.upeclin@fmb.unesp.br</t>
  </si>
  <si>
    <t>Unidade de Pesquisa Clínica-Faculdade de Medicina de Botucatu - Unesp</t>
  </si>
  <si>
    <t>Effectiveness of brief intervention in group performed by nurses in the hazardous alcohol use</t>
  </si>
  <si>
    <t>U1111-1187-3691</t>
  </si>
  <si>
    <t>Comparative analysis of the incidence of hemolysis and systemic inflammatory response induced by extracorporeal circulation in the roller pump and in the centrifugal pump in the perioperative period of myocardial revascularization</t>
  </si>
  <si>
    <t>03/30/2017</t>
  </si>
  <si>
    <t>U1111-1190-8166</t>
  </si>
  <si>
    <t>Ischaemic cardiomyopathy</t>
  </si>
  <si>
    <t>Marcello Laneza Felicio</t>
  </si>
  <si>
    <t>+55-14-3880.1537</t>
  </si>
  <si>
    <t>felicio@fmb.unesp.br</t>
  </si>
  <si>
    <t>Universidade Estadual Paulista-Unesp,Faculdade de Medicina de Botucatu</t>
  </si>
  <si>
    <t>Effects of dietary nitrate supplementation and exercise on hemodynamic variables and oxidative stress in subjects with overweight and hyperglycemia</t>
  </si>
  <si>
    <t>U1111-1185-2909</t>
  </si>
  <si>
    <t>Obesity,blood pressure,oxidative stress,exercise,metabolism</t>
  </si>
  <si>
    <t>Agnes Denise de Lima Bezerra</t>
  </si>
  <si>
    <t>+55(84)988481277</t>
  </si>
  <si>
    <t>agnes_denise@hotmail.com</t>
  </si>
  <si>
    <t>Immediate effects of low-level laser therapy (780 nm) in muscle fatigue and metabolic performance: a randomized crossover and double-blind clinical trial</t>
  </si>
  <si>
    <t>03/29/2017</t>
  </si>
  <si>
    <t>U1111-1194-7120</t>
  </si>
  <si>
    <t>Young people,muscle fatigue,muscle streght</t>
  </si>
  <si>
    <t>Rauirys Alencar Oliveira</t>
  </si>
  <si>
    <t>+55(86)21060700</t>
  </si>
  <si>
    <t>raoliveira@uninovafapi.edu.br</t>
  </si>
  <si>
    <t>Centro Universitário Uninovafapi</t>
  </si>
  <si>
    <t>The efficacy of the use of the semipermeable membrane in the maintenance of thermoregulation of the preterm newborn in the neonatal intensive care unit</t>
  </si>
  <si>
    <t>U1111-1185-9994</t>
  </si>
  <si>
    <t>Hypothermia. Premature. Newborn</t>
  </si>
  <si>
    <t>Evaluation method thoraco-abdominal In newborn with transient tachypnea diagnostic</t>
  </si>
  <si>
    <t>03/24/2017</t>
  </si>
  <si>
    <t>U1111-1193-8166</t>
  </si>
  <si>
    <t>Newborns</t>
  </si>
  <si>
    <t>Miriana Carvalho Oliveira</t>
  </si>
  <si>
    <t>55-21-2641-7000</t>
  </si>
  <si>
    <t>mirianacarvalho@gmail.com</t>
  </si>
  <si>
    <t>Fundação Educacional Serra dos Órgãos - FESO</t>
  </si>
  <si>
    <t>Palliative care in heart failure: the comfort as an outcome of nursing care</t>
  </si>
  <si>
    <t>U1111-1189-5185</t>
  </si>
  <si>
    <t>Liana  Trotte</t>
  </si>
  <si>
    <t>liana.correatrotte@gmail.com</t>
  </si>
  <si>
    <t>Escola de Enfermagem Anna Nery - Universidade Federal do Rio de Janeiro</t>
  </si>
  <si>
    <t>Effect of high folic acid levels on DHFR activity and its relation with mRNA expression of genes related to folate metabolism and inflammatory cytokines</t>
  </si>
  <si>
    <t>U1111-1193-1398</t>
  </si>
  <si>
    <t>Molecular markers related to energy metabolism and its association with substrate oxidation and resting metabolic rate in women with grade III obesity pre and post bariatric surgery</t>
  </si>
  <si>
    <t>U1111-1192-8024</t>
  </si>
  <si>
    <t>Obesity,bariatric surgery,resting metabolic rate</t>
  </si>
  <si>
    <t>Bruno Affonso Parenti de Oliveira</t>
  </si>
  <si>
    <t>+55 16 997153118</t>
  </si>
  <si>
    <t>bruno_parenti@hotmail.com</t>
  </si>
  <si>
    <t>Effects of unmetabolized folic acid on global DNA methylation mRNA expression and NK cells citotoxicity in individuals exposed to mandatory fortification with folic acid and/or therapeutic use of this vitamin</t>
  </si>
  <si>
    <t>U1111-1192-8719</t>
  </si>
  <si>
    <t>Health individuals - effects of folic acid excess</t>
  </si>
  <si>
    <t>Effectiveness of peripheral venous catheter</t>
  </si>
  <si>
    <t>U1111-1185-7827</t>
  </si>
  <si>
    <t>Gabriella  Lemes Rodrigues de Oliveira</t>
  </si>
  <si>
    <t>+55(41) 99995-7491</t>
  </si>
  <si>
    <t>gabriella.lemes@yahoo.com.br</t>
  </si>
  <si>
    <t>Walking training in intermittent claudication: functional hemodynamic autonomic inflammatory oxidative stress and genetic regulatory responses measured at rest and after an acute exercise</t>
  </si>
  <si>
    <t>U1111-1185-6845</t>
  </si>
  <si>
    <t>+55(11)3091-3136</t>
  </si>
  <si>
    <t>Clinical evaluation of pain perception during scaling and root planning using non-invasive lidocaine/prilocaine thermosetting liposomal anesthesia gel</t>
  </si>
  <si>
    <t>03/23/2017</t>
  </si>
  <si>
    <t>U1111-1193-5033</t>
  </si>
  <si>
    <t>Effect of different recovery intervals between sets in resistance exercises to concentric failure in physically active individuals</t>
  </si>
  <si>
    <t>03/17/2017</t>
  </si>
  <si>
    <t>U1111-1191-0481</t>
  </si>
  <si>
    <t>adrianopsimao@ig.com.br</t>
  </si>
  <si>
    <t>Study of adherence to smoking cessation treatment in two groups of patients one with treatment determined by physician and the other with a shared decision</t>
  </si>
  <si>
    <t>U1111-1183-1375</t>
  </si>
  <si>
    <t>Juan Pablo Aguilar Ticona</t>
  </si>
  <si>
    <t>+55 (71) 984318399</t>
  </si>
  <si>
    <t>pkjpablo@gmail.com</t>
  </si>
  <si>
    <t>Programa de Pos-graduação em Medícina e Saude</t>
  </si>
  <si>
    <t>Performance of universal adhesive systems in different etching strategies in non-carious cervical lesions: a randomized clinical trial</t>
  </si>
  <si>
    <t>U1111-1194-0368</t>
  </si>
  <si>
    <t>Dental abrasion/ Non-carious cervical lesion</t>
  </si>
  <si>
    <t>Andressa Cargnelutti Follak</t>
  </si>
  <si>
    <t>55 55 99623-7165</t>
  </si>
  <si>
    <t>andressafollak@gmail.com</t>
  </si>
  <si>
    <t>The use of educational technologies to promote maternal self-efficacy in the prevention of childhood diarrhea</t>
  </si>
  <si>
    <t>03/15/2017</t>
  </si>
  <si>
    <t>U1111-1170-4089</t>
  </si>
  <si>
    <t>Diarrhea,Infantile</t>
  </si>
  <si>
    <t>Jardeliny Corrêa da Penha</t>
  </si>
  <si>
    <t>+55 89 99905-6650</t>
  </si>
  <si>
    <t>jardelinypenha@yahoo.com.br</t>
  </si>
  <si>
    <t>Use of knee braces in sports</t>
  </si>
  <si>
    <t>03/13/2017</t>
  </si>
  <si>
    <t>U1111-1189-5888</t>
  </si>
  <si>
    <t>Marcus Vinicius Danieli</t>
  </si>
  <si>
    <t>+55(43)33770900</t>
  </si>
  <si>
    <t>mvdanieli@hotmail.com</t>
  </si>
  <si>
    <t>Uniort.E Ortopedia Especializada</t>
  </si>
  <si>
    <t>Effects of aerobic training in different volumes and intensities in schoolchildren with risk factors for metabolic syndrome</t>
  </si>
  <si>
    <t>U1111-1191-8568</t>
  </si>
  <si>
    <t>Sample composed of schoolchildren diagnosed with risk factors for metabolic syndrome,Child,obesity,hypertriglyceridemia,hypertension</t>
  </si>
  <si>
    <t>Flávio Ricardo Guilherme</t>
  </si>
  <si>
    <t>flaviorg88@gmail.com</t>
  </si>
  <si>
    <t>Oral immunotherapy in very low birth weight preterm infants - randomized double-blind placebo-controlled clinical trial</t>
  </si>
  <si>
    <t>01/25/2017</t>
  </si>
  <si>
    <t>U1111-1188-5356</t>
  </si>
  <si>
    <t>prematurity,very low birthweight,infant nutrition,infection</t>
  </si>
  <si>
    <t>Infant,premature</t>
  </si>
  <si>
    <t>Humberto Holmer Fiori</t>
  </si>
  <si>
    <t>hfiore@pucrs.br</t>
  </si>
  <si>
    <t>Faculdade de Medicina da Pontífice Universidade Católica do Rio Grande do Sul</t>
  </si>
  <si>
    <t>Anxiety and singing voice: clinical parameters and effects of acute administration of Oxytocin in men</t>
  </si>
  <si>
    <t>U1111-1187-0948</t>
  </si>
  <si>
    <t>Performance anxiety</t>
  </si>
  <si>
    <t>+55(16)36022703</t>
  </si>
  <si>
    <t>flaliosorio@ig.com.br</t>
  </si>
  <si>
    <t>Impact of an intervention for promotion leisure-time walking and healthy eating among pregnant women in antenatal care</t>
  </si>
  <si>
    <t>U111111901922</t>
  </si>
  <si>
    <t>Pregnancy complications</t>
  </si>
  <si>
    <t>Maíra Barreto Malta</t>
  </si>
  <si>
    <t>+55 (13) 98140 5009</t>
  </si>
  <si>
    <t>mairamaltanutri@gmail.com</t>
  </si>
  <si>
    <t>Faculdade de Saúde Pública USP</t>
  </si>
  <si>
    <t>Primary prophylaxis for prevention of TB in prisons populations</t>
  </si>
  <si>
    <t>12/16/2016</t>
  </si>
  <si>
    <t>U1111-1189-0829</t>
  </si>
  <si>
    <t>Pulmonary tuberculosis</t>
  </si>
  <si>
    <t>Julio Henrique Croda</t>
  </si>
  <si>
    <t>+55(67)34102325</t>
  </si>
  <si>
    <t>juliocroda@ufgd.edu.br</t>
  </si>
  <si>
    <t>Universidade Federal da Grande Dourados</t>
  </si>
  <si>
    <t>Does the use of rotary instruments in the cavo-superficial enamel influences the survival of composite resin restorations in primary teeth submitted to selective removal of carious tissue?</t>
  </si>
  <si>
    <t>U1111-1192-6977</t>
  </si>
  <si>
    <t>Mariana Dantas Bellinaso</t>
  </si>
  <si>
    <t>+55 (55) 3220-9266</t>
  </si>
  <si>
    <t>dantasmds@gmail.com</t>
  </si>
  <si>
    <t>Long term clinical follow up in patients with intestinal neuronal dysplasia</t>
  </si>
  <si>
    <t>09/28/2016</t>
  </si>
  <si>
    <t>U1111-1185-4950</t>
  </si>
  <si>
    <t>intestinal constipation,enteric nervous system</t>
  </si>
  <si>
    <t>lourencao@fmb.unesp.br</t>
  </si>
  <si>
    <t>Sensitivity absolute risk evaluation with and without sonic activation of a desensitizing gel previously to in office bleaching in adults</t>
  </si>
  <si>
    <t>U1111-1187-8875</t>
  </si>
  <si>
    <t>Discoulored teeth</t>
  </si>
  <si>
    <t>Verônica Pereira de Lima Bertocco</t>
  </si>
  <si>
    <t>veronica.vpl@hotmail.com</t>
  </si>
  <si>
    <t>Quality of life and depression in a group of seniors from Boa Ventura de São Roque-PR</t>
  </si>
  <si>
    <t>01/30/2017</t>
  </si>
  <si>
    <t>U1111-1191-4626</t>
  </si>
  <si>
    <t>Elderly,depression,quality of life</t>
  </si>
  <si>
    <t>Contribution of aquatic physiotherapy in the health of the elderly</t>
  </si>
  <si>
    <t>U1111-1191-4262</t>
  </si>
  <si>
    <t>Essential hypertension (primary),Elderly,Diabetes Mellitus,Hydrotherapy</t>
  </si>
  <si>
    <t>Incidence of musculoskeletal pain in smokers in the city of Prudentópolis-PR</t>
  </si>
  <si>
    <t>01/27/2017</t>
  </si>
  <si>
    <t>U1111-1191-7153</t>
  </si>
  <si>
    <t>Agriculture,tobacco,pain,low back pain</t>
  </si>
  <si>
    <t>Comparison of balance and mobility in postgraduate institutionalized elderly with virtual rehabilitation</t>
  </si>
  <si>
    <t>U1111-1189-6231</t>
  </si>
  <si>
    <t>Idosos saudáveis,idoso institucionalizado,com redução do equilíbrio postural</t>
  </si>
  <si>
    <t>Marcos Eduardo scheicher</t>
  </si>
  <si>
    <t>Marilia</t>
  </si>
  <si>
    <t>+55 (14)3402-1346</t>
  </si>
  <si>
    <t>mscheicher@unesp.marilia.br</t>
  </si>
  <si>
    <t>Faculdade de Filosofia e Ciencias- UNESP Marilia</t>
  </si>
  <si>
    <t>Effects of a telephone educational intervention on the self-efficacy duration and exclusivity of breastfeeding: a randomized controlled trial</t>
  </si>
  <si>
    <t>U1111-1180-5341</t>
  </si>
  <si>
    <t>Self-efficacy,breastfeeding,telephone</t>
  </si>
  <si>
    <t>Anne Lopes Chaves</t>
  </si>
  <si>
    <t>+55(85)986997405</t>
  </si>
  <si>
    <t>annefayma@yahoo.com.br</t>
  </si>
  <si>
    <t>(Con) Living with carpal tunnel syndrome severe degree: everyday narratives</t>
  </si>
  <si>
    <t>U1111-1190-8670</t>
  </si>
  <si>
    <t>Quality of life of the users of the Hiperdia group of the unit basic health: Recanto Feliz in Guarapuava / PR</t>
  </si>
  <si>
    <t>U1111-1191-6986</t>
  </si>
  <si>
    <t>Diabetes Mellitus,primary essential hypertension,primary health care,quality of life</t>
  </si>
  <si>
    <t>Early physical activity: evaluation proposal monitoring and early intervention program and aquatic therapy in children</t>
  </si>
  <si>
    <t>U1111-1189-4164</t>
  </si>
  <si>
    <t>motor development delay,developmental disabilities</t>
  </si>
  <si>
    <t>A Prospective Randomized Clinical Trial Comparing two Doses of Abobotulinum Toxin A for Idiophatic Overactive Bladder</t>
  </si>
  <si>
    <t>U1111-1188-6374</t>
  </si>
  <si>
    <t>idiophatic overactive bladder</t>
  </si>
  <si>
    <t>Antonio Pedro Flores Auge</t>
  </si>
  <si>
    <t>pedroauge@terra.com.br</t>
  </si>
  <si>
    <t>Virtual Reality and Transcranial Stimulation direct current for improvement of upper limb motor function in children with Downs Syndrome: Randomized and double blind controlled clinical trial</t>
  </si>
  <si>
    <t>U1111-1190-7151</t>
  </si>
  <si>
    <t>+55 (11) 2633-9000</t>
  </si>
  <si>
    <t>Effectiveness of multidisciplinary intervention based on the Transtheoretical Model Of Behavior Change for the treatment of adolescents with Excess of Weight in the Centre for Nutritional Recovery and Education (CREN) - Project I learned I taught</t>
  </si>
  <si>
    <t>U1111-1190-5130</t>
  </si>
  <si>
    <t>Pediatric obesity,obesity,child,adolescent,</t>
  </si>
  <si>
    <t>Ana  Lydia Sawaya</t>
  </si>
  <si>
    <t>+55 1150832108</t>
  </si>
  <si>
    <t>alsawaya@unifesp.br</t>
  </si>
  <si>
    <t>Comparison between viscosupplementation and PRP in Knees chondral lesions in young patients</t>
  </si>
  <si>
    <t>01/23/2017</t>
  </si>
  <si>
    <t>U1111-1189-5906</t>
  </si>
  <si>
    <t>Tear of articular cartilage of knee,current</t>
  </si>
  <si>
    <t>Masticatory function and quality of life in elderly using single-implant mandibular overdenture</t>
  </si>
  <si>
    <t>01/19/2017</t>
  </si>
  <si>
    <t>U1111-1176-4860</t>
  </si>
  <si>
    <t>Camilla Fraga do Amaral</t>
  </si>
  <si>
    <t>+55(11)957838556</t>
  </si>
  <si>
    <t>camillafraga88@gmail.com</t>
  </si>
  <si>
    <t>Effect of NSR meditation on the anxiety levels of university students</t>
  </si>
  <si>
    <t>U1111-1191-5910</t>
  </si>
  <si>
    <t>murilo marchioro marchioro</t>
  </si>
  <si>
    <t>+55(79) 3194-6479</t>
  </si>
  <si>
    <t>atendimento.posgrap@gmail.com</t>
  </si>
  <si>
    <t>Non-invasive ventilation with two pressure levels in the postoperative period of bariatric surgery by Roux-en-Y: randomized trial</t>
  </si>
  <si>
    <t>U12341111-1156-7657</t>
  </si>
  <si>
    <t>obesity morbid,non invasive ventilation</t>
  </si>
  <si>
    <t>Lívia Barboza Andrade</t>
  </si>
  <si>
    <t>+55 (81)21224100</t>
  </si>
  <si>
    <t>ftliviabandrade@gmail.com</t>
  </si>
  <si>
    <t>Evaluation of the Low Intensity Laser in the Prevention and Treatment of Oral Mucositis: Double Blind Randomized Clinical Trial</t>
  </si>
  <si>
    <t>U1111-1191-2048</t>
  </si>
  <si>
    <t>Jurema Freire Lisboa de Castro</t>
  </si>
  <si>
    <t>+55(81)999777576</t>
  </si>
  <si>
    <t>jlisboa72@hotmail.com</t>
  </si>
  <si>
    <t>Effects of a systemized dance program in motor and non motor aspects of patients with Parkinsons disease: a randomized controlled study</t>
  </si>
  <si>
    <t>01/17/2017</t>
  </si>
  <si>
    <t>U1111-1187-7947</t>
  </si>
  <si>
    <t>Parkinsons Disease,Diseases of the nervous system,Cognition,Gait,Posture,Depression,Motor Disorders,Motor Activity,Dance Therapy</t>
  </si>
  <si>
    <t>Ellen Lirani Silva</t>
  </si>
  <si>
    <t>+55(19)35264365</t>
  </si>
  <si>
    <t>ellenls@rc.unesp.br</t>
  </si>
  <si>
    <t>A double-blind randomized clinical trial to evaluate the dose-response relationship between salt intake and blood pressure at different levels of salt intake</t>
  </si>
  <si>
    <t>U1111-1155-9533</t>
  </si>
  <si>
    <t>Hypertension,Sodium in the diet</t>
  </si>
  <si>
    <t>Ana Luiza Lima Sousa</t>
  </si>
  <si>
    <t>+55(62)981595010</t>
  </si>
  <si>
    <t>demmilima@gmail.com</t>
  </si>
  <si>
    <t>Isostretching method effect in chronic low back pain treatment in women</t>
  </si>
  <si>
    <t>U1111-1188-2605</t>
  </si>
  <si>
    <t>Low Back pain</t>
  </si>
  <si>
    <t>55-41-999944080</t>
  </si>
  <si>
    <t>Study of non-immersive virtual reality in patients with Parkinsons disease: funcional analysis in upper extremities</t>
  </si>
  <si>
    <t>01/16/2017</t>
  </si>
  <si>
    <t>U1111-1132-9805</t>
  </si>
  <si>
    <t>Parkinsons disease,motor activity,physical therapy (specialty)</t>
  </si>
  <si>
    <t>Clynton Lourenço Correa</t>
  </si>
  <si>
    <t>+55 (21) 3938 6539</t>
  </si>
  <si>
    <t>clyntoncorrea@gmail.com</t>
  </si>
  <si>
    <t>Effectiveness of antimicrobial Photodynamic Therapy (aPDT) as adjuvant therapy in the treatment of periodontitis in patients with type 2 diabetes melittus: clinical randomized controlled study</t>
  </si>
  <si>
    <t>U1111-1188-7789</t>
  </si>
  <si>
    <t>Type 2 diabetes,Chronic periodontitis</t>
  </si>
  <si>
    <t>letheodoro@uol.com.br</t>
  </si>
  <si>
    <t>Doing art in Olinda- the treatment of cavited primary molars of children and teenagers in Olinda City</t>
  </si>
  <si>
    <t>U1111-1169-2345</t>
  </si>
  <si>
    <t>Dental Caries,Oral Hygiene,Child development</t>
  </si>
  <si>
    <t>Carolina Maria Maciel</t>
  </si>
  <si>
    <t>caca_maciel@hotmail.com</t>
  </si>
  <si>
    <t>The use of simulation in teaching airway aspiration technique of lower areal: a randomized clinical trial</t>
  </si>
  <si>
    <t>U1111-1187-3653</t>
  </si>
  <si>
    <t>Respiratory aspiration,simulation training</t>
  </si>
  <si>
    <t>Patrícia de Oliveira Salgado</t>
  </si>
  <si>
    <t>+55 31 98566-1883</t>
  </si>
  <si>
    <t>patriciaoliveirasalgado@gmail.com</t>
  </si>
  <si>
    <t>The use of probiotic L. plantarum in dyslipidemia in children and adolescents with nephrotic syndrome: a double-blind randomized placebo-controlled clinical trial</t>
  </si>
  <si>
    <t>U1111-1188-5039</t>
  </si>
  <si>
    <t>Nephrotic syndrome</t>
  </si>
  <si>
    <t>José Miguel Deus</t>
  </si>
  <si>
    <t>+55 62 32698200</t>
  </si>
  <si>
    <t>jose.deus@ebserh.gov.br</t>
  </si>
  <si>
    <t>Hospital das Clínicas Universidade Federal de Goiás</t>
  </si>
  <si>
    <t>Assessment of postoperative pain after adjustment occlusal in endodontic treatment: a randomized controlled clinical trial</t>
  </si>
  <si>
    <t>U1111-1187-0353</t>
  </si>
  <si>
    <t>Elizângela Cristina Barbosa Viana</t>
  </si>
  <si>
    <t>55-92-31844506</t>
  </si>
  <si>
    <t>elizcbarbosa@hotmail.com</t>
  </si>
  <si>
    <t>Universidade Federal do Amazonas (UFAM)</t>
  </si>
  <si>
    <t>The relevance of the Therapy Transfer Package for containment induced in the upper limb of use out of the therapeutic environment</t>
  </si>
  <si>
    <t>U1111-1179-6286</t>
  </si>
  <si>
    <t>Gabriela Silva Matuti</t>
  </si>
  <si>
    <t>+55 (11) 98799-4439</t>
  </si>
  <si>
    <t>knowledge and attitude of women from the Brazilian state of Rio Grande do Sul regarding early detection of breast cancer</t>
  </si>
  <si>
    <t>01/13/2017</t>
  </si>
  <si>
    <t>U1111-1180-7569</t>
  </si>
  <si>
    <t>breast cancer,knowledge,attitude</t>
  </si>
  <si>
    <t>Pricilla Cândido Alves</t>
  </si>
  <si>
    <t>+55 (85)981617451</t>
  </si>
  <si>
    <t>pricillacandido@hotmail.com</t>
  </si>
  <si>
    <t>Patellar tendinopathy in sport: risk profile identification and preventive strategies definition</t>
  </si>
  <si>
    <t>U1111-1180-4972</t>
  </si>
  <si>
    <t>Luciana De Michelis Mendonça</t>
  </si>
  <si>
    <t>+55 31 9 88882945</t>
  </si>
  <si>
    <t>lucianademichelis@yahoo.com.br</t>
  </si>
  <si>
    <t>Venipuncture in hand to relieve newborn pain during the collection of newborn screening: a randomized clinical trial</t>
  </si>
  <si>
    <t>U1111-1188-7521</t>
  </si>
  <si>
    <t>Simone Ferreira da Silva Marques</t>
  </si>
  <si>
    <t>guiemone@yahoo.com.br</t>
  </si>
  <si>
    <t>Efficacy and effectiveness of inhaled Ciclesonide in the treatment of acute Asthma attack: double-blind randomized clinical trial</t>
  </si>
  <si>
    <t>U1111-1143-0473</t>
  </si>
  <si>
    <t>bronchial asthma crisis,predominantly allergic asthma</t>
  </si>
  <si>
    <t>Karla Carlos</t>
  </si>
  <si>
    <t>+55 (11)98741-4924</t>
  </si>
  <si>
    <t>ka.carlos1@hotmail.com</t>
  </si>
  <si>
    <t>Universidade Federal de São Paulo-Escola Paulista de Medicina</t>
  </si>
  <si>
    <t>Prospective clinical randomized study of restorations of class II composite resins using low polymerization shrinkage</t>
  </si>
  <si>
    <t>U1111-1187-9828</t>
  </si>
  <si>
    <t>André Luiz Fraga Briso</t>
  </si>
  <si>
    <t>+55(18)36363348</t>
  </si>
  <si>
    <t>alfbriso@foa.unesp.br</t>
  </si>
  <si>
    <t>Faculdade de Odontologia da Universidade Estadual Paulista Campus de Araçatuba</t>
  </si>
  <si>
    <t>Effects of carbohydrate mouth rinsing on physiological variables and physical performance during a cycling test</t>
  </si>
  <si>
    <t>U1111-1163-6189</t>
  </si>
  <si>
    <t>Electromyographic analysis of muscles used in gait of patients with spinal cord injury in two different training modalities with body weight suspension</t>
  </si>
  <si>
    <t>U1111-1190-5780</t>
  </si>
  <si>
    <t>Fernanda Cechetti</t>
  </si>
  <si>
    <t>55 51982307733</t>
  </si>
  <si>
    <t>fernandacec@ufcspa.edu.br</t>
  </si>
  <si>
    <t>Orofacial pain treatment in individuals with Fibromyalgia: Effect of laser therapy versus anesthetic infiltration of trigger points</t>
  </si>
  <si>
    <t>U1111-1151-9148</t>
  </si>
  <si>
    <t>Fibromyalgia. Orofacial Pain</t>
  </si>
  <si>
    <t>Rebeca Celicia Vieira de Souza</t>
  </si>
  <si>
    <t>+55(83)996337949</t>
  </si>
  <si>
    <t>rebecacvsouza@gmail.com</t>
  </si>
  <si>
    <t>Effect of nadolol on Temporomandibular pain</t>
  </si>
  <si>
    <t>U1111-1189-7298</t>
  </si>
  <si>
    <t>Nádia Cristina Fávaro Moreira</t>
  </si>
  <si>
    <t>55 19 21065305</t>
  </si>
  <si>
    <t>nadiafavaro@gmail.com</t>
  </si>
  <si>
    <t>Influences of gingival cord retractor in retention rate of non-carious cervical lesions restorations with different adhesive systems.  Randomized clinical trials</t>
  </si>
  <si>
    <t>U1111-1187-3111</t>
  </si>
  <si>
    <t>Tooth Wear.Tooth Abrasion</t>
  </si>
  <si>
    <t>Oral minoxidil and spironolactone versus topical minoxidil for female pattern hair loss</t>
  </si>
  <si>
    <t>U1111-1188-7379</t>
  </si>
  <si>
    <t>Female pattern hair loss</t>
  </si>
  <si>
    <t>Tranexamic acid in primary non-cemented total hip arthroplasty</t>
  </si>
  <si>
    <t>U1111-1172-0797</t>
  </si>
  <si>
    <t>Hip artritis / Total hip replacement</t>
  </si>
  <si>
    <t>Osamu de Sandes Kimura</t>
  </si>
  <si>
    <t>+55(21)21345000</t>
  </si>
  <si>
    <t>ortopediaquadril@gmail.com</t>
  </si>
  <si>
    <t>Evaluation of surrogate markers of protection for the evaluation of vaccine strategies against mycobacterial infections in BCG-revaccinated individuals</t>
  </si>
  <si>
    <t>U1111-1135-1310</t>
  </si>
  <si>
    <t>Theolis Barbosa Bessa</t>
  </si>
  <si>
    <t>theolis@gmail.com</t>
  </si>
  <si>
    <t>Fundação Oswaldo Cruz - Bahia</t>
  </si>
  <si>
    <t>The evaluation of Acupuncture effectiveness in the treatment of chronic pain associated with temporomandibular disorders</t>
  </si>
  <si>
    <t>U1111-1171-4320</t>
  </si>
  <si>
    <t>MOSIAH ARAUJO SILVA</t>
  </si>
  <si>
    <t>+55(62)991050314</t>
  </si>
  <si>
    <t>mosiah.araujo21@gmail.com</t>
  </si>
  <si>
    <t>Centro Goiano de Doenças da Boca</t>
  </si>
  <si>
    <t>Neurofunctional Physical Therapy in Parkinsons disease: assessments tools and answer to physiotherapy intervention</t>
  </si>
  <si>
    <t>U1111-1190-3656</t>
  </si>
  <si>
    <t>Alessandra Swarowsky</t>
  </si>
  <si>
    <t>+55 48 36648605</t>
  </si>
  <si>
    <t>Cost evaluation and comparison of the public health benefits of the atraumatic method of caries removal with papayar gel in children</t>
  </si>
  <si>
    <t>U1111-1181-4983</t>
  </si>
  <si>
    <t>Fernanda  Bottega</t>
  </si>
  <si>
    <t>Ijui RS</t>
  </si>
  <si>
    <t>55 999911318</t>
  </si>
  <si>
    <t>f.bottega@unijui.edu.br</t>
  </si>
  <si>
    <t>Comparison of cardiopulmonary and metabolic performance and CLVO2 analysis in obese patients during cardiopulmonary stress tests on treadmill and bicycle: incremental protocol x constant load</t>
  </si>
  <si>
    <t>U1111-1187-9320</t>
  </si>
  <si>
    <t>+55 (84) 33422002</t>
  </si>
  <si>
    <t>selma.bruno@gmail.com</t>
  </si>
  <si>
    <t>Prospective multicenter parallel single-blinded randomized non-inferiority clinical study to evaluate the reduction of cold or flu symptoms with Fluviral® compared to Resfenol® in adult participants</t>
  </si>
  <si>
    <t>U1111-1186-0148</t>
  </si>
  <si>
    <t>Flu,Commom Cold</t>
  </si>
  <si>
    <t>João Antonio Saraiva Fittipaldi</t>
  </si>
  <si>
    <t>+55 11 3627 5404</t>
  </si>
  <si>
    <t>joao.fittipaldi@hypermarcas.com.br</t>
  </si>
  <si>
    <t>BRAINFARMA INDUSTRIA QUIMICA E FARMACEUTICA S.A</t>
  </si>
  <si>
    <t>Evaluation of Obstructive Sleep Apnea patients with difficulty of CPAP adaptation through Drug-induced Sleep Endoscopy</t>
  </si>
  <si>
    <t>U1111-1190-5309</t>
  </si>
  <si>
    <t>Fabiana Pereira Cardoso Valera</t>
  </si>
  <si>
    <t>+55 (16) 3602 2523</t>
  </si>
  <si>
    <t>The use of therapeutic network in incubators used by Newborns in the Neonatal Unit</t>
  </si>
  <si>
    <t>U1111-1185-4300</t>
  </si>
  <si>
    <t>prematurity,Discomfort not specified respiratorio of newborn</t>
  </si>
  <si>
    <t>leila simone foerster merey</t>
  </si>
  <si>
    <t>+55 (67) 3326 5024</t>
  </si>
  <si>
    <t>leilocaf@hotmail.com</t>
  </si>
  <si>
    <t>Effect of a home-based muscle strengthening program on cognitive function and affective state of community-dwelling elderly with mild cognitive impairment</t>
  </si>
  <si>
    <t>U1111-1174-1516</t>
  </si>
  <si>
    <t>Mild cognitive impairment (Minimental state exam 24 -28) GATES et al.,2013</t>
  </si>
  <si>
    <t>Alessandra Carvalho Bastone</t>
  </si>
  <si>
    <t>DIAMANTINA</t>
  </si>
  <si>
    <t>ale.bastone@gmail.com</t>
  </si>
  <si>
    <t>Evaluation of premedication with anti-inflammatory and anesthetic solution in the control of post-endodontic pain</t>
  </si>
  <si>
    <t>U1111-1191-1521</t>
  </si>
  <si>
    <t>+55 42 32203104</t>
  </si>
  <si>
    <t>deodonuepg@gmail.com</t>
  </si>
  <si>
    <t>Reproducibility of post-exercise hypotension and its hemodynamic and autonomic mechanisms</t>
  </si>
  <si>
    <t>U1111-1185-2610</t>
  </si>
  <si>
    <t>Normotension,Hypertension</t>
  </si>
  <si>
    <t>Evaluation of venous reflux and varicose veins in lower limbs of pregnant women: comparison between users and non-users of compression stockings</t>
  </si>
  <si>
    <t>U1111-1175-7723</t>
  </si>
  <si>
    <t>Hamilton Almeida Rollo</t>
  </si>
  <si>
    <t>+55 (14)3880-1447</t>
  </si>
  <si>
    <t>hrollo@fmb.unesp.br</t>
  </si>
  <si>
    <t>Universidade Estadual Paulista - Faculdade de Medicina de Botucatu</t>
  </si>
  <si>
    <t>Nutritional Follow-up in cardiopulmonary and metabolic rehabilitation program: randomized clinical trial in a specialized service</t>
  </si>
  <si>
    <t>U1111-1172-1460</t>
  </si>
  <si>
    <t>Acute myocardial infarction ,stroke,atherosclerosis</t>
  </si>
  <si>
    <t>Cláudia Cicere Cesa</t>
  </si>
  <si>
    <t>claudia.c.cesa@gmail.com</t>
  </si>
  <si>
    <t>Instituto de Cardiologia do Rio Grande do Sul</t>
  </si>
  <si>
    <t>Influence of subjective wellbeing in decision making: an electrophysiological study</t>
  </si>
  <si>
    <t>U1111-1188-0485</t>
  </si>
  <si>
    <t>Mental,behavioural disorders. Happiness. Optimism</t>
  </si>
  <si>
    <t>Leonardo Machado</t>
  </si>
  <si>
    <t>+55(81)993015198</t>
  </si>
  <si>
    <t>leonardo.machadot@ufpe.br</t>
  </si>
  <si>
    <t>Use of antimicrobial Photodynamic Therapy as an adjunct in reducing microorganisms of the oral cavity</t>
  </si>
  <si>
    <t>U1111-1183-0523</t>
  </si>
  <si>
    <t>Livia Azeredo Alves Antunes</t>
  </si>
  <si>
    <t>liviaazeredo@yahoo.com</t>
  </si>
  <si>
    <t>Faculdade de Odontologia - Universidade Federal Fluminense</t>
  </si>
  <si>
    <t>Association betwwen statin and regular physical activity in people infected by HIV: randomized clinical trial double-blind and placebo-controlled</t>
  </si>
  <si>
    <t>12/28/2016</t>
  </si>
  <si>
    <t>U1111-1190-2705</t>
  </si>
  <si>
    <t>Disease by Human immunodeficiency virus (HIV),</t>
  </si>
  <si>
    <t>Hugo Ribeiro Zanetti</t>
  </si>
  <si>
    <t>+55 (34) 3318-5067</t>
  </si>
  <si>
    <t>hugo.zanetti@hotmail.com</t>
  </si>
  <si>
    <t>Effects of podal reflexology massage in older womem</t>
  </si>
  <si>
    <t>U1111-1187-1686</t>
  </si>
  <si>
    <t>postural balance,quality of life,quality of sleep,depressive symptoms</t>
  </si>
  <si>
    <t>Elisangela Valevein Rodrigues</t>
  </si>
  <si>
    <t>+55 (41) 9785 0635</t>
  </si>
  <si>
    <t>elisangela.rodrigues@ifpr.edu.br</t>
  </si>
  <si>
    <t>Instituto Federal do Paraná - IFPR</t>
  </si>
  <si>
    <t>Effects of creatine and caffeine supplementation association in street runners performance</t>
  </si>
  <si>
    <t>U1111-1188-1446</t>
  </si>
  <si>
    <t>Muscle fatigue,Mental Fatigue,caffeine supplementation</t>
  </si>
  <si>
    <t>Elias de França</t>
  </si>
  <si>
    <t>elias.de.f@hotmail.com</t>
  </si>
  <si>
    <t>Effectiveness of auriculotherapy in pain of persons with cancer in chemotherapy: a clinical tria</t>
  </si>
  <si>
    <t>U1111-1181-6459</t>
  </si>
  <si>
    <t>Neoplasms,pain,chemotherapy</t>
  </si>
  <si>
    <t>Clicia Valim Côrtes Gradim</t>
  </si>
  <si>
    <t>cliciagradim@gmail.com</t>
  </si>
  <si>
    <t>The effect of the operating group for care teaching with your feet in the prevention of skin integrity impaired risk of the feet of people with diabetes mellitus</t>
  </si>
  <si>
    <t>U1111-1184-3324</t>
  </si>
  <si>
    <t>Diabetes Mellitus,Type 2,Diabetic Foot</t>
  </si>
  <si>
    <t>Érika Cássia Lopes Chaves</t>
  </si>
  <si>
    <t>+55(35)32991381</t>
  </si>
  <si>
    <t>echaves@unifal-mg.edu.br</t>
  </si>
  <si>
    <t>Effect of High Intensity Interval Training protocol in functional capacity in older woman of Rio Pomba city - MG: A randomized controlled triall</t>
  </si>
  <si>
    <t>U1111-1183-3184</t>
  </si>
  <si>
    <t>Endocrine system disease,cardiovascular disease</t>
  </si>
  <si>
    <t>henrique novais mansur</t>
  </si>
  <si>
    <t>+55(32)99934-2488</t>
  </si>
  <si>
    <t>hnmansur@gmail.com</t>
  </si>
  <si>
    <t>Instituto Federal do Sudeste de Minas</t>
  </si>
  <si>
    <t>Effects of video game physical training and nutritional orientation on functional capacity of older women</t>
  </si>
  <si>
    <t>02/18/2016</t>
  </si>
  <si>
    <t>U1111-1178-9707</t>
  </si>
  <si>
    <t>sarcopenia,accidental falls,muscle strength,postural balance,flexibility</t>
  </si>
  <si>
    <t>Rehabilitation in chronic obstructive pulmonary disease - functional cognitive and epigenetic aspects</t>
  </si>
  <si>
    <t>U1111-1188-4446</t>
  </si>
  <si>
    <t>Other chronic obstructive pulmonary diseases / Chronic Obstructive Pulmonary Disease</t>
  </si>
  <si>
    <t>Paulo José Zimermann Teixeira</t>
  </si>
  <si>
    <t>paulozt@ufcspa.edu.br</t>
  </si>
  <si>
    <t>Effect of interferential current combined with exercise on fibromyalgia: randomized clinical trial</t>
  </si>
  <si>
    <t>U1111-1190-5913</t>
  </si>
  <si>
    <t>+55(79)21051804</t>
  </si>
  <si>
    <t>desantana@pq.cnpq.br</t>
  </si>
  <si>
    <t>Analysis of a teaching program for the preparation for discharge of patients undergoing radical prostatectomy</t>
  </si>
  <si>
    <t>U1111-1182-8952</t>
  </si>
  <si>
    <t>Male Urogenital Diseases,Prostatectomy,Self Efficacy,Anxiety,Depression</t>
  </si>
  <si>
    <t>Luciana Regina Ferreira da Mata</t>
  </si>
  <si>
    <t>luregbh@yahoo.com.br</t>
  </si>
  <si>
    <t>Clinical analysis of new knee prothesis</t>
  </si>
  <si>
    <t>U1111-1150-8283</t>
  </si>
  <si>
    <t>Arthrosis,arthritis</t>
  </si>
  <si>
    <t>Gilberto Luis Camanho</t>
  </si>
  <si>
    <t>+55 (11) 2661 6655</t>
  </si>
  <si>
    <t>gilberto.camanho@hc.fm.usp.br</t>
  </si>
  <si>
    <t>Hospital das Clínicas da Faculdade de Medicina da Universidade de São Paulo - Instituto de Ortopedia e Traumatologia</t>
  </si>
  <si>
    <t>Cardiovascular Risk in Polycystic Ovary Syndrome: Effect of Different Physical Exercise Programs on the Hormonal Cardiovascular Metabolic Reproductive and Quality of Life Aspects</t>
  </si>
  <si>
    <t>12/26/2016</t>
  </si>
  <si>
    <t>U1111-1190-0877</t>
  </si>
  <si>
    <t>Metabolic inflammatory genetic and satiety response to consumption of monounsaturated fatty acids and fructose</t>
  </si>
  <si>
    <t>U1111-1156-7533</t>
  </si>
  <si>
    <t>+55(31)3899-1269</t>
  </si>
  <si>
    <t>Effectiveness of dental care for prevention of nosocomial respiratory tract infections among intensive care patients</t>
  </si>
  <si>
    <t>12/22/2016</t>
  </si>
  <si>
    <t>U1111-1152-2671</t>
  </si>
  <si>
    <t>Nosocomial respiratory tract infections,Bacterial pneumonia,not elsewhere classified</t>
  </si>
  <si>
    <t>Wanessa Teixeira Bellissimo-Rodrigues</t>
  </si>
  <si>
    <t>5516 3602-2536</t>
  </si>
  <si>
    <t>wanessatbr@gmail.com</t>
  </si>
  <si>
    <t>Comparison of the effects of 2% lidocaine solutions with adrenaline 1: 100000 and prilocaine 3% with felipressin 0.054 iu / ml in concentrations of blood glucose during exodontia</t>
  </si>
  <si>
    <t>12/21/2016</t>
  </si>
  <si>
    <t>U1111-1187-8199</t>
  </si>
  <si>
    <t>Daniela meneses santos</t>
  </si>
  <si>
    <t>+55 (79) 9814 2384</t>
  </si>
  <si>
    <t>danyymeneses@yahoo.com.br</t>
  </si>
  <si>
    <t>Evaluation of bronchodilator and anti-inflammatory activity of guaco syrup in humans by pulmonary function tests in asthmatics volunteers</t>
  </si>
  <si>
    <t>12/20/2016</t>
  </si>
  <si>
    <t>U1111-1189-3034</t>
  </si>
  <si>
    <t>Carolina Giesel Garcia</t>
  </si>
  <si>
    <t>+55(41)33604095</t>
  </si>
  <si>
    <t>carolinagieselgarcia@gmail.com</t>
  </si>
  <si>
    <t>Randomized double blind clinical trial to compare Ketoconazol 2 % with Benzoyl Peroxide 5% isolatedly and one of them isolatedly with both together in Pityriasis Versicolor treatment</t>
  </si>
  <si>
    <t>09/27/2015</t>
  </si>
  <si>
    <t>Pityriasis versicolor</t>
  </si>
  <si>
    <t>Tárcio dos Santos Pereira</t>
  </si>
  <si>
    <t>tarciotito@hotmail.com</t>
  </si>
  <si>
    <t>Effects of Physical therapy through Pilates on the health of pregnant women and newborns</t>
  </si>
  <si>
    <t>U1111-1173-8800</t>
  </si>
  <si>
    <t>gestational back pain,urinary incontinence gestational</t>
  </si>
  <si>
    <t>Naiara Toledo Dias</t>
  </si>
  <si>
    <t>+55(34) 3218 2935</t>
  </si>
  <si>
    <t>naiaratdias@gmail.com</t>
  </si>
  <si>
    <t>Study of the efficacy of manual lymphatic drainage in hidroelectrolytic mobilization and heart rate variability in women in the reproductive and climacteric phases compared to the same parameters in men</t>
  </si>
  <si>
    <t>12/19/2016</t>
  </si>
  <si>
    <t>U1111-1190-0716</t>
  </si>
  <si>
    <t>women who are in the climacteric</t>
  </si>
  <si>
    <t>Dora Maria Grassi-Kassisse</t>
  </si>
  <si>
    <t>+55 19 35216186</t>
  </si>
  <si>
    <t>doramgk@unicamp.br</t>
  </si>
  <si>
    <t>Instituto de Biologia Unicamp</t>
  </si>
  <si>
    <t>Effects of aquatic physical therapy on pain and sleep and wakefulness in patients admitted to a neonatal intensive care unit: a quasi-experimental clinical trial</t>
  </si>
  <si>
    <t>U1111-1190-1197</t>
  </si>
  <si>
    <t>newborn,premature</t>
  </si>
  <si>
    <t>Karize Rafaela Mesquita Novakoski</t>
  </si>
  <si>
    <t>+55 (41) 99948 7804</t>
  </si>
  <si>
    <t>karize.novakoski@gmail.com</t>
  </si>
  <si>
    <t>Pilot study of targeted-therapy with methotrexate for the control of chronic inflammation in sickle cell disease patients</t>
  </si>
  <si>
    <t>U1111-1191-0097</t>
  </si>
  <si>
    <t>Patients with Sickle cell disease</t>
  </si>
  <si>
    <t>Silvia Regina Brandalise</t>
  </si>
  <si>
    <t>+55(19) 3787-5000</t>
  </si>
  <si>
    <t>The effect of active oxygen on dental dentifrice in reducing supragingival biofilm: randomized clinical trial</t>
  </si>
  <si>
    <t>U1111-1183-1439</t>
  </si>
  <si>
    <t>Gingivitis,Periodontal Disease</t>
  </si>
  <si>
    <t>Carmen Lucia Mueller Storrer</t>
  </si>
  <si>
    <t>+55 41 33173454</t>
  </si>
  <si>
    <t>carmen.storrer@gmail.com</t>
  </si>
  <si>
    <t>Evaluation by Optical Coherence Tomography Intraoperative through Rescan 700 coupled to OPMI Lumera 700 in patients with opaque media</t>
  </si>
  <si>
    <t>U1111-1184-4174</t>
  </si>
  <si>
    <t>Patricia Correa de Mello Araujo</t>
  </si>
  <si>
    <t>+55 (21) 986780111</t>
  </si>
  <si>
    <t>paticma@gmail.com</t>
  </si>
  <si>
    <t>Instituto Brasileiro de Oftalmologia</t>
  </si>
  <si>
    <t>Assessment of child development and early intervention in high-risk children and their families in Brazil</t>
  </si>
  <si>
    <t>12/14/2016</t>
  </si>
  <si>
    <t>U1111-1183-3342</t>
  </si>
  <si>
    <t>Claudia Regina Lindgren Alves</t>
  </si>
  <si>
    <t>+55(31)3409-9773</t>
  </si>
  <si>
    <t>lindgrenalves@gmail.com</t>
  </si>
  <si>
    <t>Universidade Federal de Minas Gerais/Prof. Claudia Regina Lindgren Alves</t>
  </si>
  <si>
    <t>Art treatment as a option to restorative approach to Molar Incisor Hypominerlisation</t>
  </si>
  <si>
    <t>U1111-1171-3219</t>
  </si>
  <si>
    <t>dental caries,tooth demineralization</t>
  </si>
  <si>
    <t>Juliana de Aguiar Grossi</t>
  </si>
  <si>
    <t>juliana.grossi@gmail.com</t>
  </si>
  <si>
    <t>Remifentanila influence on Hypnosis management in Total Intravenous Anesthesia</t>
  </si>
  <si>
    <t>U1111-1186-6085</t>
  </si>
  <si>
    <t>Ricardo Francisco Simoni</t>
  </si>
  <si>
    <t>ricaboss@gmail.com</t>
  </si>
  <si>
    <t>Centro Médico de Campinas</t>
  </si>
  <si>
    <t>Metabolic syndrome: prevalence and effects of exercise and nutritional supplementation in adults and the elderly of the city of Santo Antônio de Goiás</t>
  </si>
  <si>
    <t>U1111-1189-9960</t>
  </si>
  <si>
    <t>Dyslipidemias,diabetes</t>
  </si>
  <si>
    <t>Pamela Cristina Reis</t>
  </si>
  <si>
    <t>+55(62)3521-1256</t>
  </si>
  <si>
    <t>pamela.ufg@gmail.com</t>
  </si>
  <si>
    <t>Serum vitamin D levels in Autosomal Dominant Polycystic Kidney Disease (ADPKD)patients</t>
  </si>
  <si>
    <t>U1111-1190-3435</t>
  </si>
  <si>
    <t>Polycystic Kidney Disease,Vitamin D deficiency,hypertension,End-stage Renal Disease</t>
  </si>
  <si>
    <t>Mirian Aparecida Boim</t>
  </si>
  <si>
    <t>+551150846836 ramal 24</t>
  </si>
  <si>
    <t>maboim@unifesp.br</t>
  </si>
  <si>
    <t>Effect of foot reflexology on the tissue integrity of feet of people with Integrity Risk of Impaired Skin: a randomized trial</t>
  </si>
  <si>
    <t>U1111-1185-1502</t>
  </si>
  <si>
    <t>Risk for the onset of skin lesions</t>
  </si>
  <si>
    <t>Natália Chantal Magalhães da Silva</t>
  </si>
  <si>
    <t>naty_chantal@hotmail.com</t>
  </si>
  <si>
    <t>Hemodynamic effects serum lactate levels and oxygen content of Passive Mobilization of lower limbs in patients under mechanical ventilation admitted to the Intensive Care Unit</t>
  </si>
  <si>
    <t>U1111-1190-0288</t>
  </si>
  <si>
    <t>Intensive Care Unit,Monitoring,Physiologic</t>
  </si>
  <si>
    <t>Gustavo Dias Ferreira</t>
  </si>
  <si>
    <t>+55 (53) 999827847</t>
  </si>
  <si>
    <t>gusdiasferreira@gmail.com</t>
  </si>
  <si>
    <t>Body Awareness Therapy in heart rate variability of university students</t>
  </si>
  <si>
    <t>U1111-1175-2430</t>
  </si>
  <si>
    <t>Anxiety,depression,stress,heart rate variability</t>
  </si>
  <si>
    <t>Cristina Elena Prado Teles Fregonesi</t>
  </si>
  <si>
    <t>+55(18)32295555</t>
  </si>
  <si>
    <t>cristina@fct.unesp.br</t>
  </si>
  <si>
    <t>Universidade Estadual Paulista - FCT/UNESP</t>
  </si>
  <si>
    <t>Cascade screening of familial hypercholesterolemia from the development of a genotyping method and association of patients genotype and phenotype</t>
  </si>
  <si>
    <t>U1111-1187-7593</t>
  </si>
  <si>
    <t>hyperlipoproteinemia type II,diseases of the circulatory system,atherosclerosis,cholesterol of low density lipoprotein (LDL-c)</t>
  </si>
  <si>
    <t>Heloisa Pamplona Cunha</t>
  </si>
  <si>
    <t>+55(48)99976966</t>
  </si>
  <si>
    <t>helopc@hotmail.com</t>
  </si>
  <si>
    <t>Time of day influence on cardiovascular and sleep adaptations promoted by aerobic training in hypertensives</t>
  </si>
  <si>
    <t>U1111-1182-4500</t>
  </si>
  <si>
    <t>Evaluation of Presbia for the treatment of presbyopia</t>
  </si>
  <si>
    <t>U1111-1185-5684</t>
  </si>
  <si>
    <t>Presbyopia</t>
  </si>
  <si>
    <t>Sandra Maria Canelas Beer</t>
  </si>
  <si>
    <t>sandrabeer@uol.com.br</t>
  </si>
  <si>
    <t>Matricial in elderly health in primary health of Montes Claros Minas Gerais Brazil</t>
  </si>
  <si>
    <t>U1111-1187-1282</t>
  </si>
  <si>
    <t>Antonio Prates Caldeira</t>
  </si>
  <si>
    <t>+55(38)999868621</t>
  </si>
  <si>
    <t>antonio.caldeira@unimontes.br</t>
  </si>
  <si>
    <t>Universidade Estadual de Montes Claros,Unimontes</t>
  </si>
  <si>
    <t>Effect of stretching the comparison and mobilize myofascial technique in posterior shoulder tightness in professionals handebol athletes</t>
  </si>
  <si>
    <t>U1111-1189-2950</t>
  </si>
  <si>
    <t>Shoulder joint,thletic Injuries,randomized controlled trial,musculoskeletal manipulations</t>
  </si>
  <si>
    <t>Measuring the Autistic Spectrum Disorder (ASD)</t>
  </si>
  <si>
    <t>U1111-1189-1274</t>
  </si>
  <si>
    <t>Jose Fausto de Morais</t>
  </si>
  <si>
    <t>+55(34)3219 2984</t>
  </si>
  <si>
    <t>jfmorais@ufu.br</t>
  </si>
  <si>
    <t>Whirlpool Therapy Effects on Sensory Losses in Diabetic Woman´s Foot</t>
  </si>
  <si>
    <t>U1111-1188-9559</t>
  </si>
  <si>
    <t>peripheral diabetic neuropathy,type 2 diabetes mellitus</t>
  </si>
  <si>
    <t>Carolina Nascimben Matheus</t>
  </si>
  <si>
    <t>+55 (19) 99605.3225</t>
  </si>
  <si>
    <t>ca_nm@yahoo.com.br</t>
  </si>
  <si>
    <t>Faculdades Integradas Einstein de Limeira</t>
  </si>
  <si>
    <t>Impact of oral hygiene in the prevention of ventilator-associated pneumonia in Intensive Care Unit: clinical trial</t>
  </si>
  <si>
    <t>U1111-1187-2698</t>
  </si>
  <si>
    <t>Ventilator-Associated Pneumonia</t>
  </si>
  <si>
    <t>Claudia Fernanda de Lacerda Vidal</t>
  </si>
  <si>
    <t>vidal.claudia@gmail.com</t>
  </si>
  <si>
    <t>Evaluation of HBED-PSMA-Ga68 kits for prostate cancer biochemical recurrence diagnostic</t>
  </si>
  <si>
    <t>U1111-1188-7926</t>
  </si>
  <si>
    <t>Prostate neoplasia with local or metastatic recurrence</t>
  </si>
  <si>
    <t>Alice Fialho Viana</t>
  </si>
  <si>
    <t>+55 51 9117 7004</t>
  </si>
  <si>
    <t>alice.viana@gruporph.com.br</t>
  </si>
  <si>
    <t>MJM Produtos Farmaceuticos e de Radioprotecao Ltda</t>
  </si>
  <si>
    <t>Colour stability of Photoactivated and Dual Resin Cement</t>
  </si>
  <si>
    <t>U1111-1154-1887</t>
  </si>
  <si>
    <t>Color stability of resin cement used to lute dental ceramic laminates</t>
  </si>
  <si>
    <t>Ana Maria Estivalete Marchionatti</t>
  </si>
  <si>
    <t>+55(55)99520313</t>
  </si>
  <si>
    <t>anamarchionatti@hotmail.com</t>
  </si>
  <si>
    <t>Effect of low-level laser therapy in nociceptive local and corporal points in temporomandibular disorder: a double-blind randomized clinical trial</t>
  </si>
  <si>
    <t>U1111-1189-1553</t>
  </si>
  <si>
    <t>Christie Ramos Andrade Leite-Panissi</t>
  </si>
  <si>
    <t>+55 (16) 3315 4124</t>
  </si>
  <si>
    <t>christie@forp.usp.br</t>
  </si>
  <si>
    <t>Faculdade de Odontologia de Ribeirão Preto (FORP) - Universidade de São Paulo</t>
  </si>
  <si>
    <t>Effect of protein supplementation and resistance training on muscle mass and strength and physical function in sarcopenic elderly</t>
  </si>
  <si>
    <t>11/30/2016</t>
  </si>
  <si>
    <t>U1111-1174-1547</t>
  </si>
  <si>
    <t>Pelvic floor training in urinary incontinence comparing techniques treatment by intravaginal electrical stimulation and kinesiotherapy</t>
  </si>
  <si>
    <t>U1111-1178-3600</t>
  </si>
  <si>
    <t>Urinary Incontinence,depression,obesity</t>
  </si>
  <si>
    <t>Physical exercise for hemodialysis patients: randomized trial</t>
  </si>
  <si>
    <t>11/29/2016</t>
  </si>
  <si>
    <t>U1111-1179-9900</t>
  </si>
  <si>
    <t>Kidney failure,chronic,Exercise,Metabolic Syndrome X</t>
  </si>
  <si>
    <t>Lucas Gonçalves da Cruz</t>
  </si>
  <si>
    <t>+55 34 991912768</t>
  </si>
  <si>
    <t>lucas_gcruz@hotmail.com</t>
  </si>
  <si>
    <t>Universidade Federal do triângulo mineiro</t>
  </si>
  <si>
    <t>Effect of case management on the control of blood pressure levels and Hypertension complications prevention</t>
  </si>
  <si>
    <t>11/24/2016</t>
  </si>
  <si>
    <t>U1111-1187-2341</t>
  </si>
  <si>
    <t>Ângela Taís Mattei da Silva</t>
  </si>
  <si>
    <t>+55(46)99128863</t>
  </si>
  <si>
    <t>angelataismattei@gmail.com</t>
  </si>
  <si>
    <t>Programa de Pós Graduação em Enfermagem da Universidade Federal do Paraná</t>
  </si>
  <si>
    <t>5- fluorouracil 5% intermittent versus nicotinamide at the treatment cancerization skin field: a clinical trial</t>
  </si>
  <si>
    <t>U1111-11831614</t>
  </si>
  <si>
    <t>Eliane Roio Ferreira</t>
  </si>
  <si>
    <t>55-14-988268382</t>
  </si>
  <si>
    <t>eliane_roio@yahoo.com.br</t>
  </si>
  <si>
    <t>Effects of Respiratory Muscle Training with Different Modalities in Patients with Chronic Obstructive Pulmonary Disease (COPD) - Randomized Controlled Clinical Trial</t>
  </si>
  <si>
    <t>11/23/2016</t>
  </si>
  <si>
    <t>U1111-1180-6987</t>
  </si>
  <si>
    <t>Catharinne A C Farias</t>
  </si>
  <si>
    <t>+55(84)988717176</t>
  </si>
  <si>
    <t>cathfarias@hotmail.com</t>
  </si>
  <si>
    <t>Hospital Universitário Onofre Lopes - HUOL</t>
  </si>
  <si>
    <t>The effect of passion fruits peel flour in glycemic control of people with type diabetes</t>
  </si>
  <si>
    <t>09/19/2016</t>
  </si>
  <si>
    <t>U1111-1187-3616</t>
  </si>
  <si>
    <t>Transcranial Direct Current Stimulation and physical training in chronic stroke patients with motor impairments</t>
  </si>
  <si>
    <t>11/21/2016</t>
  </si>
  <si>
    <t>U1111-1168-2135</t>
  </si>
  <si>
    <t>Paulo Farinatti</t>
  </si>
  <si>
    <t>+55(21)23340775</t>
  </si>
  <si>
    <t>pfarinatti@gmail.com</t>
  </si>
  <si>
    <t>Laboratório de Atividade Física e Promoção da Saúde - Instituto de Educação Física e Desportos - Universidade do Estado do Rio de Janeiro</t>
  </si>
  <si>
    <t>Influence between weight loss and improvement of symtoms in patientes with gastroesophageal reflux disease</t>
  </si>
  <si>
    <t>U1111-1135-5141</t>
  </si>
  <si>
    <t>Daieni  Fernandes</t>
  </si>
  <si>
    <t>+55 (51) 3308 5616</t>
  </si>
  <si>
    <t>daienifernandes@msn.com</t>
  </si>
  <si>
    <t>Effects of Auriculotherapy and Midazolam in anxiety control in patients submitted to exodontics of third molars</t>
  </si>
  <si>
    <t>U111111883570</t>
  </si>
  <si>
    <t>Andrea Gomes Dellovo</t>
  </si>
  <si>
    <t>+55 (79) 99930 5302</t>
  </si>
  <si>
    <t>deadellovo@hotmail.com</t>
  </si>
  <si>
    <t>Comparison of tracheal tube cuffs filled with Air or Alkalinized Lidocaine in patients undergoing Tonsillectomy</t>
  </si>
  <si>
    <t>11/18/2016</t>
  </si>
  <si>
    <t>U1111-1188-4151</t>
  </si>
  <si>
    <t>Traditional versus simplified method for complete denture fabrication in edentulous patients</t>
  </si>
  <si>
    <t>U1111-1188-6917</t>
  </si>
  <si>
    <t>Edentulism or teeth loss</t>
  </si>
  <si>
    <t>Maira Foresti Munhoz</t>
  </si>
  <si>
    <t>+55 35 88551605</t>
  </si>
  <si>
    <t>maira.munhoz@unifal-mg.edu.br</t>
  </si>
  <si>
    <t>Investigation of association of Manual Therapy and surface heat treatment on Tension-Type Headache</t>
  </si>
  <si>
    <t>U1111-1188-8293</t>
  </si>
  <si>
    <t>Tension-Type Headache,Headache</t>
  </si>
  <si>
    <t>Maisa Soares Gui Demase</t>
  </si>
  <si>
    <t>+55(19)981710130</t>
  </si>
  <si>
    <t>maisa_gui@yahoo.com.br</t>
  </si>
  <si>
    <t>Electrothermalphototherapy agents in the treatment of the Body Disharmony Syndrome</t>
  </si>
  <si>
    <t>11/16/2016</t>
  </si>
  <si>
    <t>111-1188-8780</t>
  </si>
  <si>
    <t>Localized abdominal adiposity or subcutaneous fat</t>
  </si>
  <si>
    <t>+55 (41) 9177 6161</t>
  </si>
  <si>
    <t>Use of the beta-tricalcium phospate on maxillar sinus floor augumentation-a randomized clinical controlled trial</t>
  </si>
  <si>
    <t>U1111-1173-6057</t>
  </si>
  <si>
    <t>Effect of Exercise Held in the Third Age Academies of Rio de Janeiro City (ATI-RJ) About Behavior Blood Pressure in Elderly</t>
  </si>
  <si>
    <t>U1111-1188-7441</t>
  </si>
  <si>
    <t>Comitê de Ética e Pesquisa Associação Salgado de Oliveira de Educação e Cultura</t>
  </si>
  <si>
    <t>+55(21) 21384941</t>
  </si>
  <si>
    <t>cepuniverso@nt.universo.edu.br</t>
  </si>
  <si>
    <t>Universidade Salgado de Oliveria</t>
  </si>
  <si>
    <t>Effect of the physiotherapy resources in the distension striaes</t>
  </si>
  <si>
    <t>U1111-1165-3254</t>
  </si>
  <si>
    <t>distensae striaes</t>
  </si>
  <si>
    <t>UNIFAL-MG - Universidade Federal de Alfenas-MG</t>
  </si>
  <si>
    <t>Effect of diacerein on renal function metabolic control and acute inflamatory parameters in type 2 diabetic patients with nephropaty - randomized clinical trial</t>
  </si>
  <si>
    <t>U1111-1156-0255</t>
  </si>
  <si>
    <t>Mellitus Diabetes,Diabetic nephropathy,Kidney Failure,Chronic</t>
  </si>
  <si>
    <t>Sandra C Fuchs</t>
  </si>
  <si>
    <t>scfuchs@terra.com.br</t>
  </si>
  <si>
    <t>Effects of physiotherapy assisted by virtual reality in functionality and quality of life of patients with chronic renal failure in dialysis</t>
  </si>
  <si>
    <t>U1111-1171-9176</t>
  </si>
  <si>
    <t>Chronic kidney disease,end-stage renal disease,hemodialysis</t>
  </si>
  <si>
    <t>Luana Godinho Maynard</t>
  </si>
  <si>
    <t>55(79)88547698</t>
  </si>
  <si>
    <t>luanalanda@yahoo.com.br</t>
  </si>
  <si>
    <t>Use of the penile clamp and quality of life in Urinary Incontinence After Prostatectomy: clinical trial Phase I / II</t>
  </si>
  <si>
    <t>U1111-1177-5237</t>
  </si>
  <si>
    <t>Prostatectomy,Stress Urinary Incontinence,Quality of Life,Nursing Care</t>
  </si>
  <si>
    <t>Juliana Neves Costa</t>
  </si>
  <si>
    <t>+55(85)996041835</t>
  </si>
  <si>
    <t>julianancosta@yahoo.com.br</t>
  </si>
  <si>
    <t>Evaluation of malaria relapse rate in Brazil</t>
  </si>
  <si>
    <t>10/31/2016</t>
  </si>
  <si>
    <t>U1111-1184-9559</t>
  </si>
  <si>
    <t>Malaria</t>
  </si>
  <si>
    <t>André Daher</t>
  </si>
  <si>
    <t>Attentional indicators between body action expectancy and selconsciousness in the performance in induced tasks</t>
  </si>
  <si>
    <t>U1111-1188-9336</t>
  </si>
  <si>
    <t>Willian Barbosa Gomes</t>
  </si>
  <si>
    <t>+55(51)3308 5066</t>
  </si>
  <si>
    <t>gomesw@ufrgs.br</t>
  </si>
  <si>
    <t>Effects of Inspiratory Muscle Training with Dynamic Resistance on Aerobic Capacity in Traumatic Spinal Cord Injury: Randomized Controlled Clinical Trial</t>
  </si>
  <si>
    <t>10/27/2016</t>
  </si>
  <si>
    <t>U1111-1187-6262</t>
  </si>
  <si>
    <t>Sergio Henrique Rodolpho Ramalho</t>
  </si>
  <si>
    <t>shrramalho@gmail.com</t>
  </si>
  <si>
    <t>Rede Sarah de Hospitais de Reabilitação</t>
  </si>
  <si>
    <t>Effects of interdisciplinary and intergenerational intervention in the community elderly mobility</t>
  </si>
  <si>
    <t>10/26/2016</t>
  </si>
  <si>
    <t>U1111-1188-2976</t>
  </si>
  <si>
    <t>Sensation disorders,sedentary lifestyle,mobility limitation</t>
  </si>
  <si>
    <t>Camila Machado de Campos</t>
  </si>
  <si>
    <t>Vargem Grande Paulista</t>
  </si>
  <si>
    <t>+55(11)43039453</t>
  </si>
  <si>
    <t>camachado5@gmail.com</t>
  </si>
  <si>
    <t>Effect of diacerein in metabolic control and acute inflammatory markers in patients with type 2 diabetes using andidiabetic agents</t>
  </si>
  <si>
    <t>U1111-1159-5294</t>
  </si>
  <si>
    <t>Diabete Melito</t>
  </si>
  <si>
    <t>Sandra Costa Fuchs</t>
  </si>
  <si>
    <t>SCFUCHS@TERRA.COM.BR</t>
  </si>
  <si>
    <t>Impact Telephone Monitoring in the Evaluation of Knowledge and Selfcare of Patients with Heart Failure</t>
  </si>
  <si>
    <t>U1111-1188-2252</t>
  </si>
  <si>
    <t>Heart Failure,Telephone Monitoring,Nurse</t>
  </si>
  <si>
    <t>Comitê de ética e pesquisa do Hospital Universitário Pedro Ernesto UERJ</t>
  </si>
  <si>
    <t>+55 (21) 2264 0853</t>
  </si>
  <si>
    <t>Hospital Universitário Pedro Ernesto - UERJ</t>
  </si>
  <si>
    <t>Comparative analysis of the effects of intervention with and without virtual reality on the motor performance and the energy expenditure in children with developmental coordination disorder</t>
  </si>
  <si>
    <t>U1111-1178-1540</t>
  </si>
  <si>
    <t>Developmental coordination disorder</t>
  </si>
  <si>
    <t>jorge lopes cavalcante neto</t>
  </si>
  <si>
    <t>jorgelcneto@hotmail.com</t>
  </si>
  <si>
    <t>universidade federal de são carlos</t>
  </si>
  <si>
    <t>Correlation of the level of physical activity for students with the presence of postural deviations in a state school in the city of Curitiba</t>
  </si>
  <si>
    <t>U1111-1168-2292</t>
  </si>
  <si>
    <t>Universidade Federal do Paraná- UFPR</t>
  </si>
  <si>
    <t>Effect of a goal-oriented training with activities and toys at the home environment of infants with environmental and biological risks to delay on neuromotor development</t>
  </si>
  <si>
    <t>U1111-1179-8038</t>
  </si>
  <si>
    <t>Child Development Disorders,Nervous system diseases</t>
  </si>
  <si>
    <t>Denise Castilho Cabrera Santos</t>
  </si>
  <si>
    <t>+55 (19) 99711 9095</t>
  </si>
  <si>
    <t>dcsantose@unimep.br</t>
  </si>
  <si>
    <t>Promotion program for cardiovascular health: resources and interventions in the school network</t>
  </si>
  <si>
    <t>U1111-11875913</t>
  </si>
  <si>
    <t>Risk for cardiovascular disease,physical inactivity,obesity,overweight,quality of life</t>
  </si>
  <si>
    <t>Mariana Alievi Mari</t>
  </si>
  <si>
    <t>Frederico Westphalen</t>
  </si>
  <si>
    <t>+55(55)96203263</t>
  </si>
  <si>
    <t>maripsicomari@yahoo.com.br</t>
  </si>
  <si>
    <t>Fundação Universitária em Cardiologia do Rio Grande do Sul</t>
  </si>
  <si>
    <t>Use of low level laser therapy for treatment of radiation induced mucositis and radiodermatitis in patients with head and neck cancer</t>
  </si>
  <si>
    <t>U1111-1177-9023</t>
  </si>
  <si>
    <t>Radiodermatitis. Stomatitis</t>
  </si>
  <si>
    <t>MONTES CLAROS</t>
  </si>
  <si>
    <t>Effects of high-intensity interval training and/or strength training on inflammatory oxidative stress and glycaemic metabolism in type 1 diabetes mellitus patients</t>
  </si>
  <si>
    <t>10/20/2016</t>
  </si>
  <si>
    <t>U1111-1187-1387</t>
  </si>
  <si>
    <t>Propolis effectiveness of therapy in the treatment of signs and symptoms of rheumatism: Clinical Trial</t>
  </si>
  <si>
    <t>10/19/2016</t>
  </si>
  <si>
    <t>U1111-1184-0395</t>
  </si>
  <si>
    <t>Rheumatic Diseases</t>
  </si>
  <si>
    <t>Effects of an educational manual on the support provided by companion during delivery</t>
  </si>
  <si>
    <t>U1111-1175-8408</t>
  </si>
  <si>
    <t>Health care in maternal-child health services. Humanizing Delivery</t>
  </si>
  <si>
    <t>Ana Kelve de Castro Damasceno</t>
  </si>
  <si>
    <t>+55 (85) 33668451</t>
  </si>
  <si>
    <t>anakelve@hotmail.com</t>
  </si>
  <si>
    <t>Functional capacity of pre-frail elderly</t>
  </si>
  <si>
    <t>U1111-1179-1533</t>
  </si>
  <si>
    <t>Aging,Sarcopenia,Dynapenia</t>
  </si>
  <si>
    <t>Filipe Fernandes Oliveira Dantas</t>
  </si>
  <si>
    <t>+55 (84) 999880777</t>
  </si>
  <si>
    <t>Centro Universitário do Rio Grande do Norte</t>
  </si>
  <si>
    <t>Evaluation of cost-benefit of Atraumatic Restorative Treatment with glass ionomer cement added cellulose nanocrystals in Brazilian children</t>
  </si>
  <si>
    <t>U1111-1182-5859</t>
  </si>
  <si>
    <t>Dental caries,Child,Preschool,Child</t>
  </si>
  <si>
    <t>Ana Clara de Sá Pinto</t>
  </si>
  <si>
    <t>anaclara_sa@live.com</t>
  </si>
  <si>
    <t>Universidade Federal dos Vales do Jequitinhonha e Mucuri - UFVJM</t>
  </si>
  <si>
    <t>Effects of elastic resistance training on morphological and functional parameters in patients with Chronic Obstructive Pulmonary Disease</t>
  </si>
  <si>
    <t>U1111-1181-6286</t>
  </si>
  <si>
    <t>AMB114588 - An open-label long term extension study for treatment of Pulmonary Arterial Hypertension in paediatric patients aged 8 years up to 18 years who have participated in AMB112529 and in whom continued treatment with Ambrisentan is desired</t>
  </si>
  <si>
    <t>U1111-1148-1040</t>
  </si>
  <si>
    <t>Pesquisador Responsável Contato Centro de Pesquisa</t>
  </si>
  <si>
    <t>+55 21 21416000</t>
  </si>
  <si>
    <t>sac.brasil@gsk.com</t>
  </si>
  <si>
    <t>GlaxoSmithKline Brasil</t>
  </si>
  <si>
    <t>Evaluation of the influence of at-home bleaching with different thickeners in dental sensitivity</t>
  </si>
  <si>
    <t>10/17/2016</t>
  </si>
  <si>
    <t>U1111-1187-2798</t>
  </si>
  <si>
    <t>Juliana do Carmo Públio</t>
  </si>
  <si>
    <t>+55(19)2106-5341</t>
  </si>
  <si>
    <t>jupublio@hotmail.com</t>
  </si>
  <si>
    <t>Faculdade de Odontologia de Piracicaba - Unicamp</t>
  </si>
  <si>
    <t>Velocity of ventilatory anaerobic threshold and heart rate variability after acute supplementation of the main componets of green tea in young untrained: randomized controlled trial</t>
  </si>
  <si>
    <t>U1111-1186-4922</t>
  </si>
  <si>
    <t>Physical conditioning,Heart rate,Anaerobic threshold</t>
  </si>
  <si>
    <t>Eduardo Sales Machado Borges</t>
  </si>
  <si>
    <t>+55 (32) 3693-8345</t>
  </si>
  <si>
    <t>dpipg.barbacena@ifsudestemg.edu.br</t>
  </si>
  <si>
    <t>Instituto Federal de Educação,Ciência e Tecnologia do Sudeste de Minas Gerais</t>
  </si>
  <si>
    <t>Effects of physical activity on cognitive function and BDNF and cortisol levels in older women</t>
  </si>
  <si>
    <t>U1111-1186-0929</t>
  </si>
  <si>
    <t>Cognitive impairment,depression,anxiety</t>
  </si>
  <si>
    <t>Elke Bromberg</t>
  </si>
  <si>
    <t>55 51 33203545</t>
  </si>
  <si>
    <t>bromberg@pucrs.br</t>
  </si>
  <si>
    <t>Effects of promotional activities of healthy eating habits and physical activity in adolescents use of E-Health technology enrolled in schools based public schools in the city of Salvador-BA</t>
  </si>
  <si>
    <t>U1111-1185-0438</t>
  </si>
  <si>
    <t>dyslipidemia,obesity,nutritional deficiencies,and overweight</t>
  </si>
  <si>
    <t>Rita Cássia Ribeiro Silva</t>
  </si>
  <si>
    <t>+55 (71) 3283-7735</t>
  </si>
  <si>
    <t>rcrsilva@ufba.br</t>
  </si>
  <si>
    <t>Escola de Nutrição - Universidade Federal da Bahia</t>
  </si>
  <si>
    <t>Human semen cryopreservation: effect of lipid and antioxidant supplementation on sperm viability</t>
  </si>
  <si>
    <t>U1111-1173-4903</t>
  </si>
  <si>
    <t>Fernanda Sicchieri</t>
  </si>
  <si>
    <t>+ 55 (16) 99156 6961</t>
  </si>
  <si>
    <t>fesicchieri@hotmail.com</t>
  </si>
  <si>
    <t>Impact Of A Therapeutic Exercise Program On Physical And Functional Capacity And On Risk Of Falls Among Community Elderly</t>
  </si>
  <si>
    <t>10/14/2016</t>
  </si>
  <si>
    <t>U1111-1161-8575</t>
  </si>
  <si>
    <t>Assessment of the influence of probiotics in absorption and production of soy metabolites in menopausal women with climateric symptoms</t>
  </si>
  <si>
    <t>U1111-1186-0557</t>
  </si>
  <si>
    <t>Menopause,hot flashes,urogenital atrophy</t>
  </si>
  <si>
    <t>José Guilherme Cecatti</t>
  </si>
  <si>
    <t>+55 (19) 3521-9304</t>
  </si>
  <si>
    <t>cecatti@unicamp.br</t>
  </si>
  <si>
    <t>Evaluation of Heart Rate With Sonar in Newborn in The Delivery Room</t>
  </si>
  <si>
    <t>U1111-1186-9612</t>
  </si>
  <si>
    <t>Bradycardia,Cardiopulmonary Resuscitation,Heart Rate</t>
  </si>
  <si>
    <t>José Henrique Silva Moura</t>
  </si>
  <si>
    <t>+55 (81) 34273692</t>
  </si>
  <si>
    <t>mourajh@yahoo.com</t>
  </si>
  <si>
    <t>Hospital das Clinicas-UFPE</t>
  </si>
  <si>
    <t>Effectiveness of physiotherapy with semi-supervised training of dual task in motor performance and cognitive for people with Parkinsons disease</t>
  </si>
  <si>
    <t>10/13/2016</t>
  </si>
  <si>
    <t>U1111-1186-9166</t>
  </si>
  <si>
    <t>Poliana Penasso Bezerra</t>
  </si>
  <si>
    <t>55(48)37216252</t>
  </si>
  <si>
    <t>poliana.bezerra@ufsc.br</t>
  </si>
  <si>
    <t>Effect of interferential current associated with exercise in stroke: randomized controlled clinical trial</t>
  </si>
  <si>
    <t>U1111-1188-2788</t>
  </si>
  <si>
    <t>+55(79)31796553</t>
  </si>
  <si>
    <t>Effects of nutritional supplementation on intestine permeability systemic inflammation and body composition consequences in elderly</t>
  </si>
  <si>
    <t>U1111-1155-0607</t>
  </si>
  <si>
    <t>Systemic inflammation,Sarcopenia</t>
  </si>
  <si>
    <t>Sandra Maria Lima Ribeiro</t>
  </si>
  <si>
    <t>+55(11)98395 1409</t>
  </si>
  <si>
    <t>smlribeiro@usp.br</t>
  </si>
  <si>
    <t>The effect of electrical stimulation point microcurrent in individuals with Chronic Myofascial Pain Syndrome in the upper trapezius muscle</t>
  </si>
  <si>
    <t>U1111-1188-3667</t>
  </si>
  <si>
    <t>Syndrome of chronic myofascial pain</t>
  </si>
  <si>
    <t>Josie Resende Torres da Silva</t>
  </si>
  <si>
    <t>+55 (35) 3292-2377</t>
  </si>
  <si>
    <t>resendejr@yahoo.com.br</t>
  </si>
  <si>
    <t>Neonatal intubation confirmation with the use of pedflow volumetric device and the clinical method</t>
  </si>
  <si>
    <t>U1111-1187-8894</t>
  </si>
  <si>
    <t>respiratory failure,diaphragmatic hernia,intubation in neonates,confirm intubation</t>
  </si>
  <si>
    <t>Oxygen uptake by myocardial and hemodynamic aspects during the bed bath of patients with acute myocardial infarction</t>
  </si>
  <si>
    <t>U1111-1174-0316</t>
  </si>
  <si>
    <t>Acute Myocardial infarction</t>
  </si>
  <si>
    <t>Dalmo Valério Machado Lima</t>
  </si>
  <si>
    <t>(+55)(21)2629-9487</t>
  </si>
  <si>
    <t>dalmomachado.uff@gmai.com</t>
  </si>
  <si>
    <t>Effectiveness of mindfulness-based stress reduction as an adjuvant strategy for the 12 steps program in relapse prevention among crack cocaine users: a randomized clinical trial</t>
  </si>
  <si>
    <t>U1111-1187-1836</t>
  </si>
  <si>
    <t>Edilaine Cristina Silva Gherardi-Donato</t>
  </si>
  <si>
    <t>(55) 16 3314-3422</t>
  </si>
  <si>
    <t>gherardidonato@gmail.com</t>
  </si>
  <si>
    <t>Escola de Enfermagem de Ribeirão Preto (Centro Coordenador)</t>
  </si>
  <si>
    <t>Analysis of products association for dentin hypersensitivity treatment</t>
  </si>
  <si>
    <t>U111111755572</t>
  </si>
  <si>
    <t>Cervical dentin hypersensitivity,diseases of the digestive system,stomatognathic diseases,dentin sensitivity,abrasion of teeth,erosion of teeth</t>
  </si>
  <si>
    <t>Comparison of the use of uncuffed tracheal tube versus cuffed tracheal tubes filled with saline solution lidocaine or air in pediatric patients</t>
  </si>
  <si>
    <t>U1111-1157-5597</t>
  </si>
  <si>
    <t>hernia inguinal,hidrocele</t>
  </si>
  <si>
    <t>Application of electrothermotherapies resources in patientes with lumbar pain</t>
  </si>
  <si>
    <t>06/14/2016</t>
  </si>
  <si>
    <t>U1111-1182-5258</t>
  </si>
  <si>
    <t>lumbar pain</t>
  </si>
  <si>
    <t>Influence of different cryotherapy protocols on muscle performance and cardiac autonomic modulation in acute post-effort recovery</t>
  </si>
  <si>
    <t>09/30/2016</t>
  </si>
  <si>
    <t>U1111-1182-9263</t>
  </si>
  <si>
    <t>Comparative evaluation of the effect of aerobic resistance and combined training on muscle strength and balance in individuals with type 2 diabetes</t>
  </si>
  <si>
    <t>U1111-1177-2946</t>
  </si>
  <si>
    <t>Diabetes Mellitus type 2,Diabetic Neuropathy</t>
  </si>
  <si>
    <t>Camilla Rodrigues Silva</t>
  </si>
  <si>
    <t>+55 (81) 21268567</t>
  </si>
  <si>
    <t>ft.camillarodrigues@gmail.com</t>
  </si>
  <si>
    <t>Efficiency of the bolus intravenous insulin therapy versus continuos infusion intravenous therapy in patients submitted to liver transplant</t>
  </si>
  <si>
    <t>U1111-1187-3779</t>
  </si>
  <si>
    <t>terminal liver disease</t>
  </si>
  <si>
    <t>Use of block of beta tricalcium phosphate to enhance the bone disponibility in edentulous alveolar ridges: A randomized controlled clinical trial</t>
  </si>
  <si>
    <t>U1111-1173-6484</t>
  </si>
  <si>
    <t>Effect evaluation in vivo of the fluoride ion and toothbrushing on White spot enamel lesions</t>
  </si>
  <si>
    <t>09/26/2016</t>
  </si>
  <si>
    <t>U1111-1186-6655</t>
  </si>
  <si>
    <t>Cícero Florêncio Filho</t>
  </si>
  <si>
    <t>+55 (84) 32113105</t>
  </si>
  <si>
    <t>ciceroflorencio@msn.com</t>
  </si>
  <si>
    <t>UFRN - Universidade Federal Do Rio Grande do Norte</t>
  </si>
  <si>
    <t>Pharmacotherapeutic strategy for individual empowerment of patients with diabetes mellitus type 2 - pharmacoeconomic analysis</t>
  </si>
  <si>
    <t>09/23/2016</t>
  </si>
  <si>
    <t>U1111-1185-2884</t>
  </si>
  <si>
    <t>Type 2 Diabetes Mellitus,diabetes complications</t>
  </si>
  <si>
    <t>Andre Oliveira Baldoni</t>
  </si>
  <si>
    <t>+55 (37) 3221 1402</t>
  </si>
  <si>
    <t>Universidade Federal São João Del-Rei</t>
  </si>
  <si>
    <t>Is there a difference in cardiorespiratory variables to prescribe the respiratory exercise by time or repetitions?</t>
  </si>
  <si>
    <t>U1111-1186-3520</t>
  </si>
  <si>
    <t>Time-course of organic adaptations in response to exercise training in aging</t>
  </si>
  <si>
    <t>09/22/2016</t>
  </si>
  <si>
    <t>U1111-1181-4455</t>
  </si>
  <si>
    <t>Cardiovascular diseases,aging,sarcopenia,inflammation,body composition,diet,muscle strengtgh,cognition,renal function,quality of life,vascular stiffness,autonomic nervous system,aerobic capacity</t>
  </si>
  <si>
    <t>Mara Patrícia Chacon Mikahil</t>
  </si>
  <si>
    <t>Barão Geraldo</t>
  </si>
  <si>
    <t>marapatricia@fef.unicamp.br</t>
  </si>
  <si>
    <t>Faculdade de Educação Física,Laboratório de Fisiologia do Exercício,Universidade Estadual de Campinas</t>
  </si>
  <si>
    <t>Physioterapeutic treatment of pubalgy in a professional soccer player: case study</t>
  </si>
  <si>
    <t>U1111-1184-7457</t>
  </si>
  <si>
    <t>osteitis</t>
  </si>
  <si>
    <t>Newton Pereira Júnior</t>
  </si>
  <si>
    <t>+55(21)965564713</t>
  </si>
  <si>
    <t>ftjrmg.jj@gmail.com</t>
  </si>
  <si>
    <t>Universidade Vale do Rio Doce</t>
  </si>
  <si>
    <t>The effect of far-infrared emitting socks on claudicant patients - a randomized clinical trial</t>
  </si>
  <si>
    <t>U1111-1180-7576</t>
  </si>
  <si>
    <t>Intermitent claudication,I70.2: lower extremity arterial atherosclerosis</t>
  </si>
  <si>
    <t>Fabio Goulart da Silva</t>
  </si>
  <si>
    <t>fabiogoulartdasilva@gmail.com</t>
  </si>
  <si>
    <t>Effect of Strength Training on the Activation Myoelectric Respiratory Structure Diaphragmatic Pulmonary Function and Quality of Life in individuals with Heart Failure</t>
  </si>
  <si>
    <t>U1111-1174-5001</t>
  </si>
  <si>
    <t>+55 (83) 991485007</t>
  </si>
  <si>
    <t>sbrasileiro@pq.cnpq.br</t>
  </si>
  <si>
    <t>BRF115532 - A study Phase III randomized double-blind dabrafenibe (GSK2118436) in combination with trametinibe (GSK1120212) versus two placebo in the adjuvant treatment of high-risk melanoma with BRAF mutation positive V600 after surgical resection</t>
  </si>
  <si>
    <t>U1111-1148-3778</t>
  </si>
  <si>
    <t>Malignant melanoma of skin</t>
  </si>
  <si>
    <t>Acupuncture in the Complementary Treatment of Diabetes Mellitus Type II</t>
  </si>
  <si>
    <t>U1111-1181-1675</t>
  </si>
  <si>
    <t>Claudia Dayube Pereira</t>
  </si>
  <si>
    <t>+55(21)22938999</t>
  </si>
  <si>
    <t>cdayube@hotmail.com</t>
  </si>
  <si>
    <t>Thermographic evaluation of abdominal region between different physical therapy dermatofuncionais resources</t>
  </si>
  <si>
    <t>U1111-1163-7709</t>
  </si>
  <si>
    <t>Abdominal obesity</t>
  </si>
  <si>
    <t>ligia.sousa@hotmail.com</t>
  </si>
  <si>
    <t>The clinical efficacy of Kinesio Tape for Patellofemoral Pain Syndrome in sedentary women</t>
  </si>
  <si>
    <t>09/20/2016</t>
  </si>
  <si>
    <t>U1111-1142-9214</t>
  </si>
  <si>
    <t>Patelofemoral Pain Syndrome,Physiotherapy,Athletic Tape,Exercise Therapy</t>
  </si>
  <si>
    <t>Reciproc system for the Endodontic Treatment of anterior teeth with Peripical Lesion</t>
  </si>
  <si>
    <t>U1111-1185-0991</t>
  </si>
  <si>
    <t>Apical Periodontites</t>
  </si>
  <si>
    <t>André Luis Faria e Silva</t>
  </si>
  <si>
    <t>fabricioeneas@hotmail.com</t>
  </si>
  <si>
    <t>The effect of aerobic exercise training on intracellular signaling pathways and heat shock protein 72 (Hsp72) in obese individuals with insulin resistance</t>
  </si>
  <si>
    <t>U1111-1137-8921</t>
  </si>
  <si>
    <t>obesity,insulin resistance</t>
  </si>
  <si>
    <t>Fabiano Trigueiro Amorim</t>
  </si>
  <si>
    <t>55 xx (38) 3532-1200</t>
  </si>
  <si>
    <t>fabiano.t.amorim@gmail.com</t>
  </si>
  <si>
    <t>Influence of an exercise program on cardiac remodeling and functional capacity of patients with Stroke</t>
  </si>
  <si>
    <t>U1111-1183-0811</t>
  </si>
  <si>
    <t>Biomembranse of hemicellulose dressing versus collagenase in the treatment of chronic venous ulcers: randomized clinical trial open and controlled study</t>
  </si>
  <si>
    <t>U1111-1170-0562</t>
  </si>
  <si>
    <t>Varicose ulcers</t>
  </si>
  <si>
    <t>+55 (14) 3811 6144</t>
  </si>
  <si>
    <t>Efficacy of a physical exercises protocol for lower limbs in patients with venous chronic insufficiency- Clinic trial randomized</t>
  </si>
  <si>
    <t>U1111-1182-8771</t>
  </si>
  <si>
    <t>Chronic Venous Insufficiency</t>
  </si>
  <si>
    <t>Esther Fernandes Tinoco Volpe</t>
  </si>
  <si>
    <t>+55 84 991466886</t>
  </si>
  <si>
    <t>esthertinoco@yahoo.com.br</t>
  </si>
  <si>
    <t>Long term efficacy transcutaneous tibial nerve electrical stimulation for Urge Urinary Incontinence in older women</t>
  </si>
  <si>
    <t>09/13/2016</t>
  </si>
  <si>
    <t>U1111-1139-0222</t>
  </si>
  <si>
    <t>Lucas Schreiner</t>
  </si>
  <si>
    <t>+55(51)33205179</t>
  </si>
  <si>
    <t>schreinerlucas@hotmail.com</t>
  </si>
  <si>
    <t>Perineal Massage during pregnancy for prevention of perineal trauma at birth: quantitative and qualitative approach</t>
  </si>
  <si>
    <t>U1111-1173-4788</t>
  </si>
  <si>
    <t>Rupture,natural childbirth,episiotomy,Perineum,Postpartum Period,pregnancy</t>
  </si>
  <si>
    <t>Juliana Jacques da Costa Monguilhott</t>
  </si>
  <si>
    <t>jujdacosta@gmail.com</t>
  </si>
  <si>
    <t>Programa de Pós-graduação em Enfermagem da Universidade Federal de Santa Catarina - PEn/UFSC</t>
  </si>
  <si>
    <t>Clinical trial phase I / II to evaluate the safety and best dose of the new fibrin sealant derived from snake venom in the treatment of venous ulcers - Study SELANTE I</t>
  </si>
  <si>
    <t>U1111-1156-3967</t>
  </si>
  <si>
    <t>Does desflurane anesthesia associated or not with nitrous oxide induce genotoxicity and oxidative stress in patients?</t>
  </si>
  <si>
    <t>04/14/2015</t>
  </si>
  <si>
    <t>U1111-1150-0903</t>
  </si>
  <si>
    <t>Flávia Ribeiro Nogueira</t>
  </si>
  <si>
    <t>flaviarnogueira@hotmail.com</t>
  </si>
  <si>
    <t>Craniocervicomandibular system : evaluation methods and multimodal therapeutic intervention</t>
  </si>
  <si>
    <t>U1111-1184-4458</t>
  </si>
  <si>
    <t>Physical therapy modalities,dysfunction syndrome tmeporomandibular joint</t>
  </si>
  <si>
    <t>Muriel Priebe e Silva</t>
  </si>
  <si>
    <t>Santa Maria,Rio Grande do Sul,Brasil</t>
  </si>
  <si>
    <t>+55 (55) 9725 2601</t>
  </si>
  <si>
    <t>muri_priebe@hotmail.com</t>
  </si>
  <si>
    <t>Cranoicervicomandibular system : evaluation methods and multimodal therapeutic intervention</t>
  </si>
  <si>
    <t>U1111-1184-4437</t>
  </si>
  <si>
    <t>Temporomandibular Joint Disorders,Musculoskeletal Manipulations</t>
  </si>
  <si>
    <t>A phase III double-bblinded placebo controlled study of xilonix™ for improving survival in metastatic colorectal cancer</t>
  </si>
  <si>
    <t>U1111-1186-5978</t>
  </si>
  <si>
    <t>Metastatic colorectal cancer patients</t>
  </si>
  <si>
    <t>Helena Petridis</t>
  </si>
  <si>
    <t>+55 (11) 5052-7175</t>
  </si>
  <si>
    <t>hpetridis@clinipace.com</t>
  </si>
  <si>
    <t>Resistance and concurrent training with blood flow restriction: hearat rate variability systemic inflammation effects and neuromuscular adjustments in men and women</t>
  </si>
  <si>
    <t>U1111-1182-0732</t>
  </si>
  <si>
    <t>Prevention and/or maintaining cardiovascular health in the elderly</t>
  </si>
  <si>
    <t>Mara Patrícia Traina Chacon Mikahil</t>
  </si>
  <si>
    <t>+55(19)3521 6625</t>
  </si>
  <si>
    <t>The evaluation of the use of Alprazolam in outpatient third molar surgery</t>
  </si>
  <si>
    <t>U1111-1183-3633</t>
  </si>
  <si>
    <t>Danielle Araújo Martins</t>
  </si>
  <si>
    <t>daniellearaujomartins@gmail.com</t>
  </si>
  <si>
    <t>Faculdade de Odontologia da Universidade Federal do Pará</t>
  </si>
  <si>
    <t>The assessment of the effects of analgesia in transcutaneous electrical stimulation associated with acupuncture in patients with chronic low back pain</t>
  </si>
  <si>
    <t>U 1111-1184-9666</t>
  </si>
  <si>
    <t>wecsley guilherme da mota</t>
  </si>
  <si>
    <t>+55(81)95903464</t>
  </si>
  <si>
    <t>wguilhermem@hotmail.com</t>
  </si>
  <si>
    <t>Phase I trial to evaluate safety and immunogenicity of Measles and Rubella vaccine (MR) for measles and rubella in young adults</t>
  </si>
  <si>
    <t>U1111-1159-4123</t>
  </si>
  <si>
    <t>José Cerbino Neto</t>
  </si>
  <si>
    <t>+ 55 21 38659126</t>
  </si>
  <si>
    <t>jose.cerbino@ini.fiocruz.br</t>
  </si>
  <si>
    <t>Low Level Laser Therapy and exercise to patients with chronic pain and rheumatic diseases: randomized clinical trials with pain quality of life functionality assessments and biomechanical aspects</t>
  </si>
  <si>
    <t>U1111-1187-1647</t>
  </si>
  <si>
    <t>Osteoarthritis,Arthritis Rheumatoid,Chronic Pain</t>
  </si>
  <si>
    <t>Renan Fangel</t>
  </si>
  <si>
    <t>Brasília (Águas Claras)</t>
  </si>
  <si>
    <t>+55(61)983347061</t>
  </si>
  <si>
    <t>renanfangel@yahoo.com.br</t>
  </si>
  <si>
    <t>Interference of Magnesium Sulfate in onset time and duration of Rocuronium in different doses</t>
  </si>
  <si>
    <t>U1111-1169-8302</t>
  </si>
  <si>
    <t>Aspiration pneumonia,neuromuscular nondepolarizing agents,intratracheal intubation</t>
  </si>
  <si>
    <t>Carlos Eduardo David de Almeida</t>
  </si>
  <si>
    <t>+55(27)999821227</t>
  </si>
  <si>
    <t>cedalmeida@gmail.com</t>
  </si>
  <si>
    <t>Relation among pelvic floor phisiotherapy during pregnancy urinary incontinence and obstetric outcome</t>
  </si>
  <si>
    <t>U1111-1184-9871</t>
  </si>
  <si>
    <t>Acute effect of whole body vibration in neuro endocrine inflammatory parameters in fibromyalgia women</t>
  </si>
  <si>
    <t>U1111-1187-1774</t>
  </si>
  <si>
    <t>+55(38)35311200</t>
  </si>
  <si>
    <t>Pessary plus Progesterone to prevent Preterm delivery in women with short cervical length: randomized clinical trial</t>
  </si>
  <si>
    <t>U1111-1164-2636</t>
  </si>
  <si>
    <t>Preterm delivery,Maternal care for cervical incompetence,Maternal care for other abnormalities of cervix,Uterine Cervical Incompetence</t>
  </si>
  <si>
    <t>Adriano Bueno Tavares</t>
  </si>
  <si>
    <t>BRASILIA</t>
  </si>
  <si>
    <t>+55 (61) 8152 6500</t>
  </si>
  <si>
    <t>adriano.b.tavares@gmail.com</t>
  </si>
  <si>
    <t>HRAN</t>
  </si>
  <si>
    <t>Effects of different cognitive behavioral therapies to social anxiety on memory attention and galvanic skin response</t>
  </si>
  <si>
    <t>U1111-1186-4985</t>
  </si>
  <si>
    <t>Social phobias</t>
  </si>
  <si>
    <t>Carmem Beatriz Neufeld</t>
  </si>
  <si>
    <t>+55(16)981770490</t>
  </si>
  <si>
    <t>cbneufeld@usp.br</t>
  </si>
  <si>
    <t>Faculdade de Filosofia,Ciências e Letras de Ribeirão Preto - Universidade de São Paulo</t>
  </si>
  <si>
    <t>Effect of creatine supplementation associated with a resistance training program on muscle mass strength and physical performance in sarcopenic elderly</t>
  </si>
  <si>
    <t>U1111-1184-5961</t>
  </si>
  <si>
    <t>sarcopenia,Health of the Elderly,Exercise,Insulin Resistance,Inflammation Mediators</t>
  </si>
  <si>
    <t>+55(62)32096270</t>
  </si>
  <si>
    <t>Association of monomers as an alternative for the treatment of dentin hypersensitivity: a randomized clinical trial</t>
  </si>
  <si>
    <t>U1111-1184-9730</t>
  </si>
  <si>
    <t>The specific disease of hard tissues of teeth</t>
  </si>
  <si>
    <t>Metabolic syndrome: prevalence and effects of physical exercise and nutritional supplementation in adults and elderly of city Santo Antonio Goiás</t>
  </si>
  <si>
    <t>U1111-1185-5338</t>
  </si>
  <si>
    <t>Metabolic Syndrome X,Cardiovascular Physiological Phenomena,Obesity</t>
  </si>
  <si>
    <t>+55 (62) 3521 1000</t>
  </si>
  <si>
    <t>A school-based intervention to improve sense of coherence and childrens oral health related quality of life</t>
  </si>
  <si>
    <t>U1111-1185-6519</t>
  </si>
  <si>
    <t>Periodontics,Quality of life,Dental caries,Sickness impact profile</t>
  </si>
  <si>
    <t>Fernanda Tomazoni</t>
  </si>
  <si>
    <t>fei_tomazoni@hotmail.com</t>
  </si>
  <si>
    <t>Analysis of the effects of an Aquatic Exercise Program on functional activities and upright posture of subjects with Parkinsons Disease</t>
  </si>
  <si>
    <t>U1111-1183-2565</t>
  </si>
  <si>
    <t>Adriano Zanardi da Silva</t>
  </si>
  <si>
    <t>+55(41)96934946</t>
  </si>
  <si>
    <t>zanardiufpr@gmail.com</t>
  </si>
  <si>
    <t>EGF117165 - A phase II open-label study to evaluate biomarkers associated with response to subsequent therapies in subjects with HER2-positive metastatic breast cancer receiving treatment with Trastuzumab in combination with Lapatinib or Chemotherapy</t>
  </si>
  <si>
    <t>U1111-1175-5621</t>
  </si>
  <si>
    <t>Neoplasms,breast cancer HER2 positive</t>
  </si>
  <si>
    <t>Serviço de Atendimento ao Cliente SAC</t>
  </si>
  <si>
    <t>Reflexotherapy podal for lumbar pain relief acute related to work of nursing: team randomized controlled trial</t>
  </si>
  <si>
    <t>U1111-1184-5004</t>
  </si>
  <si>
    <t>Acute low back pain</t>
  </si>
  <si>
    <t>Grace Teresinha Marcon Dal Sasso</t>
  </si>
  <si>
    <t>+55(48)21794910</t>
  </si>
  <si>
    <t>gracetms@gmail.com</t>
  </si>
  <si>
    <t>Endoscopic treatment of bile duct stones of difficult removal compared two methods: Use of Direct Visualization System of Bile Ducts (Spyglass Direct Visualization System) associated with electrohydraulic lithotripsy (EHL) X hydrostatic balloon dilation of the major duodenal papilla followed by scanning extractor balloon</t>
  </si>
  <si>
    <t>U1111-1186-8586</t>
  </si>
  <si>
    <t>Digestive system diseases,Choledocholithiasis</t>
  </si>
  <si>
    <t>Tomazo Antonio Prince Franzini</t>
  </si>
  <si>
    <t>+55(11)2661000</t>
  </si>
  <si>
    <t>tomazof@uol.com.br</t>
  </si>
  <si>
    <t>Construction and validation educational video to promote people with diabetes and foot self-care at risk</t>
  </si>
  <si>
    <t>U1111-1184-9228</t>
  </si>
  <si>
    <t>Foot complications in people with diabetes</t>
  </si>
  <si>
    <t>Luciana Catunda Gomes de Menezes</t>
  </si>
  <si>
    <t>lucianacatundagomes@yahoo.com.br</t>
  </si>
  <si>
    <t>Universidade Estadual do Ceará-UECE</t>
  </si>
  <si>
    <t>Effectiveness of self-care rests on knowledge self-care and cardiometabolic control of adult men with Diabetes Mellitus</t>
  </si>
  <si>
    <t>U1111-1186-1323</t>
  </si>
  <si>
    <t>Guilherme Oliveira de Arruda</t>
  </si>
  <si>
    <t>MARINGA</t>
  </si>
  <si>
    <t>+ 55 (44) 91663381</t>
  </si>
  <si>
    <t>enfgoa@gmail.com</t>
  </si>
  <si>
    <t>Effects of resistance and aerobic training on markers of cellular aging in type 2 diabetics</t>
  </si>
  <si>
    <t>U1111-1186-8010</t>
  </si>
  <si>
    <t>Non-Insulin-Dependent Diabetes Mellitus</t>
  </si>
  <si>
    <t>Herbert Gustavo Simões</t>
  </si>
  <si>
    <t>+55(61)33569350</t>
  </si>
  <si>
    <t>hgsimoes@gmail.com</t>
  </si>
  <si>
    <t>Metabolic syndrome: prevalence and effects of physical exercise and nutritional supplementation in adults and elderly of Santo Antônio de Goiás city</t>
  </si>
  <si>
    <t>U1111-1186-0986</t>
  </si>
  <si>
    <t>(55) 62 3521-1256</t>
  </si>
  <si>
    <t>Effect of the strategies of an orientation program of lifestyle and the process of healing in patients with venous ulcers: a randomized clinical trial</t>
  </si>
  <si>
    <t>08/31/2016</t>
  </si>
  <si>
    <t>U1111-1186-1354</t>
  </si>
  <si>
    <t>Life style,Varicose Ulcer,leg ulcer</t>
  </si>
  <si>
    <t>Elaine Aparecida Rocha Domingues</t>
  </si>
  <si>
    <t>55(35)88800905</t>
  </si>
  <si>
    <t>elaine_wdb@yahoo.com.br</t>
  </si>
  <si>
    <t>Effectiveness of fluoride varnish to prevent dental caries in primary teeth</t>
  </si>
  <si>
    <t>08/29/2016</t>
  </si>
  <si>
    <t>U1111-1184-3051</t>
  </si>
  <si>
    <t>Dental caries,fluorine,deciduous tooth,child</t>
  </si>
  <si>
    <t>Cláudia de Oliveira Lima Coelho</t>
  </si>
  <si>
    <t>+55 (18) 3229-1052</t>
  </si>
  <si>
    <t>claudiacoelho@unoeste.br</t>
  </si>
  <si>
    <t>Faculdade de Odontologia da Universidade do Oeste Paulista</t>
  </si>
  <si>
    <t>Clinical evaluation of an antioxidant on bond strength of esthetic restorations in newly whitened teeth</t>
  </si>
  <si>
    <t>08/25/2016</t>
  </si>
  <si>
    <t>U1111-1186-4227</t>
  </si>
  <si>
    <t>erosion</t>
  </si>
  <si>
    <t>Renata Corrêa Pascotto</t>
  </si>
  <si>
    <t>renatapascotto@gmail.com</t>
  </si>
  <si>
    <t>Analgesic effectiveness of oral ketorolac associated with a combination of analgesics tramadol/acetaminophen after impacted third molars surgery: randomized and double-blind clinical trial</t>
  </si>
  <si>
    <t>08/24/2016</t>
  </si>
  <si>
    <t>U1111-1171-8784</t>
  </si>
  <si>
    <t>Alessandra Reis Loguercio</t>
  </si>
  <si>
    <t>+55 (42) 3220 3000</t>
  </si>
  <si>
    <t>Controlled trial comparing the efficacy of Trial-Based Cognitive Therapy (TBCT) and standard treatment about the adherence to the treatment of patients with HIV/AIDS with antiretroviral therapy failure assisted in Salvador Bahia</t>
  </si>
  <si>
    <t>U1111-1184-0639</t>
  </si>
  <si>
    <t>Carlos Roberto Brites Alves</t>
  </si>
  <si>
    <t>+55(71)32838126</t>
  </si>
  <si>
    <t>crbrites@gmail.com</t>
  </si>
  <si>
    <t>Fundação Bahiana de Infectologia</t>
  </si>
  <si>
    <t>Daylight photodynamic therapy application in the treatment of Bowens disease</t>
  </si>
  <si>
    <t>U1111-1182-6460</t>
  </si>
  <si>
    <t>in situ carcinoma,cutaneous in situ carcinoma</t>
  </si>
  <si>
    <t>Carla Corrêa Martins</t>
  </si>
  <si>
    <t>carlacmrts@gmail.com</t>
  </si>
  <si>
    <t>Neuromuscular electrical stimulation in patients with Traumatic Brain Injury under prolonged mechanical ventilation: a Randomized Clinical Trial</t>
  </si>
  <si>
    <t>U1111-1184-8371</t>
  </si>
  <si>
    <t>Multiple Trauma,Intensive Care Units,Muscle,Skeletal,Electric Stimulation</t>
  </si>
  <si>
    <t>Luciana Vieira</t>
  </si>
  <si>
    <t>+55 (61) 3376 0252</t>
  </si>
  <si>
    <t>lvto@icloud.com</t>
  </si>
  <si>
    <t>Universidade de Brasilia - Programa de Pós-Graduação em Ciências e Tecnologias em Saúde</t>
  </si>
  <si>
    <t>Clinical evaluation of intraoperative sensitivity in children undergoing preventive treatment using topical anesthesia with new anesthetic gel</t>
  </si>
  <si>
    <t>U1111-1186-2169</t>
  </si>
  <si>
    <t>In vivo evaluation and monitoring with nanosensors effect hypoglycemic of cucurbita ficifolia Bouché in type 2 diabetic patients</t>
  </si>
  <si>
    <t>U1111-1178-1437</t>
  </si>
  <si>
    <t>Lidiane Batista Muniz</t>
  </si>
  <si>
    <t>Araporã</t>
  </si>
  <si>
    <t>+55(61)982849657</t>
  </si>
  <si>
    <t>lidianebmuniz@gmail.com</t>
  </si>
  <si>
    <t>The use of transcranial direct current stimulation and therapeutic exercise for rehabilitation of individuals after stroke</t>
  </si>
  <si>
    <t>08/17/2016</t>
  </si>
  <si>
    <t>U1111-1159-1066</t>
  </si>
  <si>
    <t>Central System Nervous Disease</t>
  </si>
  <si>
    <t>Erika de Carvalho Rodrigues</t>
  </si>
  <si>
    <t>Rio de Jameiro</t>
  </si>
  <si>
    <t>+55(21)997124796</t>
  </si>
  <si>
    <t>erikacrodrigues@gmail.com</t>
  </si>
  <si>
    <t>SOCIEDADE UNIFICADA DE ENSINO AUGUSTO MOTTA</t>
  </si>
  <si>
    <t>Evaluating the use of peripherally inserted central catheter exclusively for parenteral nutrition - randomized study</t>
  </si>
  <si>
    <t>08/16/2016</t>
  </si>
  <si>
    <t>U111111635869</t>
  </si>
  <si>
    <t>Cristine Ruviaro de Oliveira</t>
  </si>
  <si>
    <t>+55 (55) 96197688</t>
  </si>
  <si>
    <t>pediatria-pg@pucrs.br</t>
  </si>
  <si>
    <t>União Brasileira de Educação e Assistencia</t>
  </si>
  <si>
    <t>Polihexanide the effectiveness of evaluation in the treatment of oral mucositis: a randomized clinical trial</t>
  </si>
  <si>
    <t>U1111-1171-9884</t>
  </si>
  <si>
    <t>mucositis,stomatitis</t>
  </si>
  <si>
    <t>Ana Paula Eufrázio do Nascimento Andrade</t>
  </si>
  <si>
    <t>+55(74) 991241056</t>
  </si>
  <si>
    <t>apeufrazio@gmail.com</t>
  </si>
  <si>
    <t>Clinical evaluation of exposure to derivatives glue and sensitivity after whitening Dental vital teeth</t>
  </si>
  <si>
    <t>U111111820808</t>
  </si>
  <si>
    <t>Somatic Experiencing®: Proposing a new technology for the treatment of Stress Disorder Posttraumatic</t>
  </si>
  <si>
    <t>U1111-1186-4563</t>
  </si>
  <si>
    <t>+ 55 84 996245892</t>
  </si>
  <si>
    <t>Grupo de Pesquisa Caleidoscópio da Educação/UFRN</t>
  </si>
  <si>
    <t>Clinical evaluation of intraoperative pain in children undergoing preventive treatment using a new topical anesthetic photoactivated</t>
  </si>
  <si>
    <t>U1111-1186-2065</t>
  </si>
  <si>
    <t>Clinical investigation of intraoperative pain in adults undergoing restorative treatment of non-carious lesions using a topical anesthetic photoactivated</t>
  </si>
  <si>
    <t>08/15/2016</t>
  </si>
  <si>
    <t>U1111-1186-2282</t>
  </si>
  <si>
    <t>Effect of Aquatic and Conventional Physiotherapy on gait pain clinical and functional aspects in Lumbar Spinal Stenosis patients: Randomized Clinical Trial</t>
  </si>
  <si>
    <t>U1111-1182-7404</t>
  </si>
  <si>
    <t>Lumbar Spinal Stenosis,Lumbar pain</t>
  </si>
  <si>
    <t>Karen Przybysz da Silva Rosa</t>
  </si>
  <si>
    <t>+55(51)91049347</t>
  </si>
  <si>
    <t>karenprosa@gmail.com</t>
  </si>
  <si>
    <t>Escola de Educação Física,Fisioterapia e Dança - UFRGS</t>
  </si>
  <si>
    <t>Impact of Implementation of Preoperative Test Ordering Protocol at University Hospital Gaffrée and Guinle</t>
  </si>
  <si>
    <t>U1111-1185-3695</t>
  </si>
  <si>
    <t>preoperative care,preoperative tests,practice guidelines,perioperative complications</t>
  </si>
  <si>
    <t>Antonio Carlos Iglesias</t>
  </si>
  <si>
    <t>55 21 2264-4842</t>
  </si>
  <si>
    <t>acrigesias@gmail.com</t>
  </si>
  <si>
    <t>Hospital Universitário Gaffree e Guinle/ Universidade federal do Estado do Rio de Janeiro</t>
  </si>
  <si>
    <t>Functional clinical and systemic effects of the body electrical stimulation on bariatric surgery postoperative</t>
  </si>
  <si>
    <t>U1111-1167-4548</t>
  </si>
  <si>
    <t>Morbidly obese patients undergoing bariatric surgery</t>
  </si>
  <si>
    <t>Universidade Federal de São Carlos - Departamento de Fisioterapia</t>
  </si>
  <si>
    <t>Effect of resistance training in muscle strength muscle mass mobility functional capacity and biochemicals parameters in sarcopenic and non sarcopenic elderly</t>
  </si>
  <si>
    <t>U1111-1165-9434</t>
  </si>
  <si>
    <t>Luís Alberto Gobbo</t>
  </si>
  <si>
    <t>+55(18)3229 5721</t>
  </si>
  <si>
    <t>Faculdade de Ciências e Tecnologia,Universidade Estadual Paulista</t>
  </si>
  <si>
    <t>The effect of manipulative therapy on cardiac autonomic nervous system of musculoskeletal pain patients: a randomized controlled trial</t>
  </si>
  <si>
    <t>U1111-1184-4223</t>
  </si>
  <si>
    <t>Effects of physiotherapy associated with yoga and music therapy in Parkinson´s disease</t>
  </si>
  <si>
    <t>U1111-1184-5454</t>
  </si>
  <si>
    <t>PARKINSONS DISEASE</t>
  </si>
  <si>
    <t>+55(48)37216252</t>
  </si>
  <si>
    <t>Comparison of microbiological and physicochemical property of raw human milk collected at the bedside at home and after pasteurization</t>
  </si>
  <si>
    <t>U1111-1184-6127</t>
  </si>
  <si>
    <t>Carla Regina Bianchi Codo</t>
  </si>
  <si>
    <t>55 (19) 34970276</t>
  </si>
  <si>
    <t>carlacodo@yahoo.com.br</t>
  </si>
  <si>
    <t>Comparative effectiveness of catheter locking solutions with gentamicin/cefazolin versus taurolidine to reduce catheter-related infection in hemodialysis patients</t>
  </si>
  <si>
    <t>U1111-1178-4166</t>
  </si>
  <si>
    <t>Central venous catheter related infections,bacteremia in hemodialysis</t>
  </si>
  <si>
    <t>Daniela - Ponce</t>
  </si>
  <si>
    <t>+55(14)99762-5806</t>
  </si>
  <si>
    <t>dponce@fmb.unesp.br</t>
  </si>
  <si>
    <t>Faculdade de Medicina de Botucatu-UNESP</t>
  </si>
  <si>
    <t>Clinical and Radiographic Evaluation of Minimally Invasive Procedures in Superficial Dentin of Primary Molars</t>
  </si>
  <si>
    <t>U1111-1136-4803</t>
  </si>
  <si>
    <t>Evaluation of muscle strength and maternal and perinatal effects of pelvic floor strengthening exercises during pregnancy - randomized clinical trial</t>
  </si>
  <si>
    <t>U1111-1184-4807</t>
  </si>
  <si>
    <t>Sexual dysfunction in pregnancy</t>
  </si>
  <si>
    <t>Cristine Homsi Jorge Ferreira</t>
  </si>
  <si>
    <t>+55 (16) 33150741</t>
  </si>
  <si>
    <t>cristine@fmrp.usp.br</t>
  </si>
  <si>
    <t>Laparoscopic Hysterectomy: comparative study between Multiport and Single Port Laparoscopy</t>
  </si>
  <si>
    <t>U1111-1180-4664</t>
  </si>
  <si>
    <t>Edmund Chada Baracat</t>
  </si>
  <si>
    <t>+55 (11) 26617621</t>
  </si>
  <si>
    <t>edmund.baracat@hc.fm.usp.br</t>
  </si>
  <si>
    <t>Divisão de Clínica Ginecológica do Hospital das Clínicas da Universidade de São Paulo da Faculdade De Medicina Da Universidade de São Paulo</t>
  </si>
  <si>
    <t>Nutritional Guidance Impact with Additives Food Restriction on Phosphatemia in Hemodialysis Patients</t>
  </si>
  <si>
    <t>U1111-1184-7859</t>
  </si>
  <si>
    <t>Jacqueline Costa Teixeira Caramori</t>
  </si>
  <si>
    <t>Treatment of Varicose Veins by Foam Sclerotherapy Ultrasound-guided</t>
  </si>
  <si>
    <t>U1111-1174-9177</t>
  </si>
  <si>
    <t>Venous Insufficiency,Varicose Veins,Obesity</t>
  </si>
  <si>
    <t>Marco Antonio Nunes</t>
  </si>
  <si>
    <t>+55(79)21051811</t>
  </si>
  <si>
    <t>nunes.ma@ufs.br</t>
  </si>
  <si>
    <t>Perimetrical Findings in the double frequency perimetry (PDT) in the treatment of branch vein with Lucentis (Ranibizumab)</t>
  </si>
  <si>
    <t>U1111-1182-3103</t>
  </si>
  <si>
    <t>Branch Retinal Vein Occlusion</t>
  </si>
  <si>
    <t>Alexandre Grobberio Pinheiro</t>
  </si>
  <si>
    <t>+55 (27) 98804 2877</t>
  </si>
  <si>
    <t>pinheiroalx@gmail.com</t>
  </si>
  <si>
    <t>Acute Physiological Responses to Virtual Reality Games in Adults Affected by Stroke</t>
  </si>
  <si>
    <t>U1111-1169-7248</t>
  </si>
  <si>
    <t>Cláudia Lúcia de Moraes Forjaz</t>
  </si>
  <si>
    <t>Use of hippotherapy as a tool in the improvement of blood oxygenation heart rate variability balance and muscle activation frequency in elderly</t>
  </si>
  <si>
    <t>U1111-1159-4976</t>
  </si>
  <si>
    <t>TAF116567 A randomized double blind double dummy comparative multicenter study to assess the incidence of hemolysis safety and efficacy of tafenoquine (sb252263 wr238605) versus primaquine in the treatment of subjects with plasmodium vivax malaria</t>
  </si>
  <si>
    <t>07/28/2016</t>
  </si>
  <si>
    <t>U1111-1151-5094</t>
  </si>
  <si>
    <t>Plasmodium vivax,malaria</t>
  </si>
  <si>
    <t>Evaluation of ulcer healing process in patients with sickle cell anemia</t>
  </si>
  <si>
    <t>U1111-1174-9217</t>
  </si>
  <si>
    <t>Sickle cell Disease,Leg ulcer</t>
  </si>
  <si>
    <t>The use of serious games as a strategy to confront the childhood obesity: randomized clinical trial</t>
  </si>
  <si>
    <t>07/27/2016</t>
  </si>
  <si>
    <t>U1111-1180-8176</t>
  </si>
  <si>
    <t>Luciana Mara Monti Fonseca</t>
  </si>
  <si>
    <t>55 (16) 3315 3411</t>
  </si>
  <si>
    <t>lumonti@eerp.usp.br</t>
  </si>
  <si>
    <t>Escola Enfermagem de Ribeirão Preto</t>
  </si>
  <si>
    <t>Risk factors for intubation in patients after cardiac surgery</t>
  </si>
  <si>
    <t>U1111-1183-8222</t>
  </si>
  <si>
    <t>Intubation,cardiovascular diseases,artificial respiration,post operative period,intensive care units</t>
  </si>
  <si>
    <t>Cíntia  Yukie  Shoji</t>
  </si>
  <si>
    <t>+55(14) 997711246</t>
  </si>
  <si>
    <t>cintia.shoji@hotmail.com</t>
  </si>
  <si>
    <t>Administration of drugs intramuscular: dorsogluteal region and the ventrogluteal region</t>
  </si>
  <si>
    <t>U1111-1153-7546</t>
  </si>
  <si>
    <t>syphilis</t>
  </si>
  <si>
    <t>Regina Maria Santos</t>
  </si>
  <si>
    <t>+55(82)996451769</t>
  </si>
  <si>
    <t>neu_o_silva@hotmail.com</t>
  </si>
  <si>
    <t>Effect of Deep Water Running in body composition functional capacity and quality of life in pre-obese and obese adults: randomized controlled trial</t>
  </si>
  <si>
    <t>U1111-1184-3785</t>
  </si>
  <si>
    <t>Effect of functional training on anthropometric parameters functional and glycemic elderly with diabetes</t>
  </si>
  <si>
    <t>U1111-1160-2391</t>
  </si>
  <si>
    <t>elderly diabetics</t>
  </si>
  <si>
    <t>Silvia Regina Barrile</t>
  </si>
  <si>
    <t>+55 (14) 2107 7199</t>
  </si>
  <si>
    <t>srbarrile@gmail.com</t>
  </si>
  <si>
    <t>The telenursing in the treatment of inflammatory bowel diseases: a clinical trial</t>
  </si>
  <si>
    <t>07/25/2016</t>
  </si>
  <si>
    <t>11111184-5077</t>
  </si>
  <si>
    <t>Inflamatory Bowel Disease,Crohn disease,ulcerative colitis</t>
  </si>
  <si>
    <t>Rachael Santos</t>
  </si>
  <si>
    <t>+55 (21) 2334 2380</t>
  </si>
  <si>
    <t>enfarachael@hotmail.com</t>
  </si>
  <si>
    <t>Policlínica Piquet Carneiro</t>
  </si>
  <si>
    <t>Evaluation of effects hacer sin Sedentary behavior counseling Adults with ankylosing spondylitis : a randomized study</t>
  </si>
  <si>
    <t>07/22/2016</t>
  </si>
  <si>
    <t>U1111-1183-9077</t>
  </si>
  <si>
    <t>Claudia Diniz Lopes Marques</t>
  </si>
  <si>
    <t>+55(81)2126-3633</t>
  </si>
  <si>
    <t>Influence of a weight loss nutritional counselling program on cardiometabolic profile and the role of adipokines on weight maintenance and regain</t>
  </si>
  <si>
    <t>U1111-1164-1375</t>
  </si>
  <si>
    <t>Overweight. Obesity. Metabolic syndrome</t>
  </si>
  <si>
    <t>Nágila Raquel Teixeira Damasceno</t>
  </si>
  <si>
    <t>+55 (11) 3061 7865</t>
  </si>
  <si>
    <t>nagila@usp.br</t>
  </si>
  <si>
    <t>Ketogenic diet combined with intranasal administration of perillyl alcohol: strategy therapy to refractory Glioblastoma Multiforme to standard treatment</t>
  </si>
  <si>
    <t>07/21/2016</t>
  </si>
  <si>
    <t>U1111-1182-2537</t>
  </si>
  <si>
    <t>Glioblastoma multiforme. Malignant gliomas</t>
  </si>
  <si>
    <t>Clóvis Orlando Pereira da Fonseca</t>
  </si>
  <si>
    <t>+55 (21) 2629 9000</t>
  </si>
  <si>
    <t>clovis.orlando@uol.com.br</t>
  </si>
  <si>
    <t>Music influence on anxiety and parameters vital chronic renal patients</t>
  </si>
  <si>
    <t>U1111-1184-4742</t>
  </si>
  <si>
    <t>Anxiety,Vital parameters</t>
  </si>
  <si>
    <t>Diogo Gomes Melo</t>
  </si>
  <si>
    <t>+55(85)99982454</t>
  </si>
  <si>
    <t>drdiogomelo@hotmail.com</t>
  </si>
  <si>
    <t>Nephron serviçoes de nefrologia LTDA</t>
  </si>
  <si>
    <t>Influence of sensory stimulation in the head control in children with cerebral palsy</t>
  </si>
  <si>
    <t>07/20/2016</t>
  </si>
  <si>
    <t>U1111-1183-0500</t>
  </si>
  <si>
    <t>cerebral palsy,child,head,postural balance</t>
  </si>
  <si>
    <t>Patricia Pinheiro Souza</t>
  </si>
  <si>
    <t>Taguatinga</t>
  </si>
  <si>
    <t>+55 (61) 99654 3915</t>
  </si>
  <si>
    <t>pati.pinheiro@gmail.com</t>
  </si>
  <si>
    <t>Hospital da Criança de Brasília José Alencar</t>
  </si>
  <si>
    <t>Evaluation Factors Associated With Abdominal Pain in Patients Submitted to Colonoscopy</t>
  </si>
  <si>
    <t>07/19/2016</t>
  </si>
  <si>
    <t>U1111-1178-7924</t>
  </si>
  <si>
    <t>Amanda Colpani Bellei</t>
  </si>
  <si>
    <t>+55 (48) 3626 3043</t>
  </si>
  <si>
    <t>amandabelei@hotmail.com</t>
  </si>
  <si>
    <t>Vestibular rehabilitation protocols association: randomized clinical trial</t>
  </si>
  <si>
    <t>U1111-1181-9987</t>
  </si>
  <si>
    <t>Vestibular diseases,Dizziness,Meniere disease,Maze learning</t>
  </si>
  <si>
    <t>Lilian Maria Melo da Silva</t>
  </si>
  <si>
    <t>55 (81) 92690437</t>
  </si>
  <si>
    <t>lilian-maria03@hotmail.com</t>
  </si>
  <si>
    <t>Glaucomatous life quality and knowledge about the disease before and after practice health education</t>
  </si>
  <si>
    <t>U1111-1184-1330</t>
  </si>
  <si>
    <t>Eye diseases,Glaucoma,health education,knowledge,activities of daily living,self care</t>
  </si>
  <si>
    <t>Amanda Araújo Barros Picanço</t>
  </si>
  <si>
    <t>+55(38)988078730</t>
  </si>
  <si>
    <t>amandaaraujobarros@yahoo.com.br</t>
  </si>
  <si>
    <t>Santa Casa Olhos de Montes Claros</t>
  </si>
  <si>
    <t>Analysis of immediate influence of podal elements of proprioceptive insolves on the human posture</t>
  </si>
  <si>
    <t>U1111-1182-0040</t>
  </si>
  <si>
    <t>Patrícia Guimarães Fernandes</t>
  </si>
  <si>
    <t>patriciagffisioterapeuta@gmail.com</t>
  </si>
  <si>
    <t>Universidade Federal de Goiás Faculdade de Medicina</t>
  </si>
  <si>
    <t>Mapa: Stroke prevention in Matão</t>
  </si>
  <si>
    <t>U1111-1172-7949</t>
  </si>
  <si>
    <t>Cesar Minelli</t>
  </si>
  <si>
    <t>Matão</t>
  </si>
  <si>
    <t>+55 (16) 3382 3388</t>
  </si>
  <si>
    <t>cdminelli@yahoo.com.br</t>
  </si>
  <si>
    <t>Centro Neurológico de Pesquisa e Reabilitação</t>
  </si>
  <si>
    <t>200304 - A phase 3brandomisedopen-label study of the antiviral activity and safety of dolutegravir compared to lopinavir/ritonavir both administered with dual nucleoside reverse transcriptase inhibitor therapy in HIV-1 (Type I virus of acquired immunodeficiency syndrome) infected adult,subjects with treatment failure on first line therapy</t>
  </si>
  <si>
    <t>02/22/2016</t>
  </si>
  <si>
    <t>U1111-1156-2446</t>
  </si>
  <si>
    <t>infection,human immunodeficiency virus</t>
  </si>
  <si>
    <t>Integrated design: user characterization and effects of neuromotor intensive therapy and aquatic physical therapy in children with neuromotor disorders</t>
  </si>
  <si>
    <t>07/15/2016</t>
  </si>
  <si>
    <t>U1111-1180-8515</t>
  </si>
  <si>
    <t>Tainá Ribas Mélo</t>
  </si>
  <si>
    <t>+55(41)3360-4322</t>
  </si>
  <si>
    <t>ribasmelo@gmail.com</t>
  </si>
  <si>
    <t>Correlations between immunological biomarkers and response to fatigue and psychological stress in children and adolescents with cancer undergoing chemotherapy submitted to clown intervention</t>
  </si>
  <si>
    <t>07/14/2016</t>
  </si>
  <si>
    <t>U1111-1162-9832</t>
  </si>
  <si>
    <t>neoplasms. fatigue. stress,psychological</t>
  </si>
  <si>
    <t>Escola de Enfermagem de Ribeirão Preto Universidade de São Paulo EERP/USP</t>
  </si>
  <si>
    <t>limare@eerp.usp.br</t>
  </si>
  <si>
    <t>Evaluation of the effect of occlusal splint use on the bite force quality of sleep and salivary cortisol levels in subjects with sleep bruxism</t>
  </si>
  <si>
    <t>U1111-1182-5479</t>
  </si>
  <si>
    <t>+55(11)3385 4137</t>
  </si>
  <si>
    <t>The influence of aquatic physical therapy program on muscle srenght and quality of life in elderly women</t>
  </si>
  <si>
    <t>U1111-1184-2959</t>
  </si>
  <si>
    <t>Identification of needs and proposed intervention in mental health problems and use of psychoactive drugs in user population of the Family Health Program (PSF)in Ribeirão Preto / SP</t>
  </si>
  <si>
    <t>U1111-1149-3223</t>
  </si>
  <si>
    <t>Sara Pinto Barbosa</t>
  </si>
  <si>
    <t>+55(16)33153477</t>
  </si>
  <si>
    <t>saraenfer@yahoo.com.br</t>
  </si>
  <si>
    <t>Creation of a new method of exercise prescription for phase II of the cardiac rehabilitationprogram  for patients with coronary artery disease (first protocol)</t>
  </si>
  <si>
    <t>U1111-1184-3441</t>
  </si>
  <si>
    <t>Coronary disease,rehabilitation,Exercise Therapy</t>
  </si>
  <si>
    <t>Rafael Michel de Macedo</t>
  </si>
  <si>
    <t>+55 (41) 9962 2102</t>
  </si>
  <si>
    <t>Hospital cardiológico costantini</t>
  </si>
  <si>
    <t>CTT116855 A phase III 52 week randomized double-blind 3-arm parallel group study comparing the efficacy safety and tolerability of the fixed dose triple combination FF/UMEC/VI with the fixed dose dual combinations of FF/VI and UMEC/VI all administered once-daily in the morning via a dry powder inhaler in subjects with chronic obstructive pulmonary disease</t>
  </si>
  <si>
    <t>U1111-1160-5241</t>
  </si>
  <si>
    <t>Biochemical and sensory analysis of a preparation made with beet leaves and stalks and evaluate its effect on oxidative stress and postprandial lipemia in dyslipidemic subjects</t>
  </si>
  <si>
    <t>U1111-1156-5537</t>
  </si>
  <si>
    <t>Anna Gomes</t>
  </si>
  <si>
    <t>+55(62)82153879</t>
  </si>
  <si>
    <t>annap.gomes@hotmail.com</t>
  </si>
  <si>
    <t>Sublingual Ketamine in treatment of Mood Disorders</t>
  </si>
  <si>
    <t>U1111-1183-3822</t>
  </si>
  <si>
    <t>major depressive disorder,bipolar disorder,suicide risk</t>
  </si>
  <si>
    <t>Rafael Ferro Araújo</t>
  </si>
  <si>
    <t>51 37161219</t>
  </si>
  <si>
    <t>Gabapentin versus dexclorfeniramine in the treatment of uremic pruritus in hemodialysis patients: a randomized clinical trial double-blind and controlled</t>
  </si>
  <si>
    <t>U1111-1180-2887</t>
  </si>
  <si>
    <t>Chronic Renal Insufficiency ,hemodialysis,uremic pruritus</t>
  </si>
  <si>
    <t>+55 (14) 3880 1259</t>
  </si>
  <si>
    <t>Evaluation of applicability safety and outcomes motor and cognitive of video game Nitendo Wii Fit Plus® in frail elderly</t>
  </si>
  <si>
    <t>U1111-1175-5668</t>
  </si>
  <si>
    <t>Elderly with frailty syndrome</t>
  </si>
  <si>
    <t>+55 (11) 30917459</t>
  </si>
  <si>
    <t>Comparison of two techniques of surgical access for alveolar bone grafting in patients with cleft lip and palate</t>
  </si>
  <si>
    <t>U1111-1159-6603</t>
  </si>
  <si>
    <t>Victor Tatsuyuyri Sakima</t>
  </si>
  <si>
    <t>+55 (14) 3235 814755</t>
  </si>
  <si>
    <t>vtsakima@gmail.com</t>
  </si>
  <si>
    <t>Hospital de reabilitação de anomalias craniofaciais</t>
  </si>
  <si>
    <t>Analysis of body oscillation and myoelectric activity before and after reconstruction of ACL (anterior cruciate ligament)</t>
  </si>
  <si>
    <t>U1111-1157-2409</t>
  </si>
  <si>
    <t>Anterior Cruciate Ligament Injury</t>
  </si>
  <si>
    <t>LUMA SOARES LUSTOSA</t>
  </si>
  <si>
    <t>+55 (83)996080716</t>
  </si>
  <si>
    <t>Influence of music on anxiety and vitals paramethers in patients with head and neck cancer in ambulatory treatment</t>
  </si>
  <si>
    <t>U1111-1175-2753</t>
  </si>
  <si>
    <t>anxiety,vital parameters</t>
  </si>
  <si>
    <t>+55(85)989063034</t>
  </si>
  <si>
    <t>Randomized clinical trial of Class II ART restorations in deciduous teeth with and without proximal retentions and in permanent teeth in comparison with composite resin</t>
  </si>
  <si>
    <t>U1111-1172-0878</t>
  </si>
  <si>
    <t>Gustavo Fabián Molina</t>
  </si>
  <si>
    <t>Córdoba</t>
  </si>
  <si>
    <t>Argentina</t>
  </si>
  <si>
    <t>(54) 3514219000</t>
  </si>
  <si>
    <t>gfmolina@hotmail.com</t>
  </si>
  <si>
    <t>Faculdad de Odontologia Catolica de Córdoba</t>
  </si>
  <si>
    <t>Yoga exercise for health of the pacients with arterial hypertension and diabetes type II</t>
  </si>
  <si>
    <t>U1111-1176-7214</t>
  </si>
  <si>
    <t>Henrique Luiz Monteiro</t>
  </si>
  <si>
    <t>55(14)3103-6082</t>
  </si>
  <si>
    <t>heu@fc.unesp.br</t>
  </si>
  <si>
    <t>Comparison of long-term effects of segmental stabilization technique and stretching in patients with low back pain chronic nonspecific</t>
  </si>
  <si>
    <t>U1111-1184-0735</t>
  </si>
  <si>
    <t>Renan Lima Monteiro</t>
  </si>
  <si>
    <t>+55 96 33121783</t>
  </si>
  <si>
    <t>renan_montte@hotmail.com</t>
  </si>
  <si>
    <t>A Randomized Open-label Multicenter Phase 3 Study to Compare the Efficacy and Safety of Eribulin With Dacarbazine in Subjects With Soft Tissue Sarcoma</t>
  </si>
  <si>
    <t>U1111-1142-2447</t>
  </si>
  <si>
    <t>Soft Tissue Sarcoma</t>
  </si>
  <si>
    <t>David D Adamo</t>
  </si>
  <si>
    <t>Woodcliff Lake,New Jersey</t>
  </si>
  <si>
    <t>+1 (551) 201-949-4850</t>
  </si>
  <si>
    <t>David_DAdamo@eisai.com</t>
  </si>
  <si>
    <t>Eisai Inc</t>
  </si>
  <si>
    <t>AMB112529 - A randomized open label study comparing safety and efficacy parameters for a high and a low dose of Ambrisentan (adjusted for body weight) for the treatment of Pulmonary Arterial Hypertension in paediatric patients aged 8 years up to 18 years</t>
  </si>
  <si>
    <t>U1111-1147-0514</t>
  </si>
  <si>
    <t>Pulmonary hypertension</t>
  </si>
  <si>
    <t>Neuromuscular Electrostimulation in the Postoperative of Cardiac Surgery: a randomized clinical trial</t>
  </si>
  <si>
    <t>U1111-1174-4157</t>
  </si>
  <si>
    <t>Cardiovascular disease,thoracic surgery,muscle weakness,cardiovascular deconditioning</t>
  </si>
  <si>
    <t>Telma Cristina Fontes Cerqueira</t>
  </si>
  <si>
    <t>telmac@gmail.com</t>
  </si>
  <si>
    <t>Comparison of gait biomechanical variables with dual task of healthy elderly and individuals with Parkinsons disease</t>
  </si>
  <si>
    <t>U1111-1176-5201</t>
  </si>
  <si>
    <t>+55 (14) 3402 1300</t>
  </si>
  <si>
    <t>Acute effect of treadmill training associated with auditory stimulation on gait kinematic parameters and functional mobility of individuals with Parkinsons disease</t>
  </si>
  <si>
    <t>U1111-1174-6775</t>
  </si>
  <si>
    <t>Does the training of motor control and muscle strengthening could change the scapulotoracic joint kinematic?</t>
  </si>
  <si>
    <t>06/29/2016</t>
  </si>
  <si>
    <t>U1111-1146-2313</t>
  </si>
  <si>
    <t>Subacromial impingement syndrome</t>
  </si>
  <si>
    <t>Musical performance anxiety and recognition of facial expressions: clinical randomized study involving the general population and acute effects of oxytocin</t>
  </si>
  <si>
    <t>U1111-1167-1166</t>
  </si>
  <si>
    <t>55 16 36022703</t>
  </si>
  <si>
    <t>Effects of physical exercises with weights and acquatic on parameters hemodynamic vascular metabolic strength isometric body image and quality of life during pregnancy</t>
  </si>
  <si>
    <t>06/28/2016</t>
  </si>
  <si>
    <t>U1111-1182-6611</t>
  </si>
  <si>
    <t>Pregancy women in the third trimester</t>
  </si>
  <si>
    <t>Renata Tarevnic</t>
  </si>
  <si>
    <t>renata@hidrogestante.com</t>
  </si>
  <si>
    <t>Escola de Educação Fisica e Desporto da Universidade Federal do Rio de Janaeiro</t>
  </si>
  <si>
    <t>Comparison of the placebo effect among non-penetrating acupuncture devices and real acupuncture in healthy subjects: a randomized trial</t>
  </si>
  <si>
    <t>01/28/2016</t>
  </si>
  <si>
    <t>U1111-1171-8674</t>
  </si>
  <si>
    <t>Threshold of pain,back pain,myalgia</t>
  </si>
  <si>
    <t>Josimari Melo DeSantana</t>
  </si>
  <si>
    <t>+55 (79) 21051804</t>
  </si>
  <si>
    <t>Hospital Universitário (HU) da Universidade Federal de Sergipe (UFS)</t>
  </si>
  <si>
    <t>Effects of association between Mobilization and Segmental Stabilization Cervical in function range of motion and strenght of patients with Chronic Neck Pain</t>
  </si>
  <si>
    <t>06/24/2016</t>
  </si>
  <si>
    <t>U1111-1180-5096</t>
  </si>
  <si>
    <t>+55(11)967778579</t>
  </si>
  <si>
    <t>Hyperbaric Oxygen Therapy and Cardiorespiratory Changes</t>
  </si>
  <si>
    <t>U1111-1181-1230</t>
  </si>
  <si>
    <t>inflammation,infection,cellulitis,Vasculitis,osteomyelitis</t>
  </si>
  <si>
    <t>internetbruno@yahoo.com.br</t>
  </si>
  <si>
    <t>Circular dance effects on quality of life in intestinal stomized patients: randomized controlled trial</t>
  </si>
  <si>
    <t>05/16/2016</t>
  </si>
  <si>
    <t>U1111-1168-6969</t>
  </si>
  <si>
    <t>Colorectal cancer,inflammatory bowel disease,Diverticular disease,Chagas Disease,Fournier Syndrome,Perineal trauma abdominoperineal,Ostomy</t>
  </si>
  <si>
    <t>Cristilene Akiko Kimura</t>
  </si>
  <si>
    <t>+55(61) 8139 5839</t>
  </si>
  <si>
    <t>cris.akiko7@gmail.com</t>
  </si>
  <si>
    <t>Universidade de Brasília - UNB</t>
  </si>
  <si>
    <t>Resistance training in elderly women with sarcopenia</t>
  </si>
  <si>
    <t>06/20/2016</t>
  </si>
  <si>
    <t>U1111-1170-0623</t>
  </si>
  <si>
    <t>sarcopenia,accidental falls</t>
  </si>
  <si>
    <t>Ruth Losada Menezes</t>
  </si>
  <si>
    <t>+55(62)98161-1716</t>
  </si>
  <si>
    <t>ruthlosada@uol.com.br</t>
  </si>
  <si>
    <t>Faculdade de Ceilândia/ Universidade de Brasília</t>
  </si>
  <si>
    <t>Effects of Cognitive Orientation to daily occupational performance (CO-OP) for children with cerebral palsy</t>
  </si>
  <si>
    <t>U1111-1182-5983</t>
  </si>
  <si>
    <t>Livia de Castro Magalhães</t>
  </si>
  <si>
    <t>+55 (31) 3409-4790</t>
  </si>
  <si>
    <t>liviacmag@gmail.com</t>
  </si>
  <si>
    <t>Monitoring of Overweight women by Nursing Remote Assistance</t>
  </si>
  <si>
    <t>U1111-1181-6539</t>
  </si>
  <si>
    <t>Catia Suely Palmeira</t>
  </si>
  <si>
    <t>55 (71) 32837600</t>
  </si>
  <si>
    <t>catia_palmeira@yahoo.com.br</t>
  </si>
  <si>
    <t>Escola de Enfermagem da Universidade Federal da Bahia</t>
  </si>
  <si>
    <t>Effectiveness and safety colchicine cream 05% versus photodynamic therapy wuith mehtyl aminolevulinate in treatment of skin field cancerization: a randomized clinical trialE</t>
  </si>
  <si>
    <t>U1111-1182-6102</t>
  </si>
  <si>
    <t>Actinic keratosis,Skin Field cancerization</t>
  </si>
  <si>
    <t>Effect of creatine supplementation associated with resistance training on muscle mass strength and physical performance in Sarcopenic elderly</t>
  </si>
  <si>
    <t>U111111603338</t>
  </si>
  <si>
    <t>Sarcopenia,elderly</t>
  </si>
  <si>
    <t>Multisensory and closed kinetic chain exercises on the functional capacity and balance in elderly women: blinded randomized clinical trial</t>
  </si>
  <si>
    <t>U1111-1181-6531</t>
  </si>
  <si>
    <t>Marta Heleana De Conti</t>
  </si>
  <si>
    <t>+55 (14) 21077112</t>
  </si>
  <si>
    <t>madeconti@yahoo.com.br</t>
  </si>
  <si>
    <t>Clinical metabolic functional and quality of life evaluation in people with metabolic syndrome after whole body vibration exercise in oscillating / vibratory platform</t>
  </si>
  <si>
    <t>U1111-1181-1177</t>
  </si>
  <si>
    <t>Danúbia da Cunha de Sá-Caputo</t>
  </si>
  <si>
    <t>dradanubia@gmail.com</t>
  </si>
  <si>
    <t>Sugammadex in ideal weight versus weight for reversal of neuromuscular blockade in surgery for treatment of morbid obesity - double blind randomized clinical trial</t>
  </si>
  <si>
    <t>U1111-1182-9376</t>
  </si>
  <si>
    <t>bariatric surgery ,obesity,anesthesia ,anesthetic adjuvants</t>
  </si>
  <si>
    <t>Nádia Maria da Conceição Duarte</t>
  </si>
  <si>
    <t>nadiaduarte2011@gmail.com</t>
  </si>
  <si>
    <t>Hospital das Clínicas da Universidade Federal de Pernambuco (UFPE)</t>
  </si>
  <si>
    <t>Results of Mobilization towards laterolateral direction in the sphenobasilar synchondrosis in the Horizontal Heteroporias and pressure Pain threshould in craniocervical region in patients with Neck Pain</t>
  </si>
  <si>
    <t>U1111-1150-4832</t>
  </si>
  <si>
    <t>Heterophoria ,Neck pain</t>
  </si>
  <si>
    <t>Rogerio Queiroz</t>
  </si>
  <si>
    <t>55 19 3241-2761</t>
  </si>
  <si>
    <t>rogerioosteopata@hotmail.com</t>
  </si>
  <si>
    <t>EOM Internacional / Brasil</t>
  </si>
  <si>
    <t>Effects of Brief Intervention (BI) to alcohol related disorders on university servers: a quantitative and qualitative analysis</t>
  </si>
  <si>
    <t>U1111-1171-9981</t>
  </si>
  <si>
    <t>55 (32) 988199604</t>
  </si>
  <si>
    <t>Instituto de Ciências Humanas- ICH- UFJF</t>
  </si>
  <si>
    <t>Evaluation of Safety and Effectiveness Scopinaro technique modified the surgical treatment of obesity compared to classical technique Scopinaro</t>
  </si>
  <si>
    <t>U1111-1166-7218</t>
  </si>
  <si>
    <t>+55(62)3291-6356</t>
  </si>
  <si>
    <t>isabella@invitare.com.br</t>
  </si>
  <si>
    <t>Instituto Paulo Reis de Clínica Cirúrgica e Obesidade Mórbida S/S</t>
  </si>
  <si>
    <t>Oral hygiene in intensive care unit patients using photodynamic therapy</t>
  </si>
  <si>
    <t>U1111-1177-3775</t>
  </si>
  <si>
    <t>Ventilator-associated pneumonia due to bad oral hygiene (bacterial infection)</t>
  </si>
  <si>
    <t>Coordenação Biofotônica Aplicada às Ciências da Saúde</t>
  </si>
  <si>
    <t>mestradobiofotonica@uninove.br</t>
  </si>
  <si>
    <t>Clinical and laboratorial treatment efficacy for general and preoperative anxiety in obstetric elective procedures</t>
  </si>
  <si>
    <t>1111-1161-8425</t>
  </si>
  <si>
    <t>clinical anxiety,preoperative anxiety,cesarean section</t>
  </si>
  <si>
    <t>Ana Cristina Barros Cunha</t>
  </si>
  <si>
    <t>+55(21)3938-5329</t>
  </si>
  <si>
    <t>acbcunha@yahoo.com.br</t>
  </si>
  <si>
    <t>Instituto de Psicologia da UFRJ</t>
  </si>
  <si>
    <t>Acupuncture as applied technology to nursing Care adult hypertensive: an Experimental Study</t>
  </si>
  <si>
    <t>U1111-1177-1811</t>
  </si>
  <si>
    <t>Maricá</t>
  </si>
  <si>
    <t>+55(21)26347965</t>
  </si>
  <si>
    <t>Secretaria Municipal de Saúde de Maricá/ RJ</t>
  </si>
  <si>
    <t>Effects of an Educational Technology in self-Efficacy to Breastfeed and Practice of exclusive breastfeeding</t>
  </si>
  <si>
    <t>U1111-1180-6925</t>
  </si>
  <si>
    <t>Breastfeeding,Self-Efficacy,Exclusive Breastfeeding</t>
  </si>
  <si>
    <t>Marly Javorski</t>
  </si>
  <si>
    <t>+55 (81) 21263661</t>
  </si>
  <si>
    <t>marly.11j@gmail.com</t>
  </si>
  <si>
    <t>Evaluation of fluid gingival after bleaching with hydrogen peroxide in diferente strengths: clinical study randomized</t>
  </si>
  <si>
    <t>U1111-1176-2418</t>
  </si>
  <si>
    <t>Prevention - Mediators of inflammation,inflammation</t>
  </si>
  <si>
    <t>+55 (98)996180199</t>
  </si>
  <si>
    <t>Effect of different forms of electrical stimulation in patients with low back pain: a randomized clinical trial</t>
  </si>
  <si>
    <t>12/30/2015</t>
  </si>
  <si>
    <t>U1111-1157-1926</t>
  </si>
  <si>
    <t>Virtual Reality games on elderly socialization</t>
  </si>
  <si>
    <t>05/31/2016</t>
  </si>
  <si>
    <t>U1111-1182-7617</t>
  </si>
  <si>
    <t>Santo Adré</t>
  </si>
  <si>
    <t>55 (11) 4993-5400</t>
  </si>
  <si>
    <t>luizcarlos@usp.br</t>
  </si>
  <si>
    <t>Ice as strategy to the management of thirst in the immediate postoperative period: randomized clinical trial</t>
  </si>
  <si>
    <t>U1111-1156-6214</t>
  </si>
  <si>
    <t>Marilia Ferrari Conchon</t>
  </si>
  <si>
    <t>Cambé</t>
  </si>
  <si>
    <t>+55(43)32544762</t>
  </si>
  <si>
    <t>lili_conchon@hotmail.com</t>
  </si>
  <si>
    <t>use of probiotics added to minas fresh cheese to control the prevalence of oral candidiasis– double-blind randomized study</t>
  </si>
  <si>
    <t>U1111-1134-5448</t>
  </si>
  <si>
    <t>Susana Marta Issay Saad</t>
  </si>
  <si>
    <t>55 (11) 3091-2378</t>
  </si>
  <si>
    <t>Characterization of grisp strenth and manual dexterity of children with 5 to 10 years with Down syndrome</t>
  </si>
  <si>
    <t>U1111-1179-3009</t>
  </si>
  <si>
    <t>Down syndrome,Children,pre-school</t>
  </si>
  <si>
    <t>Cristina Camargo Oliveira</t>
  </si>
  <si>
    <t>criscaolive@yahoo.com.br</t>
  </si>
  <si>
    <t xml:space="preserve">Diseases of the genitourinary system </t>
  </si>
  <si>
    <t>Volumetric face reviewed: validation of three-dimensional facial image capture system for structured light technology: study on cadaver</t>
  </si>
  <si>
    <t>U1111-1175-6405</t>
  </si>
  <si>
    <t>Congenital malformation with facial asymmetry</t>
  </si>
  <si>
    <t>Rodrigo de Faria Valle Dornelles</t>
  </si>
  <si>
    <t>rodrigodornelles@gmail.com</t>
  </si>
  <si>
    <t>Comparison of kinematic variables of gait on a treadmill and on the ground of individuals with Parkinsons Disease</t>
  </si>
  <si>
    <t>U1111-1175-1305</t>
  </si>
  <si>
    <t>parkinsons disease</t>
  </si>
  <si>
    <t>(14) 3402-1300</t>
  </si>
  <si>
    <t>frfaganello@yahoo.com.br</t>
  </si>
  <si>
    <t>Breastfeeding in skin-to-skin contact in the management of pain during BCG immunization in infants at term : a randomized clinical trial</t>
  </si>
  <si>
    <t>U1111-1182-3253</t>
  </si>
  <si>
    <t>Infant,Newborn,Pain,Analgesia,Breastfeeding,Kangaroo Mother Care Method,Glucose,BCG vaccine,Neonatal Nursing</t>
  </si>
  <si>
    <t>Luciana Ogawa</t>
  </si>
  <si>
    <t>+55 11 24780885</t>
  </si>
  <si>
    <t>luci_ogawa@yahoo.com.br</t>
  </si>
  <si>
    <t>Effect of pelvic floor muscles training on sexual function of postmenopausal women - Randomized controlled trial</t>
  </si>
  <si>
    <t>U1111-1178-5947</t>
  </si>
  <si>
    <t>Hammock position and nest in premature infants: a randomized controlled trial</t>
  </si>
  <si>
    <t>U1111-1181-1309</t>
  </si>
  <si>
    <t>Kassandra Falcão</t>
  </si>
  <si>
    <t>+55 61 81246948</t>
  </si>
  <si>
    <t>kassandrafcosta@gmail.com</t>
  </si>
  <si>
    <t>The topical anesthetic benzocaine effectiveness evaluation in reducing pain to needle puncture during local anesthesia: study randomized- mouth split</t>
  </si>
  <si>
    <t>U1111-1169-6053</t>
  </si>
  <si>
    <t>Vinícius Flores Cielo</t>
  </si>
  <si>
    <t>+55 (55) 91100524</t>
  </si>
  <si>
    <t>viniciuscielo@gmail.com</t>
  </si>
  <si>
    <t>Stability Evaluation and Clinical-Laboratory Study to Verify and Compare Efficay and Safety of Retinoic Acid Cream 0.05% and 5% in Superficial Peels</t>
  </si>
  <si>
    <t>U1111-1167-2784</t>
  </si>
  <si>
    <t>actinic keratosis,nonthrombocytopenic purpura,melanin hyperpigmentation,cutis laxa senilis,leukoderma,skin changes due to chronic exposure to nonionizing radiation</t>
  </si>
  <si>
    <t>Ediléia Bagatin</t>
  </si>
  <si>
    <t>55 (11) 55497525</t>
  </si>
  <si>
    <t>Clinical evaluation of the effect of the combination of Potassium Nitrate 5% and desensitizing agent-based glutaraldehyde in the prevalence of post-bleaching sensitivity</t>
  </si>
  <si>
    <t>U1111-1160-0918</t>
  </si>
  <si>
    <t>Dentin Sensitivity,Dental Bleaching,Prevention</t>
  </si>
  <si>
    <t>Alessandro  Loguercio</t>
  </si>
  <si>
    <t>(42) 3220-3000</t>
  </si>
  <si>
    <t>Effectiveness of antibiotic prophylaxis in a single dose in the infection prevention on reduction mammoplasty surgery</t>
  </si>
  <si>
    <t>U1111-1176-5656</t>
  </si>
  <si>
    <t>Mammary hipertrophy</t>
  </si>
  <si>
    <t>Luiz Felipe Duarte Fernandes Vieira</t>
  </si>
  <si>
    <t>luizfelipedfv@uol.com.br</t>
  </si>
  <si>
    <t>Hospital Agamenon Magalhaes</t>
  </si>
  <si>
    <t>Treatment of Anal and Perianal Condyloma Using Argon Plasma and Electrofulguration in HIV Positive and Negative Patients</t>
  </si>
  <si>
    <t>U1111-1175-1767</t>
  </si>
  <si>
    <t>Eduardo Angelo Braga</t>
  </si>
  <si>
    <t>+(55)31 98896-0000</t>
  </si>
  <si>
    <t>edubragamd@hotmail.com</t>
  </si>
  <si>
    <t>Effects of the biometenergy of practitioners of pranic meditation on the evolution of chronic diseases</t>
  </si>
  <si>
    <t>U1111-1177-0134</t>
  </si>
  <si>
    <t>Chronic spine pain</t>
  </si>
  <si>
    <t>Carlos Eduardo Tosta</t>
  </si>
  <si>
    <t>55 (61) 3107-1934</t>
  </si>
  <si>
    <t>cetosta@unb.br</t>
  </si>
  <si>
    <t>LDL and HDL physical and chemical properties oxidative and cardiometabolic biomarkers may be modulated by consumption of omega-3 omega-6 and omega-9 in individuals with intermediate cardiovascular risk?</t>
  </si>
  <si>
    <t>U1111-1146-6394</t>
  </si>
  <si>
    <t>Cardiovascular diseases,unspecified Hyperlipemia,Non-insulin-dependent diabetes mellitus,Essential (primary) hypertension ,Obesity</t>
  </si>
  <si>
    <t>+55 11 30617865</t>
  </si>
  <si>
    <t>Analysis of the effects of vocal conditioning through semi-occluded vocal tract exercises in choir singers</t>
  </si>
  <si>
    <t>U1111-1179-0927</t>
  </si>
  <si>
    <t>Voice,voice training,voice quality,singing</t>
  </si>
  <si>
    <t>Fernanda Salles Kavaliunas</t>
  </si>
  <si>
    <t>+55 (51) 92354725</t>
  </si>
  <si>
    <t>fe_kavaliunas@hotmail.com</t>
  </si>
  <si>
    <t>Effect of psychological intervention in the preoperative anxiety of preschool children</t>
  </si>
  <si>
    <t>05/23/2016</t>
  </si>
  <si>
    <t>U1111-1179-8787</t>
  </si>
  <si>
    <t>Anxiety in anestthesia in child for ambulatory surgical procedures in children (anxiety,anesthesia,child,ambulatory surgical procedures)</t>
  </si>
  <si>
    <t>José Fernando Amaral Meletti</t>
  </si>
  <si>
    <t>55 (11) 4587 1095</t>
  </si>
  <si>
    <t>jfmeletti@gmail.com</t>
  </si>
  <si>
    <t>Contributions Theoretical and Practical for Prenatal Care for Diabetic Pregnant</t>
  </si>
  <si>
    <t>U1111-1156-1582</t>
  </si>
  <si>
    <t>Analysis of intrastromal corneal ring implants in ectatic corneas or presenting secondary irregular astigmatism in a reference center in Brazil</t>
  </si>
  <si>
    <t>U1111-1182-6181</t>
  </si>
  <si>
    <t>Mauro Campos</t>
  </si>
  <si>
    <t>55 (11) 5576-4981</t>
  </si>
  <si>
    <t>mscampos@uol.com.br</t>
  </si>
  <si>
    <t>Universidade Federal de São Paulo - Departamento de Oftalmologia</t>
  </si>
  <si>
    <t>Influence of the change in the shape of the corneal epithelium removal in postoperative visual acuity in photorefractive keratectomy (PRK)</t>
  </si>
  <si>
    <t>U1111-1180-8275</t>
  </si>
  <si>
    <t>Eye diseases,refractive errors,myopia,hyperopia,astigmatism</t>
  </si>
  <si>
    <t>Vanessa Yumi Sugahara Harada</t>
  </si>
  <si>
    <t>vyumis@yahoo.com.br</t>
  </si>
  <si>
    <t>Clinical evaluation of lithium disilicate veneers manufactured by cad/cam technology</t>
  </si>
  <si>
    <t>05/22/2016</t>
  </si>
  <si>
    <t>U1111-1171-4608</t>
  </si>
  <si>
    <t>Tooth Discoloration,Dental caries,Dental Enamel Hypoplasia,Esthetics Dental</t>
  </si>
  <si>
    <t>+55(14)3235-8261</t>
  </si>
  <si>
    <t>Universidade de São Paulo,Faculdade de Odontologia de Bauru</t>
  </si>
  <si>
    <t>A follow-up of validation test protocol enzyme glucose 6-phosphate dehydrogenase ( G6PD ) to study TAF112582</t>
  </si>
  <si>
    <t>U1111-1148-6806</t>
  </si>
  <si>
    <t>Activity of G6PD enzyme in healthy male volunteers</t>
  </si>
  <si>
    <t>Pesquisador Responsável  Contato Científico</t>
  </si>
  <si>
    <t>sim.brasil@gsk.com</t>
  </si>
  <si>
    <t>Hydrotherapy and health education for the treatment of fibromyalgia</t>
  </si>
  <si>
    <t>05/21/2016</t>
  </si>
  <si>
    <t>U1111-1181-7925</t>
  </si>
  <si>
    <t>Itaúna</t>
  </si>
  <si>
    <t>+55 (37) 9905 9495</t>
  </si>
  <si>
    <t>Effect of simulation in the nursing students self-confidence to emergency operations</t>
  </si>
  <si>
    <t>U1111-1174-9093</t>
  </si>
  <si>
    <t>Effect of resistance and aerobic training program on body composition lipid profile and high sensitive c-reactive protein of overweight and obese adolescents</t>
  </si>
  <si>
    <t>05/20/2016</t>
  </si>
  <si>
    <t>U1111-1181-9653</t>
  </si>
  <si>
    <t>Obesity in adolescence</t>
  </si>
  <si>
    <t>Nailton José Brandão Albuquerque Filho</t>
  </si>
  <si>
    <t>+55 (84) 994978755</t>
  </si>
  <si>
    <t>nailtonalbuquerquefilho@gmail.com</t>
  </si>
  <si>
    <t>Flower essences : effects on anxiety during labor pain</t>
  </si>
  <si>
    <t>05/19/2016</t>
  </si>
  <si>
    <t>U1111-1180-1576</t>
  </si>
  <si>
    <t>Sonia Regina Godinho de Lara</t>
  </si>
  <si>
    <t>soniarglara@gmail.com</t>
  </si>
  <si>
    <t>Escola Paulista de Enfermagem-Universidade Federal de São Paulo</t>
  </si>
  <si>
    <t>Comparison Between the Application and No Application of Led (light emitted diode) in Cicatrization of Patient Underwent to Abdominoplasty</t>
  </si>
  <si>
    <t>05/17/2016</t>
  </si>
  <si>
    <t>U1111-1175-6030</t>
  </si>
  <si>
    <t>Cicatrix,keloid,regeneration,wound healing</t>
  </si>
  <si>
    <t>jean jean valmier</t>
  </si>
  <si>
    <t>Montpellier</t>
  </si>
  <si>
    <t>France</t>
  </si>
  <si>
    <t>06 75 65 65 06</t>
  </si>
  <si>
    <t>jvalmier@univ-montp2.fr</t>
  </si>
  <si>
    <t>INSERM U1051 Institut des Neurosciences de Montpellier</t>
  </si>
  <si>
    <t>Comparison of preoperative bathing effectiveness with three solutions in patients undergoing hip arthroplasty: a clinical study</t>
  </si>
  <si>
    <t>U1111-1178-4393</t>
  </si>
  <si>
    <t>Postoperative infection,Surgical Wound Infection</t>
  </si>
  <si>
    <t>+55 (31) 3409 9176</t>
  </si>
  <si>
    <t>Role of physical therapy during pregnancy fopr childbirth preparation</t>
  </si>
  <si>
    <t>U1111-1178-6175</t>
  </si>
  <si>
    <t>Jéssica da Costa Minati Moraes</t>
  </si>
  <si>
    <t>Assis</t>
  </si>
  <si>
    <t>+55(18)997732168</t>
  </si>
  <si>
    <t>jessicaminati@yahoo.com.br</t>
  </si>
  <si>
    <t>The use of the R1T1 robot as aid in the preoperative process in the Transplant of the Liver Organ</t>
  </si>
  <si>
    <t>U1111-1174-9786</t>
  </si>
  <si>
    <t>Liver organ transplantation</t>
  </si>
  <si>
    <t>Antonio Henrique Dianin</t>
  </si>
  <si>
    <t>Jandaia do Sul</t>
  </si>
  <si>
    <t>antoniohdianin@gmail.com</t>
  </si>
  <si>
    <t>Project Company</t>
  </si>
  <si>
    <t>Effect of non-pharmacological interventions on the quality of sleep and stress emotional in people with Type 2 Diabetes Mellitus</t>
  </si>
  <si>
    <t>U1111-1173-6439</t>
  </si>
  <si>
    <t>Sleep,type 2,Diabetes Mellitus,psychological,stress</t>
  </si>
  <si>
    <t>Flávia Helena Pereira</t>
  </si>
  <si>
    <t>+55 19 3521-8821</t>
  </si>
  <si>
    <t>flaenf2003@yahoo.com.br</t>
  </si>
  <si>
    <t>A new method of exercise prescription creation for cardiac rehabilitation program phase II to heart failure patients</t>
  </si>
  <si>
    <t>U1111-1170-5865</t>
  </si>
  <si>
    <t>heart failure,rehabilitation,Exercise Therapy</t>
  </si>
  <si>
    <t>Impact of pelvic floor training in the treatment of symptoms of lower urinary tract in women with multiple sclerosis</t>
  </si>
  <si>
    <t>U1111-1181-3795</t>
  </si>
  <si>
    <t>+55 (67) 9951 0920</t>
  </si>
  <si>
    <t>ft_anapaulasferreira@yahoo.com.br</t>
  </si>
  <si>
    <t>Treatment of VI nerve palsy by superior rectus muscle transposition to lateral rectus muscle</t>
  </si>
  <si>
    <t>U1111-1180-4809</t>
  </si>
  <si>
    <t>Strabismus,unspecified</t>
  </si>
  <si>
    <t>Jorge Antonio Meireles-Teixeira</t>
  </si>
  <si>
    <t>sao luis</t>
  </si>
  <si>
    <t>jorgemeireles1@bol.com.br</t>
  </si>
  <si>
    <t>Universidade federal do Maranhao</t>
  </si>
  <si>
    <t>Clinical performance of ocluso-proximal ART restorations in primary teeth: a randomized clinical trial</t>
  </si>
  <si>
    <t>U1111-1161-0248</t>
  </si>
  <si>
    <t>José Carlos Pettorossi Imparato</t>
  </si>
  <si>
    <t>Itaquera</t>
  </si>
  <si>
    <t>55 (11) 2070 0000 ou 55 (041 11) 99642-4137</t>
  </si>
  <si>
    <t>Universidade Camilo Castelo Branco</t>
  </si>
  <si>
    <t>Effects of miofunctional therapy on masticatory function of patients undergoing orthognathic surgery</t>
  </si>
  <si>
    <t>U1111-1140-9557</t>
  </si>
  <si>
    <t>Maria Beatriz Duarte Gavião</t>
  </si>
  <si>
    <t>+55 (19) 34210144</t>
  </si>
  <si>
    <t>mbgaviao@fop.unicamp.br</t>
  </si>
  <si>
    <t>Repercussions of motor training followed of mental practice in functional mobility of patients with Parkinsons disease</t>
  </si>
  <si>
    <t>U1111-1175-5003</t>
  </si>
  <si>
    <t>Douglas Monteiro da Silva</t>
  </si>
  <si>
    <t>+55 (81) 8881 9780</t>
  </si>
  <si>
    <t>dougmonteiro05@gmail.com</t>
  </si>
  <si>
    <t>Releasing adhesive use on premature with semipermeable transparent film por PICC (Peripheral Inserted Central catheter) fixation: randomazed clinical trail</t>
  </si>
  <si>
    <t>U1111-1182-0852</t>
  </si>
  <si>
    <t>Prematurity,Skin lesions</t>
  </si>
  <si>
    <t>Barbara Mittag</t>
  </si>
  <si>
    <t>+55 (41) 96448745</t>
  </si>
  <si>
    <t>barbara_mittag@yahoo.com.br</t>
  </si>
  <si>
    <t>The simulated nursing education and the clinical competency development</t>
  </si>
  <si>
    <t>U1111-1174-8781</t>
  </si>
  <si>
    <t>Anxiety,stress emotional</t>
  </si>
  <si>
    <t>Jorge Vinícius Cestari Felix</t>
  </si>
  <si>
    <t>+55 (41) 3361-3756</t>
  </si>
  <si>
    <t>jvcfelix@hotmail.com</t>
  </si>
  <si>
    <t>Evaluation of post-operative pain following use of reciprocating instrumentation technique in endodontic</t>
  </si>
  <si>
    <t>U1111-1168-3912</t>
  </si>
  <si>
    <t>pulp necrosis,Chronic apical periodontitis</t>
  </si>
  <si>
    <t>Emilio Carlos Sponchiado Jr</t>
  </si>
  <si>
    <t>The Use of Orthotics for Thumb Osteoarthritis: Kinematic and Functional Analysis</t>
  </si>
  <si>
    <t>U1111-1144-6394</t>
  </si>
  <si>
    <t>Thumb,Osteoarthritis</t>
  </si>
  <si>
    <t>Pedro Henrique Tavares Queiroz Almeida</t>
  </si>
  <si>
    <t>+55(61)8337-9000</t>
  </si>
  <si>
    <t>pedroalmeida.to@gmail.com</t>
  </si>
  <si>
    <t>Universidade de Brasília - Programa de Pós-Graduação em Ciências e Tecnologias em Saúde</t>
  </si>
  <si>
    <t>53718678RSV1005 - A Phase 1b randomized partially doubleblind placebo-controlled study to assess the pharmacokinetics safety and tolerability of multiple doses of orally administered JNJ-53718678 in infants hospitalized with RSV infection</t>
  </si>
  <si>
    <t>U1111-1176-4387</t>
  </si>
  <si>
    <t>Vinicius  Righi</t>
  </si>
  <si>
    <t>+55 (11) 3030 4825</t>
  </si>
  <si>
    <t>vrighi@its.jnj.com</t>
  </si>
  <si>
    <t>Janssen-Cilag Farmacêutica Ltda</t>
  </si>
  <si>
    <t>Management of Split-thickness skin graft donor sites: a randomized clinical trial comparative with three diferent dressings</t>
  </si>
  <si>
    <t>U1111-1182-0244</t>
  </si>
  <si>
    <t>Split-thickness skin graft donor sites</t>
  </si>
  <si>
    <t>Aldenir Feitosa Santos</t>
  </si>
  <si>
    <t>+55(82)98844 4160</t>
  </si>
  <si>
    <t>aldenirfeitosa@gmail.com</t>
  </si>
  <si>
    <t>Assessment of Oxidative Stress Cardiovascular Risk Factors and Metabolic Syndrome Frequency in Rheumatoid Arthritis Patients</t>
  </si>
  <si>
    <t>U1111-1179-3575</t>
  </si>
  <si>
    <t>Andréa Name Colado Simão</t>
  </si>
  <si>
    <t>+55(43)3371 2321</t>
  </si>
  <si>
    <t>deianame@yahoo.com.br</t>
  </si>
  <si>
    <t>Clinical trial on the effects of a Hydrotherapy protocol Neonatal Intermediate Care Unit</t>
  </si>
  <si>
    <t>U1111-1179-4412</t>
  </si>
  <si>
    <t>Elaine Pereira Raniero</t>
  </si>
  <si>
    <t>ARARAQUARA</t>
  </si>
  <si>
    <t>+55(16)981123388</t>
  </si>
  <si>
    <t>eraniero@usp.br</t>
  </si>
  <si>
    <t>Prevalence of cardiometabolic risk factors in children and adolescents of Botuverá-SC: a continued study</t>
  </si>
  <si>
    <t>U1111-1182-0943</t>
  </si>
  <si>
    <t>Cardiovascular disease,obesity,diabetes,hipertension,dyslipidemia</t>
  </si>
  <si>
    <t>Ketamine intranasal used as sedative for punch venosa in pediatric patients</t>
  </si>
  <si>
    <t>U1111-1178-5879</t>
  </si>
  <si>
    <t>Sabrina dos Santos Pinheiro</t>
  </si>
  <si>
    <t>sassa0812@hotmail.com</t>
  </si>
  <si>
    <t>A cooldown phase after intense exercise can decrease the incidence of ventricular arrhythmias?</t>
  </si>
  <si>
    <t>U1111-1179-1702</t>
  </si>
  <si>
    <t>Cardiac arrhythmias,unspecified</t>
  </si>
  <si>
    <t>Sandro Pinelli Felicioni</t>
  </si>
  <si>
    <t>55(11) 50856042</t>
  </si>
  <si>
    <t>sp.felicioni@gmail.com</t>
  </si>
  <si>
    <t>Use of metformin for the prevention of gestational diabetes mellitus in obese pregnant women</t>
  </si>
  <si>
    <t>U1111-1162-6908</t>
  </si>
  <si>
    <t>Diabetes mellitus arises during pregnancy. Pregnancy complications</t>
  </si>
  <si>
    <t>Willian Barbosa Sales</t>
  </si>
  <si>
    <t>+55 (41) 8859 9064</t>
  </si>
  <si>
    <t>sallesbio@hotmail.com</t>
  </si>
  <si>
    <t>Universidade da Região de Joinville Univille</t>
  </si>
  <si>
    <t>Receptive and expressive vocabulary of children with Down Syndrome</t>
  </si>
  <si>
    <t>U1111-1179-3415</t>
  </si>
  <si>
    <t>Down Syndrome,Vocabulary,Child,Child Language,Child Development</t>
  </si>
  <si>
    <t>Dionísia Aparecida Cusin Lamônica</t>
  </si>
  <si>
    <t>55 14 3235 8554</t>
  </si>
  <si>
    <t>dionelam@uol.com.br</t>
  </si>
  <si>
    <t>Faculdade de Odontologia de Bauru da Universidade de São Paulo</t>
  </si>
  <si>
    <t>Multidisciplinary analysis of a motor rehabilitation protocol with partial weight support for post stroke patients: a randomized clinical trial</t>
  </si>
  <si>
    <t>U1111-1166-4819</t>
  </si>
  <si>
    <t>Stroke,Sequelae of stroke,not specified as haemorrhage or infarction</t>
  </si>
  <si>
    <t>Elisangela Ferretti Manffra</t>
  </si>
  <si>
    <t>+55(41)32711674</t>
  </si>
  <si>
    <t>elisangela.manffra@pucpr.br</t>
  </si>
  <si>
    <t>Identification of risk of accidents in healthy elderly and with Parkinsons Disease during street crossing simulation: A study based on kinematic parameters</t>
  </si>
  <si>
    <t>U1111-1179-2740</t>
  </si>
  <si>
    <t>Parkinsons disease,healthy elderly</t>
  </si>
  <si>
    <t>Késia Maísa Amaral</t>
  </si>
  <si>
    <t>+55(14)98165-2609</t>
  </si>
  <si>
    <t>kesinha.m.a@gmail.com</t>
  </si>
  <si>
    <t>Correlation between the percentage of weight reduction in the amount of evacuated contrast medium and the variation in the percentage of area reduction of the rectal ampulla after cinedefecography</t>
  </si>
  <si>
    <t>U1111-1182-0350</t>
  </si>
  <si>
    <t>Patients with dyschezia,constipated women</t>
  </si>
  <si>
    <t>Fábio Alves Soares</t>
  </si>
  <si>
    <t>+55(61)96444484</t>
  </si>
  <si>
    <t>fa-soares@uol.com.br</t>
  </si>
  <si>
    <t>Hospital de Base de Brasília</t>
  </si>
  <si>
    <t>A randomized double blind double dummy parallel group multicenter study of once daily Fluticasone Furoate/Vilanterol 100/25 mcg inhalation powder twice daily Fluticasone Propionate/Salmeterol 250/50 mcg inhalation powder and twice daily Fluticasone Propionate 250 mcg inhalation powder in the treatment of Persistent Asthma in adults and adolescents already adequately controlled on twice daily inhaled Corticosteroid and long acting beta2 Agonist</t>
  </si>
  <si>
    <t>04/29/2016</t>
  </si>
  <si>
    <t>U1111-1172-1687</t>
  </si>
  <si>
    <t>Effect of respiratory muscle fatigue on performance in the six-minute walk test in outpatients with systolic heart failure</t>
  </si>
  <si>
    <t>U1111-1181-9744</t>
  </si>
  <si>
    <t>heart failure</t>
  </si>
  <si>
    <t>Isabella Diniz Venancio</t>
  </si>
  <si>
    <t>isabellavenancio@id.uff.br</t>
  </si>
  <si>
    <t>Laser therapy in patients with knee osteoarthritis</t>
  </si>
  <si>
    <t>U1111-1143-1056</t>
  </si>
  <si>
    <t>Musculoskeletal diseases,Gonarthrosis [arthrosis of knee],knee osteoarthritis</t>
  </si>
  <si>
    <t>Randomized clinical trial: effect of nursing interventions on prevention of dry eye in critically ill patients</t>
  </si>
  <si>
    <t>U1111-1177-5718</t>
  </si>
  <si>
    <t>Dry eye</t>
  </si>
  <si>
    <t>Diego Dias de Araújo</t>
  </si>
  <si>
    <t>+55 (38) 3213 2150</t>
  </si>
  <si>
    <t>diego.dias1508@gmail.com</t>
  </si>
  <si>
    <t>Comparative study of the nickel presence in saliva of patients em treatment with metalic or esthetic orthodontic brackets</t>
  </si>
  <si>
    <t>U1111-1181-5255</t>
  </si>
  <si>
    <t>Patients with malocclusion</t>
  </si>
  <si>
    <t>Renata Bandeira Lages</t>
  </si>
  <si>
    <t>renatablages@gmail.com</t>
  </si>
  <si>
    <t>Faculdade e Centro de Pesquisas São Leopoldo Mandic</t>
  </si>
  <si>
    <t>Association of gestational malaria with intrauterine growth restriction and low birth weight in the far-western Brazilian Amazon</t>
  </si>
  <si>
    <t>04/28/2016</t>
  </si>
  <si>
    <t>U1111-1177-7726</t>
  </si>
  <si>
    <t>Pregnancy,malaria</t>
  </si>
  <si>
    <t>Claudio Romero Farias Marinho</t>
  </si>
  <si>
    <t>+55(11)3091-7209</t>
  </si>
  <si>
    <t>marinho@usp.br</t>
  </si>
  <si>
    <t>Instituto de Ciências Biomédicas - USP</t>
  </si>
  <si>
    <t>Effects of low level laser therapy in peripherical muscle fatigue in elderly women submitted to a program of muscular strength</t>
  </si>
  <si>
    <t>U1111-1157-7175</t>
  </si>
  <si>
    <t>Self-care and adherence: the impact of an educational program for patients with heart failure</t>
  </si>
  <si>
    <t>U1111-1149-3053</t>
  </si>
  <si>
    <t>Cristina Silva Aruda</t>
  </si>
  <si>
    <t>+55 (21) 99294 7748</t>
  </si>
  <si>
    <t>cris1486@gmail.com</t>
  </si>
  <si>
    <t>Cardiovascular responses to pelvic floor muscle contractions in pregnant women</t>
  </si>
  <si>
    <t>04/27/2016</t>
  </si>
  <si>
    <t>U1111-1175-8972</t>
  </si>
  <si>
    <t>Pregnancy,pelvic floor,barroreflex,heart rate</t>
  </si>
  <si>
    <t>Mikaela da Silva Corrêa</t>
  </si>
  <si>
    <t>mikaela.sicorrea@gmail.com</t>
  </si>
  <si>
    <t>Effects of a new vibrotherapy instrument Pulsar and vibro in children in the hospital</t>
  </si>
  <si>
    <t>U1111-1181-4193</t>
  </si>
  <si>
    <t>respiratory diseases,bronchial secretions</t>
  </si>
  <si>
    <t>Tatiane Targino Gomes Draghi</t>
  </si>
  <si>
    <t>+55 (14) 99742-8418</t>
  </si>
  <si>
    <t>tati.targino@gmail.com</t>
  </si>
  <si>
    <t>The influence of medium and low frequency currents on the functional performance of soccer players</t>
  </si>
  <si>
    <t>U1111-1171-7114</t>
  </si>
  <si>
    <t>Musculoskeletal development</t>
  </si>
  <si>
    <t>Pedro Ferreira Alves de Oliveira</t>
  </si>
  <si>
    <t>+55(61)81408621</t>
  </si>
  <si>
    <t>pedro.oliveira@ifb.edu.br</t>
  </si>
  <si>
    <t>The effect of motivational interviewing through the home visit and telemonitoring in patients with heart failure</t>
  </si>
  <si>
    <t>U1111-1180-0751</t>
  </si>
  <si>
    <t>Perception of pain and anxiety related to atraumatic restorative treatment (ART) and conventional treatment by 5-to 8-yr-old school children</t>
  </si>
  <si>
    <t>04/26/2016</t>
  </si>
  <si>
    <t>U1111-1181-5061</t>
  </si>
  <si>
    <t>Toothache,dental anxiety</t>
  </si>
  <si>
    <t>FLAVIA MARTAO FLÓRIO</t>
  </si>
  <si>
    <t>flaviaflorio@yahoo.com</t>
  </si>
  <si>
    <t>Faculdade de Odontologia e Centro de pesquisas São Leopoldo Mandic</t>
  </si>
  <si>
    <t xml:space="preserve">early bedside sedestation in the postoperative cardiac surgery: clinical and psychological repercussions </t>
  </si>
  <si>
    <t>U1111-1180-2852</t>
  </si>
  <si>
    <t>Respiratory Function Tests,Muscle Strength,Early Ambulation,Thoracic Surgery</t>
  </si>
  <si>
    <t>Luan Nascimento da Silva</t>
  </si>
  <si>
    <t>+55(86)999113830</t>
  </si>
  <si>
    <t>luan.nascimento2222@gmail.com</t>
  </si>
  <si>
    <t>Functional capacity muscle strenght and balance in elderly woman after physical conditioning water aerobic and vitamin D supplementation</t>
  </si>
  <si>
    <t>U1111-1171-7423</t>
  </si>
  <si>
    <t>Avitaminosis</t>
  </si>
  <si>
    <t>Comite Etica em Pesquisa</t>
  </si>
  <si>
    <t>cepunifesp@unifesp.br</t>
  </si>
  <si>
    <t>Open randomized study to evaluate the safety and pharmacokinetic parameters comparing antiretroviral formulations fixed-dose tablet and oral solution in pediatric population</t>
  </si>
  <si>
    <t>U1111-1178-3484</t>
  </si>
  <si>
    <t>Prospective non-randomized phase II study to assess the AIP and miR-34a expressions and the response to pasireotide LAR treatment in acromegaly patients</t>
  </si>
  <si>
    <t>U1111-1180-9148</t>
  </si>
  <si>
    <t>Acromegaly</t>
  </si>
  <si>
    <t>Nelma Verônica Dória da Silva</t>
  </si>
  <si>
    <t>+55 (21) 3938 2323</t>
  </si>
  <si>
    <t>nelmaveronica@gmail.com</t>
  </si>
  <si>
    <t>Nutritional status and inflammatory profile of patients with cancer of the oral cavity in pre-antineoplastic treatment (Chemotherapy/Radiotherapy/Surgery) before and after nutritional supplementation</t>
  </si>
  <si>
    <t>U1111-1177-3681</t>
  </si>
  <si>
    <t>Neoplasm oral cavity,nutritional status,cachexia</t>
  </si>
  <si>
    <t>Thayana Calixto de Carvalho</t>
  </si>
  <si>
    <t>+55 (21) 98839 2546</t>
  </si>
  <si>
    <t>thayanacalixto@hotmail.com</t>
  </si>
  <si>
    <t>Efficacy and Safety of Hypothermia Cerebral Exclusive deployment through the use of catheter Nasopharyngeal in Human Beings for the treatment of seriuos (ou (severe) brain trauma Phase I Study</t>
  </si>
  <si>
    <t>U1111-1177-7429</t>
  </si>
  <si>
    <t>Bernardo Lembo Conde de Paiva</t>
  </si>
  <si>
    <t>+55(11)99942 6225</t>
  </si>
  <si>
    <t>bernardo_paiva@hotmail.com</t>
  </si>
  <si>
    <t>Randomized clinical trial comparing Carnoys and GEWF solutions for Lymph Node Clearing Technique in Colorectal Cancer</t>
  </si>
  <si>
    <t>U1111-1177-9477</t>
  </si>
  <si>
    <t>Colorectal cancer</t>
  </si>
  <si>
    <t>Tiago Leal Ghezzi</t>
  </si>
  <si>
    <t>+55(51)97256265</t>
  </si>
  <si>
    <t>tlghezzi@terra.com.br</t>
  </si>
  <si>
    <t>Effects of low level laser therapy in the electromyographic fatigue in the blood lactate and in the inflamatory markers after induced biceps biceps brachi muscle fatigue before and after a resisitive program training in young males</t>
  </si>
  <si>
    <t>U1111-1157-7241</t>
  </si>
  <si>
    <t>Effectiveness of auriculotherapy to reduce pain and anxiety and improving the quality of life of nursing professionals: a randomized clinical trial</t>
  </si>
  <si>
    <t>04/19/2016</t>
  </si>
  <si>
    <t>U1111-1181-0734</t>
  </si>
  <si>
    <t>musculoskeletal pain,anxiety</t>
  </si>
  <si>
    <t>The impact of the Animal Assisted Therapy (AAT) in oncological pediatric patients on physiological and psychosocial variables</t>
  </si>
  <si>
    <t>04/18/2016</t>
  </si>
  <si>
    <t>U1111-1172-8389</t>
  </si>
  <si>
    <t>Malignant neoplasms</t>
  </si>
  <si>
    <t>Nathiana Belgamo da Silva</t>
  </si>
  <si>
    <t>+55 (16) 981469505</t>
  </si>
  <si>
    <t>nathisbs@hotmail.com</t>
  </si>
  <si>
    <t>A retrospective observational study to assess the rate of hospitalization in patients with Schizophrenia treated one year before with oral Antipsychotics and one year after with long acting injectable Atypical Atipsychotics</t>
  </si>
  <si>
    <t>04/15/2016</t>
  </si>
  <si>
    <t>U1111-1176-8722</t>
  </si>
  <si>
    <t>Schizophrenic</t>
  </si>
  <si>
    <t>Alfredo José Minervino</t>
  </si>
  <si>
    <t>+55 (83) 3216 7201</t>
  </si>
  <si>
    <t>alfredominervino@hotmail.com</t>
  </si>
  <si>
    <t>Hospital Universitário Lauro Wanderlei/HULW da Universidade Federal da Paraíba</t>
  </si>
  <si>
    <t>Analysis of functional balance and electromyographic activity of elderly women with osteoporosis submited of balance training with vibratory rod</t>
  </si>
  <si>
    <t>U1111-1131-5155</t>
  </si>
  <si>
    <t>Osteoporosis,Postural Balance</t>
  </si>
  <si>
    <t>Juliana Rodrigues Soares Ruzene</t>
  </si>
  <si>
    <t>+55 (14) 98814 1266</t>
  </si>
  <si>
    <t>juliana_ruzene@yahoo.com.br</t>
  </si>
  <si>
    <t>Universidade Estadual Paulista- Faculdade de Filosofia e Ciências</t>
  </si>
  <si>
    <t>The influence of the pilates method in the contractility of the pelvic floor muscles of student at open university to elderly people unapi/ufms</t>
  </si>
  <si>
    <t>04/14/2016</t>
  </si>
  <si>
    <t>U1111-1176-2820</t>
  </si>
  <si>
    <t>Suzi Rosa Miziara Barbosa</t>
  </si>
  <si>
    <t>+55(067)8115-9759</t>
  </si>
  <si>
    <t>srmiziara@gmail.com</t>
  </si>
  <si>
    <t>Physical Exercise Mental and Physical Health of Institutionalized Older Adults</t>
  </si>
  <si>
    <t>04/13/2016</t>
  </si>
  <si>
    <t>U1111-1174-4091</t>
  </si>
  <si>
    <t>Institutionalized older adults,healthy,depressive,demented,parkinsonism</t>
  </si>
  <si>
    <t>Renato Sobral Monteiro Junior</t>
  </si>
  <si>
    <t>renatoprofedfis@hotmail.com</t>
  </si>
  <si>
    <t>Programa de Pós-graduação em Neurologia - Neurociências da Universidade Federal Fluminense</t>
  </si>
  <si>
    <t>Influence of sensorimotor stimulation of the respiratory system of preterm infants</t>
  </si>
  <si>
    <t>U1111-1177-7274</t>
  </si>
  <si>
    <t>Premature,Newborn</t>
  </si>
  <si>
    <t>Geisy Hellen Mamedes Silva</t>
  </si>
  <si>
    <t>geisy.hellen@hotmail.com</t>
  </si>
  <si>
    <t>Evaluation of the effectivity of teleconsultations for improving the quality of the referrals from primary care to specialized care of patients nonresidents in Porto Alegre with endocrine health conditions</t>
  </si>
  <si>
    <t>U1111-1179-2949</t>
  </si>
  <si>
    <t>Diabetes Mellitus,Hypothyroidism,Hyperthyroidism,Goiter,Thyroid nodule,Obesity</t>
  </si>
  <si>
    <t>Natan Katz</t>
  </si>
  <si>
    <t>+55 (51) 33085748</t>
  </si>
  <si>
    <t>natan.katz@telessauders.ufrgs.br</t>
  </si>
  <si>
    <t>Programa de Pesquisa e Pós-Graduação em Epidemiologia / Universidade Federal do Rio Grande do Sul</t>
  </si>
  <si>
    <t>Abiraterone acetate in Patients With Metastatic Castration-Resistant Prostate Cancer Chemo-naive Who Received a Prior Diethylstiboestrol Therapy- 212082PCR2036</t>
  </si>
  <si>
    <t>U1111-1155-2995</t>
  </si>
  <si>
    <t>Malignant neoplasm of prostate. Prostatic Neoplasms Castration-Resistant</t>
  </si>
  <si>
    <t>Partial caries removal in primary and permanent molars: Longitudinal clinical trial</t>
  </si>
  <si>
    <t>U1111-1136-8461</t>
  </si>
  <si>
    <t>Dental caries,dentin caries</t>
  </si>
  <si>
    <t>Cecília Cláudia Costa Ribeiro</t>
  </si>
  <si>
    <t>+55(98)32728572</t>
  </si>
  <si>
    <t>cecilia_ribeiro@hotmail.com</t>
  </si>
  <si>
    <t>Effects of Workplace Exercise Program: controlled and randomized clinical trial</t>
  </si>
  <si>
    <t>U1111-1174-8515</t>
  </si>
  <si>
    <t>Stress Psychological,Anxiety</t>
  </si>
  <si>
    <t>Diulian Aparecida Rezende</t>
  </si>
  <si>
    <t>+55 35 91592466</t>
  </si>
  <si>
    <t>diulianrezende@yahoo.com.br</t>
  </si>
  <si>
    <t>Evaluation and Physical therapy in women with fibro geloid edema and preoperative and postoperative abdominoplasty</t>
  </si>
  <si>
    <t>U1111-1174-9695</t>
  </si>
  <si>
    <t>Cellulitis,abdominoplasty</t>
  </si>
  <si>
    <t>Adriana Clemente Mendonça</t>
  </si>
  <si>
    <t>+55 (34) 3318 5524</t>
  </si>
  <si>
    <t>adricm@terra.com.br</t>
  </si>
  <si>
    <t>U1111-1178-9304</t>
  </si>
  <si>
    <t>Smoking,Tobacco Use Cessation</t>
  </si>
  <si>
    <t>Marilda Aparecida Ferreira</t>
  </si>
  <si>
    <t>+55 (32) 3217 8528</t>
  </si>
  <si>
    <t>mafpnt@gmail.com</t>
  </si>
  <si>
    <t>Instituto Mineiro de Ensino e Pesquisa em Nefrologia</t>
  </si>
  <si>
    <t>Early empirical antibiotic therapy: a randomized clinical trial for superiority of a ciprofloxacin versus placebo in for preventing secondary bacterial infection among snakebite victims in the Brazilian Amazon</t>
  </si>
  <si>
    <t>Secondary bacterial,Snake venom,snake bite</t>
  </si>
  <si>
    <t>Manoel Luiz Neto</t>
  </si>
  <si>
    <t>+55 (92) 3878 4368</t>
  </si>
  <si>
    <t>cep@uea.edu.br</t>
  </si>
  <si>
    <t>Preoperative application effect of 10% potassium nitrate reduction in tooth sensitivity resulting from in-office dental bleaching: a randomized clinical trial triple blind placebo-controlled split-mouth</t>
  </si>
  <si>
    <t>U1111-1177-5491</t>
  </si>
  <si>
    <t>Dentin sensitivity,Dental bleching</t>
  </si>
  <si>
    <t>Clinical Effects of Diet Change Directive During In-office Bleaching</t>
  </si>
  <si>
    <t>U1111-1170-8664</t>
  </si>
  <si>
    <t>Esthetics,tooth bleaching,diet</t>
  </si>
  <si>
    <t>Carlos Menezes Aguiar</t>
  </si>
  <si>
    <t>+55 (81) 21268836</t>
  </si>
  <si>
    <t>cmaguiar@ufpe.br</t>
  </si>
  <si>
    <t>Universidade Federal de Pernambuco UFPE</t>
  </si>
  <si>
    <t>Use of analgesics in preventing sensitivity arising from tooth bleaching</t>
  </si>
  <si>
    <t>U1111-1170-1780</t>
  </si>
  <si>
    <t>+55(42)3220 3104 / +55(42) 9102 6383</t>
  </si>
  <si>
    <t>Universidade Estadual de Ponta Grossa- UEPG</t>
  </si>
  <si>
    <t>Characterization of physical therapy profile offered in neonatal intensive care units in Rio de Janeiro City</t>
  </si>
  <si>
    <t>U1111-1180-7030</t>
  </si>
  <si>
    <t>Physical therapy modalities ,neonatal intensive care ,neonatal intensive care units</t>
  </si>
  <si>
    <t>Halina Cidrini Ferreira</t>
  </si>
  <si>
    <t>5521 3938 2223</t>
  </si>
  <si>
    <t>hcidrini@gmail.com</t>
  </si>
  <si>
    <t>Comparative study of Mat Pilates and Global Postural Reeducation protocol on postural alignment and functional capacity of school children</t>
  </si>
  <si>
    <t>U1111-1171-6278</t>
  </si>
  <si>
    <t>Abnormal posture</t>
  </si>
  <si>
    <t>Katia Virginia Viana Cardoso</t>
  </si>
  <si>
    <t>kvvc2004@yahoo.com.br</t>
  </si>
  <si>
    <t>Effects of two types of weight training: conventional and partial restriction of blood flow on the muscle strength and power muscle quality and functional performance in elderly</t>
  </si>
  <si>
    <t>U1111-1178-3123</t>
  </si>
  <si>
    <t>Amandio Aristides Rihan Geraldes</t>
  </si>
  <si>
    <t>+55(82)99351-8905</t>
  </si>
  <si>
    <t>amandioargeraldes@gmail.com</t>
  </si>
  <si>
    <t>A Randomized Double-blind Multicenter Active-controlled Study to Evaluate the Efficacy Safety and Tolerability of Fixed Doses of Intranasal Esketamine Plus an Oral Antidepressant in Adult Subjects with Treatment-resistant Depression - ESKETINTRD3001</t>
  </si>
  <si>
    <t>U1111-1173-1562</t>
  </si>
  <si>
    <t>Female sexual function: relationship with physical activity depression quality of life and functionality of the pelvic floor and abdominal muscles</t>
  </si>
  <si>
    <t>U1111-1177-2025</t>
  </si>
  <si>
    <t>Practice of reaching using sticky mittens in preterm infants: randomized controlled clinical trial</t>
  </si>
  <si>
    <t>U1111-1177-1392</t>
  </si>
  <si>
    <t>+55 (67) 3345 7832</t>
  </si>
  <si>
    <t>Analysis of the effects of a aquatic exercise program in functionalactivities and posture of subjects with Parkinsons disease</t>
  </si>
  <si>
    <t>U1111-1175-3483</t>
  </si>
  <si>
    <t>Electrical Analgesia Effect On Dysestesia In Women Undergoing To Axillary Linfadenectomy</t>
  </si>
  <si>
    <t>U1111-1130-7424</t>
  </si>
  <si>
    <t>postoperative breast neoplasm,paresthesia,removal of lymph</t>
  </si>
  <si>
    <t>Andreza Carvalho Rabelo Mendonça</t>
  </si>
  <si>
    <t>+55(79)99490161</t>
  </si>
  <si>
    <t>andrezinharabelo@yahoo.com.br</t>
  </si>
  <si>
    <t>Cardiometabolic risk factors assessment and the effect of physical activity for children and adolescents: a continued study</t>
  </si>
  <si>
    <t>U1111-1180-5520</t>
  </si>
  <si>
    <t>Dyslipidemia,obesity,diabetes,subclinical inflammation,physical inactivity,nutrition</t>
  </si>
  <si>
    <t>A study of Intranasal Rapid Action Esketamine for Major Depressive Disorder Treatment Resistant</t>
  </si>
  <si>
    <t>U1111-1176-4247</t>
  </si>
  <si>
    <t>56021927PCR3002 - A Phase 3 Randomized Placebocontrolled Double-blind Study of JNJ-56021927 Plus Androgen Deprivation Therapy (ADT) Versus ADT in Subjects with Low-volume Metastatic Hormonesensitive Prostate Cancer (mHSPC)</t>
  </si>
  <si>
    <t>U1111-1176-4189</t>
  </si>
  <si>
    <t>Assessment of pain and mouth opening range of motion in patients with temporomandibular disorders subjected to stretching of the posterior chain</t>
  </si>
  <si>
    <t>U1111-1163-7121</t>
  </si>
  <si>
    <t>Temporo mandibular dysfunction (DTM),Temporomandibular joint disorders</t>
  </si>
  <si>
    <t>alexandre fiorelli</t>
  </si>
  <si>
    <t>bauru</t>
  </si>
  <si>
    <t>afiorelli@zipmail.com.br</t>
  </si>
  <si>
    <t>A multicenter randomized double blind placebo controlled study to determine the efficacy and safety of dextro-ketamine 1% in combination with clonidine 0.03% topical gel cream in the treatment of neuropathic pain syndromes</t>
  </si>
  <si>
    <t>U1111-1178-9211</t>
  </si>
  <si>
    <t>Neuropathic pain syndrome associated with diabetic peripheral neuropathy,post herpetic neuralgia,post traumatic or post operative peripheral neuropathy,and leprosy</t>
  </si>
  <si>
    <t>Rosana Regel Athiê</t>
  </si>
  <si>
    <t>+55 11 3723-6479</t>
  </si>
  <si>
    <t>luandre.rosana@cristalia.com.br</t>
  </si>
  <si>
    <t>Cristalia Produtos Químicos Farmacêuticos Ltda</t>
  </si>
  <si>
    <t>A Study to Evaluate Imetelstat (JNJ- 63935937) in Transfusion-Dependent Subjects with IPSS Low or Intermediate-1 Risk Myelodysplastic Syndrome (MDS) that is Relapsed/Refractory to Erythropoiesis-Stimulating Agent (ESA) Treatment</t>
  </si>
  <si>
    <t>03/30/2016</t>
  </si>
  <si>
    <t>U1111-1176-4470</t>
  </si>
  <si>
    <t>56021927PCR3003 - A Randomized Double-blind Placebocontrolled Phase 3 Study of JNJ- 56021927 in Subjects with High-risk Localized or Locally Advanced Prostate Cancer Receiving Treatment with Primary Radiation Therapy</t>
  </si>
  <si>
    <t>U1111-1176-4321</t>
  </si>
  <si>
    <t>CNTO1275AKS3003 - A Phase 3 Multicenter Randomized Double-blind Placebo-controlled Study Evaluating the Efficacy and Safety of Ustekinumab in the Treatment of Subjects With Active Nonradiographic Axial Spondyloarthritis</t>
  </si>
  <si>
    <t>U1111-1173-1576</t>
  </si>
  <si>
    <t>A Randomized Double-blind Multicenter Active-controlled Study to Evaluate the Efficacy Safety and Tolerability of Intranasal Esketamine Plus an Oral Antidepressant in Elderly Subjects with Treatment-resistant Depression</t>
  </si>
  <si>
    <t>U1111-1176-4169</t>
  </si>
  <si>
    <t>An Open-label Long-term Safety and Efficacy Study of Intranasal Esketamine in Treatment-resistant Depression</t>
  </si>
  <si>
    <t>U1111-1176-4119</t>
  </si>
  <si>
    <t>A Study of Intranasal Esketamine Plus an Oral Antidepressant for Relapse Prevention in Adult Participants With Treatment-resistant Depression</t>
  </si>
  <si>
    <t>U1111-1176-4083</t>
  </si>
  <si>
    <t>Influence of the cold sensation threshold on the occurrence of dental sensitivity before dental bleaching</t>
  </si>
  <si>
    <t>U1111-1171-7986</t>
  </si>
  <si>
    <t>Dental sensitivity</t>
  </si>
  <si>
    <t>+5518 36363253</t>
  </si>
  <si>
    <t>Faculdade de Odontologia de Araçatuba - Unesp</t>
  </si>
  <si>
    <t>Effect of pH of the bleaching gel in the effectiveness and tooth sensitivity after in office bleaching</t>
  </si>
  <si>
    <t>U1111-1181-0970</t>
  </si>
  <si>
    <t>CNTO1275AKS3002 - A Phase 3 Multicenter Randomized Double-blind Placebo-controlled Study Evaluating the Efficacy and Safety of Ustekinumab in the Treatment of Anti-TNF(alpha) Refractory Subjects With Active Radiographic Axial Spondyloarthritis</t>
  </si>
  <si>
    <t>03/29/2016</t>
  </si>
  <si>
    <t>U1111-1176-4454</t>
  </si>
  <si>
    <t>Implementation and evaluation of an oral health promotion intervention for children aged zero to five years</t>
  </si>
  <si>
    <t>03/28/2016</t>
  </si>
  <si>
    <t>U1111-1173-2795</t>
  </si>
  <si>
    <t>Andreia Morales Cascaes</t>
  </si>
  <si>
    <t>+55(53)32256741</t>
  </si>
  <si>
    <t>andreiacascaes@gmail.com</t>
  </si>
  <si>
    <t>Teaching Critical Thinking for nursing students: a randomized controlled pilot study</t>
  </si>
  <si>
    <t>U1111-1176-5343</t>
  </si>
  <si>
    <t>Critical thinking,Nursing Education,Nursing Assessment,Nursing Process,Nursing Practice</t>
  </si>
  <si>
    <t>Fábio Da Costa Carbogim</t>
  </si>
  <si>
    <t>+55 (32) 988327228</t>
  </si>
  <si>
    <t>fabiocarbogim@gmail.com</t>
  </si>
  <si>
    <t>Effects of an abdominal progression protocol hydrotherapy in women with low back pain</t>
  </si>
  <si>
    <t>U1111-1178-1800</t>
  </si>
  <si>
    <t>Low back pain,hydrotherapy,abdominal muscles</t>
  </si>
  <si>
    <t>Fernanda Barros Prieto</t>
  </si>
  <si>
    <t>+55(53)84578182</t>
  </si>
  <si>
    <t>fernanda.fisio@live.com</t>
  </si>
  <si>
    <t>Palonosetron versus ondansetron for postoperative nausea and vomiting prophylaxis in laparoscopic gastroplasty in morbid obese patients - a randomized controlled noninferiority trial</t>
  </si>
  <si>
    <t>U1111-1176-9645</t>
  </si>
  <si>
    <t>+55 (14) 3880 1414</t>
  </si>
  <si>
    <t>Faculdade de Medicina de Botucatu,UNESP</t>
  </si>
  <si>
    <t>Applicability of Complementary Therapies for pain stress anxiety reduction and improving quality of life: Randomized Clinical Trial</t>
  </si>
  <si>
    <t>U1111-1178-9777</t>
  </si>
  <si>
    <t>Evaluation of performance motor in infants at risk</t>
  </si>
  <si>
    <t>02/26/2016</t>
  </si>
  <si>
    <t>U1111-1178-1871</t>
  </si>
  <si>
    <t>Kátia Virginia Viana Cardoso</t>
  </si>
  <si>
    <t>+55 (85) 97663814</t>
  </si>
  <si>
    <t>Functional assessment after open cholecystectomy in patients undergoing conventional and abbreviated fasting</t>
  </si>
  <si>
    <t>U1111-1144-3989</t>
  </si>
  <si>
    <t>cholecystectomy</t>
  </si>
  <si>
    <t>Diana Dock-Nascimento</t>
  </si>
  <si>
    <t>+55 (65) 9972 1177</t>
  </si>
  <si>
    <t>dianadock@hotmail.com</t>
  </si>
  <si>
    <t>Sperm transcriptome profile in men with and without varicocele</t>
  </si>
  <si>
    <t>U1111-1175-1406</t>
  </si>
  <si>
    <t>Varicocele</t>
  </si>
  <si>
    <t>Rosana Maria dos Reis</t>
  </si>
  <si>
    <t>+55(16)3602 2926</t>
  </si>
  <si>
    <t>romareis@fmrp.usp.br</t>
  </si>
  <si>
    <t>The simulations of use in bath education in bed</t>
  </si>
  <si>
    <t>U1111-1170-5224</t>
  </si>
  <si>
    <t>Angina,Unstable</t>
  </si>
  <si>
    <t>Renata Pinto Ribeiro Miranda</t>
  </si>
  <si>
    <t>ITAJUBÁ</t>
  </si>
  <si>
    <t>+55 (35) 99110 5957</t>
  </si>
  <si>
    <t>renatapr85@gmail.com</t>
  </si>
  <si>
    <t>Acute effect of resistance exercise of different intensities and recruited muscle mass in hemodynamic variables: blood pressure heart rate rate-pressure product and post-exercise hypotension in active normotensive women</t>
  </si>
  <si>
    <t>03/16/2016</t>
  </si>
  <si>
    <t>U1111-1176-4599</t>
  </si>
  <si>
    <t>Essential hypertension,cardiovascular disease</t>
  </si>
  <si>
    <t>+55 (85) 98891 5847</t>
  </si>
  <si>
    <t>Therapeutic approach in the quality of life and elderly functionality</t>
  </si>
  <si>
    <t>U1111-1176-3775</t>
  </si>
  <si>
    <t>Falls,balance ,physical fitness,walking,dyspnea ,blood pressure ,cardiac frequency,respiratory frequency,oxygen saturation</t>
  </si>
  <si>
    <t>Adriana Marcia Monteiro Fantinati</t>
  </si>
  <si>
    <t>+55 (62) 9686-0024</t>
  </si>
  <si>
    <t>adrianafantinati@ibest.com.br</t>
  </si>
  <si>
    <t>Pontificia Universidade Católica de Goiás</t>
  </si>
  <si>
    <t>Transcutaneous electrical nerve stimulation and diathermy microwave effects in the primary dysmenorrhea: placebo-controlled clinical trail</t>
  </si>
  <si>
    <t>U1111-1169-7009</t>
  </si>
  <si>
    <t>Primary dismenorrhea</t>
  </si>
  <si>
    <t>Aline Fernanda Perez Machado</t>
  </si>
  <si>
    <t>lifpm@yahoo.com.br</t>
  </si>
  <si>
    <t>UNICID Universidade Cidade de São Paulo</t>
  </si>
  <si>
    <t>Efficacy and safety of intralesional use of meglumine antimoniate in the treatment of localized cutaneous leishmaniasis</t>
  </si>
  <si>
    <t>U1111-1171-8847</t>
  </si>
  <si>
    <t>Dario Brock Ramalho</t>
  </si>
  <si>
    <t>31 33285000</t>
  </si>
  <si>
    <t>dadaramalho@gmail.com</t>
  </si>
  <si>
    <t>Prophylactic use of Metformin in Gestational Diabetes Mellitus</t>
  </si>
  <si>
    <t>U1111-1174-8609</t>
  </si>
  <si>
    <t>Jean Carl Silva</t>
  </si>
  <si>
    <t>+55 (47) 3461 9000</t>
  </si>
  <si>
    <t>jeancarlsilva@gmail.com</t>
  </si>
  <si>
    <t>Universidade da Região de Joinville - Univille</t>
  </si>
  <si>
    <t>Using a flip chart for the promotion of maternal self-efficacy in nursing</t>
  </si>
  <si>
    <t>03/14/2016</t>
  </si>
  <si>
    <t>U1111-1178-7717</t>
  </si>
  <si>
    <t>Breast feeding,self efficacy</t>
  </si>
  <si>
    <t>Andressa Peripolli Rodrigues</t>
  </si>
  <si>
    <t>+55 (85) 3366 8464</t>
  </si>
  <si>
    <t>andressaufsm@hotmail.com</t>
  </si>
  <si>
    <t>Effect of green tea extract on biomarkers of renal function in patients with Diabetic Nephropathy</t>
  </si>
  <si>
    <t>U1111-1171-3671</t>
  </si>
  <si>
    <t>diabetes mellitus,unspecified diabetes mellitus with renal complications</t>
  </si>
  <si>
    <t>Sáskia Ribeiro Vaz</t>
  </si>
  <si>
    <t>+55 (62) 8100 2263</t>
  </si>
  <si>
    <t>saskiaribeirovaz@gmail.com</t>
  </si>
  <si>
    <t>Faculdade de Nutrição UFG</t>
  </si>
  <si>
    <t>Role of neuromotor training nn gait pattern and mobility of ankles in elderly</t>
  </si>
  <si>
    <t>U1111-1178-7955</t>
  </si>
  <si>
    <t>gait,range of motions of ankles</t>
  </si>
  <si>
    <t>Malu Cristina de Araujo Montoro Lima</t>
  </si>
  <si>
    <t>Mafra</t>
  </si>
  <si>
    <t>55(41)98244755</t>
  </si>
  <si>
    <t>malumontoro@gmail.com</t>
  </si>
  <si>
    <t>Universidade do Contestado</t>
  </si>
  <si>
    <t>Efficacy and safety of Eslicarbazepine Acetate (BIA 2-093) as monotherapy for patients with newly diagnosed partial-onset seizures: a double-blind randomized active-controlled parallel-group multicenter clinical trial - open-label ESL extension</t>
  </si>
  <si>
    <t>U1111-1177-8768</t>
  </si>
  <si>
    <t>Effects of isometric isotonic or isokinetic training on mass and muscle strength</t>
  </si>
  <si>
    <t>U1111-1174-1043</t>
  </si>
  <si>
    <t>Marilia Santos Andrade</t>
  </si>
  <si>
    <t>+55 (11) 33966570</t>
  </si>
  <si>
    <t>marilia1707@gmail.com</t>
  </si>
  <si>
    <t>Acute Lymphoblastic Leukemia treatment protocol for children and adolescent GBTLI ALL-2009</t>
  </si>
  <si>
    <t>U1111-1177-2932</t>
  </si>
  <si>
    <t>Gastrointestinal and lung cancer effects of the fish oil intake on nutritional status quality of life and imunnometabolic outcomes</t>
  </si>
  <si>
    <t>U1111-1149-6742</t>
  </si>
  <si>
    <t>Gastric neoplasms,Colorectal neoplasms,Anus neoplasms,Non-Small-Cell Lung carcinoma,Intestinal neoplasms</t>
  </si>
  <si>
    <t>Erasmo Benicio Santos de Moraes Trindade</t>
  </si>
  <si>
    <t>A phase 2b randomized double-blind placebo controlled multi-center study evaluating antiviral effects pharmacokinetics safety and tolerability of GS-5806 in hematopoietic cell transplant (HCT) recipients with respiratory syncytial virus (RSV) infection of the upper respiratory tract</t>
  </si>
  <si>
    <t>U1111-1162-4150</t>
  </si>
  <si>
    <t>Infecção por vírus sincicial respiratório (VSR) do trato respiratório superior. Diseases of the respiratory system. Acute upper respiratory infection,unspecified. Respiratory syncytial virus as the cause of diseases classified to other chapters</t>
  </si>
  <si>
    <t>Clarissa  Martins Machado</t>
  </si>
  <si>
    <t>+55 14 3602-1397</t>
  </si>
  <si>
    <t>clarimm@usp.br</t>
  </si>
  <si>
    <t>Fundação Doutor Amaral Carvalho</t>
  </si>
  <si>
    <t>Evaluation of the model of educational activities in Diabetes Mellitus Type 2 in Primary Health Care Units</t>
  </si>
  <si>
    <t>U1111-1180-3980</t>
  </si>
  <si>
    <t>Heloisa de Carvalho Torres</t>
  </si>
  <si>
    <t>+55 (31) 3409 9850</t>
  </si>
  <si>
    <t>Pilates training effects on physiological responses health parameters and quality of life in overweight or obese people</t>
  </si>
  <si>
    <t>U1111-1176-6610</t>
  </si>
  <si>
    <t>+55(11) 33966570</t>
  </si>
  <si>
    <t>Fundação de Ampara à Pesquisa do Estado de São Paulo</t>
  </si>
  <si>
    <t>Effect of shoulder external rotator eccentric strengthening program on strength balance and on throwing speed and accuracy</t>
  </si>
  <si>
    <t>U1111-1175-4874</t>
  </si>
  <si>
    <t>Musculoskeletal injury,muscular injury</t>
  </si>
  <si>
    <t>+55(11)33966570</t>
  </si>
  <si>
    <t>Acupuncture in clinical manifestations of Endometriosis</t>
  </si>
  <si>
    <t>U1111-1161-8671</t>
  </si>
  <si>
    <t>Gilmar Moraes Santos</t>
  </si>
  <si>
    <t>+55 48 99377578</t>
  </si>
  <si>
    <t>gilmar.santos@udesc.br</t>
  </si>
  <si>
    <t>UDESC- Universidade do Estado de Santa Catarina</t>
  </si>
  <si>
    <t>Effects of continuos and interval aerobic physical training in women with polycystic ovary syndrome</t>
  </si>
  <si>
    <t>U1111-1173-4880</t>
  </si>
  <si>
    <t>Acute effect of coconut and olive oil on postmeal thermogenesis and oxidation rate of substrates in overweight women</t>
  </si>
  <si>
    <t>U1111-1163-7802</t>
  </si>
  <si>
    <t>Josefina Bressan Resende</t>
  </si>
  <si>
    <t>+55 (31) 3899 3388</t>
  </si>
  <si>
    <t>Universidade Federal de Viçosa - UFV</t>
  </si>
  <si>
    <t>Endurance associated with noninvasive ventilation in patients with chronic obstructive pulmonary disease after inspiratory muscle training</t>
  </si>
  <si>
    <t>U1111-1172-0785</t>
  </si>
  <si>
    <t>Chronic Obstructive Pulmonar Disease</t>
  </si>
  <si>
    <t>Short-term effects of mechanical ventilation with two levels of PEEP (BiPEEP) in patients with Acute Respiratory Distress Syndrome</t>
  </si>
  <si>
    <t>U1111-1171-9715</t>
  </si>
  <si>
    <t>Luiz Alberto Forgiarini Junior</t>
  </si>
  <si>
    <t>+55 (51) 9136.5047</t>
  </si>
  <si>
    <t>forgiarini.luiz@gmail.com</t>
  </si>
  <si>
    <t>Centro Universitário Metodista - IPA</t>
  </si>
  <si>
    <t>Evaluation of clinical efficacy of Kamrho-D® drug (anti-human globulin Rh D - Panamerican) in postpartum women Rh negative immunization coombs indirect negative and sensitization risk</t>
  </si>
  <si>
    <t>U1111-1136-1311</t>
  </si>
  <si>
    <t>Adriano Meneghini</t>
  </si>
  <si>
    <t>(11) 4930-4243</t>
  </si>
  <si>
    <t>adrianomeneghini1@gmail.com</t>
  </si>
  <si>
    <t>Centro Multidiciplinar de Estudos Clínicos (CEMEC - Centro Coordenador)</t>
  </si>
  <si>
    <t>Influence of Occlusion guidance and Mandibular ridge resorption on Masticatory performance and Ability and Maximum occlusal force in complete denture wearers</t>
  </si>
  <si>
    <t>U1111-1175-3939</t>
  </si>
  <si>
    <t>+55 (16) 3301-6401</t>
  </si>
  <si>
    <t>Adhesion of composite resin direct restorations with different protocols of adhesive system application – a clinical study</t>
  </si>
  <si>
    <t>U1111-1170-5369</t>
  </si>
  <si>
    <t>Caries lesions,needing the replacement of a pre-existing restoration with recurrent Carie lesion,fracture of the restorations,dental caries,dental restoration failure</t>
  </si>
  <si>
    <t>Andreia Assis Carvalho</t>
  </si>
  <si>
    <t>andreia.assiscarvalho@gmail.com</t>
  </si>
  <si>
    <t>Study of genetic mutations in patients with Keratoconus in western central Brazil using reaction polymerase chain in real time</t>
  </si>
  <si>
    <t>U1111-1175-8230</t>
  </si>
  <si>
    <t>Keratoconus,mutation,gene</t>
  </si>
  <si>
    <t>Francisco Welington Rodrigues</t>
  </si>
  <si>
    <t>+55 (62) 30969696</t>
  </si>
  <si>
    <t>fcow@gmail.com</t>
  </si>
  <si>
    <t>VER-exelencia em oftalmologia</t>
  </si>
  <si>
    <t>Randomized clinical trial of three pulp capping materials after partial caries removal in primary teeth</t>
  </si>
  <si>
    <t>U111111739845</t>
  </si>
  <si>
    <t>Maria Aparecida Andrade Moreira Machado</t>
  </si>
  <si>
    <t>+55 (14) 997724399</t>
  </si>
  <si>
    <t>mmachado@fob.usp.br</t>
  </si>
  <si>
    <t>Comparison between application of recruitment maneuver and manual chest compression and decompression in patients undergoing laparoscopic bariatric surgery</t>
  </si>
  <si>
    <t>U111111655785</t>
  </si>
  <si>
    <t>Obesity,Metabolic Syndrome,Gastroplasty,Pulmonary atelectasis</t>
  </si>
  <si>
    <t>Fabiana Della Via</t>
  </si>
  <si>
    <t>55(19)981923394</t>
  </si>
  <si>
    <t>fabianadv@yahoo.com.br</t>
  </si>
  <si>
    <t>Evaluating the efficacy of a preventive intervention in parenting practices</t>
  </si>
  <si>
    <t>U1111-1172-9820</t>
  </si>
  <si>
    <t>Elisa Rachel Pisani Altafim</t>
  </si>
  <si>
    <t>+55 (16) 33159042</t>
  </si>
  <si>
    <t>elisa.altafim@usp.br</t>
  </si>
  <si>
    <t>Brazilian version of the Cancer Fatigue Scale (CFS): study of the validity and reproducibility</t>
  </si>
  <si>
    <t>U1111-1175-9533</t>
  </si>
  <si>
    <t>Effects of a resistance training program periodized versus aerobic interval in functional parameters lipid and oxLDL of individuals with Metabolic Syndrome</t>
  </si>
  <si>
    <t>U1111-1174-0223</t>
  </si>
  <si>
    <t>Jayme Netto Junior</t>
  </si>
  <si>
    <t>+55(18)3229-5527</t>
  </si>
  <si>
    <t>jn@fct.unesp.br</t>
  </si>
  <si>
    <t>Contributions of Pray on Hypertension Heart Rate Respiratory and Anxiety of people with CRF undergoing Dialysis Treatment</t>
  </si>
  <si>
    <t>U1111-1167-9546</t>
  </si>
  <si>
    <t>Erika de Cassia Lopes Chaves</t>
  </si>
  <si>
    <t>Effect of calcium on weight and body composition in overweight individuals</t>
  </si>
  <si>
    <t>U1111-1175-8268</t>
  </si>
  <si>
    <t>Flávia Galvão Cândido</t>
  </si>
  <si>
    <t>+55 (31) 3899 4193</t>
  </si>
  <si>
    <t>flaviagcandido@hotmail.com</t>
  </si>
  <si>
    <t>Peripheral effects of electrical stimulation on peripheral muscle strength and exercise capacity in patients with chronic kidney disease on hemodialysis</t>
  </si>
  <si>
    <t>U1111-1175-1064</t>
  </si>
  <si>
    <t>Diseases of the genitourinary system,Renal Insufficiency,Chronic,Renal Dialysis,End-stage renal disease</t>
  </si>
  <si>
    <t>Elaine Paulin</t>
  </si>
  <si>
    <t>+55(48)33218602</t>
  </si>
  <si>
    <t>Effectiveness of physical therapy associated to cognitive training in the improvement of non-motor symptoms in patients with Parkinson´s disease: randomized clinical trial</t>
  </si>
  <si>
    <t>U1111-11783208</t>
  </si>
  <si>
    <t>Adhesive restorations in primary molars - a longitudinal clinical study</t>
  </si>
  <si>
    <t>U1111-1142-8674</t>
  </si>
  <si>
    <t>carious lesions</t>
  </si>
  <si>
    <t>Luciano Casagrande</t>
  </si>
  <si>
    <t>55(51)33085010</t>
  </si>
  <si>
    <t>luciano.casagrande@hotmail.com</t>
  </si>
  <si>
    <t>Aquatic physical therapy in the trunk control in children with cerebral palsy: randomized clinical trial</t>
  </si>
  <si>
    <t>1111-1173-9329</t>
  </si>
  <si>
    <t>Mirna Sayuri Kanashiro</t>
  </si>
  <si>
    <t>+55(11)55760777</t>
  </si>
  <si>
    <t>mitie_kakihata@hotmail.com</t>
  </si>
  <si>
    <t>Hemodynamics and perinatal assessment of phosphodiesterase type 5 inhibitors in pregnant women with preeclampsia</t>
  </si>
  <si>
    <t>U1111-1173-4276</t>
  </si>
  <si>
    <t>pre-eclampsia</t>
  </si>
  <si>
    <t>Alberto Trapani</t>
  </si>
  <si>
    <t>+55(48)99604268</t>
  </si>
  <si>
    <t>ginecoalberto@yahoo.com.br</t>
  </si>
  <si>
    <t>Effect of two differents intervention programs on kinematic parameters of gait in patients with Parkinsons Disease</t>
  </si>
  <si>
    <t>02/25/2016</t>
  </si>
  <si>
    <t>U1111-1160-5818</t>
  </si>
  <si>
    <t>Idiopathic Parkinsons disease</t>
  </si>
  <si>
    <t>Effects of physical therapy assisted by Kinect system in postural control cognition and quality of life of patients with Parkinsons disease</t>
  </si>
  <si>
    <t>U1111-1171-0371</t>
  </si>
  <si>
    <t>j.e.pompeu@hotmail.com</t>
  </si>
  <si>
    <t>Pharmaceutical care in primary care</t>
  </si>
  <si>
    <t>U1111-1174-9558</t>
  </si>
  <si>
    <t>Toshiyuki Nagashima Junior</t>
  </si>
  <si>
    <t>Cuité</t>
  </si>
  <si>
    <t>+55 (83) 3372-1900</t>
  </si>
  <si>
    <t>tonagashima@yahoo.com.br</t>
  </si>
  <si>
    <t>Universidade Federal de Campina Grande</t>
  </si>
  <si>
    <t>Multidisciplinary Program for Obesity Treatment in Adolescents: efficacy trial</t>
  </si>
  <si>
    <t>02/19/2016</t>
  </si>
  <si>
    <t>U1111-1171-3700</t>
  </si>
  <si>
    <t>Obesity,Metabolic Syndrome</t>
  </si>
  <si>
    <t>Nelson Nardo Junior</t>
  </si>
  <si>
    <t>+5544 30115026</t>
  </si>
  <si>
    <t>Progression of non-cavitated caries lesions treated with a Resin-Based Selant or a Resin-Based Infiltrant</t>
  </si>
  <si>
    <t>02/17/2016</t>
  </si>
  <si>
    <t>U111111561673</t>
  </si>
  <si>
    <t>Ricardo Amore</t>
  </si>
  <si>
    <t>+55 (11) 98424-1200</t>
  </si>
  <si>
    <t>ricardoamore@uol.com.br</t>
  </si>
  <si>
    <t>Universidade Anhanguera de São Paulo - UNIAN-SP</t>
  </si>
  <si>
    <t>Impact of physiotherapy aquatic and dry land exercise in functional capacity and quality of life of older adults with knee osteoarthritis: a randomized clinical trial</t>
  </si>
  <si>
    <t>02/16/2016</t>
  </si>
  <si>
    <t>U1111-1174-1676</t>
  </si>
  <si>
    <t>Comparison between rotation of conjunctival flap and amnionic membrane transplant in pterygium surgery</t>
  </si>
  <si>
    <t>U1111-1171-9446</t>
  </si>
  <si>
    <t>Pterygium</t>
  </si>
  <si>
    <t>Joaquim Pereira Paes</t>
  </si>
  <si>
    <t>+55 (34) 9972 7272</t>
  </si>
  <si>
    <t>joaquimpaes@gmail.com</t>
  </si>
  <si>
    <t>Prenacel Pregnant: Development and evaluation of a communication strategy to improve quality of antenatal care</t>
  </si>
  <si>
    <t>U1111-1163-7761</t>
  </si>
  <si>
    <t>Prenatal Education,Birthing Centers,Perinatal Care,Prenatal care</t>
  </si>
  <si>
    <t>Ana Carolina Arruda Franzon</t>
  </si>
  <si>
    <t>anafranzon@yahoo.com.br</t>
  </si>
  <si>
    <t>Laboratory and clinical research of a technical insertion of a composite resin in posterior teeth</t>
  </si>
  <si>
    <t>U1111-1179-1765</t>
  </si>
  <si>
    <t>Dental caries,dentin sensitivity,dental restoration failure,dental restoration wear</t>
  </si>
  <si>
    <t>Comparative study of the effects of classical kinesiotherapeutic treatment and its effects coupled with Maitland technique in patients with limited movement of elbow and wrist</t>
  </si>
  <si>
    <t>U1111-1155-3298</t>
  </si>
  <si>
    <t>Elbow or Wrist Stiffness. Elbow Joint. Wrist Joint</t>
  </si>
  <si>
    <t>Jerônimo Farias de Alencar</t>
  </si>
  <si>
    <t>jeronimo.alencar@gmail.com</t>
  </si>
  <si>
    <t>Flour of tamarind as an adjuvant in metabolic control of diabetic patients</t>
  </si>
  <si>
    <t>U1111-1160-5738</t>
  </si>
  <si>
    <t>Tatiana Uchôa Passos</t>
  </si>
  <si>
    <t>tatiana_uchoa@yahoo.com.br</t>
  </si>
  <si>
    <t>Evaluation of related knowledge of pelvic floor urinary incontinence and sexual dysfunction among women participating in a pelvic floor educational group</t>
  </si>
  <si>
    <t>12/14/2015</t>
  </si>
  <si>
    <t>U1111-1129-6402</t>
  </si>
  <si>
    <t>Roberta Leopoldino de Andrade Batista</t>
  </si>
  <si>
    <t>Bebedouro</t>
  </si>
  <si>
    <t>+55 (17) 3345 1865</t>
  </si>
  <si>
    <t>roandrade2@yahoo.com.br</t>
  </si>
  <si>
    <t>Faculdade de Medicina de Ribeirão Preto da Universidade de São Paulo FMRP-USP</t>
  </si>
  <si>
    <t>Effect of strength training in the vasodilatory response of hypertensive elderly: related mechanisms</t>
  </si>
  <si>
    <t>U1111-1158-4888</t>
  </si>
  <si>
    <t>Filipe  Dantas</t>
  </si>
  <si>
    <t>+55 (84) 99988-0777</t>
  </si>
  <si>
    <t>Phyisical therapy preparation in respiratory complications in abdominoplasty Prevention</t>
  </si>
  <si>
    <t>u1111-1172-2466</t>
  </si>
  <si>
    <t>Abdominoplasty,pulmonary function</t>
  </si>
  <si>
    <t>Maria Amélia Rodrigues</t>
  </si>
  <si>
    <t>+55 (11) 4329 3138</t>
  </si>
  <si>
    <t>m_amelia@icloud.com</t>
  </si>
  <si>
    <t>Proposal for prenatal nutritional assistance in primary care in Manguinhos area</t>
  </si>
  <si>
    <t>U1111-1177-0208</t>
  </si>
  <si>
    <t>Hypertensive disorders of pregnancy,gestational diabetes,gestational anemia,urinary tract infection</t>
  </si>
  <si>
    <t>Beatriz Della Líbera da Silva</t>
  </si>
  <si>
    <t>+55 (21) 993556161</t>
  </si>
  <si>
    <t>bdellalibera@hotmail.com</t>
  </si>
  <si>
    <t>Speech changes produced by upper orthodontic retainers: Prospective Randomized Clinical Trial</t>
  </si>
  <si>
    <t>U1111-1173-6254</t>
  </si>
  <si>
    <t>José Fernando Castanha Henriques</t>
  </si>
  <si>
    <t>jfchenri@fob.usp.br</t>
  </si>
  <si>
    <t>Postpartum Depression and Facial Expression Recognition: clinical randomized study involving the acute effects of Oxytocin</t>
  </si>
  <si>
    <t>U1111-1172-9257</t>
  </si>
  <si>
    <t>Post Partum Depression</t>
  </si>
  <si>
    <t>Mariana Fortunata donadon</t>
  </si>
  <si>
    <t>marianadonadon@hotmail.com</t>
  </si>
  <si>
    <t>Faculda de Medicina de Ribeirão Preto</t>
  </si>
  <si>
    <t>Effects of prematurity: mother stress and metabolic programming after hospital discharge /Stress and maternal role after an educational intervention</t>
  </si>
  <si>
    <t>CLAUDIA SILVEIRA VIERA</t>
  </si>
  <si>
    <t>CASCAVEL</t>
  </si>
  <si>
    <t>+55(45)99120066</t>
  </si>
  <si>
    <t>clausviera@gmail.com</t>
  </si>
  <si>
    <t>universidade estadual do oeste do parana - unioeste</t>
  </si>
  <si>
    <t>Integrated prevention program of obesity and eating disorders: a pilot study randomized trial comparing the effects of the New Moves applied in public schools of São Paulo</t>
  </si>
  <si>
    <t>U1111-1174-8202</t>
  </si>
  <si>
    <t>Angelica Medeiros Claudino</t>
  </si>
  <si>
    <t>angelica.claudino@uol.com.br</t>
  </si>
  <si>
    <t>Effectiveness of aquatic physiotherapy in the perception of pain functional capacity and quality of life of older adults with knee Osteoarthritis: randomized clinical trial</t>
  </si>
  <si>
    <t>U1111-1173-3988</t>
  </si>
  <si>
    <t>+55 (14) 2107 7000</t>
  </si>
  <si>
    <t>Spiritual well-being resulting from passive listening of sacred music in bereaved relatives: randomized controlled trial</t>
  </si>
  <si>
    <t>U1111-1175-9239</t>
  </si>
  <si>
    <t>Grief</t>
  </si>
  <si>
    <t>Paulo Onitsuka</t>
  </si>
  <si>
    <t>(11) 3061-7541</t>
  </si>
  <si>
    <t>ppg.proesa.ee@usp.br</t>
  </si>
  <si>
    <t>Programa de Pós-Graduação em Enfermagem na Saúde do Adulto da Escola de Enfermagem da Universidade de São Paulo</t>
  </si>
  <si>
    <t>Effectiveness analysis of very small-bore catheters for drainage of malignant pleural effusions</t>
  </si>
  <si>
    <t>U1111-1176-1731</t>
  </si>
  <si>
    <t>Pleural Effusion,Malignant</t>
  </si>
  <si>
    <t>Theonas Gomes Pereira</t>
  </si>
  <si>
    <t>+55 (86) 2106 0700</t>
  </si>
  <si>
    <t>cep@uninovafapi.edu.br</t>
  </si>
  <si>
    <t>Centro Universitário da Faculdade de Saúde,Ciências Humanas e Tecnológicas do Piauí</t>
  </si>
  <si>
    <t>Evaluation of atraumatic restorative treatment (ART) in the family health strategy of Teresina Piauí</t>
  </si>
  <si>
    <t>U1111-1169-6131</t>
  </si>
  <si>
    <t>Marcoeli Silva De Moura</t>
  </si>
  <si>
    <t>+55 (86) 9987-9556</t>
  </si>
  <si>
    <t>A phase III study comparing the accuracy of Ecdg 99mTc SPECT/CT against CT for the diagnosis and staging of subjects with clinical and radiological evidence consistent with a diagnosis of lung cancer</t>
  </si>
  <si>
    <t>U111111629744</t>
  </si>
  <si>
    <t>Lea mirian Barbosa da Fonseca</t>
  </si>
  <si>
    <t>+55 (21) 9616 1814</t>
  </si>
  <si>
    <t>leamirian@gmail.com</t>
  </si>
  <si>
    <t>ESHO EMPRESA DE SERVICOS HOSPITALARES S.A - Hospital Pasteur</t>
  </si>
  <si>
    <t>Effects of physical training and dietary control on muscle strength cardiorespiratory fitness blood biochemical variables and body composition in postmenopausal women</t>
  </si>
  <si>
    <t>U1111-1154-4745</t>
  </si>
  <si>
    <t>Obesity,dyslipidemia,osteoporosis</t>
  </si>
  <si>
    <t>Reproductive and Urinary Physiological Phenomena</t>
  </si>
  <si>
    <t>Ismael  Forte Freitas Júnior</t>
  </si>
  <si>
    <t>+55 (18) 32295388</t>
  </si>
  <si>
    <t>ismael.freitas@pq.cnpq.br</t>
  </si>
  <si>
    <t>Analysis of the use of noninvasive ventilation in patients after cardiac surgery</t>
  </si>
  <si>
    <t>01/27/2016</t>
  </si>
  <si>
    <t>U1111-1148-8118</t>
  </si>
  <si>
    <t>Thoracic surgery,heart failur,acute respiratory failure</t>
  </si>
  <si>
    <t>Amaro Afrânio Araújo Filho</t>
  </si>
  <si>
    <t>55(79)99648489</t>
  </si>
  <si>
    <t>amarofisio@yahoo.com.br</t>
  </si>
  <si>
    <t>Pharmaceutical Care in the hypertension: clinical economic and social impact</t>
  </si>
  <si>
    <t>01/25/2016</t>
  </si>
  <si>
    <t>U1111-1172-9577</t>
  </si>
  <si>
    <t>+55 (16) 3315 4236</t>
  </si>
  <si>
    <t>Faculdade de Ciências Farmacêuticas de Ribeirão Preto,Universidade de São Paulo</t>
  </si>
  <si>
    <t>Progressive muscle relaxation effect on sleep quality depression and stress in people with multile sclerosis</t>
  </si>
  <si>
    <t>U1111-1170-2426</t>
  </si>
  <si>
    <t>Multiple Sclerosis,Depression,Sleep,Stress Psychological</t>
  </si>
  <si>
    <t>Paolla Gabrielle Nascimento Novais</t>
  </si>
  <si>
    <t>55 (27) 3335-7201</t>
  </si>
  <si>
    <t>paollagabrielle@hotmail.com</t>
  </si>
  <si>
    <t>Effects of resveratrol supplementation on heart rate variability in adults with hypertension</t>
  </si>
  <si>
    <t>01/22/2016</t>
  </si>
  <si>
    <t>U1111-1174-7069</t>
  </si>
  <si>
    <t>Supplementation of different branched chain amino acids in the treatment of hepatic encephalopathy in cirrhotic patients: randomized double-blind controlled trial</t>
  </si>
  <si>
    <t>U1111-1133-5773</t>
  </si>
  <si>
    <t>Hepatic Cirrhosis,Hepatic Encephalopathy</t>
  </si>
  <si>
    <t>Laís Augusti</t>
  </si>
  <si>
    <t>+55 (14) 98123 1713</t>
  </si>
  <si>
    <t>lais_augusti@hotmail.com</t>
  </si>
  <si>
    <t>Faculdade de Medicina de Botucatu - Universidade Estadual Paulista Julio de Mesquita Filho</t>
  </si>
  <si>
    <t>Conventional Bath bed and Bath Bag: case-control microbiological cost evaluation</t>
  </si>
  <si>
    <t>U1111-1168-3271</t>
  </si>
  <si>
    <t>bacterial infections,cross infection</t>
  </si>
  <si>
    <t>Alessandro Lia Mondelli</t>
  </si>
  <si>
    <t>+55(14)38138845</t>
  </si>
  <si>
    <t>drmondelli@hotmail.com</t>
  </si>
  <si>
    <t>Effectiveness of two drugs in controlling sensitivity generated by office tooth whitening: A clinical randomized blinded trial</t>
  </si>
  <si>
    <t>01/19/2016</t>
  </si>
  <si>
    <t>U1111-1176-6131</t>
  </si>
  <si>
    <t>tooth sensitivity,transitory toothache</t>
  </si>
  <si>
    <t>samila neres de oliveira</t>
  </si>
  <si>
    <t>+55(84) 996492359</t>
  </si>
  <si>
    <t>samilaoliveira18@hotmail.com</t>
  </si>
  <si>
    <t>Adamkiewicz artery characteristics: comparison between patients with and without aortopathy</t>
  </si>
  <si>
    <t>U1111-1172-3586</t>
  </si>
  <si>
    <t>Alexandre Campos Moraes Amato</t>
  </si>
  <si>
    <t>dr.alexandre@amato.com.br</t>
  </si>
  <si>
    <t>Effectiveness and clinical parameters evaluation of bleaching technique with 10% hydrogen peroxide dispensed in individual or pre-loaded trays</t>
  </si>
  <si>
    <t>01/18/2016</t>
  </si>
  <si>
    <t>U1111-1176-5128</t>
  </si>
  <si>
    <t>Centro de Pesquisas Odontológicas São Leopodo Mandic</t>
  </si>
  <si>
    <t>Effectiveness of therapeutic exercise applied to the pelvic floor muscles to prevent recurrence of Vulvovaginitis and improve female sexuality:randomizad clinical trial</t>
  </si>
  <si>
    <t>U1111-1171-3267</t>
  </si>
  <si>
    <t>RECCURENT VULVAR VAGINAL CANDIDIASES,BACTERIAL VAGINOSIS DE REPETIÇÃO</t>
  </si>
  <si>
    <t>Nádia Cristina Polpeta</t>
  </si>
  <si>
    <t>+55(19)3521-9333</t>
  </si>
  <si>
    <t>nadiapolpeta@yahoo.com.br</t>
  </si>
  <si>
    <t>TRC112121 A phase III randomized double-blind placebo-controlled multi-center eltrombopague or placebo in combination with azacitidine in patients with Myelodysplastic Syndrome with IPSS intermediate-1 classification intermediate-2 and high-risk</t>
  </si>
  <si>
    <t>01/15/2016</t>
  </si>
  <si>
    <t>U1111-1151-1913</t>
  </si>
  <si>
    <t>myelodysplastic syndromes,secondary thrombocytopenia</t>
  </si>
  <si>
    <t>Strength Training and patient quality of life hemodialysis</t>
  </si>
  <si>
    <t>U1111-1173-4068</t>
  </si>
  <si>
    <t>Chronic renal insufficiency</t>
  </si>
  <si>
    <t>Natália Maria da Conceição Figueirôa</t>
  </si>
  <si>
    <t>+55 (84) 98815 4819</t>
  </si>
  <si>
    <t>nataliafigueiroavo2@gmail.com</t>
  </si>
  <si>
    <t>A 24-month randomized clinical trial of ART restorations in Class II cavities with two glass ionomer cements</t>
  </si>
  <si>
    <t>01/14/2016</t>
  </si>
  <si>
    <t>U1111-1146-6386</t>
  </si>
  <si>
    <t>Caries lesions,molars with Class II cavities</t>
  </si>
  <si>
    <t>Pre- and post-exposure prophylaxes and the combination HIV prevention methods: protocol for a pragmatic clinical trial at public healthcare clinics in Brazil</t>
  </si>
  <si>
    <t>U1111-1165-7889</t>
  </si>
  <si>
    <t>HIV Infections</t>
  </si>
  <si>
    <t>Alexandre  Grangeiro</t>
  </si>
  <si>
    <t>ale.grangeiro@gmail.com</t>
  </si>
  <si>
    <t>Departamento de Medicina Preventiva,Faculdade de Medicina,Universidade de São Paulo</t>
  </si>
  <si>
    <t>Action of different modalities and intensities of physical rehabilitation on albuminuria of patients with non-dialysis dependent hypertensive nephrosclerosis</t>
  </si>
  <si>
    <t>U1111-1170-1418</t>
  </si>
  <si>
    <t>Tani Roberto Meira</t>
  </si>
  <si>
    <t>Itaí</t>
  </si>
  <si>
    <t>+55 (14) 37613044</t>
  </si>
  <si>
    <t>tani.meira@yahoo.com.br</t>
  </si>
  <si>
    <t>Prefeitura Municipal de Itaí</t>
  </si>
  <si>
    <t>Effects of two periodized training programs: aerobic interval and resistance training in isokinetic strength physical fitness and clinical parameters on Metabolic Syndrome</t>
  </si>
  <si>
    <t>U1111-1174-0192</t>
  </si>
  <si>
    <t>Metabolic Syndrome X,triglycerides,hypertension,blood glucose,cholesterol,HDL,obesity,abdominal</t>
  </si>
  <si>
    <t>Carlos Iván Mesa</t>
  </si>
  <si>
    <t>mesacarlosivan@gmail.com</t>
  </si>
  <si>
    <t>The use of expiratory pause during vacuuming in a closed system such as bronchial hygiene technique</t>
  </si>
  <si>
    <t>U1111-1172-2606</t>
  </si>
  <si>
    <t>respiratory disease,acute respiratory failure</t>
  </si>
  <si>
    <t>Effects of educational and behavioral intervention by telephone on accession to receive the Pap smear report</t>
  </si>
  <si>
    <t>U1111-1175-2441</t>
  </si>
  <si>
    <t>Uterine cervical neoplasms. Neoplasia maligna do colo do útero</t>
  </si>
  <si>
    <t>Ana Izabel Oliveira Nicolau</t>
  </si>
  <si>
    <t>anabelpet@yahoo.com.br</t>
  </si>
  <si>
    <t>Effects of functional training on cognition and functional capacity in elderly with Alzheimers disease</t>
  </si>
  <si>
    <t>U1111-1173-8543</t>
  </si>
  <si>
    <t>+55 19 35264312</t>
  </si>
  <si>
    <t>Mastoid cavity obliteration with particulated fresh frozen bone in revision surgery for patients with chronic otitis media with cholesteatoma</t>
  </si>
  <si>
    <t>U1111-1153-6010</t>
  </si>
  <si>
    <t>Suppurative Otitis Média,Cholesteatoma</t>
  </si>
  <si>
    <t>Anna Carolina de Oliveira Fonseca</t>
  </si>
  <si>
    <t>annacfonseca@gmail.com</t>
  </si>
  <si>
    <t>An epidemiological surveillance study to evaluate the incidence of Dengue in brazil</t>
  </si>
  <si>
    <t>U1111-1151-5289</t>
  </si>
  <si>
    <t>André Freitas</t>
  </si>
  <si>
    <t>+55 (19) 2116-0233</t>
  </si>
  <si>
    <t>arrfreitas2010@gmail.com</t>
  </si>
  <si>
    <t>201959 (FLU D-QIV-017) - A phase III study to assess immunogenicity and reactogenicity of GSK Biologicals Quadrivalent Split Virion Influenza Vaccine Fluarix Tetra (2015 season southern hemisphere) in adults 18 years of age and above</t>
  </si>
  <si>
    <t>U1111-1164-2121</t>
  </si>
  <si>
    <t>Flu</t>
  </si>
  <si>
    <t>Antonio Tarcisio de Faria Freire</t>
  </si>
  <si>
    <t>+55(31) 32388849</t>
  </si>
  <si>
    <t>Photobiomodulation with the use of low-level laser and LED in the sternotomy and saphenous repair process of postoperative patients in coronary artery bypass grafting</t>
  </si>
  <si>
    <t>U1111-1128-9666</t>
  </si>
  <si>
    <t>Healing,dehiscence,pain,inflammation,infection</t>
  </si>
  <si>
    <t>12 39471000</t>
  </si>
  <si>
    <t>rauirys@hotmail.com</t>
  </si>
  <si>
    <t>Effect of Photobioestimulation therapy on pain after Endodontic treatment: randomized clinical trial</t>
  </si>
  <si>
    <t>U111111757812</t>
  </si>
  <si>
    <t>Luana Pontes Barros Barros Lopes</t>
  </si>
  <si>
    <t>luanalopes88@hotmail.com</t>
  </si>
  <si>
    <t>Pulpectomy in primary teeth: randomized controlled clinical trial evaluation</t>
  </si>
  <si>
    <t>U1111-1175-2899</t>
  </si>
  <si>
    <t>pulpitis,pulp necrosis</t>
  </si>
  <si>
    <t>Marta Dutra Machado Oliveira</t>
  </si>
  <si>
    <t>+55 55 3222-9428</t>
  </si>
  <si>
    <t>marta@ufsm.br</t>
  </si>
  <si>
    <t>Peri Implant Health Assessment in patients rehabilitated with Overdentures and Full-arch Fixed Prosthesis</t>
  </si>
  <si>
    <t>U1111-1157-4183</t>
  </si>
  <si>
    <t>Mucositis,Peri-Implantitis,Dental Implantation</t>
  </si>
  <si>
    <t>Danielle Bezerra de Farias</t>
  </si>
  <si>
    <t>+55 (86) 99814 0141</t>
  </si>
  <si>
    <t>daniellefarias@outlook.com</t>
  </si>
  <si>
    <t>Effects of the use of the anchor system in the rehabilitation of balance in individuals with chronic peripheral vestibular disorder: randomized blind controlled trial</t>
  </si>
  <si>
    <t>U1111-1156-6745</t>
  </si>
  <si>
    <t>Menieres disease,Postural Balance,benign paroxysmal vertigo,Vestibular neuronitis,Other peripheral vertigo</t>
  </si>
  <si>
    <t>+55(16) 3421 3758</t>
  </si>
  <si>
    <t>Faculdade de Medicina de Ribeirão Preto - Universidade de São Paulo - USP</t>
  </si>
  <si>
    <t>Effect of the proanthocyanidin on the longevity of adhesive restoration: randomized and double-blind clinical trial</t>
  </si>
  <si>
    <t>U111-1163-9051</t>
  </si>
  <si>
    <t>Tooth wear,non-carious cervical lesions,Dental Materials,retention</t>
  </si>
  <si>
    <t>A prospective cross-sectional and longitudinal study with additional restrospective chart review to evaluate clinical and biochemical characteristics and disease progression in patients with mucopolysaccharidosis type IIIB</t>
  </si>
  <si>
    <t>U1111-1171-8516</t>
  </si>
  <si>
    <t>Mucopolysaccharidosis type IIIB</t>
  </si>
  <si>
    <t>Effect of supplementation with n-3 fatty acid on nutritional status quality of life immune response and the enzyme fatty acid synthase activity in patients with breast tumors in chemotherapy treatment</t>
  </si>
  <si>
    <t>U1111-1130-1287</t>
  </si>
  <si>
    <t>Marina Kiyomi Ito</t>
  </si>
  <si>
    <t>+55(61)3107-1780</t>
  </si>
  <si>
    <t>marina@unb.br</t>
  </si>
  <si>
    <t>Web-based brief psychotherapies for users alcohol and other drugs</t>
  </si>
  <si>
    <t>U1111-1157-7550</t>
  </si>
  <si>
    <t>Alcohol Related Disorders</t>
  </si>
  <si>
    <t>Andressa Bianchi Gumier</t>
  </si>
  <si>
    <t>+55 (32) 9193-4526</t>
  </si>
  <si>
    <t>andressabianchi_@hotmail.com</t>
  </si>
  <si>
    <t>Applicability of Complementary Therapies to reduce pain stress anxiety and improving quality of life</t>
  </si>
  <si>
    <t>U1111-1173-8124</t>
  </si>
  <si>
    <t>Acute pancreatitis prevention after endoscopic retrograde cholangiopancreatography (ERCP) with anti-inflammatory</t>
  </si>
  <si>
    <t>12/29/2015</t>
  </si>
  <si>
    <t>U1111-1176-4646</t>
  </si>
  <si>
    <t>Fernanda de Quadros Onófrio</t>
  </si>
  <si>
    <t>+55(51)80226194</t>
  </si>
  <si>
    <t>fqonofrio@gmail.com</t>
  </si>
  <si>
    <t>Quarenta Semanas: Innovative Intervention in Prenatal Care for Reduction of Prematurity</t>
  </si>
  <si>
    <t>U1111-1172-4226</t>
  </si>
  <si>
    <t>Pregnancy,puerperium</t>
  </si>
  <si>
    <t>José Maria Andrade Lopes</t>
  </si>
  <si>
    <t>jlopesma@perinatal.com.br</t>
  </si>
  <si>
    <t>Evaluation of analgesic effect of surgical wound Infiltration of Open Cholecystectomy with Bupivacaine 0.25% with adrenaline in patients of santa casa de misericórdia de Sobral</t>
  </si>
  <si>
    <t>12/23/2015</t>
  </si>
  <si>
    <t>U1111-1173-0128</t>
  </si>
  <si>
    <t>Cholecystectomy/ Bupivacaine infiltration</t>
  </si>
  <si>
    <t>Ítalo Aguiar Freire</t>
  </si>
  <si>
    <t>+55 (88) 99951 8570</t>
  </si>
  <si>
    <t>italo.nv@gmail.com</t>
  </si>
  <si>
    <t>A Phase 1/2 Open Label Dose Ranging Study to Evaluate the Safety Tolerability Pharmacokinetics and Exploratory Efficacy Parameters of PRX-102 Administered by Intravenous Infusion Every 2 Weeks for 12 Weeks to Adult Fabry Patients</t>
  </si>
  <si>
    <t>12/21/2015</t>
  </si>
  <si>
    <t>U1111-1156-9863</t>
  </si>
  <si>
    <t>Fabry Disease</t>
  </si>
  <si>
    <t>INC  Research</t>
  </si>
  <si>
    <t>55-21-3553-9700</t>
  </si>
  <si>
    <t>cynthia.ventura@incresearch.com</t>
  </si>
  <si>
    <t>INC Research</t>
  </si>
  <si>
    <t>The influence of the method pilates on functional capacity and quality of life and bone turnover in elderly women</t>
  </si>
  <si>
    <t>12/18/2015</t>
  </si>
  <si>
    <t>U1111-1137-1865</t>
  </si>
  <si>
    <t>osteoporosis,aging</t>
  </si>
  <si>
    <t>Gláucia Maria Ferreira da Silva Mazeto</t>
  </si>
  <si>
    <t>55--14--3880-1171</t>
  </si>
  <si>
    <t>gmazeto@fmb.unesp.br</t>
  </si>
  <si>
    <t>Multicenter Study of the Accuracy and Feasibility of the Xpert Ultra Test</t>
  </si>
  <si>
    <t>12/16/2015</t>
  </si>
  <si>
    <t>U1111-1174-3178</t>
  </si>
  <si>
    <t>Reynaldo Dietze</t>
  </si>
  <si>
    <t>55-27-3335-7204</t>
  </si>
  <si>
    <t>rdietze@ndi.ufes.br</t>
  </si>
  <si>
    <t>Núcleo de Doenças Infecciosas</t>
  </si>
  <si>
    <t>Impact of virtual reality training in a population of children and adolescents with cerebral palsy</t>
  </si>
  <si>
    <t>U1111-1148-1270</t>
  </si>
  <si>
    <t>Guilllermo Méndez Rebolledo</t>
  </si>
  <si>
    <t>Talca</t>
  </si>
  <si>
    <t>gmendez@utalca.cl</t>
  </si>
  <si>
    <t>Universidad de Talca</t>
  </si>
  <si>
    <t>Epidemiological survey in a city of approximately 100000 inhabitants</t>
  </si>
  <si>
    <t>U1111-1173-9763</t>
  </si>
  <si>
    <t>Márcia Fátima Soares</t>
  </si>
  <si>
    <t>marciasoares.lavras@gmail.com</t>
  </si>
  <si>
    <t>Centro Universitário de Lavras</t>
  </si>
  <si>
    <t>Evaluation of chlorhexidine 2% in pulp therapy for primary teeth with pulp necrosis</t>
  </si>
  <si>
    <t>U1111-1152-0823</t>
  </si>
  <si>
    <t>necrotic pulp in primary teeth</t>
  </si>
  <si>
    <t>Psycotherapy in elders with Mild Cognitive Impairment</t>
  </si>
  <si>
    <t>11/30/2015</t>
  </si>
  <si>
    <t>U1111-1168-8813</t>
  </si>
  <si>
    <t>Amanda de Oliveira Ferreira Leite</t>
  </si>
  <si>
    <t>+55 (53) 99365451</t>
  </si>
  <si>
    <t>amanda.neuropsi@hotmail.com</t>
  </si>
  <si>
    <t>Instituto de Geriatria e Gerontologia da PUCRS</t>
  </si>
  <si>
    <t>Effectiveness of transcranial direct current stimulation combined with kinesiotherapy in patients with chronic temporomandibular disorders (TMJ): clinical randomized double-blind placebo controlled</t>
  </si>
  <si>
    <t>11/16/2015</t>
  </si>
  <si>
    <t>U1111-1155-0997</t>
  </si>
  <si>
    <t>Chronic temporomandibular pain</t>
  </si>
  <si>
    <t>Centro de Estudos e pesquisa da Santa Casa de São Paulo</t>
  </si>
  <si>
    <t>55 11 2176-7689</t>
  </si>
  <si>
    <t>cepsc@santacasp.org.br</t>
  </si>
  <si>
    <t>Irmandade Santa Casa de Misericórdia de São Paulo</t>
  </si>
  <si>
    <t>Assessment of a home exercises program with HAM/TSP individuals - randomized clinical trial</t>
  </si>
  <si>
    <t>11/14/2015</t>
  </si>
  <si>
    <t>U1111-1176-2858</t>
  </si>
  <si>
    <t>Immune system diseases - HTLV-1,Pain,HTLV-I Infections,Gait,Indicators of Quality of Life,Posture</t>
  </si>
  <si>
    <t>Kátia Nunes Sá</t>
  </si>
  <si>
    <t>+55 (71) 3276 8265</t>
  </si>
  <si>
    <t>Randomized clinical trial comparing palonosetron with ondansetron for prophylaxis of nausea and vomiting after abdominal hysterectomy under spinal anesthesia with morphine</t>
  </si>
  <si>
    <t>U1111-1160-5193</t>
  </si>
  <si>
    <t>Guilherme Oliveira Campos</t>
  </si>
  <si>
    <t>+55 71 32816290</t>
  </si>
  <si>
    <t>guioliveiracampos@gmail.com</t>
  </si>
  <si>
    <t>Chewing function in Alzheimers Disease</t>
  </si>
  <si>
    <t>U1111-1146-4747</t>
  </si>
  <si>
    <t>Alzheimers disease,mastication,tooth loss,mental behavioural disorders</t>
  </si>
  <si>
    <t>Camila Heitor Campos</t>
  </si>
  <si>
    <t>+55(19)2106-5295</t>
  </si>
  <si>
    <t>camilaheitor@yahoo.com.br</t>
  </si>
  <si>
    <t>Multidisciplinary Treatment of Obesity and Metabolic Syndrome in Adolescents: intensive behavioral approach</t>
  </si>
  <si>
    <t>U1111-1171-3645</t>
  </si>
  <si>
    <t>Pediatric obesity,obesity,child,adolescent,metabolic syndrome</t>
  </si>
  <si>
    <t>Evaluation of a Sequential Ventilatory Strategy in Patients with Acute Lung Injury (ALI)/Acute Respiratory Distress Syndrome (ARDS)</t>
  </si>
  <si>
    <t>U1111-1174-6982</t>
  </si>
  <si>
    <t>Adult Respiratory Distress Syndrome</t>
  </si>
  <si>
    <t>Vivian  Rotman</t>
  </si>
  <si>
    <t>vrotman@gmail.com</t>
  </si>
  <si>
    <t>Supplementation with alpha-tocopherol on the nutritional status in vitamin E</t>
  </si>
  <si>
    <t>10/31/2015</t>
  </si>
  <si>
    <t>U1111-1172-7875</t>
  </si>
  <si>
    <t>Vitamin E deficiency</t>
  </si>
  <si>
    <t>Acute Effects of Exercise during hemodialysis on oxidative stress markers in patients with Chronic Renal Failure</t>
  </si>
  <si>
    <t>U1111-1172-9511</t>
  </si>
  <si>
    <t>Mariane Borba Monteiro</t>
  </si>
  <si>
    <t>+55 (51) 99510409</t>
  </si>
  <si>
    <t>marianemonteiro@hotmail.com</t>
  </si>
  <si>
    <t>Effects of two ventilatory support modalities on exercise tolerance and dynamic hyperinflation in Chronic Obstructive Pulmonary Disease</t>
  </si>
  <si>
    <t>U1111-1170-5853</t>
  </si>
  <si>
    <t>Leandro Steinhorst Goelzer</t>
  </si>
  <si>
    <t>+55(67) 3345-3149</t>
  </si>
  <si>
    <t>lgoelzer@terra.com.br</t>
  </si>
  <si>
    <t>Hospital Universitário Maria Aparecida Pedrossian - HUMAP / EBSERH</t>
  </si>
  <si>
    <t>Clinical and functional evaluation of children and adolescents with hip conditions</t>
  </si>
  <si>
    <t>U1111-1160-1977</t>
  </si>
  <si>
    <t>Slipped Capital Femoral Epiphyses,</t>
  </si>
  <si>
    <t>Daniel A C Maranho</t>
  </si>
  <si>
    <t>55-16-3633-3063</t>
  </si>
  <si>
    <t>dacmaranho@gmail.com</t>
  </si>
  <si>
    <t>Effects of complex physical therapy and its influence on functional independence and quality of life of lymphedema sufferers in lower members residing in endemic area of lymphatic filariasis</t>
  </si>
  <si>
    <t>10/27/2015</t>
  </si>
  <si>
    <t>U1111-1152-3063</t>
  </si>
  <si>
    <t>Abraham Rocha</t>
  </si>
  <si>
    <t>81-21012575</t>
  </si>
  <si>
    <t>rocha@cpqam.fiocruz.br</t>
  </si>
  <si>
    <t>Fundação Oswaldo Cruz - Pernambuco</t>
  </si>
  <si>
    <t>Influence of sensory information in postural balance in elderly with history of falls</t>
  </si>
  <si>
    <t>10/23/2015</t>
  </si>
  <si>
    <t>U1111-1170-5308</t>
  </si>
  <si>
    <t>Elderly people with history of falls aging,falls,terapy with virtual reality</t>
  </si>
  <si>
    <t>Effectiveness of taping in pain and functional capacity of patients with knee osteoarthritis: a blind randomised clinical trial</t>
  </si>
  <si>
    <t>10/22/2015</t>
  </si>
  <si>
    <t>U1111-1170-2265</t>
  </si>
  <si>
    <t>José Carlos Baldocchi Pontin</t>
  </si>
  <si>
    <t>+ 55 (11) 5904-8000</t>
  </si>
  <si>
    <t>zeca.fisio13@hotmail.com</t>
  </si>
  <si>
    <t>AACD - Associação de Assistência à Criança Deficiente</t>
  </si>
  <si>
    <t>Clinical evaluation of the antimicrobial activity of the dentifrice the basis of Rosmarinus officinalis Linn extract. (rosemary) on the biofilm and saliva S. mutans</t>
  </si>
  <si>
    <t>U1111-1173-7747</t>
  </si>
  <si>
    <t>Gingivitis,Dental cavity</t>
  </si>
  <si>
    <t>Marcela Agne Alves Valones</t>
  </si>
  <si>
    <t>+55(81)992528488/ +55(81)21268817</t>
  </si>
  <si>
    <t>mavalona@globo.com</t>
  </si>
  <si>
    <t>UFPE-Universidade Federal de Pernambuco</t>
  </si>
  <si>
    <t>Identification of coping skills used by alcohol users in the withdrawal process in a telephone counseling service</t>
  </si>
  <si>
    <t>U1111-1168-3581</t>
  </si>
  <si>
    <t>alcoholism,Alcohol-Related Disorders</t>
  </si>
  <si>
    <t>Helena Maria Tannhauser Barros</t>
  </si>
  <si>
    <t>+55 (51) 33038821</t>
  </si>
  <si>
    <t>helenbar@ufcspa.edu.br</t>
  </si>
  <si>
    <t>Universidade Federal de Ciências da Saúde</t>
  </si>
  <si>
    <t>Effect of a Protocol of Resistance Training in functional capacity balance and gait in the children with Cerebral Palsy</t>
  </si>
  <si>
    <t>U1111-1166-7635</t>
  </si>
  <si>
    <t>Study of the effect of inspiratory muscle training on endothelial function autonomic control exercise capacity of life in patients with pulmonary hypertension</t>
  </si>
  <si>
    <t>U1111-1162-0314</t>
  </si>
  <si>
    <t>Fernanda Brum Spilimbergo</t>
  </si>
  <si>
    <t>55 51 32137068</t>
  </si>
  <si>
    <t>ferspili@yahoo.com.br</t>
  </si>
  <si>
    <t>Effects of a Resistance Training performed with elastic tubings on cardiac autonomic modulation cardiopulmonary functional capacity and peripheral muscle strength in Chronic Obstructive Pulmonary Disease (COPD)</t>
  </si>
  <si>
    <t>10/15/2015</t>
  </si>
  <si>
    <t>U1111-1160-7932</t>
  </si>
  <si>
    <t>Ana Laura Ricci Vitor</t>
  </si>
  <si>
    <t>+55 (18) 98117-5637</t>
  </si>
  <si>
    <t>analaura.ricci@yahoo.com</t>
  </si>
  <si>
    <t>Effects of upper cervical spinals manipulation on electromyographic activity os masticatory muscles signs and symptons os temporomandibular disorders</t>
  </si>
  <si>
    <t>U1111-1123-8437</t>
  </si>
  <si>
    <t>Delaine Rodrigues Bigaton</t>
  </si>
  <si>
    <t>+55 (19) 3124 1515</t>
  </si>
  <si>
    <t>drodrigues@unimep.br</t>
  </si>
  <si>
    <t>Oral health and chewing function in patients with Parkinsons disease</t>
  </si>
  <si>
    <t>10/14/2015</t>
  </si>
  <si>
    <t>U1111-1146-4845</t>
  </si>
  <si>
    <t>regarcia@unicamp.br</t>
  </si>
  <si>
    <t>Comparison of Kinesiotherapy and manual lymphatic drainage in the lymphatic compensation postoperative breast cancer</t>
  </si>
  <si>
    <t>U1111-1134-1410</t>
  </si>
  <si>
    <t>Breast cancer,Lymphedema,motion deficit</t>
  </si>
  <si>
    <t>Mariana Maia de Oliveira Sunemi</t>
  </si>
  <si>
    <t>+55(19)3521-9428</t>
  </si>
  <si>
    <t>marimfo@yahoo.com.br</t>
  </si>
  <si>
    <t>Interdisciplinary intervention effectiveness on motivacional approach in lifestyle modification in teenager with overweight and obesity</t>
  </si>
  <si>
    <t>U1111-1164-3059</t>
  </si>
  <si>
    <t>Andréia da Silva Gustavo</t>
  </si>
  <si>
    <t>+55 (51) 33203646</t>
  </si>
  <si>
    <t>andreia.gustavo@pucrs.br</t>
  </si>
  <si>
    <t>Postoperative analgesia comparing the Methadone versus Morphine during anesthetic induction in cardiac surgery</t>
  </si>
  <si>
    <t>10/13/2015</t>
  </si>
  <si>
    <t>U1111-1169-1526</t>
  </si>
  <si>
    <t>Early mobilization of critical patients in mechanical ventilation</t>
  </si>
  <si>
    <t>U1111-1173-0961</t>
  </si>
  <si>
    <t>Respiratory tract disease,positive-pressure respiration,respiratory insufficiency,respiratory mechanics,physical restraint,hospital respiratory therapy department</t>
  </si>
  <si>
    <t>Alexandre Simões Dias</t>
  </si>
  <si>
    <t>+55 51 33086000</t>
  </si>
  <si>
    <t>Randomized clinical trial on the efficacy and tooth sensitivity of different concentrations of hydrogen peroxide</t>
  </si>
  <si>
    <t>U 1111 - 1169 - 5850</t>
  </si>
  <si>
    <t>Dentin sensitivity,Dental bleaching</t>
  </si>
  <si>
    <t>Periodontal evaluation in removable partial dentures wearers</t>
  </si>
  <si>
    <t>U1111-1166-2391</t>
  </si>
  <si>
    <t>Stomatognathic diseases,periodontal,diseases</t>
  </si>
  <si>
    <t>Programa de Pós-graduação em Saúde Coletiva</t>
  </si>
  <si>
    <t>Comparison of Cough Asisst and Endotracheal Suctioning in bronchial hygiene of patients undergoing mechanical ventilation</t>
  </si>
  <si>
    <t>U1111-1173-1019</t>
  </si>
  <si>
    <t>+ 55 (51) 9136 5947</t>
  </si>
  <si>
    <t>Effects of an aerobic strength and cognitive training program on the mild cognitive decline of Public Primary Health Care elderly users in Porto Alegre</t>
  </si>
  <si>
    <t>09/30/2015</t>
  </si>
  <si>
    <t>U1111-1161-7758</t>
  </si>
  <si>
    <t>Mild Cognitive Impairment,Quality of Life,Physical Fitness</t>
  </si>
  <si>
    <t>Thais de Lima Resende</t>
  </si>
  <si>
    <t>+55(51)99771703</t>
  </si>
  <si>
    <t>athaislr@gmail.com</t>
  </si>
  <si>
    <t>União Brasileira de Educação e Assistência</t>
  </si>
  <si>
    <t>Physical activity promotion programs for the elderly: from diagnosis to action - a proposal for the Primary Health Care</t>
  </si>
  <si>
    <t>U1111-1169-5259</t>
  </si>
  <si>
    <t>Leisure-Time physical activity</t>
  </si>
  <si>
    <t>Francini Vilela Novais</t>
  </si>
  <si>
    <t>+55(11)982015985</t>
  </si>
  <si>
    <t>frannovais@yahoo.com.br</t>
  </si>
  <si>
    <t>Universidade Federal de São Paulo/Setor de Estudos do Envelhecimento</t>
  </si>
  <si>
    <t>Effect of the Mediterranean diet on state inflammatory lung function and quality of life of patients with cystic fibrosis: randomized controlled trial</t>
  </si>
  <si>
    <t>U1111-1169-9094</t>
  </si>
  <si>
    <t>Cystic fibrosis,Nutritional status</t>
  </si>
  <si>
    <t>Paulo José Cauduro Maróstica</t>
  </si>
  <si>
    <t>pmarostica@hcpa.edu.br</t>
  </si>
  <si>
    <t>Impact of Glutamine Dipeptide Supplementation in HIV/AIDS patients treated with antiretroviral therapy</t>
  </si>
  <si>
    <t>U1111-1162-4240</t>
  </si>
  <si>
    <t>Michele S. Brito Carvalho</t>
  </si>
  <si>
    <t>+55 44 3011 4597</t>
  </si>
  <si>
    <t>msbcarvalho@uem.br</t>
  </si>
  <si>
    <t>Kinematic and electromyographic analysis of the equilibrium strategies used by children with spastic cerebral palsy in the pediatric reach test</t>
  </si>
  <si>
    <t>U1111-1140-8978</t>
  </si>
  <si>
    <t>Cerebral Palsy,Postural Balance</t>
  </si>
  <si>
    <t>Leiliane Mônika dos Santos Soares</t>
  </si>
  <si>
    <t>Americana</t>
  </si>
  <si>
    <t>leilianefisioterapia@yahoo.com.br</t>
  </si>
  <si>
    <t>Does the mediterranization of a Brazilian meal induce cardiometabolic benefits?</t>
  </si>
  <si>
    <t>09/20/2015</t>
  </si>
  <si>
    <t>U1111-1169-1549</t>
  </si>
  <si>
    <t>Sandra Roberta Gouvea Ferreira Vivolo</t>
  </si>
  <si>
    <t>sandrafv@usp.br</t>
  </si>
  <si>
    <t>Faculdade de Saúde Pública,Universidade de São Paulo</t>
  </si>
  <si>
    <t>Impact of upper limbs exercises on gait of children with Cerebral Palsy: a pilot trial</t>
  </si>
  <si>
    <t>09/17/2015</t>
  </si>
  <si>
    <t>U1111-1162-2195</t>
  </si>
  <si>
    <t>Cerebral Palsy,spastic diplegia</t>
  </si>
  <si>
    <t>Lisa Carla Narumia</t>
  </si>
  <si>
    <t>+55(11)991133451</t>
  </si>
  <si>
    <t>lisanarumia@uol.com.br</t>
  </si>
  <si>
    <t>Influence of Brazilian music in the variability of the heart rate of overweight / obesity: Randomized clinical trial</t>
  </si>
  <si>
    <t>U1111-1153-9301</t>
  </si>
  <si>
    <t>Marcelo Fernandes</t>
  </si>
  <si>
    <t>+55(11)99966 9720</t>
  </si>
  <si>
    <t>marcelofernandes1102@gmail.com</t>
  </si>
  <si>
    <t>Effects of continuos aerobic and interval trainin in function cardiopulmonary in patients with heart failure: randomized controlled trial</t>
  </si>
  <si>
    <t>U1111-1172-3942</t>
  </si>
  <si>
    <t>Amanda  Soares Felismino</t>
  </si>
  <si>
    <t>+55 (84) 88750281</t>
  </si>
  <si>
    <t>amanda.soaresf1@yahoo.com.br</t>
  </si>
  <si>
    <t>Use of misoprostol prior to hysteroscopy in postmenopausal women: a randomised placebo-controlled clinical trial</t>
  </si>
  <si>
    <t>U1111-1144-0985</t>
  </si>
  <si>
    <t>Endometrial polyps. Postmenopausal bleeding</t>
  </si>
  <si>
    <t>Daniela Angerame Yela</t>
  </si>
  <si>
    <t>yela@unicamp.br</t>
  </si>
  <si>
    <t>In vitro and in situ effects of nano hydroxyapatite in bleached enamel with hydrogen peroxide</t>
  </si>
  <si>
    <t>09/16/2015</t>
  </si>
  <si>
    <t>U1111-1161-4465</t>
  </si>
  <si>
    <t>Cecy Martins Silva</t>
  </si>
  <si>
    <t>cecymsilva@gmail.com</t>
  </si>
  <si>
    <t>Effect of the chiropractic and multidisciplinary approach in the quality of life functionality and pain in patients with spinal cord injury</t>
  </si>
  <si>
    <t>U1111-1141-7691</t>
  </si>
  <si>
    <t>Ranieli Gehlen Zapelini</t>
  </si>
  <si>
    <t>+55(51)32390470</t>
  </si>
  <si>
    <t>ranieli@feevale.br</t>
  </si>
  <si>
    <t>Behavioral and educational intervention: effects on adherence of women to return visit to receive the results of the Pap smear</t>
  </si>
  <si>
    <t>09/15/2015</t>
  </si>
  <si>
    <t>U1111-1172-4808</t>
  </si>
  <si>
    <t>Problem prevent: uterine cervical neoplasms</t>
  </si>
  <si>
    <t>camilavasconcelos@ufc.br</t>
  </si>
  <si>
    <t>Effects of photobiomodulation on the masseter of children with spastic cerebral palsy</t>
  </si>
  <si>
    <t>09/14/2015</t>
  </si>
  <si>
    <t>U1111-1171-2795</t>
  </si>
  <si>
    <t>Maria Teresa Botti R Rodrigues Santos</t>
  </si>
  <si>
    <t>drsantosmt@yahoo.com.br</t>
  </si>
  <si>
    <t>Kinesio Taping® on labor pain relief: a randomized controlled trial</t>
  </si>
  <si>
    <t>U1111-1164-4752</t>
  </si>
  <si>
    <t>labor pain treatment</t>
  </si>
  <si>
    <t>Impact of Oral supplementation with omega-3 in the Nutritional Status Immune and Inflammatory Profile of Patients with Gastric Cancer</t>
  </si>
  <si>
    <t>U1111-1171-7680</t>
  </si>
  <si>
    <t>gastric Cancer</t>
  </si>
  <si>
    <t>Patricia Moreira Feijó</t>
  </si>
  <si>
    <t>+55(21)3207-1876</t>
  </si>
  <si>
    <t>pmfeijo@yahoo.com.br</t>
  </si>
  <si>
    <t>Translation cultural adaptation and reliability of the s.w.i.m. scale</t>
  </si>
  <si>
    <t>U1111-1160-7519</t>
  </si>
  <si>
    <t>Fátima Aparecida Caromano</t>
  </si>
  <si>
    <t>+55(11)3091 7451</t>
  </si>
  <si>
    <t>caromano@usp.br</t>
  </si>
  <si>
    <t>Clinical study to compare recombinant human growth hormone Cristália (r-hGH Cristália) versus Genotropin® in prepubertal children with growth deficiency due to deficiency of growth hormone</t>
  </si>
  <si>
    <t>U1111-1161-0761</t>
  </si>
  <si>
    <t>Growth deficiency due to growth hormone deficiency</t>
  </si>
  <si>
    <t>Vanessa Therumi Assao</t>
  </si>
  <si>
    <t>+55(11)37236400</t>
  </si>
  <si>
    <t>vanessa.assao@cristalia.com.br</t>
  </si>
  <si>
    <t>Use of Gastrin-Releasing Peptide in Pediatric Subjects with diagnosis of Autism. Study of cross-over randomized placebo-controlled proof of concept for the evaluation of safety tolerability and efficacy</t>
  </si>
  <si>
    <t>U1111-1164-0509</t>
  </si>
  <si>
    <t>Josemar  Marchezan</t>
  </si>
  <si>
    <t>+55 (51) 3359 8000</t>
  </si>
  <si>
    <t>j.marchezan@hotmail.com</t>
  </si>
  <si>
    <t>Unidade de Neuropediatria</t>
  </si>
  <si>
    <t>The effect of atorvastatin plus aspirin versus placebo on the endothelial function and inflammation in HIV patients under antiretroviral treatment presenting a low risk of cardiovascular risk. A randomized and double blind clinical trial</t>
  </si>
  <si>
    <t>U1111-1157-6475</t>
  </si>
  <si>
    <t>Human immunodeficiency virus [HIV] disease resulting in other conditions</t>
  </si>
  <si>
    <t>Gerson Gomes dos Santos Junior</t>
  </si>
  <si>
    <t>gergomes@yahoo.com.br</t>
  </si>
  <si>
    <t>Intervention by phone: strategy for managent of anxiety and patientes family treatment in radiotherapy</t>
  </si>
  <si>
    <t>08/31/2015</t>
  </si>
  <si>
    <t>U1111-1156-9814</t>
  </si>
  <si>
    <t>Nara Marilene Girardon - Perlini</t>
  </si>
  <si>
    <t>nara.girardon@gmail.com</t>
  </si>
  <si>
    <t>Universidade Federal de Santa Maria UFSM</t>
  </si>
  <si>
    <t>Pulse oximetry during dental treatment in people with Sickle Cell Disease</t>
  </si>
  <si>
    <t>U1111-1166-4889</t>
  </si>
  <si>
    <t>anemia,sickle cell,oximetry,dental anxiety,fear,dental care</t>
  </si>
  <si>
    <t>Marcia Alves Santos</t>
  </si>
  <si>
    <t>dramarciaalves@gmail.com</t>
  </si>
  <si>
    <t>Universidade Federal do Rio de Janeiro -UFRJ</t>
  </si>
  <si>
    <t>Haemodynamic effects of manual hyperinflation associated to PEEP in patients with septic shock</t>
  </si>
  <si>
    <t>08/13/2015</t>
  </si>
  <si>
    <t>U1111-1133-5640</t>
  </si>
  <si>
    <t>Clarissa Netto Blattner</t>
  </si>
  <si>
    <t>55(51)98243924</t>
  </si>
  <si>
    <t>clarissa.blattner@pucrs.br</t>
  </si>
  <si>
    <t>Hospital São Lucas da Pontificia Universidade Catolica do Rio Grande Do Sul</t>
  </si>
  <si>
    <t>Impact of macrolides in mortality of patients infected by HIV with pneumonia: a randomized clinical trial</t>
  </si>
  <si>
    <t>U1111-1170-8928</t>
  </si>
  <si>
    <t>Pneumonia,HIV</t>
  </si>
  <si>
    <t>(11) 3896-1200</t>
  </si>
  <si>
    <t>U1111-1166-5067</t>
  </si>
  <si>
    <t>Derdried Athanasio Johann</t>
  </si>
  <si>
    <t>+55(41)33853336</t>
  </si>
  <si>
    <t>derdried.johann@ifpr.edu.br</t>
  </si>
  <si>
    <t>Effects of Aerobic High Intensity Training on Blood Pressure Levels of Resistant Hypertensive</t>
  </si>
  <si>
    <t>U1111-1164-6833</t>
  </si>
  <si>
    <t>Hypertension,Resistant Hypertension</t>
  </si>
  <si>
    <t>Leone Severino do Nascimento</t>
  </si>
  <si>
    <t>+55(83)32167212</t>
  </si>
  <si>
    <t>leonenascimento@hotmail.com</t>
  </si>
  <si>
    <t>Laboratório de Estudos do Treinamento Física Aplicado à Saúde</t>
  </si>
  <si>
    <t>Ventilatory weaning in intensive care unit (ICU): evaluation of maximum inspiratory pressures and inspiratory muscle training with powerbreathe®</t>
  </si>
  <si>
    <t>08/27/2015</t>
  </si>
  <si>
    <t>U1111-1156-3177</t>
  </si>
  <si>
    <t>Luciana Castilho de Figueirêdo</t>
  </si>
  <si>
    <t>+55 (19) 99700 4866</t>
  </si>
  <si>
    <t>lufigue@hc.unicamp.br</t>
  </si>
  <si>
    <t>In situ and in vivo study of bioactive agents effects on bleached enamel</t>
  </si>
  <si>
    <t>U1111-1157-3105</t>
  </si>
  <si>
    <t>dentin hypersensitivity</t>
  </si>
  <si>
    <t>Eight-week effect of physical training with vitamin B12 supplementation on functional capacity in patients with Chronic Obstructive Pulmonary Disease (COPD )</t>
  </si>
  <si>
    <t>07/14/2015</t>
  </si>
  <si>
    <t>U1111-1155-3596</t>
  </si>
  <si>
    <t>Fernanda Viana Paulin</t>
  </si>
  <si>
    <t>didivipa@hotmail.com</t>
  </si>
  <si>
    <t>Hospital Universitário Maria Aparecida Pedrossian</t>
  </si>
  <si>
    <t>Conservative treatment in patients with special needs</t>
  </si>
  <si>
    <t>08/19/2015</t>
  </si>
  <si>
    <t>U1111-1157-7423</t>
  </si>
  <si>
    <t>Caries,stomatognathic deseases,leukemia,lymphoma</t>
  </si>
  <si>
    <t>Cintia Ferreira Gonçalves</t>
  </si>
  <si>
    <t>+55(63)32286058</t>
  </si>
  <si>
    <t>cintiafg@uol.com.br</t>
  </si>
  <si>
    <t>A multicenter open-label study to assess the pharmacokinetics safety and efficacy of Certolizumab pegol in children and adolescents with moderately to severely active polyarticular-course Juvenile Idiopathic Arthritis (JIA)</t>
  </si>
  <si>
    <t>U1111-1138-8437</t>
  </si>
  <si>
    <t>Juvenile Idiopathic Arthritis (JIA)</t>
  </si>
  <si>
    <t>Fábio Carbone de Moraes</t>
  </si>
  <si>
    <t>São Paulo / Brazil</t>
  </si>
  <si>
    <t>+55 (11) 3150 1155</t>
  </si>
  <si>
    <t>PRARegulatoryAffairs@PRAIntl.com</t>
  </si>
  <si>
    <t>Pharmaceutical Research Associates Ltda</t>
  </si>
  <si>
    <t>Effects of different physical therapy protocols on knee osteoarthritis treatment</t>
  </si>
  <si>
    <t>08/18/2015</t>
  </si>
  <si>
    <t>U1111-1157-9025</t>
  </si>
  <si>
    <t>Aging,Osteoartritis</t>
  </si>
  <si>
    <t>Fernando Garbi Pereira</t>
  </si>
  <si>
    <t>+55 (14) 99445 4361</t>
  </si>
  <si>
    <t>fernando.garbi@hotmail.com</t>
  </si>
  <si>
    <t>Faculdades Adamantinenses Integradas</t>
  </si>
  <si>
    <t>The effect of strengthening exercises on the functional aspects and patterns of muscle recruitment in children with cerebral palsy</t>
  </si>
  <si>
    <t>U111111539662</t>
  </si>
  <si>
    <t>Juliana Rodrigues de Queiroz</t>
  </si>
  <si>
    <t>+55 (34) 3234 9578</t>
  </si>
  <si>
    <t>julianarqueiroz@terra.com.br</t>
  </si>
  <si>
    <t>A Phase I/II clinical trial for evaluating safety and efficacy of an innovative medicine to nephrolithiasis treatment</t>
  </si>
  <si>
    <t>U1111-1164-7772</t>
  </si>
  <si>
    <t>nephrolithiasis</t>
  </si>
  <si>
    <t>Eduardo Barbosa Coelho</t>
  </si>
  <si>
    <t>+55(16)3602-2543</t>
  </si>
  <si>
    <t>ebcoelho@fmrp.usp.br</t>
  </si>
  <si>
    <t>Intravenous infusion of a combined solution of midazolam and fentanyl solution vs separated midazolam and fentanyl</t>
  </si>
  <si>
    <t>08/17/2015</t>
  </si>
  <si>
    <t>U1111-1171-3688</t>
  </si>
  <si>
    <t>Respiratory failure,Sepse</t>
  </si>
  <si>
    <t>Paulo Sérgio Lucas da Silva</t>
  </si>
  <si>
    <t>+55 11996015472</t>
  </si>
  <si>
    <t>psls.nat@terra.com.br</t>
  </si>
  <si>
    <t>Effect of intensity of interferential current and validation of the placebo method</t>
  </si>
  <si>
    <t>U1111-1163-3729</t>
  </si>
  <si>
    <t>Contribution of Auricular Acupuncture for reduction chronic musculoskeletal pain</t>
  </si>
  <si>
    <t>U1111-1171-2808</t>
  </si>
  <si>
    <t>Caroline de Castro Moura</t>
  </si>
  <si>
    <t>+55 (35) 9104 0059</t>
  </si>
  <si>
    <t>Effects of the elastic bandage on the symptoms of medial tibial stress syndrome in runners</t>
  </si>
  <si>
    <t>U1111-1170-5467</t>
  </si>
  <si>
    <t>Medial tibial stress syndrome</t>
  </si>
  <si>
    <t>Oral microbiota analysis of conventional complete dentures wearers before and after the use of two adhesives</t>
  </si>
  <si>
    <t>U1111-1167-6168</t>
  </si>
  <si>
    <t>Mouth,Edentulous</t>
  </si>
  <si>
    <t>Cognitive performance in older adults: eletronic games physical activity and nutrition</t>
  </si>
  <si>
    <t>U1111-1164-3767</t>
  </si>
  <si>
    <t>Cognitive ability,motor ability,cardiovascular responses</t>
  </si>
  <si>
    <t>Oral supplementation with fish oil and the effects on cytokine concentration and Proportion of T cell subsets in peripheral blood of patients with hematological neoplasms undergoing chemotherapy</t>
  </si>
  <si>
    <t>U1111-1134-0623</t>
  </si>
  <si>
    <t>Hematological malignancies</t>
  </si>
  <si>
    <t>Everson Araújo Nunes</t>
  </si>
  <si>
    <t>+55(48)37212289</t>
  </si>
  <si>
    <t>everson.nunes@ufsc.br</t>
  </si>
  <si>
    <t>Experimental Study of a Case Series of Gastrin-releasing Peptide use in Pediatric Patients with Autism</t>
  </si>
  <si>
    <t>U1111-1170-3345</t>
  </si>
  <si>
    <t>Autism Spectrum disorders</t>
  </si>
  <si>
    <t>Gilberto Schwartsmann</t>
  </si>
  <si>
    <t>+55 (51) 3359 8012</t>
  </si>
  <si>
    <t>gilberto.ez@terra.com.br</t>
  </si>
  <si>
    <t>Influence of Patellofemoral Pain Syndrome on 3D kinematics of kneeankle and foot during stair descent and immediate effects of an intervention</t>
  </si>
  <si>
    <t>08/15/2015</t>
  </si>
  <si>
    <t>U1111-1160-2271</t>
  </si>
  <si>
    <t>Luis Mochizuki</t>
  </si>
  <si>
    <t>+55(11)982119641</t>
  </si>
  <si>
    <t>mochi@usp.br</t>
  </si>
  <si>
    <t>Escola de Eduacação Física e Esporte da Universidade de São Paulo</t>
  </si>
  <si>
    <t>Vitamin D Immune Activation and Metabolic Changes in HIV-Infected Patients using Antiretroviral Therapy</t>
  </si>
  <si>
    <t>08/14/2015</t>
  </si>
  <si>
    <t>U1111-1165-2537</t>
  </si>
  <si>
    <t>Functional and stabilometric correlates between two Forced Use Therapy protocols in lower limb rehabilitation of patients with Chronic Hemiparesis Post-Stroke</t>
  </si>
  <si>
    <t>U1111-1139-6883</t>
  </si>
  <si>
    <t>João Eduardo De Araujo</t>
  </si>
  <si>
    <t>+55(16)33154413</t>
  </si>
  <si>
    <t>araujoje@fmrp.usp.br</t>
  </si>
  <si>
    <t>Swallowing and its implications on nutritional status and inflammatory markers</t>
  </si>
  <si>
    <t>U1111-1161-5468</t>
  </si>
  <si>
    <t>An exercise program for diabetic elderly based on sensoriomotor changes of feet and their repercussions in the balance: randomized controlled trial</t>
  </si>
  <si>
    <t>U1111-116814908</t>
  </si>
  <si>
    <t>Fabiana Magalhães Navarro Peternella</t>
  </si>
  <si>
    <t>+55 (44) 9846 8283</t>
  </si>
  <si>
    <t>navarrofabiana@gmail.com</t>
  </si>
  <si>
    <t>Centro de Ciências da Saúde da Universidade Estadual de Maringá</t>
  </si>
  <si>
    <t>Influence of a Pilates exercise program on bone mass in elderly sedentary</t>
  </si>
  <si>
    <t>U1111-1168-5956</t>
  </si>
  <si>
    <t>osteopenia,osteoporosis</t>
  </si>
  <si>
    <t>Daniela Branco Liposcki</t>
  </si>
  <si>
    <t>+55(49)84322202</t>
  </si>
  <si>
    <t>liposcki@yahoo.com.br</t>
  </si>
  <si>
    <t>Consumption of fruits and vegetables in promoting health services in Belo Horizonte Minas Gerais: associated factors and nutritional interventions</t>
  </si>
  <si>
    <t>U1111-1163-6100</t>
  </si>
  <si>
    <t>Feeding Behavior,Food Consumption,Fruit,Vegetables</t>
  </si>
  <si>
    <t>Aline LOPES</t>
  </si>
  <si>
    <t>+55(31)34099179</t>
  </si>
  <si>
    <t>TENS Effect in Parkinsons Disease: Randomized Clinical Essay</t>
  </si>
  <si>
    <t>U1111-1159-1101</t>
  </si>
  <si>
    <t>Pain in Parkinsons Disease</t>
  </si>
  <si>
    <t>Effects of electrical stimulation of the posterior tibial nerve on sleep quality in postmenopausal women with symptoms of overactive bladder and nocturia</t>
  </si>
  <si>
    <t>U1111-1169-9275</t>
  </si>
  <si>
    <t>Sleep disorders,menopause,nocturia,overactive</t>
  </si>
  <si>
    <t>Daniele Furtado Albanezi</t>
  </si>
  <si>
    <t>+55 (16) 988112637</t>
  </si>
  <si>
    <t>danielefurtadoalbanezi@gmail.com</t>
  </si>
  <si>
    <t>Centro de Ciências Biológicas e da Saúde - Universidade Federal de São Carlos</t>
  </si>
  <si>
    <t>Effects of systematic application of cold-water immersion in post-exercise recovery in high-performance athletes</t>
  </si>
  <si>
    <t>U1111-1171-3304</t>
  </si>
  <si>
    <t>Athletes,post-exercise recovery</t>
  </si>
  <si>
    <t>Franciele Marques Vanderlei</t>
  </si>
  <si>
    <t>+55 (11) 98799 1656</t>
  </si>
  <si>
    <t>franmvanderlei@gmail.com</t>
  </si>
  <si>
    <t>Homeopathic potencies of Opium and Erythroxylum coca in the integrative treatment of cocaine dependence: randomized parallel group placebo controlled double-blind trial</t>
  </si>
  <si>
    <t>U1111-1164-4830</t>
  </si>
  <si>
    <t>Cocaine dependence</t>
  </si>
  <si>
    <t>55(16)3351 9405</t>
  </si>
  <si>
    <t>Effects of cognitive-motor rehabilitation in patients with Multiple Sclerosis: a randomized controlled trial</t>
  </si>
  <si>
    <t>07/31/2015</t>
  </si>
  <si>
    <t>U1111-1170-2808</t>
  </si>
  <si>
    <t>Immediate effects of an approach in high cervical and occipitomastoid on postural controle and mobility of individuals with Parkinson´s disease</t>
  </si>
  <si>
    <t>07/30/2015</t>
  </si>
  <si>
    <t>U1111-1171-0515</t>
  </si>
  <si>
    <t>Parkinson´s disease,Postural balance</t>
  </si>
  <si>
    <t>Nadiesca Taisa Filippin</t>
  </si>
  <si>
    <t>+55(55)96257441</t>
  </si>
  <si>
    <t>nadifilippin@yahoo.com.br</t>
  </si>
  <si>
    <t>Behavioral effects of the bucket bath in newborn</t>
  </si>
  <si>
    <t>U1111-1148-8957</t>
  </si>
  <si>
    <t>newborn,bath,Stress Physiological</t>
  </si>
  <si>
    <t>apsilvana@gmail.com</t>
  </si>
  <si>
    <t>Faculdade de Ciências da Saúde do Trairí</t>
  </si>
  <si>
    <t>Effects of supplementation with L-carnitine on ischemia and reperfusion and left ventricular function and remodeling in patients with heart failure after coronary artery bypass surgery</t>
  </si>
  <si>
    <t>U1111-1165-0256</t>
  </si>
  <si>
    <t>Cardiovascular disease,myocardial ischemia,heart failure</t>
  </si>
  <si>
    <t>Sheila Moreira Guimarães</t>
  </si>
  <si>
    <t>+55 (21) 988561844</t>
  </si>
  <si>
    <t>sheilamguimaraes@yahoo.com</t>
  </si>
  <si>
    <t>Impact of an exercise program on cardiopulmonary function functional capacity and quality of life in patients undergoing Bariatric Surgery</t>
  </si>
  <si>
    <t>U1111-1147-3751</t>
  </si>
  <si>
    <t>Obesity,bariatric surgery,cardiopulmonary function,exercise tolerance,quality of life</t>
  </si>
  <si>
    <t>Tatiana Onofre Gama</t>
  </si>
  <si>
    <t>+55 (84) 99921 0865</t>
  </si>
  <si>
    <t>tatianaonofre@hotmail.com</t>
  </si>
  <si>
    <t>Modulation of gastrointestinal hormones by supplementation herbal extract containing yerba mate guaraná and damiana in overweight women</t>
  </si>
  <si>
    <t>U1111-1159-3683</t>
  </si>
  <si>
    <t>Marina Monteiro Celestino</t>
  </si>
  <si>
    <t>marinamonteiroc@hotmail.com</t>
  </si>
  <si>
    <t>Use of platelet-rich plasma in diabetic patients with dry eye disease</t>
  </si>
  <si>
    <t>07/28/2015</t>
  </si>
  <si>
    <t>U1111-1162-9057</t>
  </si>
  <si>
    <t>dry eye disease,diabetes</t>
  </si>
  <si>
    <t>Eurica Adelia Ribeiro</t>
  </si>
  <si>
    <t>+55(82)32141004</t>
  </si>
  <si>
    <t>euricanogueira@gmail.com</t>
  </si>
  <si>
    <t>Clinical diffusion neurophysiological progression and prognosis of patients with Motor Neuron Disease undergoing Riluzole and Lithium Carbonate - A Randomized Controlled Trial</t>
  </si>
  <si>
    <t>U1111-1171-1121</t>
  </si>
  <si>
    <t>Amyotrophic Lateral Sclerosis</t>
  </si>
  <si>
    <t>Mirian  Conceição Moura</t>
  </si>
  <si>
    <t>61-33254219</t>
  </si>
  <si>
    <t>mcmoura0812@yahoo.com.br</t>
  </si>
  <si>
    <t>Secretaria de Estado de Saúde do Distrito Federal</t>
  </si>
  <si>
    <t>Asthma control evaluation with inhaled corticosteroid spray aided by non valved homemade spacer</t>
  </si>
  <si>
    <t>U1111-1165-6848</t>
  </si>
  <si>
    <t>Deborah Schor</t>
  </si>
  <si>
    <t>55-81-91829927</t>
  </si>
  <si>
    <t>deborah.schor@gmail.com</t>
  </si>
  <si>
    <t>Pos Graduação em Ciencias da Saúde da UFPE,Brasil</t>
  </si>
  <si>
    <t>Effect of Low-level Laser Therapy associated or not to exercise in subjects with knee osteoarthritis: randomized study on the impact of physical therapy clinical trial on postural control and functionality</t>
  </si>
  <si>
    <t>U1111-1151-2972</t>
  </si>
  <si>
    <t>+55 (16) 3602 3176</t>
  </si>
  <si>
    <t>Effects of early aerobic exercise after coronary artery bypassa grafting: a randomized controlled clinical trial during hospitalization</t>
  </si>
  <si>
    <t>07/27/2015</t>
  </si>
  <si>
    <t>U1111-1171-5013</t>
  </si>
  <si>
    <t>Coronariopathy</t>
  </si>
  <si>
    <t>Daniel Lago Borges</t>
  </si>
  <si>
    <t>+55 (98) 2109 1098</t>
  </si>
  <si>
    <t>dlagofisio83@hotmail.com</t>
  </si>
  <si>
    <t>Effects of therapeutic elastic bandage for postural correction</t>
  </si>
  <si>
    <t>U111111708561</t>
  </si>
  <si>
    <t>Postural Balance,Posture</t>
  </si>
  <si>
    <t>Layanna Patrícia Freitas Barradas</t>
  </si>
  <si>
    <t>+55 (86) 9982 6744</t>
  </si>
  <si>
    <t>lannabarradas@hotmail.com</t>
  </si>
  <si>
    <t>Faculdade Integral Diferencial-FACID/DeVry</t>
  </si>
  <si>
    <t>Effects of a Concurrent Training program in muscle strength cardiorespiratory fitness cardiovascular risk and quality of life of elderly: a randomized clinical trial</t>
  </si>
  <si>
    <t>U1111-1160-4282</t>
  </si>
  <si>
    <t>Império Lombardi Junior</t>
  </si>
  <si>
    <t>+55 (13)3878-3700</t>
  </si>
  <si>
    <t>imperiolombardi@ig.com.br</t>
  </si>
  <si>
    <t>Effects of differents montages of tDCS in functionality of children with Cerebral Palsy of type Spastic Hemiparesis: clinical trial randomized placebo-controlled and double blind</t>
  </si>
  <si>
    <t>U1111-1156-2576</t>
  </si>
  <si>
    <t>Cerebral Palsy. Hemiparesis</t>
  </si>
  <si>
    <t>Natália Almeida Carvalho Duarte</t>
  </si>
  <si>
    <t>55(35)36659335</t>
  </si>
  <si>
    <t>natycarvalho_fisio@hotmail.com</t>
  </si>
  <si>
    <t>Morphological neurofunctional kinetics and kinematics analysis in individuals with patellofemoral pain syndrome and its treatment</t>
  </si>
  <si>
    <t>U1111-1170-4854</t>
  </si>
  <si>
    <t>Patellofemoral pain,Patellofemoral Pain Syndrome</t>
  </si>
  <si>
    <t>Strategy to promote healthy living and healthy eating style: an intervention study</t>
  </si>
  <si>
    <t>07/26/2015</t>
  </si>
  <si>
    <t>U1111-1167-2856</t>
  </si>
  <si>
    <t>Endocrine deseases ,Nutritional deseases. Metabolic diseases</t>
  </si>
  <si>
    <t>Rita de Cássia Ribeiro Silva</t>
  </si>
  <si>
    <t>+55(71)32837700</t>
  </si>
  <si>
    <t>Escola de Nutrição da Universidade Federal da Bahia</t>
  </si>
  <si>
    <t>Effect of green tea extract and metformin on insulin resistance in obese individuals with pre-diabetes</t>
  </si>
  <si>
    <t>07/25/2015</t>
  </si>
  <si>
    <t>U1111-1155-6323</t>
  </si>
  <si>
    <t>Obesity,hyperglycemia</t>
  </si>
  <si>
    <t>patriciaborges@ufg.br</t>
  </si>
  <si>
    <t>Faculdade de Nutricao (FANUT/UFG)</t>
  </si>
  <si>
    <t>Assessment of acceptance of intramuscular injection of penicillin in the region ventral gluteal in emergency units in Goiânia - Goiás</t>
  </si>
  <si>
    <t>07/24/2015</t>
  </si>
  <si>
    <t>U1111-1169-4243</t>
  </si>
  <si>
    <t>Laura Ferreira Oliveira</t>
  </si>
  <si>
    <t>+55(62)82121227</t>
  </si>
  <si>
    <t>lauraf.enf@gmail.com</t>
  </si>
  <si>
    <t>Faculdade de Enfermgem da Universidade Federal de Goiás</t>
  </si>
  <si>
    <t>Electrokinesiographic evaluation and satisfaction of complete denture wearers after the use of two adhesives</t>
  </si>
  <si>
    <t>07/22/2015</t>
  </si>
  <si>
    <t>U1111-1140-0718</t>
  </si>
  <si>
    <t>Edentulous patients ,complete denture wearers,edentulous arch</t>
  </si>
  <si>
    <t>Evaluation of static and dynamic balance of patients with Parkinsons Disease before and after physical therapy intervention using the Nintendo Wii® the rehabilitation process</t>
  </si>
  <si>
    <t>07/21/2015</t>
  </si>
  <si>
    <t>U1111-1172-0148</t>
  </si>
  <si>
    <t>Carolina Miyuki Suguimoto</t>
  </si>
  <si>
    <t>+55(11)3648-5050</t>
  </si>
  <si>
    <t>carolsuguimoto@yahoo.com.br</t>
  </si>
  <si>
    <t>Low bone mineral density related-variables in postmenopausal women practitioners of different physical activities programs</t>
  </si>
  <si>
    <t>U1111-1166-5868</t>
  </si>
  <si>
    <t>Osteopenia,Osteoporosis,postmenopausal women</t>
  </si>
  <si>
    <t>Estélio Henrique Dantas</t>
  </si>
  <si>
    <t>+55 21 25426018</t>
  </si>
  <si>
    <t>esteliodantas@gmail.com</t>
  </si>
  <si>
    <t>Randomized clinical trial study of effect of potassium nitrate and strontium chloride associated to the bleaching home treatment</t>
  </si>
  <si>
    <t>07/19/2015</t>
  </si>
  <si>
    <t>U1111-1172-1357</t>
  </si>
  <si>
    <t>Low-carbohydrate diet effects on women with excess weight and short-stature</t>
  </si>
  <si>
    <t>U1111-1165-0484</t>
  </si>
  <si>
    <t>Ana Lydia Sawaya</t>
  </si>
  <si>
    <t>+55 (11) 98599 9270</t>
  </si>
  <si>
    <t>Evaluation of the effectiveness of two preventive schemes with amoxicillin for tooth extractions in rheumatoid arthritis patients treated with tumor necrosis factor-alpha inhibitors(anti-TNF-?) and methotrexate</t>
  </si>
  <si>
    <t>07/17/2015</t>
  </si>
  <si>
    <t>U1111-1167-1953</t>
  </si>
  <si>
    <t>Rheumatoid arthritis,Inflammation,Focal Infection Dental</t>
  </si>
  <si>
    <t>Fernando Antonio Frota Bezerra</t>
  </si>
  <si>
    <t>55 (85) 3366 8344</t>
  </si>
  <si>
    <t>Impact on mortality and cost-effectiveness of a protocol for diagnosis and treatment of tuberculosis in People Living with HIV</t>
  </si>
  <si>
    <t>07/16/2015</t>
  </si>
  <si>
    <t>U1111-1165-2584</t>
  </si>
  <si>
    <t>Tuberculosis,latent tuberculosis,HIV/AIDS</t>
  </si>
  <si>
    <t>Magda Maruza</t>
  </si>
  <si>
    <t>+55 81 91828989</t>
  </si>
  <si>
    <t>magdamaruza@yahoo.com.br</t>
  </si>
  <si>
    <t>Hospital Correia Picanco</t>
  </si>
  <si>
    <t>Strength training effects with elastic tubing in the functional biological variables and quality of life of apparently healthy individuals</t>
  </si>
  <si>
    <t>U1111-1169-9135</t>
  </si>
  <si>
    <t>Sedentary lifestyle,physical inactivity</t>
  </si>
  <si>
    <t>Fabiano Francisco Lima</t>
  </si>
  <si>
    <t>fabiano_ffl@hotmail.com</t>
  </si>
  <si>
    <t>Local measures of hemostasis after tooth extractions in patients taking oral anticoagulants</t>
  </si>
  <si>
    <t>07/15/2015</t>
  </si>
  <si>
    <t>U1111-1148-0525</t>
  </si>
  <si>
    <t>Salomão Israel Monteiro Lourenço Queiroz</t>
  </si>
  <si>
    <t>salomaoisrael10@gmail.com</t>
  </si>
  <si>
    <t>Study of haemodynamic repercussion across the cardioimpedance during the use of methylmethacrylate in total Hip Arthroplasty about Raquianesthesia</t>
  </si>
  <si>
    <t>U1111-1136-5386</t>
  </si>
  <si>
    <t>José Carlos Bonjorno Junior</t>
  </si>
  <si>
    <t>jcbonjornojunior@gmail.com</t>
  </si>
  <si>
    <t>Land-based versus aquatic resistance therapeutic exercises for old women with sarcopenic obesity: a randomized trial</t>
  </si>
  <si>
    <t>U1111-1123-8532</t>
  </si>
  <si>
    <t>Aging,obesity,sarcopenia</t>
  </si>
  <si>
    <t>João Marcos Domingues Dias</t>
  </si>
  <si>
    <t>+55 (31) 34094781</t>
  </si>
  <si>
    <t>joao.marcos.dd@gmail.com</t>
  </si>
  <si>
    <t>Non antihyperglycemic effects of metformin on blood pressure and subclinical hypothyroidism</t>
  </si>
  <si>
    <t>07/13/2015</t>
  </si>
  <si>
    <t>U1111-1156-2661</t>
  </si>
  <si>
    <t>Subclinical hypothyroidism</t>
  </si>
  <si>
    <t>Beatriz DAgord Schaan</t>
  </si>
  <si>
    <t>beatrizschaan@gmail.com</t>
  </si>
  <si>
    <t>Evaluation of an educational program on injury prevention cardiovascular diseases on human health</t>
  </si>
  <si>
    <t>U111111692425</t>
  </si>
  <si>
    <t>Cardiovascular diseases,overweight,diabetes mellitus,hypertension</t>
  </si>
  <si>
    <t>Gabriela Schiavon Ganassin</t>
  </si>
  <si>
    <t>+55 (44) 9864 5595</t>
  </si>
  <si>
    <t>gabriela.s.ganassin@gmail.com</t>
  </si>
  <si>
    <t>Antimicrobial photodynamic therapy for periodontal disease treatment in patients with Down Syndrome</t>
  </si>
  <si>
    <t>U1111-1142-0991</t>
  </si>
  <si>
    <t>Down Syndrome,Periodontitis,Periodontal Disease,gingivitis</t>
  </si>
  <si>
    <t>Rafael Ferreira</t>
  </si>
  <si>
    <t>MINEIROS DO TIETÊ</t>
  </si>
  <si>
    <t>+55 (14) 3636 1981</t>
  </si>
  <si>
    <t>rafael_ferreira2@hotmail.com</t>
  </si>
  <si>
    <t>Randomized clinical trial of the nano-hydroxyapatite and arginine effect for the dentin sensibility prevention after bleaching home treatment</t>
  </si>
  <si>
    <t>U111111573105</t>
  </si>
  <si>
    <t>Analysis of recall bias information about injuries in the football in adolescents</t>
  </si>
  <si>
    <t>U1111-1134-0554</t>
  </si>
  <si>
    <t>Carlos Marcelo Pastre</t>
  </si>
  <si>
    <t>+55(18)32295528</t>
  </si>
  <si>
    <t>pastre@fct.unesp.br</t>
  </si>
  <si>
    <t>Faculdade de Ciências e Tecnologia. Universidade Estadual Paulista Júlio de Mesquita Filho</t>
  </si>
  <si>
    <t>Expression of virulence genes and virulence factors of Candida species identified in dentures biofilm after using cleansers solutions</t>
  </si>
  <si>
    <t>U1111-1161-5318</t>
  </si>
  <si>
    <t>Diabetes mellitus,denture Stomatitis</t>
  </si>
  <si>
    <t>Claudia Helena Silva-Lovato</t>
  </si>
  <si>
    <t>+55(16)3615-4006</t>
  </si>
  <si>
    <t>Low level laser therapy and neuromuscular electrical stimulation on knee extension strength and jump in volleyball athletes: a randomized controlled trial</t>
  </si>
  <si>
    <t>U1111-1163-3369</t>
  </si>
  <si>
    <t>Athletic Performance,muscle Weakness</t>
  </si>
  <si>
    <t>+55 (11) 50823010</t>
  </si>
  <si>
    <t>Effectiveness of mat Pilates and therapeutic exercise in the treatment of chronic nonspecific low back pain: randomized controlled trial</t>
  </si>
  <si>
    <t>U1111-1142-3806</t>
  </si>
  <si>
    <t>Mauricio Antonio da Luz Jr</t>
  </si>
  <si>
    <t>+55(11) 4815 2333</t>
  </si>
  <si>
    <t>mauricio_luz@hotmail.com</t>
  </si>
  <si>
    <t>Universidade Paulista UNIP</t>
  </si>
  <si>
    <t>Knowledge attitudes and contraceptive practices - a randomized clinical trial</t>
  </si>
  <si>
    <t>U1111-1156-9611</t>
  </si>
  <si>
    <t>Aline Salheb Alves Pivatti</t>
  </si>
  <si>
    <t>+55 (19) 99257 3843</t>
  </si>
  <si>
    <t>asalheb@yahoo.com.br</t>
  </si>
  <si>
    <t>Faculdade de Enfermagem - UNICAMP</t>
  </si>
  <si>
    <t>Assessment of preemptive use of non steroidal antiinflammatory on hyperalgesia after third molar extraction</t>
  </si>
  <si>
    <t>U1111-1156-4165</t>
  </si>
  <si>
    <t>erica.lia@terra.com.br</t>
  </si>
  <si>
    <t>Mandibular overdentures retained by one or two implants: a randomized clinical trial</t>
  </si>
  <si>
    <t>U1111-1140-0884</t>
  </si>
  <si>
    <t>Edentulous patients,complete denture wearers,edentulous arch</t>
  </si>
  <si>
    <t>Investigation of the therapeutic effect of phytosterol on LDL-cholesterol concentrations in dyslipidemic children and adolescents in a university hospital randomized crossover study</t>
  </si>
  <si>
    <t>06/26/2015</t>
  </si>
  <si>
    <t>U1111-1167-7147</t>
  </si>
  <si>
    <t>Simone Augusta Ribas</t>
  </si>
  <si>
    <t>ribasnut@yahoo.com.br</t>
  </si>
  <si>
    <t>Universidade do Estado do Rio de Janeiro- UERJ</t>
  </si>
  <si>
    <t>Promoting healthy habits with elderly diabetics: evaluation of operating groups as a therapeutic intervention</t>
  </si>
  <si>
    <t>U1111-1163-3940</t>
  </si>
  <si>
    <t>Diabetes mellitus type 2,elderly,health promotion,group processes</t>
  </si>
  <si>
    <t>Ana Paula de Oliveira Marques</t>
  </si>
  <si>
    <t>+55 (81) 98892 6313</t>
  </si>
  <si>
    <t>marquesap@hotmail.com</t>
  </si>
  <si>
    <t>Universidade Federal de Pernambuco (UFPE)</t>
  </si>
  <si>
    <t>Reproducibility of maximum and submaximal exercise tests in obese subjects using a gas analyzer by telemetry system</t>
  </si>
  <si>
    <t>U1111-1170-1708</t>
  </si>
  <si>
    <t>Homeopathy versus Sertraline</t>
  </si>
  <si>
    <t>U1111-1158-7386</t>
  </si>
  <si>
    <t>Depressive episode</t>
  </si>
  <si>
    <t>Sarcopenia: prevalence disability and intervention in Postmenopausal women</t>
  </si>
  <si>
    <t>U1111-1151-1532</t>
  </si>
  <si>
    <t>postmenopause</t>
  </si>
  <si>
    <t>Fábio Lera Orsatti</t>
  </si>
  <si>
    <t>+ 55 (34) 3318 5067</t>
  </si>
  <si>
    <t>fabiorsatti@gmail.com</t>
  </si>
  <si>
    <t>Effect of clonidine on the target dose of propofol: bispectral index evaluation</t>
  </si>
  <si>
    <t>U1111-1163-2434</t>
  </si>
  <si>
    <t>cholelithiasis,clonidine</t>
  </si>
  <si>
    <t>hermes melo teixeira batista</t>
  </si>
  <si>
    <t>juazeiro do norte</t>
  </si>
  <si>
    <t>88 35663600</t>
  </si>
  <si>
    <t>Hospital Regional do Cariri</t>
  </si>
  <si>
    <t>Varicocelectomy effect on the spermatic DNA fragmentation: clinical trial with random assignment of participants</t>
  </si>
  <si>
    <t>06/24/2015</t>
  </si>
  <si>
    <t>U1111-1166-7018</t>
  </si>
  <si>
    <t>Randomized clinical trial double-blind efficacy of Prebiotics in Chronic Constipation Funcinal in infants</t>
  </si>
  <si>
    <t>U1111-1125-5685</t>
  </si>
  <si>
    <t>Constipation,infants,treatment with fructooligosaccharides</t>
  </si>
  <si>
    <t>Daniela da Silva Souza</t>
  </si>
  <si>
    <t>+55 (13) 34946180</t>
  </si>
  <si>
    <t>danielasouza.nutri@gmail.com</t>
  </si>
  <si>
    <t>Evaluation of safety and feasibility of a neuromuscular electrical stimulation protocol in ICU: a randomized controlled trial</t>
  </si>
  <si>
    <t>06/23/2015</t>
  </si>
  <si>
    <t>U1111-1158-2022</t>
  </si>
  <si>
    <t>Nervous system diseases,musculoskeletal diseases,atrophy</t>
  </si>
  <si>
    <t>Paulo Eugênio Oliveira Silva</t>
  </si>
  <si>
    <t>+55(61)96864850</t>
  </si>
  <si>
    <t>pauloeugenio@ymail.com</t>
  </si>
  <si>
    <t>Educational virtual objects assessment inserted in learning based on team (team-based learning) in leprosy education on undergraduate medical setting</t>
  </si>
  <si>
    <t>U1111-1169-1839</t>
  </si>
  <si>
    <t>Cristiane Comparin Savegnago</t>
  </si>
  <si>
    <t>dermatologia.comparin@gmail.com</t>
  </si>
  <si>
    <t>Universidade Federal do Mato Grosso do Sul (UFMS)</t>
  </si>
  <si>
    <t>Self-care effect in the medication and function of patients with shoulder pain indicated to physiotherapeutic treatment: randomized clinical trial</t>
  </si>
  <si>
    <t>U1111-1168-5572</t>
  </si>
  <si>
    <t>Prospective double-blind randomized placebo-controlled longitudinal study to evaluate the effectiveness of lithium microdose in the treatment of Alzheimers disease</t>
  </si>
  <si>
    <t>U1111-1158-0542</t>
  </si>
  <si>
    <t>+55 (11) 2176 1812</t>
  </si>
  <si>
    <t>ipsc.veraalves@santacasasp.org.br</t>
  </si>
  <si>
    <t>Use of Postoperative Intravenous Iron in Abdominoplasty After Bariatric Surgery</t>
  </si>
  <si>
    <t>U1111-1169-6223</t>
  </si>
  <si>
    <t>Post-operative anemia</t>
  </si>
  <si>
    <t>Juan Carlos Montano-Pedroso</t>
  </si>
  <si>
    <t>juancmontano@gmail.com</t>
  </si>
  <si>
    <t>Intratracheal instillation of budesonide using surfactant as a vehicle in the prophylaxis and rescue therapy of neonatal respiratory distress syndrome to prevent bronchopulmonary dysplasia: a randomized clinical trial</t>
  </si>
  <si>
    <t>U1111-1141-2060</t>
  </si>
  <si>
    <t>Fernanda Peixoto</t>
  </si>
  <si>
    <t>+55(62)81158810</t>
  </si>
  <si>
    <t>fernandapeixoto20@gmail.com</t>
  </si>
  <si>
    <t>Effects of Exercise and Nutritional Intervention on the Functional Status Nutritional Status Lipid Profile and  Lifes Quality in hemodialysis patients</t>
  </si>
  <si>
    <t>06/21/2015</t>
  </si>
  <si>
    <t>U1111-1169-4252</t>
  </si>
  <si>
    <t>Chronic kidney insufficiency,hemodyalis</t>
  </si>
  <si>
    <t>Maria do Rosário Gondim Peixoto</t>
  </si>
  <si>
    <t>+55 (62) 8142 2300</t>
  </si>
  <si>
    <t>mrg.peixoto@uol.com</t>
  </si>
  <si>
    <t>Faculdade de Nutrição/UFG</t>
  </si>
  <si>
    <t>Impact of monitoring by health professionals in the practice of breastfeeding. A randomized clinical trial</t>
  </si>
  <si>
    <t>06/15/2015</t>
  </si>
  <si>
    <t>U1111-1164-6886</t>
  </si>
  <si>
    <t>Exclusive breast-feeding</t>
  </si>
  <si>
    <t>Study of the profile and the effects of an intervention program in patients candidates for liver surgery and liver transplantation</t>
  </si>
  <si>
    <t>U1111-1169-0771</t>
  </si>
  <si>
    <t>Chronic liver disease</t>
  </si>
  <si>
    <t>Vivian Limongi</t>
  </si>
  <si>
    <t>+55 (19) 996183284</t>
  </si>
  <si>
    <t>vivian_limongi@hotmail.com</t>
  </si>
  <si>
    <t>The effect of portal hypertension on elevated gastric antrum erosions</t>
  </si>
  <si>
    <t>U1111-1161-7614</t>
  </si>
  <si>
    <t>Portal hypertension</t>
  </si>
  <si>
    <t>Fabio Goncalves Ferreira</t>
  </si>
  <si>
    <t>+55 (11) 2176 7270</t>
  </si>
  <si>
    <t>drfabioferreira@uol.com.br</t>
  </si>
  <si>
    <t>Faculdade de Ciências Médicas da Santa Casa de São Paulo - FCMSCSP</t>
  </si>
  <si>
    <t>Transcutaneous electrical nerve stimulation in patients with pain caused by chronic lower limb ischemia</t>
  </si>
  <si>
    <t>U1111-1164-4952</t>
  </si>
  <si>
    <t>peripheral arterial disease,ischemia</t>
  </si>
  <si>
    <t>Ligia Loiola Cisneros</t>
  </si>
  <si>
    <t>+55(31)3409-4783</t>
  </si>
  <si>
    <t>ligialoiola@uol.com.br</t>
  </si>
  <si>
    <t>The impact of physiotherapy on exercise tolerance muscle strength pulmonary function and quality of life in kidney transplant patients six months after surgery</t>
  </si>
  <si>
    <t>U1111-1124-4860</t>
  </si>
  <si>
    <t>Chronic renal failure,kidney transplant,exercise tolerance,muscle strength,lung function,quality of life</t>
  </si>
  <si>
    <t>Leny Vieira Cavalheiro</t>
  </si>
  <si>
    <t>11-50878080</t>
  </si>
  <si>
    <t>leny@einstein.br</t>
  </si>
  <si>
    <t>Hospital do Rim e Hipertensão - Fundação Oswaldo Ramos</t>
  </si>
  <si>
    <t>The temperature and humidity of the inhaled gas in an anesthesia workstation using a low fresh gas flow with or without thermal insulation or heat and moisture exchanger</t>
  </si>
  <si>
    <t>U1111-1141-8605</t>
  </si>
  <si>
    <t>Respiratory tract diseases,general anesthesia,disease prevention</t>
  </si>
  <si>
    <t>JOSÉ REINALDO CERQUEIRA BRAZ</t>
  </si>
  <si>
    <t>+55(14)38116022</t>
  </si>
  <si>
    <t>jbraz@fmb.unesp.br</t>
  </si>
  <si>
    <t>Effects of a program of periodized resistance exercise in patients with HIV in HAART therapy more than one year and served in a university hospital: randomized clinical trial</t>
  </si>
  <si>
    <t>U1111-1169-4084</t>
  </si>
  <si>
    <t>Human immunodeficiency virus (HIV),Acquired Immunodeficiency Syndrome (AIDS)</t>
  </si>
  <si>
    <t>Effectiveness of two sealant materials in preventing carious lesions in newly erupted first permanent molars</t>
  </si>
  <si>
    <t>U1111-1140-8854</t>
  </si>
  <si>
    <t>Renata Nunes Cabral</t>
  </si>
  <si>
    <t>renatancabral@gmail.com</t>
  </si>
  <si>
    <t>Randomized double-blind clinical study in order to assess the tolerability and dermatological efficacy of a drug that contains Pycnogenol which is used to treat Melasma</t>
  </si>
  <si>
    <t>U1111-1151-9255</t>
  </si>
  <si>
    <t>Melasma.Chloasma</t>
  </si>
  <si>
    <t>(55) (11) 3654-2474</t>
  </si>
  <si>
    <t>Medcin Instituto da Pele</t>
  </si>
  <si>
    <t>Use of interactive games as aerobic training for children and adolescents with Cystic Fibrosis during hospitalization</t>
  </si>
  <si>
    <t>U1111-1165-0883</t>
  </si>
  <si>
    <t>Marcio Vinicius Fagundes Donadio</t>
  </si>
  <si>
    <t>+55 (51) 3320 3500</t>
  </si>
  <si>
    <t>mdonadio@pucrs.br</t>
  </si>
  <si>
    <t>Physical Training Effect on Endothelial Function and Blood Pressure in Hypertensive Patients: Randomized Clinical Trial</t>
  </si>
  <si>
    <t>U1111 1167 7660</t>
  </si>
  <si>
    <t>Endothelial function,Hypertension</t>
  </si>
  <si>
    <t>Alexandre Machado Lehnen</t>
  </si>
  <si>
    <t>+55(51)3235-4148</t>
  </si>
  <si>
    <t>amlehnen@gmail.com</t>
  </si>
  <si>
    <t>Instituto de Cardiologia - Fundação Universitária de Cardiologia/ ICFUC</t>
  </si>
  <si>
    <t>Evaluation of the effectiveness of the use of teleconsultation in qualifying the counter-referral between primary and tertiary care to patients with stable coronary artery disease: a randomized non-inferiority trial</t>
  </si>
  <si>
    <t>U1111-1161-4029</t>
  </si>
  <si>
    <t>Chronic ischemic heart disease. Coronary Artery Disease</t>
  </si>
  <si>
    <t>Carisi Anne Polanczyk</t>
  </si>
  <si>
    <t>+55(51)33596337</t>
  </si>
  <si>
    <t>cpolanczyk@hcpa.ufrgs.br</t>
  </si>
  <si>
    <t>Effects of Physical Therapy on Myogenous Temporomandibular Disorder in Patients with Fibromyalgia</t>
  </si>
  <si>
    <t>U1111-1138-1086</t>
  </si>
  <si>
    <t>Fribromialgia,Temporomandibular Joint Dysfunction Syndrome,Temporomandibular Joint Disorder</t>
  </si>
  <si>
    <t>Liu Chiao Yi</t>
  </si>
  <si>
    <t>+55 13 988780888</t>
  </si>
  <si>
    <t>liuchiaoyi@yahoo.com.br</t>
  </si>
  <si>
    <t>Effects of Auriculotheray in women during labor: a randomized clinical trial</t>
  </si>
  <si>
    <t>U1111-1165-8207</t>
  </si>
  <si>
    <t>Labor,Obstetric,Labor pain,Anxiety</t>
  </si>
  <si>
    <t>Reginaldo Roque Mafetoni</t>
  </si>
  <si>
    <t>+ 55 (19) 35219343</t>
  </si>
  <si>
    <t>mafetoni@unicamp.br</t>
  </si>
  <si>
    <t>Hospital da Mulher Prof. Dr. José Aristodemo Pinotti - CAISM/UNICAMP</t>
  </si>
  <si>
    <t>The educational program on diabetes mellitus reviewed focus on empowerment</t>
  </si>
  <si>
    <t>U1111-1162-3001</t>
  </si>
  <si>
    <t>Daniel Nogueira Cortez</t>
  </si>
  <si>
    <t>+55(37)91222397</t>
  </si>
  <si>
    <t>danielcortez@ufsj.edu.br</t>
  </si>
  <si>
    <t>Impact on education intervention in the adherence to the cervical cancer prevention</t>
  </si>
  <si>
    <t>U1111-1165-2784</t>
  </si>
  <si>
    <t>Cervical Cancer</t>
  </si>
  <si>
    <t>Sueli Riul da Silva</t>
  </si>
  <si>
    <t>55 (34) 3318 5881</t>
  </si>
  <si>
    <t>sueliriul@terra.com.br</t>
  </si>
  <si>
    <t>Effect of aerobic exercise on muscle sympathetic nerve activity in predialysis chronic renal</t>
  </si>
  <si>
    <t>U1111-1168-7550</t>
  </si>
  <si>
    <t>Chronic Kidney Disease,post-exercise hypotension,Sympathetic Nervous System</t>
  </si>
  <si>
    <t>Daniele Bosco Aprile</t>
  </si>
  <si>
    <t>+55(11)994646909</t>
  </si>
  <si>
    <t>danilimeira@hotmail.com</t>
  </si>
  <si>
    <t>Self-care program focusing on the Assistive Technology effects for patients with the hand OA</t>
  </si>
  <si>
    <t>U1111-1169-2752</t>
  </si>
  <si>
    <t>Hand Osteoarthritis</t>
  </si>
  <si>
    <t>How to motivate women with fibromyalgia to join the exercise continued?</t>
  </si>
  <si>
    <t>U1111-1138-6501</t>
  </si>
  <si>
    <t>+55(16)3602-3058</t>
  </si>
  <si>
    <t>Interpersonal psychotherapy counseling for Depressed childrens caregivers</t>
  </si>
  <si>
    <t>U1111-1165-1065</t>
  </si>
  <si>
    <t>+55(11)5576 4990</t>
  </si>
  <si>
    <t>mf-mello@uol.com.br</t>
  </si>
  <si>
    <t>Effects of inspiratory muscle endurance training in patients undergoing hemodialysis</t>
  </si>
  <si>
    <t>U1111-1161-7902</t>
  </si>
  <si>
    <t>Renal Insufficiency,Chronic. Physical Endurance. Physical Endurance. Renal Dialysis</t>
  </si>
  <si>
    <t>Sheila Cristina Cecagno Zanini</t>
  </si>
  <si>
    <t>+55 (54) 8109 0473</t>
  </si>
  <si>
    <t>sheilacecagno@hotmail.com</t>
  </si>
  <si>
    <t>Association of the Kinesio Taping to Manual Therapy in the neck pain</t>
  </si>
  <si>
    <t>U111111664953</t>
  </si>
  <si>
    <t>Ana Flávia Machado de Carvalho</t>
  </si>
  <si>
    <t>+55 (86) 9986 1242</t>
  </si>
  <si>
    <t>anaflaviaparaibana@hotmail.com</t>
  </si>
  <si>
    <t>Universidade do Vale do Paraíba-UNIVAP</t>
  </si>
  <si>
    <t>Simplified technique for complete dentures: influence on       quality prostheses masticatory function and patient satisfaction</t>
  </si>
  <si>
    <t>U1111-1147-0359</t>
  </si>
  <si>
    <t>Dentures. Jaw edentulous</t>
  </si>
  <si>
    <t>Francisco Mauro Girundi</t>
  </si>
  <si>
    <t>+55 (31) 96176780</t>
  </si>
  <si>
    <t>franciscogirundi@ig.com.br</t>
  </si>
  <si>
    <t>Faculdade de Odontologia de Piracicaba Universidade de Campinas</t>
  </si>
  <si>
    <t>Comparison of parameters of respiratory strength in postoperative elective cholecystectomy by laparotomy when respected conventional fasting and 2 hours fasting</t>
  </si>
  <si>
    <t>U1111-1148-3196</t>
  </si>
  <si>
    <t>Cholecystitis,fasting,muscle strength,Lung Volume Measurements,metabolism</t>
  </si>
  <si>
    <t>Fabiana Vieira Breijão</t>
  </si>
  <si>
    <t>Bom Sucesso</t>
  </si>
  <si>
    <t>+55 (69) 9904 1690</t>
  </si>
  <si>
    <t>breijao@yahoo.com.br</t>
  </si>
  <si>
    <t>Universidade Federal do Mato Grosso - UFMT</t>
  </si>
  <si>
    <t>The effect of teaching foot care to prevent risk of impaired skin integrity of the feet of people with Diabetes Mellitus type II</t>
  </si>
  <si>
    <t>U1111-1150-5998</t>
  </si>
  <si>
    <t>Diabetes Mellitus,Diabetic foot</t>
  </si>
  <si>
    <t>Denise Iunes</t>
  </si>
  <si>
    <t>deniseiunes@gmail.com</t>
  </si>
  <si>
    <t>Effects of diagnostic errors on Interrater Reliability for Pattern differentiation and Acupoints prescription</t>
  </si>
  <si>
    <t>U1111-1165-0313</t>
  </si>
  <si>
    <t>Cardiovascular diseases,respiratory diseases,nervous system diseases</t>
  </si>
  <si>
    <t>Arthur Sá Ferreira</t>
  </si>
  <si>
    <t>+55(21) 3868-9797</t>
  </si>
  <si>
    <t>arthur_sf@ig.com.br</t>
  </si>
  <si>
    <t>Evaluation and treatment of changes in gait postural balance strength of pelvic floor sexual function sleep and quality of life in cycle puerperal pregnancy:randomized Controlled Trial</t>
  </si>
  <si>
    <t>U1111-1164-2825</t>
  </si>
  <si>
    <t>Gait,postural balance,pelvic floor,sexuality,sleep disorders</t>
  </si>
  <si>
    <t>Silvia O Ribeiro</t>
  </si>
  <si>
    <t>+55 (84) 9950 9836</t>
  </si>
  <si>
    <t>oliveira.silviaribeiro@gmail.com</t>
  </si>
  <si>
    <t>Cost-effectiveness evaluation between two approaches to treatment of smoking in the SUS (Unified Health System): brief intervention and intensive approach to the smoker</t>
  </si>
  <si>
    <t>U1111-1161-9209</t>
  </si>
  <si>
    <t>Cláudia Aparecida de Carvalho</t>
  </si>
  <si>
    <t>55 (32) 88775667</t>
  </si>
  <si>
    <t>claudiaacarvalho@gmail.com</t>
  </si>
  <si>
    <t>Food consumption as a risk factor for chronic diseases among university students: prevalence and nutritional intervention</t>
  </si>
  <si>
    <t>05/28/2015</t>
  </si>
  <si>
    <t>U1111-1159-6296</t>
  </si>
  <si>
    <t>Rafaella Cristhine Pordeus Luna</t>
  </si>
  <si>
    <t>+55 89 34221018</t>
  </si>
  <si>
    <t>rafaellapordeus@ufpi.edu.br</t>
  </si>
  <si>
    <t>The effect of Music on weight gain of Premature hospitalized infants</t>
  </si>
  <si>
    <t>05/26/2015</t>
  </si>
  <si>
    <t>U1111-1145-7489</t>
  </si>
  <si>
    <t>Premature,weight gain</t>
  </si>
  <si>
    <t>Olga Maria Silverio Amancio</t>
  </si>
  <si>
    <t>omsamancio.dped@epm.br</t>
  </si>
  <si>
    <t>Immediate and late effects of immersion in cold water in the post-exercise recovery on clinical functional metabolic autonomic and cardiovascular parameters</t>
  </si>
  <si>
    <t>U1111-1159-5139</t>
  </si>
  <si>
    <t>Population survey on the prevalence of risk and protective factors for cardiovascular disease in the metropolitan region of Maringá</t>
  </si>
  <si>
    <t>U1111-1151-0011</t>
  </si>
  <si>
    <t>Cardiovascular diseases,Hypertension</t>
  </si>
  <si>
    <t>Sonia Silva Marcon</t>
  </si>
  <si>
    <t>+55(44)30114513</t>
  </si>
  <si>
    <t>soniasilva.marcon@gmail.com</t>
  </si>
  <si>
    <t>Acupressure associated with breathing technique and relaxation for pain relief during labor: a randomized clinical trial</t>
  </si>
  <si>
    <t>05/22/2015</t>
  </si>
  <si>
    <t>U1111-1145-8435</t>
  </si>
  <si>
    <t>Labor,Obstetric,Labor pain</t>
  </si>
  <si>
    <t>Colchicine for reduction of Atrial Fibrillation after coronary artery bypass - randomized study</t>
  </si>
  <si>
    <t>U1111-1168-5662</t>
  </si>
  <si>
    <t>Atrial fibrillation,Chronic ischemic heart disease</t>
  </si>
  <si>
    <t>Camila Stuchi Zarpelon</t>
  </si>
  <si>
    <t>+55(41)88095594</t>
  </si>
  <si>
    <t>camilastuchi@yahoo.com.br</t>
  </si>
  <si>
    <t>Hospital Santa Casa de Misericórdia de Curitiba</t>
  </si>
  <si>
    <t>Heart rate recovery after exercise: regulatory mechanisms</t>
  </si>
  <si>
    <t>05/21/2015</t>
  </si>
  <si>
    <t>U1111-1148-7219</t>
  </si>
  <si>
    <t>Comparison of physiological and behavioral parameters between preterm infants placed in the prone and lateral (crossover design)</t>
  </si>
  <si>
    <t>05/19/2015</t>
  </si>
  <si>
    <t>U1111-1147-8611</t>
  </si>
  <si>
    <t>The Distraction Technique in relieving pain and reducing stress in hospitalized children</t>
  </si>
  <si>
    <t>05/18/2015</t>
  </si>
  <si>
    <t>U1111-1167-0853</t>
  </si>
  <si>
    <t>Maria Beatriz Martins Linhares</t>
  </si>
  <si>
    <t>+55 (16) 3315 4610</t>
  </si>
  <si>
    <t>Evaluation of infant development of children born soropositive mothers</t>
  </si>
  <si>
    <t>U1111-1157-3006</t>
  </si>
  <si>
    <t>HIV/AIDS,vertical transmission</t>
  </si>
  <si>
    <t>Kaitiana martins da silva</t>
  </si>
  <si>
    <t>Bertioga</t>
  </si>
  <si>
    <t>+55 (13) 996052275</t>
  </si>
  <si>
    <t>Gestational low back pain: Correlation between the lumbar curve lumbar flexibility and low back pain</t>
  </si>
  <si>
    <t>U1111-1167-8969</t>
  </si>
  <si>
    <t>Gestacional Low back pain</t>
  </si>
  <si>
    <t>Correlation between lumbar curvature lumbar flexibility low back pain and physical activity level surfers in the municipality of Matinhos-PR</t>
  </si>
  <si>
    <t>U1111-1167-8944</t>
  </si>
  <si>
    <t>Pain lumbar</t>
  </si>
  <si>
    <t>Virtual reality as a means of promoting health in university UFPR Setor Litoral</t>
  </si>
  <si>
    <t>1111-1161-2334</t>
  </si>
  <si>
    <t>Clinical evaluation of a universal adhesive system with different etching procedures</t>
  </si>
  <si>
    <t>U1111-1162-2839</t>
  </si>
  <si>
    <t>Dental carie. Dentin hypersensitivity</t>
  </si>
  <si>
    <t>Marcos de Oliveira Barceleiro</t>
  </si>
  <si>
    <t>+55 (21) 999 915 236</t>
  </si>
  <si>
    <t>marcosbarceleiro@gmail.com</t>
  </si>
  <si>
    <t>Assessment of maternal vitamin A supplementation on the retinol levels and alpha-tocopherol in human milk</t>
  </si>
  <si>
    <t>U1111-1164-7053</t>
  </si>
  <si>
    <t>Kinesio taping for pregnancy lumbar pain: randomized controlled trial</t>
  </si>
  <si>
    <t>U1111-1166-4736</t>
  </si>
  <si>
    <t>Pregnant woman,lumbar pain</t>
  </si>
  <si>
    <t>Maria Amelia Miquelutti Spilla</t>
  </si>
  <si>
    <t>mamiquelutti@gmail.com</t>
  </si>
  <si>
    <t>Evaluation of clinical efficacy and Perceived Improvement of fatigue in the legs and feet</t>
  </si>
  <si>
    <t>05/14/2015</t>
  </si>
  <si>
    <t>U1111-1158-1887</t>
  </si>
  <si>
    <t>Effects of inspiratory muscle training in patients with asthma</t>
  </si>
  <si>
    <t>U1111-1150-3193</t>
  </si>
  <si>
    <t>Individuals with controlled asthma</t>
  </si>
  <si>
    <t>Gardênia Maria Holanda Ferreira</t>
  </si>
  <si>
    <t>+55 (84) 8803 3888</t>
  </si>
  <si>
    <t>holanda@ufrnet.br</t>
  </si>
  <si>
    <t>Effect of different fat sources consumption associated with low-calorie diet in controlling excess body weight</t>
  </si>
  <si>
    <t>05/13/2015</t>
  </si>
  <si>
    <t>U1111-1165-5090</t>
  </si>
  <si>
    <t>Maria do Carmo Gouveia Peluzio</t>
  </si>
  <si>
    <t>+55 (31) 3899 1275</t>
  </si>
  <si>
    <t>mpeluzio@gmail.com</t>
  </si>
  <si>
    <t>Effects of body awareness therapy in cardiac autonomic modulation of women after surgery for breast cancer</t>
  </si>
  <si>
    <t>U1111-1162-3788</t>
  </si>
  <si>
    <t>Mariana Romanholi Palma</t>
  </si>
  <si>
    <t>+55(18)99719-1152</t>
  </si>
  <si>
    <t>marianaromanholi@hotmail.com</t>
  </si>
  <si>
    <t>Universidade Estadual Paulista Julio de Mesquita Filho- FCT/UNESP</t>
  </si>
  <si>
    <t>The effects of statins on the progression of cardiovascular disease in kidney transplant patients</t>
  </si>
  <si>
    <t>U1111-1133-7666</t>
  </si>
  <si>
    <t>Renal transplant,cardiovascular disease</t>
  </si>
  <si>
    <t>DANIEL CONSTANTINO YAZBEK</t>
  </si>
  <si>
    <t>55-11- 5904-8499</t>
  </si>
  <si>
    <t>dialisefor@uol.com.br</t>
  </si>
  <si>
    <t>Constipation in academics and its relationship with food consumption: prevalence and nutritional intervention</t>
  </si>
  <si>
    <t>U1111-1159-7340</t>
  </si>
  <si>
    <t>Diseases of the digestive system. Constipation</t>
  </si>
  <si>
    <t>Effect of inspiratory muscle training on adaptation structural and neural of respiratory muscle</t>
  </si>
  <si>
    <t>U1111-1158-8772</t>
  </si>
  <si>
    <t>Healthy volunteers,respiratory muscle,sedentary lifestyle</t>
  </si>
  <si>
    <t>Efects of Metabolic and nutritional protein supplement diet in patients with low energy diet for treatment of weight regain in the late postoperative bariatric surgery</t>
  </si>
  <si>
    <t>U1111-1136-0576</t>
  </si>
  <si>
    <t>Daniela Lopes Gomes</t>
  </si>
  <si>
    <t>+55(61)82144342</t>
  </si>
  <si>
    <t>danilg.nutri@hotmail.com</t>
  </si>
  <si>
    <t>The clinical effectiveness of conventional therapy versus osteopathic manipulative treatment in patients with chronic nonspecific low back pain: A randomized clinical trial</t>
  </si>
  <si>
    <t>U1111-1155-6751</t>
  </si>
  <si>
    <t>Leandro Alberto Calazans Nogueira</t>
  </si>
  <si>
    <t>+55(21)98797 5050</t>
  </si>
  <si>
    <t>leandro.nogueira@ifrj.edu.br</t>
  </si>
  <si>
    <t>Evaluation of clinical efficacy and perceived improvement of fatigue in the legs and feet</t>
  </si>
  <si>
    <t>U1111-1158-1897</t>
  </si>
  <si>
    <t>Dynamic stabilization lumbopelvic for treatment of urinary incontinence in womem</t>
  </si>
  <si>
    <t>U1111-1154-2231</t>
  </si>
  <si>
    <t>Nathalia Souza Abreu Freire</t>
  </si>
  <si>
    <t>+55 (32) 9979 1739</t>
  </si>
  <si>
    <t>nathyfst@gmail.com</t>
  </si>
  <si>
    <t>Relation between holistic gymnastics and posture in 10 to 13 year-old females</t>
  </si>
  <si>
    <t>U1111-1147-1220</t>
  </si>
  <si>
    <t>Posture of healthy ten to twelve year old female students</t>
  </si>
  <si>
    <t>Cecilia Guarnieri Batista</t>
  </si>
  <si>
    <t>cecigb@fcm.unicamp.br</t>
  </si>
  <si>
    <t>Universidade Estadual de CampinasUNICAMP</t>
  </si>
  <si>
    <t>Analysis of the thickness of the transversus abdominis muscle and respiratory muscle strength after application of the Pilates method</t>
  </si>
  <si>
    <t>U1111-1144-7690</t>
  </si>
  <si>
    <t>Prevention,Abdominal muscles,Respiratory muscles,Muscle weakness,Chronic obstructive pulmonary disease</t>
  </si>
  <si>
    <t>+55(51) 33161100</t>
  </si>
  <si>
    <t>mariane.monteiro@metodistadosul.edu.br</t>
  </si>
  <si>
    <t>Centro Universitario Metodista,do Ipa</t>
  </si>
  <si>
    <t>Passion Fruit effect on the central nervous system</t>
  </si>
  <si>
    <t>U1111-1168-8727</t>
  </si>
  <si>
    <t>Janilson Avelino da Silva</t>
  </si>
  <si>
    <t>janilsonsilva@globomail.com</t>
  </si>
  <si>
    <t>Use of medications in preventing sensitivity arising from tooth bleaching</t>
  </si>
  <si>
    <t>04/29/2015</t>
  </si>
  <si>
    <t>U1111-1150-2914</t>
  </si>
  <si>
    <t>+55 (42) 32203741</t>
  </si>
  <si>
    <t>Open approach versus Arthroscopy surgery in the treatment of articular infection of the knee in adults: a randomized clinical trial with a 24-month follow-up</t>
  </si>
  <si>
    <t>U1111-1165-9320</t>
  </si>
  <si>
    <t>Arthroscopy,septic arthritis,knee joint</t>
  </si>
  <si>
    <t>Monika Cochon</t>
  </si>
  <si>
    <t>comissoes@santamarcelina.org</t>
  </si>
  <si>
    <t>Octreoscan - kits production of tumor diagnosis neuroendocrine</t>
  </si>
  <si>
    <t>04/25/2015</t>
  </si>
  <si>
    <t>U1111-1165-7145</t>
  </si>
  <si>
    <t>Cancer,neuroendocrine tumors (NET)</t>
  </si>
  <si>
    <t>Cristina Maria Jeckel</t>
  </si>
  <si>
    <t>cmjeckel@pucrs.br</t>
  </si>
  <si>
    <t>Evaluation of maternal supplementation with vitamin E in its natural form (ethyl RRR-alpha-tocopherol) or synthetic (ethyl all-rac-alpha-tocopherol) on the levels of alpha-tocopherol in different stages of breast milk</t>
  </si>
  <si>
    <t>U1111-1154-2023</t>
  </si>
  <si>
    <t>Acquired haemolytic anaemia,Dietary Supplements,nutritional deficiency,Obstetric Labor,Premature</t>
  </si>
  <si>
    <t>Heleni Aires Clemente</t>
  </si>
  <si>
    <t>heleni.aires22@hotmail.com</t>
  </si>
  <si>
    <t>Evaluation of the efficacy of nasal application of silver sulfadiazine for decolonization of patients with methicillin-resistant Staphylococcus aureus in hospitals</t>
  </si>
  <si>
    <t>04/24/2015</t>
  </si>
  <si>
    <t>U1111-1152-6061</t>
  </si>
  <si>
    <t>Lécio Rodrigues Ferreira</t>
  </si>
  <si>
    <t>+55 (16) 99305 8230</t>
  </si>
  <si>
    <t>leco.rfr@gmail.com</t>
  </si>
  <si>
    <t xml:space="preserve">Effects of osteopathic manipulative treatment ( OMT )in functionality of patients with congestive heart failure: a randomized clinical trial </t>
  </si>
  <si>
    <t>04/17/2015</t>
  </si>
  <si>
    <t>U1111-1167-8725</t>
  </si>
  <si>
    <t>Effects of global manipulation in the pelvis on ankles instability</t>
  </si>
  <si>
    <t>U1111-1144-7879</t>
  </si>
  <si>
    <t>Ankle instability</t>
  </si>
  <si>
    <t>Effects of intravenous Tranexamic Acid on surgical arterial ligations for severe epistaxis</t>
  </si>
  <si>
    <t>U1111-1148-1305</t>
  </si>
  <si>
    <t>Severe epistaxis submitted to surgical arterial ligation</t>
  </si>
  <si>
    <t>JOAO PAULO MANGUSSI COSTA GOMES</t>
  </si>
  <si>
    <t>+55 (11) 98278-5776</t>
  </si>
  <si>
    <t>joaopauloemt@gmail.com</t>
  </si>
  <si>
    <t>Universidade federal de São Paulo - Escola Paulista de Medicina (UNIFESP-EPM)</t>
  </si>
  <si>
    <t>Influence of Bacterial Biofilms in Clinical Treatment of Patients with Acute Exacerbation Chronic Rhinossinusitis</t>
  </si>
  <si>
    <t>U1111-1140-3900</t>
  </si>
  <si>
    <t>Henrique Augusto Cantareira Sabino</t>
  </si>
  <si>
    <t>+55(16)-8146-0806</t>
  </si>
  <si>
    <t>hensabino@yahoo.com.br</t>
  </si>
  <si>
    <t>Analysis of fatigue and immune response cells in cancer patients treated with exergames Randomized and controlled clinical trial</t>
  </si>
  <si>
    <t>04/16/2015</t>
  </si>
  <si>
    <t>U1111-1168-2175</t>
  </si>
  <si>
    <t>Cancer,muscle fatigue</t>
  </si>
  <si>
    <t>Effect of resistance physical training periodization on women with Hyperandrogenic Anovulation</t>
  </si>
  <si>
    <t>U111111570262</t>
  </si>
  <si>
    <t>Determination of the prognostic value of the expression profile of micro RNAs in patients with Chagas disease</t>
  </si>
  <si>
    <t>U1111-1145-9249</t>
  </si>
  <si>
    <t>Milena Botelho Pereira Soares</t>
  </si>
  <si>
    <t>milenabpsoares@gmail.com</t>
  </si>
  <si>
    <t>Centro de Biotecnologia e Terapia Celular</t>
  </si>
  <si>
    <t>Validation of the use of galectin-3 as a biomarker for determining prognosis of patients with Chagas disease</t>
  </si>
  <si>
    <t>U1111-1143-5404</t>
  </si>
  <si>
    <t>Chronic Chagas Disease with cardiac involvement</t>
  </si>
  <si>
    <t>Biological and neurocognitive markers in neuropsychiatry</t>
  </si>
  <si>
    <t>U1111-1168-403</t>
  </si>
  <si>
    <t>Débora Lima</t>
  </si>
  <si>
    <t>+55 (21) 3938-5555</t>
  </si>
  <si>
    <t>debora.lima@idor.org</t>
  </si>
  <si>
    <t>Prospective study parallel double-blind multicenter for evaluation of efficacy and safety of Orlistat 60mg for adult obesity treatment compared to Orlistat 120mg</t>
  </si>
  <si>
    <t>U1111-1145-2627</t>
  </si>
  <si>
    <t>Claudia Corte Freitas</t>
  </si>
  <si>
    <t>Hortolandia</t>
  </si>
  <si>
    <t>+55(19)38879359</t>
  </si>
  <si>
    <t>pesquisa.clinica@ems.com.br</t>
  </si>
  <si>
    <t>EMS</t>
  </si>
  <si>
    <t>Effect of different Cleaning Methods on denture adhesive removal and influence in oral microbiota of denture wearers in vivo study</t>
  </si>
  <si>
    <t>U1111-1155-0141</t>
  </si>
  <si>
    <t>Edentulous patients,complete denture wearers</t>
  </si>
  <si>
    <t>Effects of two physical exercise programs on issues related to the physical cardiovascular biological and metabolic functions in healthy subjects</t>
  </si>
  <si>
    <t>U1111-1130-5977</t>
  </si>
  <si>
    <t>Jayme Netto Júnior</t>
  </si>
  <si>
    <t>+55(18)32295527</t>
  </si>
  <si>
    <t>Faculdade de Ciências e Tecnologia - Universidade Estadual Paulista Júlio de Mesquita Filho</t>
  </si>
  <si>
    <t>Game therapy in the treatment of postural deviations of schoolchildren aged 10 to 15 years</t>
  </si>
  <si>
    <t>U1111-1167-4618</t>
  </si>
  <si>
    <t>Postural changes</t>
  </si>
  <si>
    <t>+55 (45) 9960 2233</t>
  </si>
  <si>
    <t>Randomized phase III multicenter double-blind double-dummy trial to assess the effect of combined treatment of Indapamide 1.5mg / Losartan 50 mg and Indapamide 1.5mg / Losartan 100mg compared to monotherapy Indapamide 1.5 mg in the treatment of essential hypertension</t>
  </si>
  <si>
    <t>U1111-1146-8485</t>
  </si>
  <si>
    <t>Impact of exercise on risk factors in overweight and obese postmenopausal women</t>
  </si>
  <si>
    <t>U1111-1147-4598</t>
  </si>
  <si>
    <t>Nutrition Disorders</t>
  </si>
  <si>
    <t>Walkiria Martinez Heinrich Ferrer</t>
  </si>
  <si>
    <t>+55 (14) 2105-4000</t>
  </si>
  <si>
    <t>nap@unimar.br</t>
  </si>
  <si>
    <t>Physiotherapy approaches in Parkinsons Disease</t>
  </si>
  <si>
    <t>U1111-1164-3613</t>
  </si>
  <si>
    <t>Parkinsons disease,Enfermedad de Parkinson</t>
  </si>
  <si>
    <t>Laura Alice Santos de Oliveira</t>
  </si>
  <si>
    <t>+55 (21) 3327-8995</t>
  </si>
  <si>
    <t>lauraoliveira.ft@gmail.com</t>
  </si>
  <si>
    <t>Sociedade Unificada de Ensino Augusto Motta - UNISUAM</t>
  </si>
  <si>
    <t>Comparison of Platelet Rich Plasma (PRP) infiltration with Corticosteroid + Local anesthetic in patients with Hip tendinobursitis</t>
  </si>
  <si>
    <t>U1111-1163-1876</t>
  </si>
  <si>
    <t>Trochanteric bursitis</t>
  </si>
  <si>
    <t>Giancarlo Cavalli Polesello</t>
  </si>
  <si>
    <t>+55(11)33677700</t>
  </si>
  <si>
    <t>giancarlopolesello@hotmail.com</t>
  </si>
  <si>
    <t>Evaluation of the impact of access to information on quality of life of women with Polycystic Ovary Syndrome a randomized controlled trial</t>
  </si>
  <si>
    <t>U1111-1162-1457</t>
  </si>
  <si>
    <t>Polycystic Ovary Syndrome. Quality of Life</t>
  </si>
  <si>
    <t>Fernando Marcos dos Reis</t>
  </si>
  <si>
    <t>+55(31)34099485</t>
  </si>
  <si>
    <t>reis@medicina.ufmg.br</t>
  </si>
  <si>
    <t>The Effectiveness of Acupuncture for patients with Tinnitus in relation to vitamin D and the amount of protein of IL6 and TNF Alpha activity: randomized crossover trial</t>
  </si>
  <si>
    <t>U1111-1162-3637</t>
  </si>
  <si>
    <t>Ana Carolina Marcotti Dias Carolina Dias</t>
  </si>
  <si>
    <t>+55(43)33717775</t>
  </si>
  <si>
    <t>acmarcotti@hotmail.com</t>
  </si>
  <si>
    <t>Biomechanical and hemodynamic changes in patients with COPD treated with transcutaneous electrical stimulation diaphragmatic</t>
  </si>
  <si>
    <t>U1111-1167-3733</t>
  </si>
  <si>
    <t>BRUNO MARTINELLI</t>
  </si>
  <si>
    <t>Effects of aquatic exercises in trunk control and their interference in gait of subjects with cerebral palsy</t>
  </si>
  <si>
    <t>U1111-1158-3320</t>
  </si>
  <si>
    <t>Cerebral palsy in children. Cerebral palsy</t>
  </si>
  <si>
    <t>Luize Bueno de Araujo</t>
  </si>
  <si>
    <t>+55(41)96464892</t>
  </si>
  <si>
    <t>luizebueno@hotmail.com</t>
  </si>
  <si>
    <t>Hospital e Centro de Reabilitação da AACD</t>
  </si>
  <si>
    <t>Inspiratory muscle training in patients with chronic kidney disease on hemodialysis</t>
  </si>
  <si>
    <t>U1111-1142-2127</t>
  </si>
  <si>
    <t>Chronic Renal Failure Terminal</t>
  </si>
  <si>
    <t>Simone Regina Posser</t>
  </si>
  <si>
    <t>Marau</t>
  </si>
  <si>
    <t>+55(54)8409-6027</t>
  </si>
  <si>
    <t>si_posser@yahoo.com.br</t>
  </si>
  <si>
    <t>Effects of pulmonary hyperinflation on the kinetics of oxygen uptake in patients with Chronic Obstructive Pulmonary Disease</t>
  </si>
  <si>
    <t>03/31/2015</t>
  </si>
  <si>
    <t>U1111-1155-1527</t>
  </si>
  <si>
    <t>Paulo de Tarso Müller</t>
  </si>
  <si>
    <t>The music listening applied to children undergoing surgery: a nursing intervention to relieve anxiety</t>
  </si>
  <si>
    <t>U1111-1163-4360</t>
  </si>
  <si>
    <t>Mariana André Honorato Franzoi</t>
  </si>
  <si>
    <t>+55(61)84025032</t>
  </si>
  <si>
    <t>mari.franzoi88@gmail.com</t>
  </si>
  <si>
    <t>Evaluation of maternal supplementation with vitamin E in its natural form (Acetate RRR-alpha-tocopherol) or synthetic (Acetate All-Race-Alpha Tocopherol) on the levels of alpha-tocopherol in breast milk</t>
  </si>
  <si>
    <t>03/27/2015</t>
  </si>
  <si>
    <t>U1111-1144-1649</t>
  </si>
  <si>
    <t>Effects of Kangaroo Methods in the neurobehavior of preterm infants</t>
  </si>
  <si>
    <t>U1111-1159-1197</t>
  </si>
  <si>
    <t>Marina Carvalho de Moraes Barros</t>
  </si>
  <si>
    <t>+55 (11) 3021 1542</t>
  </si>
  <si>
    <t>marinamoraesbarros@uol.com.br</t>
  </si>
  <si>
    <t>Eficacy and tolerability of Meclin®(Meclizine Chlorhydrate) in acute vertigo</t>
  </si>
  <si>
    <t>U1111-1149-6768</t>
  </si>
  <si>
    <t>Carina Sotoriva Ribeiro Lovato</t>
  </si>
  <si>
    <t>+55 (11) 5645 5179</t>
  </si>
  <si>
    <t>carina.lovato@apsen.com.br</t>
  </si>
  <si>
    <t>Apsen Farmacêutica S/A</t>
  </si>
  <si>
    <t>Effects of nonablative radiofrequency and phototherapy in reduction of periorbital and nasolabial wrinkles in young adult women</t>
  </si>
  <si>
    <t>03/23/2015</t>
  </si>
  <si>
    <t>U1111-1157-2184</t>
  </si>
  <si>
    <t>Skin aging,wrinkle</t>
  </si>
  <si>
    <t>Mariana Chaves Aveiro</t>
  </si>
  <si>
    <t>+55(13)981177212</t>
  </si>
  <si>
    <t>mariana.aveiro@unifesp.br</t>
  </si>
  <si>
    <t>Intervention program for health promotion in schools of public elementary school in the state of Rio Grande do Sul: clinical randomized study</t>
  </si>
  <si>
    <t>03/19/2015</t>
  </si>
  <si>
    <t>U1111-1155-7731</t>
  </si>
  <si>
    <t>Daniela  Schneid Schuh</t>
  </si>
  <si>
    <t>+55 (51) 85615637</t>
  </si>
  <si>
    <t>danielaschneid@gmail.com</t>
  </si>
  <si>
    <t>Instituto de Cardiologia de Porto Alegre/Fundação Universitária de Cardiologia</t>
  </si>
  <si>
    <t>Effectiveness of support in psychoeducation in reducing the burden for families of patients with psychological distress</t>
  </si>
  <si>
    <t>U1111-1152-8176</t>
  </si>
  <si>
    <t>Emotional overload,common mental disorders</t>
  </si>
  <si>
    <t>Comparison of methodologies applied to masticatory function evaluation</t>
  </si>
  <si>
    <t>03/18/2015</t>
  </si>
  <si>
    <t>U1111-1155-0307</t>
  </si>
  <si>
    <t>Faculdade de Odontologia de Piracicaba UNICAMP</t>
  </si>
  <si>
    <t>Comparison of the clinical efficiency between two wires sequences for orthodontic alignment and leveling</t>
  </si>
  <si>
    <t>U1111-1159-8429</t>
  </si>
  <si>
    <t>Crowded teeth,orthodontic treatment,Malocclusion,Orthodontic Wires</t>
  </si>
  <si>
    <t>Etevaldo Matos Maia Filho</t>
  </si>
  <si>
    <t>rizzimaia@yahoo.com.br</t>
  </si>
  <si>
    <t>Centro Universitário do Maranhão</t>
  </si>
  <si>
    <t>Consultation of nursing as a strategy for the promotion of self-care for people with Diabetes Mellitus</t>
  </si>
  <si>
    <t>U1111-1159-2145</t>
  </si>
  <si>
    <t>Effect of TENS in fibromyalgia:randomized clinical trial</t>
  </si>
  <si>
    <t>U1111-1160-1560</t>
  </si>
  <si>
    <t>Hydrotherapy in balance in elderly individuals</t>
  </si>
  <si>
    <t>U1111-1155-8281</t>
  </si>
  <si>
    <t>Palloma Rodrigues Andrade</t>
  </si>
  <si>
    <t>LED therapy in muscle fatigue</t>
  </si>
  <si>
    <t>03/13/2015</t>
  </si>
  <si>
    <t>1111-1160-4935</t>
  </si>
  <si>
    <t>Sarcopenia,Muscle fatigue</t>
  </si>
  <si>
    <t>Antonio Balbin Villaverde</t>
  </si>
  <si>
    <t>+55(12)39054401</t>
  </si>
  <si>
    <t>abvillaverde@gmail.com</t>
  </si>
  <si>
    <t>Effects of low-level laser therapy on isokinetic muscle performance in elderly women</t>
  </si>
  <si>
    <t>U1111-1139-6149</t>
  </si>
  <si>
    <t>Comparison of physical exercise in elderly</t>
  </si>
  <si>
    <t>U1111-1158-9334</t>
  </si>
  <si>
    <t>Falls,postural balance,muscle strength,flexibility,quality of life</t>
  </si>
  <si>
    <t>Deise Aparecida de Almeida Pires Oliveira</t>
  </si>
  <si>
    <t>+55 (43) 3339 3769</t>
  </si>
  <si>
    <t>deisepyres@gmail.com</t>
  </si>
  <si>
    <t>Comparison of the Absorption of Calcium Carbonate in Patients with Definitive Hypoparathyroidism Ingested Three Different Ways: Fasting with Water or Orange Juice and After Breakfast</t>
  </si>
  <si>
    <t>U1111-1141-0343</t>
  </si>
  <si>
    <t>hypoparathyroidism,thyroidectomy</t>
  </si>
  <si>
    <t>+55(14) 3880 1171</t>
  </si>
  <si>
    <t>Faculdade de Medicina de Botucatu - Universidade Estadual Paulista Júlio de Mesquita Filho - Unesp</t>
  </si>
  <si>
    <t>Review of non-pharmacological interventions for pain relief in labor</t>
  </si>
  <si>
    <t>U1111-1142-1103</t>
  </si>
  <si>
    <t>labor pain,Pain Measurement</t>
  </si>
  <si>
    <t>Angelita José Henrique</t>
  </si>
  <si>
    <t>55115576-4430</t>
  </si>
  <si>
    <t>angel.j.henrique@gmail.com</t>
  </si>
  <si>
    <t>The TAVR feasibility Study_a pilot non-randomised single-arm clinical study to evaluate the feasibility and safety of the valve medical TAVR product in patients with severe symptomatic aortic stenosis</t>
  </si>
  <si>
    <t>02/17/2015</t>
  </si>
  <si>
    <t>U1111-1157-9845</t>
  </si>
  <si>
    <t>Patients with severe symptomatic native aortic valve stenosis</t>
  </si>
  <si>
    <t>Juliana Polachini de Castro</t>
  </si>
  <si>
    <t>55 (11) 5083-1001</t>
  </si>
  <si>
    <t>juliana.castro@crcmed.com.br</t>
  </si>
  <si>
    <t>Cardiovascular Research Center</t>
  </si>
  <si>
    <t>Transcranial direct-current stimulation combined with treamill training for Stroke:a randomized controlled duble-blind clinical trial</t>
  </si>
  <si>
    <t>U1111-1157-1751</t>
  </si>
  <si>
    <t>11 3665 9750</t>
  </si>
  <si>
    <t>CQAB149BAR01 - 24-week study to evaluate efficacy and safety of the combination budesonide / indacaterol vs fluticasone /salmeterol in patients with COPD</t>
  </si>
  <si>
    <t>U1111-1148-9633</t>
  </si>
  <si>
    <t>Unspecified Chronic Obstructive Pulmonary Disease</t>
  </si>
  <si>
    <t>Alexandre Pinto Cardoso</t>
  </si>
  <si>
    <t>+55 21 2561-4584</t>
  </si>
  <si>
    <t>alexandrecardoso@hucff.ufrj.br</t>
  </si>
  <si>
    <t>Universidade Federal do RJ</t>
  </si>
  <si>
    <t>Evaluation of the process of empowerment group education in Diabetes in Primary Health Care</t>
  </si>
  <si>
    <t>U1111-1155-8379</t>
  </si>
  <si>
    <t>Endocrine disease. Diabetes Mellitus Type 2</t>
  </si>
  <si>
    <t>+55 (31) 3409-9850</t>
  </si>
  <si>
    <t>Predictor factors of the cognitive outcome in subjects with mild cognitive impairment submitted to aerobic physical exercise</t>
  </si>
  <si>
    <t>U1111-1149-2365</t>
  </si>
  <si>
    <t>Mild Cognitive impairment,late onset Alzheimer disease</t>
  </si>
  <si>
    <t>Fábio Henrique de Gobbi Porto</t>
  </si>
  <si>
    <t>+55 (11) 30861326</t>
  </si>
  <si>
    <t>portofhg@gmail.com</t>
  </si>
  <si>
    <t>Phase II randomized placebo-controlled double-blind clinical trial to evaluate the effects and safety of infusion of low-doses of Methilprednisolone in early Acute Lung Injury (ALI) and Acute Respiratory Distress Syndrome (ARDS) in children</t>
  </si>
  <si>
    <t>U1111-1133-2438</t>
  </si>
  <si>
    <t>Instituto DOr de Pesquisa</t>
  </si>
  <si>
    <t>Effectiveness of nursing interventions using the telephone</t>
  </si>
  <si>
    <t>02/26/2015</t>
  </si>
  <si>
    <t>U1111-1158-6171</t>
  </si>
  <si>
    <t>Diná de Almeida Lopes</t>
  </si>
  <si>
    <t>+55 (11) 3061-7523</t>
  </si>
  <si>
    <t>dinamcruz@usp.br</t>
  </si>
  <si>
    <t>Escola de Enfermagem da Universidade de São Paulo-EEUSP</t>
  </si>
  <si>
    <t>Definition of a standard length of nasogastric tube in adults: randomized clinical trial</t>
  </si>
  <si>
    <t>U1111-1151-8209</t>
  </si>
  <si>
    <t>Pneumonia,Aspiration</t>
  </si>
  <si>
    <t>Sandra Cristina Veiga de Oliveira Santos</t>
  </si>
  <si>
    <t>55(19)3521-8820</t>
  </si>
  <si>
    <t>sancrisvos@gmail.com</t>
  </si>
  <si>
    <t>Duration of the analgesic effect of cryotherapy on perineal pain after childbirth: clinical trial</t>
  </si>
  <si>
    <t>U1111-1139-1025</t>
  </si>
  <si>
    <t>Edivan Timóteo</t>
  </si>
  <si>
    <t>55 (11) 3061-7533</t>
  </si>
  <si>
    <t>ppq.ppqe.ee@uso.br</t>
  </si>
  <si>
    <t>Phase III study to evaluate the noninferiority of levobupivacaine with excess 50% (levobupivacaine S75: R25) heavy compared to racemic bupivacaine (bupivacaine S50: R50) heavy in spinal anesthesia for lower limb orthopedic procedures</t>
  </si>
  <si>
    <t>02/25/2015</t>
  </si>
  <si>
    <t>U1111-1154-4812</t>
  </si>
  <si>
    <t>Effect of almond consumption baru on the lipid profile oxidative stress and inflammatory women overweight</t>
  </si>
  <si>
    <t>U1111-1154-0461</t>
  </si>
  <si>
    <t>+55 (62) 3209 6270</t>
  </si>
  <si>
    <t>Faculdade de Nutrição - Fanut/UFG</t>
  </si>
  <si>
    <t>Technology assessment in the implementation of a screening and matrix model of oral cancer in Goias state: study of cost-effectiveness of visual inspection and inspections with florescence</t>
  </si>
  <si>
    <t>U1111-1157-2964</t>
  </si>
  <si>
    <t>Mayara Barbosa Viandelli Mundim</t>
  </si>
  <si>
    <t>+55 (62) 82221114</t>
  </si>
  <si>
    <t>mayara.viandelli@gmail.com</t>
  </si>
  <si>
    <t>Public health actions to enhance latent TB infection treatment</t>
  </si>
  <si>
    <t>02/24/2015</t>
  </si>
  <si>
    <t>U1111-1154-2937</t>
  </si>
  <si>
    <t>Latent tuberculosis infection</t>
  </si>
  <si>
    <t>Anete  Trajman</t>
  </si>
  <si>
    <t>atrajman@gmail.com</t>
  </si>
  <si>
    <t>Effect of Therapeutic Touch for prevention of Diabetic Foot</t>
  </si>
  <si>
    <t>U1111-11533194</t>
  </si>
  <si>
    <t>Diabetes mellitus,Diabetic foot</t>
  </si>
  <si>
    <t>Érika de Cássia Lopes Chaves</t>
  </si>
  <si>
    <t>+55 (35) 32991380</t>
  </si>
  <si>
    <t>Effects of Running Technique Modification on lower limb kinematics and muscle activation in runners with and without Patellofemoral Pain</t>
  </si>
  <si>
    <t>02/23/2015</t>
  </si>
  <si>
    <t>U1111-1161-1780</t>
  </si>
  <si>
    <t>Patellofemoral pain</t>
  </si>
  <si>
    <t>Ana Flavia dos Santos</t>
  </si>
  <si>
    <t>+55(16)33066575</t>
  </si>
  <si>
    <t>aflavinha4@hotmail.com</t>
  </si>
  <si>
    <t>Effects of mate tea (ilex paraguariensis) consumption on muscle strength and concentration of inflammatory and oxidative stress markers after eccentric exercise</t>
  </si>
  <si>
    <t>U1111-1161-1169</t>
  </si>
  <si>
    <t>Muscle damage,muscle strength restoration,oxidative stress,inflammation</t>
  </si>
  <si>
    <t>Edson Luiz da Silva</t>
  </si>
  <si>
    <t>+55 (48) 3721-9000</t>
  </si>
  <si>
    <t>edson@ccs.ufsc.br</t>
  </si>
  <si>
    <t>Effects of two periodized resisted training programs on markers of metabolic syndrome and functional fitness</t>
  </si>
  <si>
    <t>U1111-1151-9031</t>
  </si>
  <si>
    <t>Metabolic syndrome x,sedentary lifestyle</t>
  </si>
  <si>
    <t>Ítalo Ribeiro Lemes</t>
  </si>
  <si>
    <t>itolemes@hotmail.com</t>
  </si>
  <si>
    <t>Effect of neural mobilization and automobilization in hamstring flexibility in older</t>
  </si>
  <si>
    <t>02/20/2015</t>
  </si>
  <si>
    <t>U1111-1158-1671</t>
  </si>
  <si>
    <t>Seânia Aurélio Nunes de Santos Leal</t>
  </si>
  <si>
    <t>seaniasantos@hotmail.com</t>
  </si>
  <si>
    <t>Effect of periodontal treatment on endothelial and microvascular functions and gingival fluid and blood levels of immunoinflammatory biomarkers in type 2 diabetics with severe periodontitis</t>
  </si>
  <si>
    <t>02/19/2015</t>
  </si>
  <si>
    <t>U1111-1154-0643</t>
  </si>
  <si>
    <t>Type 2 diabetes mellitus,severe periodontitis</t>
  </si>
  <si>
    <t>Ronaldo Lira Júnior</t>
  </si>
  <si>
    <t>+55 (21) 2868 8282</t>
  </si>
  <si>
    <t>lira_jr@hotmail.com</t>
  </si>
  <si>
    <t>Perineal care during pregnancy and postpartum period: prevention and morbidity related to pelvic floor muscle strength sexual function and urinary continence</t>
  </si>
  <si>
    <t>U1111-1139-1749</t>
  </si>
  <si>
    <t>Urinary incontinence during pregnancy</t>
  </si>
  <si>
    <t>Maria Luiza Gonzalez Riesco</t>
  </si>
  <si>
    <t>+55 (11) 3061-7607</t>
  </si>
  <si>
    <t>riesco@usp.br</t>
  </si>
  <si>
    <t>Comparison of nasal CPAP and nasal CPAP with a Cycling Time in preterm infants</t>
  </si>
  <si>
    <t>U1111-1157-1081</t>
  </si>
  <si>
    <t>Respiratory distress syndrome,Noninvasive Ventilation,newborn</t>
  </si>
  <si>
    <t>Evaluation of the skin firmness and elasticity</t>
  </si>
  <si>
    <t>02/18/2015</t>
  </si>
  <si>
    <t>U1111-1160-3390</t>
  </si>
  <si>
    <t>Sagging skin</t>
  </si>
  <si>
    <t>Camila Sirieiro Abreu</t>
  </si>
  <si>
    <t>+55 21 21226100</t>
  </si>
  <si>
    <t>cabreu@fqm.com.br</t>
  </si>
  <si>
    <t>Farmoquimica S.A</t>
  </si>
  <si>
    <t>Vestibular Rehabilitation assessment in elderly patients with Benign Paroxysmal Positional Vertigo (BPPV)</t>
  </si>
  <si>
    <t>U1111-1149-9347</t>
  </si>
  <si>
    <t>Benign Paroxysmal Positional Vertigo (BPPV),dizziness,aging,postural balance</t>
  </si>
  <si>
    <t>Ricardo Oliveira Guerra</t>
  </si>
  <si>
    <t>+55 (84) 3342 2006</t>
  </si>
  <si>
    <t>roguerra@ufrnet.br</t>
  </si>
  <si>
    <t>UNIVERSIDADE FEDERAL DO RIO GRANDE DO NORTE</t>
  </si>
  <si>
    <t>A multicentre randomized double-blind placebo controlled parallel group study of oral CP 690550 as an induction therapy in subjects with moderate to severe ulcerative colitis</t>
  </si>
  <si>
    <t>U1111-1137-3644</t>
  </si>
  <si>
    <t>Ulcerative Colitis</t>
  </si>
  <si>
    <t>Laboratórios Pfizer Ltda Laboratórios Pfizer Ltda</t>
  </si>
  <si>
    <t>0800 7701575</t>
  </si>
  <si>
    <t>falepfizer@pfizer.com</t>
  </si>
  <si>
    <t>Laboratórios Pfizer Ltda</t>
  </si>
  <si>
    <t>Kinect and functional impact of foot orthoses in rheumatoid arthritis feet</t>
  </si>
  <si>
    <t>U1111-1156-0748</t>
  </si>
  <si>
    <t>+55(71)21012900</t>
  </si>
  <si>
    <t>Transcranial direct current stimulation associated with upper limb functional training for childrens with spastic hemiparetic cerebral palsy:a randomized controlled double-blind clinical trial</t>
  </si>
  <si>
    <t>u1111-1157-0998</t>
  </si>
  <si>
    <t xml:space="preserve">Spastic hemiparesis cerebral palsy </t>
  </si>
  <si>
    <t>+55(11)38681681</t>
  </si>
  <si>
    <t>Associação Educacional nove de Julho ( UNINOVE)</t>
  </si>
  <si>
    <t>Effects of noninvasive ventilation with positive pressure in the pulmonary function functional capacity and inflammatory response after coronary artery bypass grafting: A Randomized Controlled Trial</t>
  </si>
  <si>
    <t>U1111-1143-4739</t>
  </si>
  <si>
    <t>Mara Lilian Soares Nasrala</t>
  </si>
  <si>
    <t>+55 (65) 9962 5948</t>
  </si>
  <si>
    <t>maranasrala@yahoo.com.br</t>
  </si>
  <si>
    <t>Training of Pelvic Floor Muscles before and after Pelvic Organs Prolapse (POP) surgery</t>
  </si>
  <si>
    <t>U1111-1157-8169</t>
  </si>
  <si>
    <t>Pelvic Organs Prolapse</t>
  </si>
  <si>
    <t>+55(16)36020741</t>
  </si>
  <si>
    <t>Evaluation of static and dynamic balance in elderly patients with Mild Cognitive Impairment</t>
  </si>
  <si>
    <t>1111-1157-6116</t>
  </si>
  <si>
    <t>Diseases of the Nervous System,Mild Cognitive Impairment</t>
  </si>
  <si>
    <t>Osvaldo Massaiti Takayanagui</t>
  </si>
  <si>
    <t>+55 (16) 3602 2548</t>
  </si>
  <si>
    <t>omtakay@fmrp.usp.br</t>
  </si>
  <si>
    <t>Evaluation of the use of a nasal spray solution of sodium chloride 0.9% in the immediate postoperative septoplasty and turbinecotomy and its impact on quality of life of the patient</t>
  </si>
  <si>
    <t>U1111-1156-1734</t>
  </si>
  <si>
    <t>Marina Serrato Fagundes</t>
  </si>
  <si>
    <t>(41) 3314-1500</t>
  </si>
  <si>
    <t>ma.serrato@hotmail.com</t>
  </si>
  <si>
    <t>Hospital IPO - Hospital Paranaense de Otorrinolaringologia</t>
  </si>
  <si>
    <t>Evaluation of the implementation of school prevention programs to drug use for children and adolescents</t>
  </si>
  <si>
    <t>U1111-1158-0601</t>
  </si>
  <si>
    <t>Evaluation of the implementation of school prevention program s to drug use for children and adolescents (Randomized controlled trial)</t>
  </si>
  <si>
    <t>U1111-1158-8901</t>
  </si>
  <si>
    <t>Consumption patterns of alcohol and other drugs nightclubs: Epidemiology Ethnography and Intervention</t>
  </si>
  <si>
    <t>U1111-1159-3587</t>
  </si>
  <si>
    <t>Zila Sanchez</t>
  </si>
  <si>
    <t>+55(11)989348282</t>
  </si>
  <si>
    <t>Magic Touch</t>
  </si>
  <si>
    <t>U1111-1158-8519</t>
  </si>
  <si>
    <t>In-stent Restenosis,Lesions in Coronary Arteries (coronary artery disease)</t>
  </si>
  <si>
    <t>Soraya  Cristina da Silva</t>
  </si>
  <si>
    <t>+55 (62) 3625-5018</t>
  </si>
  <si>
    <t>SSilva@scitechmed.com</t>
  </si>
  <si>
    <t>Scitech Produtos Médicos Ltda</t>
  </si>
  <si>
    <t>Effect of the method Pilates in relation: thoracic hyperkyphosis and balance postural in elderly women</t>
  </si>
  <si>
    <t>U1111-1147-2155</t>
  </si>
  <si>
    <t>Effects of Kinesiotaping on functional performance on healthy young subjects</t>
  </si>
  <si>
    <t>01/30/2015</t>
  </si>
  <si>
    <t>U1111-1142-0891</t>
  </si>
  <si>
    <t>Rodrigo Luiz Carregaro</t>
  </si>
  <si>
    <t>+55 (61) 3107-2500</t>
  </si>
  <si>
    <t>rodrigocarregaro@unb.br</t>
  </si>
  <si>
    <t>Treating asthmatic children to prevent asthma exacerbations (TREXA-Minas Gerais Research Protocol)</t>
  </si>
  <si>
    <t>01/27/2015</t>
  </si>
  <si>
    <t>U1111-1149-4774</t>
  </si>
  <si>
    <t>Mild persistent asthma</t>
  </si>
  <si>
    <t>Paulo Augusto Moreira Camargos</t>
  </si>
  <si>
    <t>+55(31) 3409 9773</t>
  </si>
  <si>
    <t>pcamargs@medicina.ufmg.br</t>
  </si>
  <si>
    <t>Universidade Federal de Minas Gerais/Faculdade de Medicina</t>
  </si>
  <si>
    <t>Effects of a therapeutic exercise program and education about posture scoliosis posture of schoolchildren in the city of Santa Cruz RN from the review by photogrammetry and visual assessment</t>
  </si>
  <si>
    <t>U1111-1148-2474</t>
  </si>
  <si>
    <t>Scoliosis</t>
  </si>
  <si>
    <t>Influence of support area plantar in balance and electromyographic activity</t>
  </si>
  <si>
    <t>01/26/2015</t>
  </si>
  <si>
    <t>U1111-1151-8385</t>
  </si>
  <si>
    <t>Prevention,accidents from falls,postural balance,aging population</t>
  </si>
  <si>
    <t>navegamt@marilia.unesp.br</t>
  </si>
  <si>
    <t>Universidade Estadual Paulista Júlio Mesquita Filho Campus Marília. Faculdade de Filosofia e Ciências</t>
  </si>
  <si>
    <t>Immediate and delayed effects of cold water immersion after eccentric exercise protocol</t>
  </si>
  <si>
    <t>01/23/2015</t>
  </si>
  <si>
    <t>U1111-1147-6348</t>
  </si>
  <si>
    <t>Legs musculoskeletal injuries</t>
  </si>
  <si>
    <t>Aryane Flauzino Machado</t>
  </si>
  <si>
    <t>+55(18)981422543</t>
  </si>
  <si>
    <t>aryfmachado@yahoo.com.br</t>
  </si>
  <si>
    <t>Universidade Estadual Paulista FCT/UNESP</t>
  </si>
  <si>
    <t>Randomized clinical trial comparing the effectiveness of therapy bromopride metoclopramide and ondansetron intramuscular for treatment of vomiting</t>
  </si>
  <si>
    <t>01/21/2015</t>
  </si>
  <si>
    <t>U1111-1147-2251</t>
  </si>
  <si>
    <t>Bartira Ercília Pinheiro da Costa</t>
  </si>
  <si>
    <t>+55 (55) 3320 3500</t>
  </si>
  <si>
    <t>bart@pucrs.br</t>
  </si>
  <si>
    <t>Pontifícia Universidade Católica do Rio Grande do Sul- Comissão Científica</t>
  </si>
  <si>
    <t>Impact of psychotherapy in choosing sexual partners of patients with paraphilias receiving drug treatment</t>
  </si>
  <si>
    <t>U1111-1141-6085</t>
  </si>
  <si>
    <t>Mental,behavioural disorders,disorders of sexual preference,excessive sexual drive,paedophilia</t>
  </si>
  <si>
    <t>Carmita Helena Najjar Abdo</t>
  </si>
  <si>
    <t>+55 (11) 2661 6982</t>
  </si>
  <si>
    <t>carmita.abdo@uol.com.br</t>
  </si>
  <si>
    <t>The use of isostreching and aerobic exercises with virtual rehabilitation in the treatment of Fibromyalgia</t>
  </si>
  <si>
    <t>01/15/2015</t>
  </si>
  <si>
    <t>U1111-1135-7647</t>
  </si>
  <si>
    <t>+55(35)32922377</t>
  </si>
  <si>
    <t>Application of noninvasive positive pressure ventilation after extubation in neonates</t>
  </si>
  <si>
    <t>U1111-1144-6900</t>
  </si>
  <si>
    <t>Respiratory Distress Syndrome Newborn</t>
  </si>
  <si>
    <t>+55(31)34082222</t>
  </si>
  <si>
    <t>simonensribeiro@hotmail.com</t>
  </si>
  <si>
    <t>A randomized double-blind phase 3 study evaluating the efficacy and safety of ABP 980 compared with trastuzumab in subjects with HER2 positive early breast cancer</t>
  </si>
  <si>
    <t>U1111-1139-5435</t>
  </si>
  <si>
    <t>HER2 positive early breast cancer. Overlapping lesion of breast</t>
  </si>
  <si>
    <t>+55 (11) 3150-1155</t>
  </si>
  <si>
    <t>Vestibular rehabilitation and pharmacoterapy</t>
  </si>
  <si>
    <t>U1111-1141-6257</t>
  </si>
  <si>
    <t>Vestibular diseases,Vertigo</t>
  </si>
  <si>
    <t>Karen Barros Parron Fernandes</t>
  </si>
  <si>
    <t>+55(43)3371-9848</t>
  </si>
  <si>
    <t>karenparron@gmail.com</t>
  </si>
  <si>
    <t>Effectiveness of the Pilates method and the supplementation with Green Tea (Camelia Sinensis) in the biochemical oxidative markers antioxidant status levels and in gene expression in elderly patients with Metabolic Syndrome - clinical trial randomized double blind</t>
  </si>
  <si>
    <t>U1111-1153-0811</t>
  </si>
  <si>
    <t>Obesity,abdominal obesity,type 2 diabetes,hypertension,metabolic syndrome</t>
  </si>
  <si>
    <t>Maria Valle Gottlieb</t>
  </si>
  <si>
    <t>+55(51)33368153</t>
  </si>
  <si>
    <t>maria.gottlieb@pucrs.br</t>
  </si>
  <si>
    <t>Program de Pós-Graduação em Gerontologia Biomédica,Instituto de Geriatria e Gerontologia da Pontifícia Universidade Católica do Rio Grande do Sul</t>
  </si>
  <si>
    <t>Sequential study of vestibular function post cochlear implantation (CI) in postlingually patients</t>
  </si>
  <si>
    <t>U1111-1156-0026</t>
  </si>
  <si>
    <t>vestibular diseases,cochlear implant,vertigo,postlingual deafness,eletronistagmography</t>
  </si>
  <si>
    <t>Eduardo Massad</t>
  </si>
  <si>
    <t>cappesq@hcnet.usp.br</t>
  </si>
  <si>
    <t>Diretoria Clínica do Hospital das Clínicas da Faculdade de Medicina da Universidade de São Paulo</t>
  </si>
  <si>
    <t>Study of CYP2C19 ABCB1 and PON1 polymorphism in patients submitted to percutaneous coronary intervention and correlation to platelet aggregation in a brazilian population receiving simple and double anti-platelet therapy</t>
  </si>
  <si>
    <t>U1111-1141-2565</t>
  </si>
  <si>
    <t>Coronary atherosclerotic disease,Platelet Aggregation,Cytochrome P-450 Enzyme System</t>
  </si>
  <si>
    <t>Monique Tonani</t>
  </si>
  <si>
    <t>+55 (16) 3602 2783</t>
  </si>
  <si>
    <t>moniquetonani@yahoo.com.br</t>
  </si>
  <si>
    <t>Effectiveness comparison of the Bobath concept versus muscle strength training to improve motor and non-motor symptoms in patients with Parkinsons disease: randomized clinical trial</t>
  </si>
  <si>
    <t>12/17/2014</t>
  </si>
  <si>
    <t>U1111-1144-9884</t>
  </si>
  <si>
    <t>Evaluation of masticatory capacity pattern of mandibular movement maximum bite force and quality of life in elderly patients with Rheumatoid Arthritis</t>
  </si>
  <si>
    <t>12/15/2014</t>
  </si>
  <si>
    <t>U1111-1157-6832</t>
  </si>
  <si>
    <t>rheumatoid arthritis,temporomandibular disorders</t>
  </si>
  <si>
    <t>KELLY MACHADO DE ANDRADE</t>
  </si>
  <si>
    <t>55 (19) 981011314</t>
  </si>
  <si>
    <t>kellyunicamp@hotmail.com</t>
  </si>
  <si>
    <t>Faculdade de odontologia de Piracicaba</t>
  </si>
  <si>
    <t>Acute and chronic cardiovascular responses to resistance training in individuals with intermittent claudication</t>
  </si>
  <si>
    <t>U1111-1141-0529</t>
  </si>
  <si>
    <t>Peripheral vascular disease,intermittent claudication,hypertension</t>
  </si>
  <si>
    <t>+55 (81) 9728 6878</t>
  </si>
  <si>
    <t>Health care college student: assessment and treatment of Anxiety and and the presence of TMD</t>
  </si>
  <si>
    <t>U1111-1147-3083</t>
  </si>
  <si>
    <t>Denise Hollanda Iunes</t>
  </si>
  <si>
    <t>+55(35)3292-1515</t>
  </si>
  <si>
    <t>deniseiunes@unifal-mg.edu.br</t>
  </si>
  <si>
    <t>Universidade Federal de Alfenas- UNIFAL-MG</t>
  </si>
  <si>
    <t>Influence of interval aerobic exercise training on cardiorespiratory and metabolic variables and inflammatory markers in patients with different level of coronary artery lesions</t>
  </si>
  <si>
    <t>U1111-1147-2633</t>
  </si>
  <si>
    <t>Coronary artery disease,hipertension,diabetes mellitus,obesity,dyslipidemias</t>
  </si>
  <si>
    <t>Ester da Silva</t>
  </si>
  <si>
    <t>esilvas@ufscar.br</t>
  </si>
  <si>
    <t>Exercise in the Prevention of Falls in Elderly Institutionalized</t>
  </si>
  <si>
    <t>U1111-1154-5749</t>
  </si>
  <si>
    <t>Camila Tomicki</t>
  </si>
  <si>
    <t>Carlos Gomes</t>
  </si>
  <si>
    <t>+55(54)91435075</t>
  </si>
  <si>
    <t>camitomicki@gmail.com</t>
  </si>
  <si>
    <t>Functional physiological assessment and nutritional status of individuals in hemodialysis undergoing respiratory kinesiotherapy</t>
  </si>
  <si>
    <t>U1111-1125-3102</t>
  </si>
  <si>
    <t>Chronic kidney failure,hemodialysis,respiratory damages</t>
  </si>
  <si>
    <t>Viviane Soares</t>
  </si>
  <si>
    <t>ftviviane@gmail.com</t>
  </si>
  <si>
    <t>Methods transition of offer of diet to premature newborn</t>
  </si>
  <si>
    <t>U1111-1155-9459</t>
  </si>
  <si>
    <t>Viviane Castro de Araújo</t>
  </si>
  <si>
    <t>+55(69)32118035</t>
  </si>
  <si>
    <t>araujocviviane@gmail.com</t>
  </si>
  <si>
    <t>Faculdade São Lucas</t>
  </si>
  <si>
    <t>An open-label extension study of UT-15C in subjects with pulmonary arterial hypertension - a long-term follow-up to protocol TDE-PH-310</t>
  </si>
  <si>
    <t>U1111-1137-9875</t>
  </si>
  <si>
    <t>Primary or secondary pulmonary arterial hypertension,other specified pulmonary heart diseases</t>
  </si>
  <si>
    <t>Effects of low power LASER and LED associated with exercises and positioning in Lumbar Disc Herniation: a randomized clinical trial</t>
  </si>
  <si>
    <t>U1111-1147-7846</t>
  </si>
  <si>
    <t>Intervertebral Disc Displacement,Radiculopathy,Low Back Pain</t>
  </si>
  <si>
    <t>Maria Ester Ibiapina Mendes de Carvalho</t>
  </si>
  <si>
    <t>+55 86 8834 -7026</t>
  </si>
  <si>
    <t>mariaester_imc@yahoo.com.br</t>
  </si>
  <si>
    <t>Analysis of the intervention on physical fitness of elderly San Pedro neighborhood Teresina Piaui : a comparative study</t>
  </si>
  <si>
    <t>U1111-1155-9772</t>
  </si>
  <si>
    <t>Physical Fitness. Balance Postural</t>
  </si>
  <si>
    <t>Effects of chest compression in patients on mechanical ventilation</t>
  </si>
  <si>
    <t>11/26/2014</t>
  </si>
  <si>
    <t>U1111-1148-4045</t>
  </si>
  <si>
    <t>Ada Clarice Gastaldi</t>
  </si>
  <si>
    <t>+55 16 3602 3058</t>
  </si>
  <si>
    <t>ada@fmrp.usp.br</t>
  </si>
  <si>
    <t>Early skin to skin contact: effect on maternal stress and mother-child interaction at 2 and 4 months corrected gestational age</t>
  </si>
  <si>
    <t>11/25/2014</t>
  </si>
  <si>
    <t>U1111-1144-8079</t>
  </si>
  <si>
    <t>Premature birth,mother-child relations</t>
  </si>
  <si>
    <t>Lélia Maria Madeira</t>
  </si>
  <si>
    <t>+55(31)34082249</t>
  </si>
  <si>
    <t>lep@sofiafeldman.org.br</t>
  </si>
  <si>
    <t>Fundação de Assistência Integral a Saúde - Hospital Sofia Feldman</t>
  </si>
  <si>
    <t>Comparative study of Bronchoalveolar Lavage and Tracheal Aspirate in the diagnosis and treatment of Ventilator-Associated Pneumonia</t>
  </si>
  <si>
    <t>U1111-1158-5148</t>
  </si>
  <si>
    <t>Ricardo de Amorim Corrêa</t>
  </si>
  <si>
    <t>(31)3409-9255</t>
  </si>
  <si>
    <t>racorrea9@gmail.com</t>
  </si>
  <si>
    <t>Programa de Pós-Graduação: Infectologia e Medicina Tropical - Faculdade de Medicina da Universidade Federal de Minas Gerais</t>
  </si>
  <si>
    <t>Influence of education and self-care modalities on pain and function related to Chronic Temporomandibular Disorder: clinical trial randomized double-blinded controlled</t>
  </si>
  <si>
    <t>11/18/2014</t>
  </si>
  <si>
    <t>U1111-1139-7342</t>
  </si>
  <si>
    <t>Chronic Pain,Temporomandibular Joint Disorders</t>
  </si>
  <si>
    <t>Interdisciplinary approach of mouth breathers: use of Isostreching in treating respiratory and postural Techniques and Orofacials</t>
  </si>
  <si>
    <t>11/17/2014</t>
  </si>
  <si>
    <t>U1111-1134-5916</t>
  </si>
  <si>
    <t>Oral breathing</t>
  </si>
  <si>
    <t>Evaluation of the incretin effect in healthy patients and in obese patients with and without type 2 diabetes through Isoglycemic Clamp before and after surgery (Biliopancreatic Diversion) or drug (Inhibitor of Dipeptidyl Peptidase IV [DPP-IV])</t>
  </si>
  <si>
    <t>U1111-1138-9265</t>
  </si>
  <si>
    <t>Type 2 diabetes,obesity,bariatric surgery</t>
  </si>
  <si>
    <t>Bruno Geloneze</t>
  </si>
  <si>
    <t>+55 (19) 3521 8589</t>
  </si>
  <si>
    <t>bgeloneze@terra.com.br</t>
  </si>
  <si>
    <t>Determination of waste Anesthetic Gases and evaluation of genomic and oxidative stress in newly exposed professionals</t>
  </si>
  <si>
    <t>U1111-1147-6069</t>
  </si>
  <si>
    <t>Occupational exposure,waste anesthetic gases,genotoxicity,oxidative stress</t>
  </si>
  <si>
    <t>+55 (14) 3811 6222</t>
  </si>
  <si>
    <t>Evaluation of a training program efficacy for residents in breaking bad news in perinatology using standardized patients</t>
  </si>
  <si>
    <t>U1111-1152-3255</t>
  </si>
  <si>
    <t>Ability to break bad news in perinatology</t>
  </si>
  <si>
    <t>Maria Silvia V Setubal</t>
  </si>
  <si>
    <t>+55 (19) 3521 9333</t>
  </si>
  <si>
    <t>silviasetubal@yahoo.com</t>
  </si>
  <si>
    <t>Influence of the depression treatment with escitalopram in mild to moderate arterial hypertension</t>
  </si>
  <si>
    <t>U1111-1151-9095</t>
  </si>
  <si>
    <t>Marcello Finardi Peixoto</t>
  </si>
  <si>
    <t>+55(11)34998580</t>
  </si>
  <si>
    <t>marcello.fp@uol.com.br</t>
  </si>
  <si>
    <t>Characterization of local mechanisms (trigger points) of abdominal myofascial syndrome in women with chronic pelvic pain using surface and needle electromyography</t>
  </si>
  <si>
    <t>U1111-1152-7622</t>
  </si>
  <si>
    <t>chronic pelvic pain,myofascial pain syndrome</t>
  </si>
  <si>
    <t>Suelen Soares</t>
  </si>
  <si>
    <t>+55(16)3602 2231</t>
  </si>
  <si>
    <t>pgdgo@fmrp.usp.br</t>
  </si>
  <si>
    <t>Departamento de Ginecologia e Obstetrícia - Comissão de Pesquisa</t>
  </si>
  <si>
    <t>Analysis of risk factors related to postural changes in children from the city of Santa Cruz / RN</t>
  </si>
  <si>
    <t>10/24/2014</t>
  </si>
  <si>
    <t>U1111-1135-5189</t>
  </si>
  <si>
    <t>Effect of the pH consistency and fluoride concentration of liquid dentifrices in caries control of fluoridated and not fluoridated áreas: randomized clinical trials</t>
  </si>
  <si>
    <t>10/21/2014</t>
  </si>
  <si>
    <t>U1111-1150-6525</t>
  </si>
  <si>
    <t>Cristiane de Almeida Baldini Cardoso</t>
  </si>
  <si>
    <t>+55 (14) 32358246</t>
  </si>
  <si>
    <t>crisabc83@gmail.com</t>
  </si>
  <si>
    <t>The efficacy of speech therapy in post-intubated patients with oropharyngeal dysphagia</t>
  </si>
  <si>
    <t>10/15/2014</t>
  </si>
  <si>
    <t>U1111-1130-4295</t>
  </si>
  <si>
    <t>Sergio Saldanha Menna Barreto</t>
  </si>
  <si>
    <t>(51) 3359.8000</t>
  </si>
  <si>
    <t>smenna@terra.com.br</t>
  </si>
  <si>
    <t>Policy Relevant Outcomes from Validating Evidence on Impact of Line Probe Assay and MTB/RIF on Presumptive Diagnosis of DR-TB in Brazil</t>
  </si>
  <si>
    <t>U1111-1151-4424</t>
  </si>
  <si>
    <t>Resistant Tuberculosis</t>
  </si>
  <si>
    <t>+55 (21) 2562-2426</t>
  </si>
  <si>
    <t>Effect of Supplementation of Chromium Picolinate on blood glucose with Type 2 Diabetes</t>
  </si>
  <si>
    <t>U1111-1158-5602</t>
  </si>
  <si>
    <t>Maria Graça Medeiros</t>
  </si>
  <si>
    <t>+55(84)99888158</t>
  </si>
  <si>
    <t>Effects of carbohydrate supplementation on physical performance and hormonal immunological and psychological responses during and after an intensive training program</t>
  </si>
  <si>
    <t>U1111-1158-8089</t>
  </si>
  <si>
    <t>Maysa  Vieira de Sousa</t>
  </si>
  <si>
    <t>+5511 30617258</t>
  </si>
  <si>
    <t>maysavs@uol.com.br</t>
  </si>
  <si>
    <t>Glucose 25% and nonnutritive sucking for pain relief in premature undergoing heel lance: a clinical trial</t>
  </si>
  <si>
    <t>U1111-1151-6073</t>
  </si>
  <si>
    <t>PAIN</t>
  </si>
  <si>
    <t>Sensation</t>
  </si>
  <si>
    <t>Comite de Ética em Pesquisa EEAN/HESFA</t>
  </si>
  <si>
    <t>Cidade Nova</t>
  </si>
  <si>
    <t>55(21)2293-8148 ramal 228</t>
  </si>
  <si>
    <t>cepeeanhesfa@gmail.com</t>
  </si>
  <si>
    <t>Escola de Enfermagem Anna Nery da Universidade Federal do Rio de Janeiro</t>
  </si>
  <si>
    <t>Evaluation of monitoring telephone in promoting self-care in Diabetes in primary health</t>
  </si>
  <si>
    <t>09/22/2014</t>
  </si>
  <si>
    <t>U1111-1155-3681</t>
  </si>
  <si>
    <t>Bárbara Sgarbi Morgan</t>
  </si>
  <si>
    <t>+55 (31) 8444 8886</t>
  </si>
  <si>
    <t>barbarasgarbi2@yahoo.com.br</t>
  </si>
  <si>
    <t>Clinical trial: influence of the practice of Pilates on the incidence of urinary incontinence perineal strength low back pain in the third trimester</t>
  </si>
  <si>
    <t>09/18/2014</t>
  </si>
  <si>
    <t>U1111-1155-5315</t>
  </si>
  <si>
    <t>Urinary incontinence. Back pain. Back pain. Urinary incontinence unspecified</t>
  </si>
  <si>
    <t>Mariana Mara Buen</t>
  </si>
  <si>
    <t>55 19 998080009</t>
  </si>
  <si>
    <t>marianambuen@hotmail.com</t>
  </si>
  <si>
    <t>A Randomized single-blinded parallel group and unicentric Phase IV Clinical Study of non-inferiority comparing the drug Lysine Clonixinate (Dolamin®) and Ibuprofen (Advil®) in reducing acute pain related to tendinopathy in patients</t>
  </si>
  <si>
    <t>09/16/2014</t>
  </si>
  <si>
    <t>U1111-1132-5246</t>
  </si>
  <si>
    <t>Pain related to tendinopathies</t>
  </si>
  <si>
    <t>Thales Braga</t>
  </si>
  <si>
    <t>tbraga@fqm.com.br</t>
  </si>
  <si>
    <t>Effect of TENS in pain after cesarean</t>
  </si>
  <si>
    <t>09/15/2014</t>
  </si>
  <si>
    <t>U1111-1138-3783</t>
  </si>
  <si>
    <t>Inciosional pain postcesarean. Cesarean section. Pain,postoperative. Abdominal pain</t>
  </si>
  <si>
    <t>+55(79) 2105-1700</t>
  </si>
  <si>
    <t>Pragmatic Diagnostic Trial of Cinical-Laboratory Algorithm for Dengue in Emergency Care Units in Rio de Janeiro</t>
  </si>
  <si>
    <t>U1111-1145-9451</t>
  </si>
  <si>
    <t>Sonia Regina Lambert Passos</t>
  </si>
  <si>
    <t>+55(21)38829208</t>
  </si>
  <si>
    <t>sonia.lambert@ipec.fiocruz.br</t>
  </si>
  <si>
    <t>Safety and Efficacy Evaluation of Artemisinin-based Combination Therapy for the Treatment of Uncomplicated Plasmodium vivax Malaria</t>
  </si>
  <si>
    <t>U1111-1132-8050</t>
  </si>
  <si>
    <t>Uncomplicated Plasmodium vivax Malaria</t>
  </si>
  <si>
    <t>Élisson Carvalho Souto</t>
  </si>
  <si>
    <t>+55 69 32196000</t>
  </si>
  <si>
    <t>elisson_pvh@hotmail.com</t>
  </si>
  <si>
    <t>IPEPATRO - Instituto de Pesquisas em Patologias Tropicais</t>
  </si>
  <si>
    <t>Association between craniofacial morphology temporomandibular disorders bite force masticatory performance and chewing ability</t>
  </si>
  <si>
    <t>U1111-1146-4775</t>
  </si>
  <si>
    <t>+55 (19) 2106 5240</t>
  </si>
  <si>
    <t>Faculdade de Odontologia de Piracicaba,Universidade Estadual de Campinas</t>
  </si>
  <si>
    <t>Functional electrical stimulation for shoulder subluxation after chronic stroke (AVE)</t>
  </si>
  <si>
    <t>08/24/2014</t>
  </si>
  <si>
    <t>U1111-1148-9479</t>
  </si>
  <si>
    <t>Analysis of the effects of pilates method associated with respiratory physiotherapy in patients with cystic fibrosis</t>
  </si>
  <si>
    <t>08/22/2014</t>
  </si>
  <si>
    <t>U1111-1149-8174</t>
  </si>
  <si>
    <t>Caroline Buarque Franco</t>
  </si>
  <si>
    <t>Belem</t>
  </si>
  <si>
    <t>+55 (91) 8028 5999</t>
  </si>
  <si>
    <t>caroline.buarque@gmail.com</t>
  </si>
  <si>
    <t>The impact of supplementation with L-carnitine on left ventricular remodeling in patients with ischemic heart failure undergoing coronary artery bypass grafting</t>
  </si>
  <si>
    <t>08/19/2014</t>
  </si>
  <si>
    <t>U1111-1140-3424</t>
  </si>
  <si>
    <t>Left ventricular dysfunction,heart failure,Myocardial Ischemia</t>
  </si>
  <si>
    <t>Acute response of smokers mucociliary clearance exposed to moderate aerobic exercise</t>
  </si>
  <si>
    <t>08/18/2014</t>
  </si>
  <si>
    <t>U1111-1139-5514</t>
  </si>
  <si>
    <t>Cigarette smoking,impairment of mucociliary clearance</t>
  </si>
  <si>
    <t>Ercy  Mara Cipulo Ramos</t>
  </si>
  <si>
    <t>+55(18)3229-5821</t>
  </si>
  <si>
    <t>ercy@bol.com.br</t>
  </si>
  <si>
    <t>Effect of an intervention program with nutrition education and physical activity in the prevention of obesity in school children: a randomized controlled trial</t>
  </si>
  <si>
    <t>08/14/2014</t>
  </si>
  <si>
    <t>U1111-1142-1183</t>
  </si>
  <si>
    <t>Obesity,Pediatric Obesity</t>
  </si>
  <si>
    <t>Roberta Roggia Friedrich</t>
  </si>
  <si>
    <t>+55 (51) 8141 5478</t>
  </si>
  <si>
    <t>robertaroggiafriedrich@hotmail.com</t>
  </si>
  <si>
    <t>Porgrama de Pós-Graduação em Saúde da Criança e do Adolescente da Universidade Federal do Rio Grande do Sul (UFRGS)</t>
  </si>
  <si>
    <t>Efficacy of Total Intravenous Anesthesia (TIVA) in blocking Perioperative Elevation of NGAL in Laparoscopic Bariatric Surgery</t>
  </si>
  <si>
    <t>08/13/2014</t>
  </si>
  <si>
    <t>U1111-1152-6335</t>
  </si>
  <si>
    <t>Acute renal failure,morbid obesity</t>
  </si>
  <si>
    <t>nmodolo@fmb.unesp.br</t>
  </si>
  <si>
    <t>faculdade de medicina de Botucatu-UNESP</t>
  </si>
  <si>
    <t>Gymnastics for All in postural balance in noninstitutionalized elderly: a randomized controlled trial</t>
  </si>
  <si>
    <t>U1111-1147-4820</t>
  </si>
  <si>
    <t>Study of Balance Posture Control and Muscle Strength in Patients with Plantar Fasciitis</t>
  </si>
  <si>
    <t>U1111-1144-9253</t>
  </si>
  <si>
    <t>Danilo Harudy Kamonseki</t>
  </si>
  <si>
    <t>+55(15)981071743</t>
  </si>
  <si>
    <t>fisiot.danilo@hotmail.com</t>
  </si>
  <si>
    <t>Rehabilitation program of postural deviations</t>
  </si>
  <si>
    <t>U1111-1141-5705</t>
  </si>
  <si>
    <t>Dalva Minonroze Albuquerque Ferreira</t>
  </si>
  <si>
    <t>+55(18) 3229-5548</t>
  </si>
  <si>
    <t>dalva@fct.unesp.br</t>
  </si>
  <si>
    <t>Changes of a physical activity program based on the protocol of functional training on functional abilities body composition and quality of life of menopausal women</t>
  </si>
  <si>
    <t>07/30/2014</t>
  </si>
  <si>
    <t>U1111-1148-5887</t>
  </si>
  <si>
    <t>Menopausal women,sedentary</t>
  </si>
  <si>
    <t>+55 (18) 99158 1615</t>
  </si>
  <si>
    <t>Exercise program for musculoskeletal symptoms prevention in nursing personnel of Hospital Santa Casa de Misericórdia of São Carlos</t>
  </si>
  <si>
    <t>U1111-1124-9153</t>
  </si>
  <si>
    <t>Musculoskeletal pain among active nursing workers</t>
  </si>
  <si>
    <t>Roberta de Fa´tima Carreira Moreira</t>
  </si>
  <si>
    <t>roberta.carreira@gmail.com</t>
  </si>
  <si>
    <t>Evaluation of the effects of the mindulness meditation practices on cognition of adults with attention deficit hyperactivity disorder</t>
  </si>
  <si>
    <t>07/29/2014</t>
  </si>
  <si>
    <t>U1111-1130-5234</t>
  </si>
  <si>
    <t>Adults with attention deficit hyperactivity disorder (ADHD)</t>
  </si>
  <si>
    <t>Sabine Pompéia</t>
  </si>
  <si>
    <t>+55 (11) 3872 5993</t>
  </si>
  <si>
    <t>sapompeia@gmail.com</t>
  </si>
  <si>
    <t>Effects of Functional and Analytical Strength Training on Upper-Extremity Motor and Functional Recovery After Stroke: a Randomized Controlled Trial</t>
  </si>
  <si>
    <t>U1111-1127-3128</t>
  </si>
  <si>
    <t>Patrícia Graef</t>
  </si>
  <si>
    <t>+55(51)9398-6464</t>
  </si>
  <si>
    <t>patriciagraef@gmail.com</t>
  </si>
  <si>
    <t>Multifocal intervention in obese adolescents: social competence behavior problems academic performance and weight reduction</t>
  </si>
  <si>
    <t>07/18/2014</t>
  </si>
  <si>
    <t>U1111-1142-2783</t>
  </si>
  <si>
    <t>Graziela Sapienza</t>
  </si>
  <si>
    <t>+55(11)30245082</t>
  </si>
  <si>
    <t>graziela_sapienza@yahoo.com.br</t>
  </si>
  <si>
    <t>Impact of lumbosacral plexus stimulation by means of laparoscopically implanted eletrodes on urinary intestinal and vasomotor functions and on lower limb and pelvic floor spasticity and sleep quality in spinal cord injured individuals</t>
  </si>
  <si>
    <t>07/14/2014</t>
  </si>
  <si>
    <t>U1111-1147-8074</t>
  </si>
  <si>
    <t>Thoracic traumatic spinal cord injury,sequelae of injury of spinal cord</t>
  </si>
  <si>
    <t>Nucelio Luiz de Barros Moreira Lemos</t>
  </si>
  <si>
    <t>+55 (11) 5579 3321</t>
  </si>
  <si>
    <t>nucelio@gmail.com</t>
  </si>
  <si>
    <t>Correlation study of the adaptations into cardiac autonomic modulation and metabolic parameters in women with polycystic ovary syndrome submitted to aerobic training</t>
  </si>
  <si>
    <t>U1111-1148-6220</t>
  </si>
  <si>
    <t>Polycystic ovary syndrome,cardiac autonomic modulation,body mass index,adipokines</t>
  </si>
  <si>
    <t>Hugo Celso Dutra Souza</t>
  </si>
  <si>
    <t>+55 (16) 3602 4416</t>
  </si>
  <si>
    <t>Effects of different exercise programs on physical activity variables and physical functional and psychological fitness of elderly women</t>
  </si>
  <si>
    <t>U1111-1151-3212</t>
  </si>
  <si>
    <t>Denilson Castro Teixeira</t>
  </si>
  <si>
    <t>+55 (43) 3371 4000</t>
  </si>
  <si>
    <t>denict.9@gmail.com</t>
  </si>
  <si>
    <t>Influence of positive airway pressure in the magnitude post-exercise hipotension in hypertensive patients with obstructive sleep apnea</t>
  </si>
  <si>
    <t>U1111-1154-3262</t>
  </si>
  <si>
    <t>Obstructive Sleep Apnea Syndrome,Hypertension</t>
  </si>
  <si>
    <t>José Heriston Morais Lima</t>
  </si>
  <si>
    <t>+55(83)99947332</t>
  </si>
  <si>
    <t>joseheristonlima@yahoo.com.br</t>
  </si>
  <si>
    <t>UFPB</t>
  </si>
  <si>
    <t>Longevity of ART restorations in proximal cavities using different techniques of insertion and superficial protection</t>
  </si>
  <si>
    <t>U1111-1148-1751</t>
  </si>
  <si>
    <t>Daniela  Hesse</t>
  </si>
  <si>
    <t>+55 (11) 3091 7814</t>
  </si>
  <si>
    <t>dhesse@usp.br</t>
  </si>
  <si>
    <t>Effect of exercise orientations in the posture and plantar pressure distribution in children and adolescents with cystic fibrosis</t>
  </si>
  <si>
    <t>U1111-1150-7693</t>
  </si>
  <si>
    <t>Márcio Vinícius Fagundes Donadio</t>
  </si>
  <si>
    <t>+55 (51) 33203500</t>
  </si>
  <si>
    <t>Efficacy of sleep hygiene and phototherapy in sleep and quality of life measures of patients with heart failure - a clinical trial</t>
  </si>
  <si>
    <t>U1111-1142-6779</t>
  </si>
  <si>
    <t>Mariana Alvina dos Santos</t>
  </si>
  <si>
    <t>marifamema@yahoo.com.br</t>
  </si>
  <si>
    <t>Preventive measures and non-invasive therapies for back pains</t>
  </si>
  <si>
    <t>U1111-1140-7152</t>
  </si>
  <si>
    <t>+55 (81) 2126 8939</t>
  </si>
  <si>
    <t>Transcutaneous Electrical Nerve Stimulation (TENS) in the treatment of deep dyspareunia and assessment of the impact on the quality of life and sexuality of women with deep endometriosis: randomized controlled trial</t>
  </si>
  <si>
    <t>U1111-1145-5666</t>
  </si>
  <si>
    <t>Endometriosis. Dyspareunia</t>
  </si>
  <si>
    <t>Ticiana Aparecida Alves de Mira</t>
  </si>
  <si>
    <t>+55 (19)3521-9333</t>
  </si>
  <si>
    <t>ticiana.mira@gmail.com</t>
  </si>
  <si>
    <t>Efficacy of Healing Meditation in reducing anxiety of individuals at the stage of weight loss maintenance</t>
  </si>
  <si>
    <t>U1111-1154-4924</t>
  </si>
  <si>
    <t>anxiety,obesity</t>
  </si>
  <si>
    <t>behavior and behavior mechanisms</t>
  </si>
  <si>
    <t>Compliance to drug therapy of Epilepsy patients</t>
  </si>
  <si>
    <t>06/26/2014</t>
  </si>
  <si>
    <t>U1111-1142-3660</t>
  </si>
  <si>
    <t>Regina Marcia Cardoso de Sousa</t>
  </si>
  <si>
    <t>+55 (11) 3061-7563</t>
  </si>
  <si>
    <t>vian@usp.br</t>
  </si>
  <si>
    <t>Comparative analysis of the function of the pelvic floor muscles in women with and without knowledge about genital anatomy</t>
  </si>
  <si>
    <t>06/24/2014</t>
  </si>
  <si>
    <t>U1111-1149-3544</t>
  </si>
  <si>
    <t>Female urogenital diseases,muscle strength</t>
  </si>
  <si>
    <t>+55(61) 32545694</t>
  </si>
  <si>
    <t>Quality of Life in Patients undergoing Radiotherapy</t>
  </si>
  <si>
    <t>U1111-1148-2323</t>
  </si>
  <si>
    <t>Neoplasm,radiation,motor activity,quality of life</t>
  </si>
  <si>
    <t>Flavia Ribeiro Vital</t>
  </si>
  <si>
    <t>Muriae</t>
  </si>
  <si>
    <t>55 (32) 3729-7040</t>
  </si>
  <si>
    <t>fvital@fcv.org.br</t>
  </si>
  <si>
    <t>Effects of a resistance physical exercise program based on determination of anaerobic threshold in increasing resistance testing in patients with coronary artery disease</t>
  </si>
  <si>
    <t>U1111-1128-2716</t>
  </si>
  <si>
    <t>Acute myocardial infarction,coronary artery bypass grafting,angioplasty</t>
  </si>
  <si>
    <t>Flavia Cristina Rossi Caruso</t>
  </si>
  <si>
    <t>Effect of strength training in older depressed</t>
  </si>
  <si>
    <t>U1111-1157-6235</t>
  </si>
  <si>
    <t>Major Depression</t>
  </si>
  <si>
    <t>Heitor Dos Santos Silveira</t>
  </si>
  <si>
    <t>55-21-39362531</t>
  </si>
  <si>
    <t>hsilveira@hotmail.com</t>
  </si>
  <si>
    <t>Instituto de Psiquiatria - IPUB</t>
  </si>
  <si>
    <t>Impact of an intervention to increase physical activity levels and frequency of dietary intake of fruits and vegetables in college students: a randomized study</t>
  </si>
  <si>
    <t>U1111-1138-0933</t>
  </si>
  <si>
    <t>Rafael Miranda Tassitano</t>
  </si>
  <si>
    <t>rafael.tassitano@gmail.com</t>
  </si>
  <si>
    <t>Evaluation of Mothers Training and Auxiliary Methods on Babies Toothbrushing Effectiveness</t>
  </si>
  <si>
    <t>05/29/2014</t>
  </si>
  <si>
    <t>U1111-1150-5917</t>
  </si>
  <si>
    <t>Daniela Rios</t>
  </si>
  <si>
    <t>+55 (14) 981157718</t>
  </si>
  <si>
    <t>daniriosop@yahoo.com.br</t>
  </si>
  <si>
    <t>Centro Universitário de Maringá</t>
  </si>
  <si>
    <t>The impact of a health education program on neuroimmune and behavioral aspects of fibromyalgia patients</t>
  </si>
  <si>
    <t>U1111-1154-3202</t>
  </si>
  <si>
    <t>Fibromyalgia,chronic intractable pain,unspecified pain</t>
  </si>
  <si>
    <t>Phase II clinical trial prospective double-blind randomized placebo-controlled trial for the evaluation of G-CSF in patients with chronic Chagas cardiomyopathy</t>
  </si>
  <si>
    <t>05/28/2014</t>
  </si>
  <si>
    <t>U1111-1140-9584</t>
  </si>
  <si>
    <t>Ticiana Ferreira Larocca</t>
  </si>
  <si>
    <t>ticiana@cbtc-hsr.com.br</t>
  </si>
  <si>
    <t>Effect of skin-to-skin compared to sucrose for pain relief in infants undergoing repeated painful procedures: randomized clinical trial</t>
  </si>
  <si>
    <t>U1111-1132-8167</t>
  </si>
  <si>
    <t>Pain in newborn related to repeated heel puncture</t>
  </si>
  <si>
    <t>Liciane Langona Montanholi</t>
  </si>
  <si>
    <t>+55 (16) 3602 3411</t>
  </si>
  <si>
    <t>licianelm@gmail.com</t>
  </si>
  <si>
    <t>Escola de Enfermagem de Ribeirão Preto- Universidade de São Paulo</t>
  </si>
  <si>
    <t>Motor and sensitive response after posterior tibial nerve stimulation in elderly women with overactive bladder syndrome</t>
  </si>
  <si>
    <t>05/22/2014</t>
  </si>
  <si>
    <t>U1111-1149-2006</t>
  </si>
  <si>
    <t>Overactive bladder</t>
  </si>
  <si>
    <t>Aline Teixeira Alves</t>
  </si>
  <si>
    <t>aline.urogineco@gmail.com</t>
  </si>
  <si>
    <t>Faculdade de Ceilândia - FCE</t>
  </si>
  <si>
    <t>Strategies postural reaction in healthy subjects and with a deficit in motor control underwent postural disturbances</t>
  </si>
  <si>
    <t>09/26/2013</t>
  </si>
  <si>
    <t>U1111-1140-3460</t>
  </si>
  <si>
    <t>Josilene Souza Conceição</t>
  </si>
  <si>
    <t>+55(48)9947-4108</t>
  </si>
  <si>
    <t>josilenesouzaconceicao@gmail.com</t>
  </si>
  <si>
    <t>Association between genital prolapse and postural balance in elderly women</t>
  </si>
  <si>
    <t>05/13/2014</t>
  </si>
  <si>
    <t>U1111-1149-3286</t>
  </si>
  <si>
    <t>+55(61)34485320</t>
  </si>
  <si>
    <t>Bioelectrical impendance analysis parameters evaluation as severity biomarkers in the critically ill patient</t>
  </si>
  <si>
    <t>U1111-1141-1291</t>
  </si>
  <si>
    <t>Septic shock. Multiple organ dysfunction syndrome</t>
  </si>
  <si>
    <t>Zina Maria Almeida de Azevedo</t>
  </si>
  <si>
    <t>+55(21) 25541839</t>
  </si>
  <si>
    <t>zina@iff.fiocruz.br</t>
  </si>
  <si>
    <t>Instituto Fernandes Figueira - Fundação Oswaldo Cruz</t>
  </si>
  <si>
    <t>The effectiveness of taping in patients with osteoarthritis of the knee - randomized clinical trial: pilot study</t>
  </si>
  <si>
    <t>U1111-1137-1901</t>
  </si>
  <si>
    <t>11- 965-028866</t>
  </si>
  <si>
    <t>Effect of a group pelvic floor muscle training in climateric and post-menopausal women</t>
  </si>
  <si>
    <t>U1111-1150-9678</t>
  </si>
  <si>
    <t>urogynecological dysfunctions,urinary incontinence,cystocele,rectocele</t>
  </si>
  <si>
    <t>Fabíola Kenia Alves</t>
  </si>
  <si>
    <t>+55(19)3521 7481</t>
  </si>
  <si>
    <t>fabiolakenia@gmail.com</t>
  </si>
  <si>
    <t>Effect of an educational intervention in pregnancy to healthy eating with regional food</t>
  </si>
  <si>
    <t>U1111-1146-1923</t>
  </si>
  <si>
    <t>Sheyla Costa de Oliveira</t>
  </si>
  <si>
    <t>+55(81)21263661</t>
  </si>
  <si>
    <t>costa.shy@gmail.com</t>
  </si>
  <si>
    <t>Departamento de Enfermagem - Universidade Federal de Pernambuco</t>
  </si>
  <si>
    <t>Effects of cognitive-motor rehabilitation on non-motor symptoms of patients with Parkinsons disease: a controlled clinical trial</t>
  </si>
  <si>
    <t>04/30/2014</t>
  </si>
  <si>
    <t>U1111-1141-4694</t>
  </si>
  <si>
    <t>+55 (67) 9638 5040</t>
  </si>
  <si>
    <t>UFMS</t>
  </si>
  <si>
    <t>Epidemiology of injuries heat stress and physiotherapy in triathlon athletes after competition of middle and long distance</t>
  </si>
  <si>
    <t>04/29/2014</t>
  </si>
  <si>
    <t>U1111-1142-8410</t>
  </si>
  <si>
    <t>Fatigue,Muscle Fatigue</t>
  </si>
  <si>
    <t>Effect of kinesio taping on pain swelling and strength in elderly subjects with knee osteoarthritis</t>
  </si>
  <si>
    <t>U1111-1141-4002</t>
  </si>
  <si>
    <t>Knee arthrosis. Knee osteoarthritis</t>
  </si>
  <si>
    <t>Effects of therapeutic ultrasound of low intensity in endothelial function</t>
  </si>
  <si>
    <t>04/28/2014</t>
  </si>
  <si>
    <t>U1111-1137-8496</t>
  </si>
  <si>
    <t>Healthy volunteer. Endothelium Vascular</t>
  </si>
  <si>
    <t>Luis Ulisses Signori</t>
  </si>
  <si>
    <t>+55(55) 3214 1165</t>
  </si>
  <si>
    <t>l.signori@hotmail.com</t>
  </si>
  <si>
    <t>Clinical Trial Randomized Double Blind Placebo Controlled of folinic acid supplementation on Endothelial Function in Individuals Infected with HIV and HIV-HCV</t>
  </si>
  <si>
    <t>04/25/2014</t>
  </si>
  <si>
    <t>U1111-1134-6632</t>
  </si>
  <si>
    <t>Chronic Hepatitis C,Endothelial Dysfunction,Atherosclerosis</t>
  </si>
  <si>
    <t>Fabio  Lopes Pedro</t>
  </si>
  <si>
    <t>55--322-08538</t>
  </si>
  <si>
    <t>fabiopedro.balboa@gmail.com</t>
  </si>
  <si>
    <t>Hospital Universitario de Santa Maria</t>
  </si>
  <si>
    <t>Impact of a pelvic floor training program on the quality of life of women with Multiple Sclerosis</t>
  </si>
  <si>
    <t>U1111-1138-5922</t>
  </si>
  <si>
    <t>Hydration in endurance exercise: effects of different protocols on the variability of heart rate cardiorespiratory parameters heart rate recovery and reentry vagal</t>
  </si>
  <si>
    <t>U1111-1140-3523</t>
  </si>
  <si>
    <t>dehydration</t>
  </si>
  <si>
    <t>Does the Virtual Rehabilitation Training increases contractility of the female pelvic floor muscles?</t>
  </si>
  <si>
    <t>U1111-1139-1301</t>
  </si>
  <si>
    <t>Natalia Miguel Martinho</t>
  </si>
  <si>
    <t>+55(35)92057600</t>
  </si>
  <si>
    <t>namartinho87@hotmail.com</t>
  </si>
  <si>
    <t>Bone mineral density in adolescents using combined oral contraceptives</t>
  </si>
  <si>
    <t>U1111-1153-8452</t>
  </si>
  <si>
    <t>Bone Mineral Density,Bone Mineral Content</t>
  </si>
  <si>
    <t>Tamara Beres Lederer Goldberg</t>
  </si>
  <si>
    <t>+55-14-3811 6274</t>
  </si>
  <si>
    <t>tamara@fmb.unesp.br</t>
  </si>
  <si>
    <t>Faculdade de Medicina de Botucatu da Universidade Estadual Paulista Julio de Mesquita Filho</t>
  </si>
  <si>
    <t>Effect of additional guidance booklet to conventional therapy in reducing the frequency and intensity of migraine: a randomized controlled clinical study</t>
  </si>
  <si>
    <t>03/21/2014</t>
  </si>
  <si>
    <t>U1111-1130-3786</t>
  </si>
  <si>
    <t>Maria Claudia Gonçalves</t>
  </si>
  <si>
    <t>+55(16)36024413</t>
  </si>
  <si>
    <t>mcgfisio@yahoo.com.br</t>
  </si>
  <si>
    <t>Effec of baru almond in serum lipid and oxidative state in individuals with moderate hypercholesterolemia</t>
  </si>
  <si>
    <t>03/19/2014</t>
  </si>
  <si>
    <t>U1111-1136-9111</t>
  </si>
  <si>
    <t>Hypercholesterolemia,Oxidative stress</t>
  </si>
  <si>
    <t>Maria Margareth Veloso Naves</t>
  </si>
  <si>
    <t>mmvnaves@gmail.com</t>
  </si>
  <si>
    <t>Ultrasound-guided periconal blockade: randomized clinical trial</t>
  </si>
  <si>
    <t>02/26/2014</t>
  </si>
  <si>
    <t>U1111-1137-5551</t>
  </si>
  <si>
    <t>Patients suffering from cataract,cataract unspecified</t>
  </si>
  <si>
    <t>Ilana Esquenazi Najman</t>
  </si>
  <si>
    <t>(+55)(21)996354271</t>
  </si>
  <si>
    <t>ilanaen@gmail.com</t>
  </si>
  <si>
    <t>Faculdade de Medicina de Botucatu (FMB),UNESP</t>
  </si>
  <si>
    <t>Effect of the supplementation with granular Brazil-nut in the microcirculation and biomarkers in hypertensive and dyslipidemics subjects</t>
  </si>
  <si>
    <t>U1111-1132-2061</t>
  </si>
  <si>
    <t>Dyslipidemia,Hypertension</t>
  </si>
  <si>
    <t>+55 (21) 3037-2431</t>
  </si>
  <si>
    <t>anniebello@gmail.com</t>
  </si>
  <si>
    <t>Comparative Study Between Two Anesthetic Techniques For Follicular Puncture Guided By Transvaginal Ultrasound</t>
  </si>
  <si>
    <t>U1111-1147-1393</t>
  </si>
  <si>
    <t>Infertility,female infertility</t>
  </si>
  <si>
    <t>Caio Parente Barbosa</t>
  </si>
  <si>
    <t>+55(11)49935464</t>
  </si>
  <si>
    <t>caiopb@uol.com.br</t>
  </si>
  <si>
    <t>Centro de Reprodução Humana e Genética da Faculdade de Medicina do ABC</t>
  </si>
  <si>
    <t>The role of vitamin D on the frequency of falls and postural balance in postmenopausal women</t>
  </si>
  <si>
    <t>U1111-1145-1434</t>
  </si>
  <si>
    <t>Postural balance changes in postmenopausal</t>
  </si>
  <si>
    <t>Eliana  Aguiar Petri Nahas</t>
  </si>
  <si>
    <t>+55(14)38801377</t>
  </si>
  <si>
    <t>epetri@fmb.unesp.br</t>
  </si>
  <si>
    <t>UNIVERSIDADE ESTADUAL PAULIST JULIO DE MESQUITA FILHO</t>
  </si>
  <si>
    <t>Analysis of the effectiveness of acupuncture as a therapeutic procedure in older people with tinnitus: randomized controlled trial</t>
  </si>
  <si>
    <t>U1111-1140-6788</t>
  </si>
  <si>
    <t>Symptoms of tinnitus</t>
  </si>
  <si>
    <t>Marcelo Yugi Doi</t>
  </si>
  <si>
    <t>marcelodoi21@gmail.com</t>
  </si>
  <si>
    <t>Effect of the method pilates in flexibility quality of life and level of pain in the elderly</t>
  </si>
  <si>
    <t>U1111-1140-5514</t>
  </si>
  <si>
    <t>Woman,Elderly,Pain,Quality of life</t>
  </si>
  <si>
    <t>Effects of dietary guidance in children attending outpatient preventive cardiology: randomized clinical trial</t>
  </si>
  <si>
    <t>U1111-1148-5368</t>
  </si>
  <si>
    <t>Overweight,Obesity,Heart Disease</t>
  </si>
  <si>
    <t>Vanessa Minossi</t>
  </si>
  <si>
    <t>+55(51)93336464</t>
  </si>
  <si>
    <t>nessa_minossi@hotmail.com</t>
  </si>
  <si>
    <t>Instituto de Cardiologia Fundação Universitária de Cardiologia- IC/FUC</t>
  </si>
  <si>
    <t>Effects of Everolimus (Certican) on cardiac hypertrophy and carotid atherosclerosis after kidney transplantation</t>
  </si>
  <si>
    <t>01/16/2014</t>
  </si>
  <si>
    <t>U1111-1135-0631</t>
  </si>
  <si>
    <t>Paula Dalsoglio Garcia</t>
  </si>
  <si>
    <t>pauladgarcia@gmail.com</t>
  </si>
  <si>
    <t>Hospital das Clínicas da Faculdade de Medicina de Botucatu</t>
  </si>
  <si>
    <t>A Phase III Multicenter Randomized Two-arm Clinical Study: An Investigational Arm Containing Nimotuzumab in Combination with Radiation Therapy and Cisplatin and A Control Arm with Radiation Therapy and Cisplatin for the Treatment of Stages IIb to IVa Uterine Cervical Carcinoma</t>
  </si>
  <si>
    <t>01/15/2014</t>
  </si>
  <si>
    <t>U1111-1143-2203</t>
  </si>
  <si>
    <t>Uterine cervical carcinoma stage IIB to IVA</t>
  </si>
  <si>
    <t>Cassiano Ricardo de Oliveira Berto</t>
  </si>
  <si>
    <t>55- 11 -5090 8600</t>
  </si>
  <si>
    <t>cassiano.berto@eurofarma.com.br</t>
  </si>
  <si>
    <t>Eurofarma Laboratórios S.A</t>
  </si>
  <si>
    <t>Participation of Th1/Th2 cytokines and mucociliary clearance in current and abstinent smokers</t>
  </si>
  <si>
    <t>12/18/2013</t>
  </si>
  <si>
    <t>U1111-1143-3241</t>
  </si>
  <si>
    <t>Substance-related disorders</t>
  </si>
  <si>
    <t>+55 (18) 3229 5545</t>
  </si>
  <si>
    <t>Faculdade de Ciências e Tecnologia da Universidade Estadual Paulista Júlio de Mesquita Filho</t>
  </si>
  <si>
    <t>Effect of physical training home associated with the use of technology in patients with end stage renal disease</t>
  </si>
  <si>
    <t>U1111-1142-1364</t>
  </si>
  <si>
    <t>Ana Paula Pillatt</t>
  </si>
  <si>
    <t>+55 (54) 9626 4505</t>
  </si>
  <si>
    <t>anapillatt@hotmail.com</t>
  </si>
  <si>
    <t>Auriculotherapy effectiveness in reducing smoking</t>
  </si>
  <si>
    <t>U1111-1139-2634</t>
  </si>
  <si>
    <t>Tobacco Use Cessation,Smoking</t>
  </si>
  <si>
    <t>Erika Cássia Lopes Chaves</t>
  </si>
  <si>
    <t>+55 (35) 3299 1380</t>
  </si>
  <si>
    <t>Longitudinal evaluation of occlusal caries lesions sealed compared to conventional restorative treatment in primary teeth</t>
  </si>
  <si>
    <t>U1111-1147-5366</t>
  </si>
  <si>
    <t>Daniela Hesse</t>
  </si>
  <si>
    <t>dani_hesse@hotmail.com</t>
  </si>
  <si>
    <t>Evaluation of the effect of two periodontal treatments in the development of periodontal periodontal disease in children with heart disease</t>
  </si>
  <si>
    <t>10/30/2013</t>
  </si>
  <si>
    <t>U1111-1148-2002</t>
  </si>
  <si>
    <t>Carlos Augusto Nassar</t>
  </si>
  <si>
    <t>55(45)91013369</t>
  </si>
  <si>
    <t>canassar@yahoo.com</t>
  </si>
  <si>
    <t>Universidade Estadual do Oeste do Paraná - Unioeste</t>
  </si>
  <si>
    <t>Efficacy of the probiotic in the treatment of patients with recurrent aphthous stomatitis</t>
  </si>
  <si>
    <t>U1111-1139-7049</t>
  </si>
  <si>
    <t>Recorrent oral aphthae</t>
  </si>
  <si>
    <t>Comparison of Sensorial Discomfort and Peak Torque During Neuromuscular Electric Stimulation With Medium and Low Frequency Currents</t>
  </si>
  <si>
    <t>U1111-1136-0674</t>
  </si>
  <si>
    <t>Healthy subjects,muscular performance,sensory discomfort elicited by electrical stimulation</t>
  </si>
  <si>
    <t>Sport performance,rehabilitation</t>
  </si>
  <si>
    <t>João Luiz Quagliotti Durigan</t>
  </si>
  <si>
    <t>+55(61)3107-8401</t>
  </si>
  <si>
    <t>Evaluation of sleep lung function respiratory muscle strength respiratory mechanics collapsibility of the upper airway autonomic nervous activity and quality of life in patients with Myasthenia Gravis</t>
  </si>
  <si>
    <t>U1111-1147-7853</t>
  </si>
  <si>
    <t>myasthenia Gravis</t>
  </si>
  <si>
    <t>+55(11)3665-9894</t>
  </si>
  <si>
    <t>oliveira.lvf@pq.cnpq.br</t>
  </si>
  <si>
    <t>Evaluation of acupuncture and electroacupuncture on the treatment of upper trapezius myofascial pain - a randomized double blinded placebo controlled study</t>
  </si>
  <si>
    <t>10/24/2013</t>
  </si>
  <si>
    <t>U1111-1131-1774</t>
  </si>
  <si>
    <t>Myofascial pain</t>
  </si>
  <si>
    <t>Maria Beatriz Gavião</t>
  </si>
  <si>
    <t>+55(19)2106-5368</t>
  </si>
  <si>
    <t>Faculdade de Odontologia de Piracicaba/UNICAMP</t>
  </si>
  <si>
    <t>Use of Different Strategies in Nutritional Intervention in the Cardiovascular Health Care Program – PROCARDIO-UFV</t>
  </si>
  <si>
    <t>10/21/2013</t>
  </si>
  <si>
    <t>U1111-1140-9158</t>
  </si>
  <si>
    <t>Atherosclerosis,Atherosclerotic Cardiovascular Disease,Obesity,Diabetes Mellitus,Mixed Hyperlipemia,Essential Hypertension</t>
  </si>
  <si>
    <t>Patterns of Domestic Violence and Alcohol Use Among Women: Effectiveness of A Brief Intervention In A Household Setting</t>
  </si>
  <si>
    <t>10/17/2013</t>
  </si>
  <si>
    <t>U1111-1136-9242</t>
  </si>
  <si>
    <t>Alcohol-related disorders,domestic violence</t>
  </si>
  <si>
    <t>Ana Regina Noto</t>
  </si>
  <si>
    <t>+55(11)2149-0156</t>
  </si>
  <si>
    <t>anareginanoto@gmail.com</t>
  </si>
  <si>
    <t>Validation of combination of prognostic indexes for reintubation in adults and verification of its applicability in different clinical situations</t>
  </si>
  <si>
    <t>10/16/2013</t>
  </si>
  <si>
    <t>U1111-1141-4495</t>
  </si>
  <si>
    <t>respiratory failure</t>
  </si>
  <si>
    <t>Aline Roberta Danaga</t>
  </si>
  <si>
    <t>Avaré</t>
  </si>
  <si>
    <t>+55 14 991694899</t>
  </si>
  <si>
    <t>ardanaga@yahoo.com.br</t>
  </si>
  <si>
    <t>FSP</t>
  </si>
  <si>
    <t>Influence of education and self-care on pain and function related to chronic temporomandibular disorders: a randomized double-blind controlled clinical trial</t>
  </si>
  <si>
    <t>U1111-1125-4970</t>
  </si>
  <si>
    <t>Daniela Aparecida Godoi Gonçalves</t>
  </si>
  <si>
    <t>+55(16)3301-6412</t>
  </si>
  <si>
    <t>danielagg@foar.unesp.br</t>
  </si>
  <si>
    <t>UNESP - Universidade Estadual Paulista / Faculdade de Odontologia de Araraquara</t>
  </si>
  <si>
    <t>Analysis of change in muscle conditioning before and after Kabat Proprioceptive Neuromuscular Facilitation based training in a elderly population</t>
  </si>
  <si>
    <t>U1111-1143-6849</t>
  </si>
  <si>
    <t>Alessandro Santos Pin</t>
  </si>
  <si>
    <t>Coari</t>
  </si>
  <si>
    <t>+55(97)8116 7866</t>
  </si>
  <si>
    <t>keysersoze@bol.com.br</t>
  </si>
  <si>
    <t>Impact of Dietary Adequacy and Omega 3 Supplementation on the Metabolic and Inflammatory Markers of Cardiovascular Risk in Postmenopausal Women</t>
  </si>
  <si>
    <t>U1111-1136-6494</t>
  </si>
  <si>
    <t>Metabolic Syndrome X,Potmenopause</t>
  </si>
  <si>
    <t>Eliana Aguiar Petri Nahas</t>
  </si>
  <si>
    <t>Faculdade de Medicina de Botucatu da Universidade Estadual Paulista UNESP,Julio de Mesquita Filho</t>
  </si>
  <si>
    <t>Effect of a cervical rehabilitation protocol in clinical condition and mandibular function in patients with temporomandibular disorders</t>
  </si>
  <si>
    <t>09/22/2013</t>
  </si>
  <si>
    <t>U1111-1139-4055</t>
  </si>
  <si>
    <t>Temporomandibular disorder (TMD)</t>
  </si>
  <si>
    <t>Ana Beatriz Oliveira</t>
  </si>
  <si>
    <t>55163351-8111</t>
  </si>
  <si>
    <t>biaoliveira@gmail.com</t>
  </si>
  <si>
    <t>Universidade Federal São Carlos - UFSCar</t>
  </si>
  <si>
    <t>Efficacy And Safety Study With Polipropilene Mesh (Nazca Tc) For The Treatment Of Anterior Vaginal Wall Prolapse</t>
  </si>
  <si>
    <t>09/19/2013</t>
  </si>
  <si>
    <t>U1111-1140-4076</t>
  </si>
  <si>
    <t>Pelvic Organ Prolapse,Related Complications To The Use Of Polypropylene Mesh in Vaginal Surgeries,Urinary Incontinence,Lower urinary tract symptoms</t>
  </si>
  <si>
    <t>José Tadeu Nunes Tamanini</t>
  </si>
  <si>
    <t>14- 360-201777</t>
  </si>
  <si>
    <t>tadeutamanini@gmail.com</t>
  </si>
  <si>
    <t>Prefeitura Municipal de Jahu</t>
  </si>
  <si>
    <t>Partial body weight support system in fixed and mobile surface for walking training in subjects with locomotor system impaired</t>
  </si>
  <si>
    <t>U1111-1142-4491</t>
  </si>
  <si>
    <t>Cerebral palsy,Gait Disorders,Neurologic</t>
  </si>
  <si>
    <t>Ana Maria Barela</t>
  </si>
  <si>
    <t>(11) 3385 3103</t>
  </si>
  <si>
    <t>ana.barela@cruzeirodosul.edu.br</t>
  </si>
  <si>
    <t>Impact of Physical Exercise Associated to CPAP Application on Coronary Artery Bypass Grafting Surgery Postoperative</t>
  </si>
  <si>
    <t>U1111-1135-2800</t>
  </si>
  <si>
    <t>Postoperative myocardial revascularization</t>
  </si>
  <si>
    <t>Camila Bianca Falasco Pantoni</t>
  </si>
  <si>
    <t>+55(16)3351-8705</t>
  </si>
  <si>
    <t>camilapantoni@gmail.com</t>
  </si>
  <si>
    <t>Transcutaneous Electrical Nerve Stimulation for pain control after Liposuction</t>
  </si>
  <si>
    <t>09/18/2013</t>
  </si>
  <si>
    <t>U1111-1129-6593</t>
  </si>
  <si>
    <t>MILLA POMPILIO DA SILVA</t>
  </si>
  <si>
    <t>(11) 55764118</t>
  </si>
  <si>
    <t>milla.fisiocm@gmail.com</t>
  </si>
  <si>
    <t>Three-dimensional analysis of gait in patients with Parkinsons disease and deep brain stimulation before and after regular cinesioterapia program with treadmill training with and without partial body weight support</t>
  </si>
  <si>
    <t>09/16/2013</t>
  </si>
  <si>
    <t>U1111-1130-6667</t>
  </si>
  <si>
    <t>Parkisons disease,Neurological Gait Disorders</t>
  </si>
  <si>
    <t>Júlia Maria DAndréa Greve</t>
  </si>
  <si>
    <t>2661-60-41</t>
  </si>
  <si>
    <t>Lung function in the postoperative period of cardiac surgery after use of continuous positive airway pressure (CPAP)</t>
  </si>
  <si>
    <t>U1111-1129-7021</t>
  </si>
  <si>
    <t>Maria Carmo Duarte</t>
  </si>
  <si>
    <t>mcduarte2010@gmail.com</t>
  </si>
  <si>
    <t>Evaluating the efectiveness of calendula in the prevention and treatment of Head and Neck Radiodermatitis</t>
  </si>
  <si>
    <t>U1111-1128-9205</t>
  </si>
  <si>
    <t>Franciane Schneider</t>
  </si>
  <si>
    <t>41-3361-3768</t>
  </si>
  <si>
    <t>franciane_06@yahoo.com.br</t>
  </si>
  <si>
    <t>A phase 2a single arm study to evaluate the effect of TCN -202 (human anti-cytomegalovirus monoclonal antibody) on CMV infection in CMV (cytomegalovirus) seronegative recipients of kidney allografts from CMV seropositive donors</t>
  </si>
  <si>
    <t>U1111-1134-3102</t>
  </si>
  <si>
    <t>CMV seronegative patients that have received kidney allografts from CMV seropositive donors</t>
  </si>
  <si>
    <t>Daniela Garcia Santos</t>
  </si>
  <si>
    <t>Postural Insoles Influence on Functional Capacity of Individuals Post-Stroke: Study Randomized Controlled Trial</t>
  </si>
  <si>
    <t>U1111-1134-0357</t>
  </si>
  <si>
    <t>Luiz Alfredo Braun Ferreira</t>
  </si>
  <si>
    <t>+55(42)9132-96666</t>
  </si>
  <si>
    <t>luiz_braun@hotmail.com</t>
  </si>
  <si>
    <t>Universidade Nove de Julho - Uninove - SP</t>
  </si>
  <si>
    <t>Effectiveness of home fortification with vitamins and minerals for the prevention of iron deficiency and anemia in infants younger than 1 year of age: a multi-center study of Brazilian cities</t>
  </si>
  <si>
    <t>U1111-1129-7089</t>
  </si>
  <si>
    <t>Anemia,Iron-Deficiency</t>
  </si>
  <si>
    <t>Marly Augusto Cardoso</t>
  </si>
  <si>
    <t>marlyac@usp.br</t>
  </si>
  <si>
    <t>Effectiveness of denture adhesives on the kinesiographic records and satisfaction of complete denture wearers</t>
  </si>
  <si>
    <t>U1111-1129-2000</t>
  </si>
  <si>
    <t>16-33016411</t>
  </si>
  <si>
    <t>UNESPUniv Estadual Paulista</t>
  </si>
  <si>
    <t>Yôga and Respiratory Techniques Training on the Management of Heart Failure Patients</t>
  </si>
  <si>
    <t>U1111-1133-6557</t>
  </si>
  <si>
    <t>Andreia Biolo</t>
  </si>
  <si>
    <t>abiolo@gmail.com</t>
  </si>
  <si>
    <t>HCPA- UFRGS</t>
  </si>
  <si>
    <t>Effectiveness of conventional physical therapy and Pilates method in functionality respiratory muscle strength and ability to exercise in hospitalized chronic renal patients: a randomized controlled trial</t>
  </si>
  <si>
    <t>U1111-1136-6847</t>
  </si>
  <si>
    <t>Luciana Dias Chiavegato</t>
  </si>
  <si>
    <t>55 11 21781479</t>
  </si>
  <si>
    <t>lu_chiavegato@uol.com.br</t>
  </si>
  <si>
    <t>UNIVERSIDADE CIDADE DE SÃO PAULO</t>
  </si>
  <si>
    <t>Translation and Adaptation Assessment of Trunk Control (SATCo)</t>
  </si>
  <si>
    <t>U1111-1137-3291</t>
  </si>
  <si>
    <t>Francis Meire Favero</t>
  </si>
  <si>
    <t>55(11)985247559</t>
  </si>
  <si>
    <t>ffave.nexp@latoneuro.com.br</t>
  </si>
  <si>
    <t>Effects of Concentric vs Eccentric Resistance Training in Clinical Functional Cardiovascular and Biological Parameters</t>
  </si>
  <si>
    <t>U1111-1127-9334</t>
  </si>
  <si>
    <t>Healthy young adults</t>
  </si>
  <si>
    <t>+55(18)3229-5528</t>
  </si>
  <si>
    <t>Intra-arterial blood pressure responses during resistance exercise of different intensities in hypertensive patients treated with calcium channel antagonist</t>
  </si>
  <si>
    <t>08/31/2013</t>
  </si>
  <si>
    <t>U1111-1125-5876</t>
  </si>
  <si>
    <t>Evaluation of lymphatic drainage and massage to reduce lymphedema</t>
  </si>
  <si>
    <t>U1111-1121-2157</t>
  </si>
  <si>
    <t>The Effect of Motor Control Deficits and Physical Therapy Interventions on the Grip Force Control</t>
  </si>
  <si>
    <t>08/26/2013</t>
  </si>
  <si>
    <t>U1111-1134-8063</t>
  </si>
  <si>
    <t>Marcio José dos Santos</t>
  </si>
  <si>
    <t>+55(48)3321-8609</t>
  </si>
  <si>
    <t>marcio.santos@udesc.br</t>
  </si>
  <si>
    <t>Knowledge about Healthy Habits and Risk Factors for Cardiovascular Disease in a Group of Children 4 The 5th Series of Elementary School</t>
  </si>
  <si>
    <t>08/22/2013</t>
  </si>
  <si>
    <t>U1111-1143-3862</t>
  </si>
  <si>
    <t>Obesity child</t>
  </si>
  <si>
    <t>Fatima Helena Cecchetto</t>
  </si>
  <si>
    <t>fhcecchetto@gmail.com</t>
  </si>
  <si>
    <t>Instituto de Cardiologia</t>
  </si>
  <si>
    <t>Evaluation of Clinical Safety and Efficacy of an Anti-inflammatory Abtained from Active Ingredient of the Brazilian Biodiversity</t>
  </si>
  <si>
    <t>08/21/2013</t>
  </si>
  <si>
    <t>U1111-1131-3520</t>
  </si>
  <si>
    <t>Jose Alexandre Crippa</t>
  </si>
  <si>
    <t>+55(16)3602-1000</t>
  </si>
  <si>
    <t>upc-hc@hcrp.fmrp.usp.br</t>
  </si>
  <si>
    <t>Comparation of Proprioceptive Neuromuscular Facilitation with Resistive Exercise of Fixed Load and Elastic Load on Respiratory Function</t>
  </si>
  <si>
    <t>U1111-1140-2166</t>
  </si>
  <si>
    <t>Guilherme Peixoto Arêa</t>
  </si>
  <si>
    <t>guilhermepta@hotmail.com</t>
  </si>
  <si>
    <t>Inflammatory Response To Consumption Of Specific Dietary Compounds: A Nutrigenomic Study</t>
  </si>
  <si>
    <t>08/19/2013</t>
  </si>
  <si>
    <t>U1111-1142-4014</t>
  </si>
  <si>
    <t>The use of reflexology feet as treatment for patients with diabetes mellitus</t>
  </si>
  <si>
    <t>U1111-1139-0760</t>
  </si>
  <si>
    <t>Natália Chantal Magalhães Silva</t>
  </si>
  <si>
    <t>55-(31)-93040364</t>
  </si>
  <si>
    <t>CAPES - Coordenação de Aperfeiçoamento de Pessoal de Nível Superior</t>
  </si>
  <si>
    <t>Validation of Portuguese Version of Jebsen-Taylor Hand Function Test for Patients with Muscular Dystrophy</t>
  </si>
  <si>
    <t>U1111-1136-9133</t>
  </si>
  <si>
    <t>Muscular Dystrophy</t>
  </si>
  <si>
    <t>Mariana Cunha Artilheiro</t>
  </si>
  <si>
    <t>+55(11)99596-5659</t>
  </si>
  <si>
    <t>m.artilheiro@yahoo.com.br</t>
  </si>
  <si>
    <t>Evaluation of intensive treatment of cellulite aesthetics</t>
  </si>
  <si>
    <t>08/13/2013</t>
  </si>
  <si>
    <t>U1111-1129-2634</t>
  </si>
  <si>
    <t>Cellulitis aesthetic</t>
  </si>
  <si>
    <t>Jose Maria Pereira de Godoy</t>
  </si>
  <si>
    <t>55 17 32326362</t>
  </si>
  <si>
    <t>godoyjmp@riopreto.com.br</t>
  </si>
  <si>
    <t>Contribution to the study of acne in adult women: analysis of the correlation between peripheral androgen conversion and its influence on the expression of toll-like receptors 2 and CD1d in areas with and without inflammatory acne lesions and its modulation by treatment with oral contraceptive or topical cream with anti-androgen activity</t>
  </si>
  <si>
    <t>U1111-1128-4137</t>
  </si>
  <si>
    <t>marco alexandre rocha</t>
  </si>
  <si>
    <t>marcoderm@hotmail.com</t>
  </si>
  <si>
    <t>UNIFESP-EPM</t>
  </si>
  <si>
    <t>Comparative study of therapies for the treatment of non-carious cervical lesions with dentinal hypersensitivity</t>
  </si>
  <si>
    <t>U1111-1125-7425</t>
  </si>
  <si>
    <t>Tooth wear,Dentine hypersensitivity,Dental Materials</t>
  </si>
  <si>
    <t>Raimundo Rosendo  Prado Júnior</t>
  </si>
  <si>
    <t>(86)32155888</t>
  </si>
  <si>
    <t>rosendo_prado@ig.com.br</t>
  </si>
  <si>
    <t>Effect of hydration on blood pressure response after exercise and its mechanisms</t>
  </si>
  <si>
    <t>U1111-1125-5994</t>
  </si>
  <si>
    <t>Healthy young subjects,Blood presure</t>
  </si>
  <si>
    <t>A Prospective Single Arm Open-label International Multicenter Study to Evaluate the Safety Efficacy and Pharmacokinetics of Atazanavir (ATV) Powder Boosted with Ritonavir (RTV) Liquid with an Optimized NRTI Background Therapy in HIV Infected Pediatric Patients Greater Than or Equal to 3 Months to Less Than 6 Years. (Pediatric Atazanavir International Clinical Evaluation: the PRINCE I study)</t>
  </si>
  <si>
    <t>06/13/2011</t>
  </si>
  <si>
    <t>U1111-1121-8947</t>
  </si>
  <si>
    <t>Glaucia  Silva</t>
  </si>
  <si>
    <t>+55(11)3882-2165</t>
  </si>
  <si>
    <t>glaucia.silva@bms.com</t>
  </si>
  <si>
    <t>Bristol-Myers Squibb</t>
  </si>
  <si>
    <t>Efficacy and Safety Evaluation of Silicone Stent in the Treatment of Central Airway Obstructions</t>
  </si>
  <si>
    <t>U1111-1122-1460</t>
  </si>
  <si>
    <t>Central airway stenosis</t>
  </si>
  <si>
    <t>Rosane Paixão Schlatter</t>
  </si>
  <si>
    <t>(51)3359.7872</t>
  </si>
  <si>
    <t>rschlatter@hcpa.ufrgs.br</t>
  </si>
  <si>
    <t>Hospital de Clínicas de Porto Alegre-FIPE</t>
  </si>
  <si>
    <t>Treatment of Palmar Hyperhidrosis with Iontophoresis: Case Reports</t>
  </si>
  <si>
    <t>U1111-1125-1523</t>
  </si>
  <si>
    <t>Primary palmar hyperhidrosis</t>
  </si>
  <si>
    <t>Rebeca Souza Cruz</t>
  </si>
  <si>
    <t>55 71 33952748</t>
  </si>
  <si>
    <t>rebeka.cruz@yahoo.com.br</t>
  </si>
  <si>
    <t>Adherence to physiotherapeutic orientation to practice pelvic floor muscle exercises in women with urinary incontinence</t>
  </si>
  <si>
    <t>U1111-1128-8684</t>
  </si>
  <si>
    <t>Adherence,urinary incontinence treatment,sexual function</t>
  </si>
  <si>
    <t>Effects of Different Training Protocolos in Function and Electrical Activity of the Pelvic Floor Muscles</t>
  </si>
  <si>
    <t>U1111-1142-7128</t>
  </si>
  <si>
    <t>+55(16)33519575</t>
  </si>
  <si>
    <t>Analysis of the Cardiometabolic Risk Profile of a Population Sample from São Paulo City and Implementation of a Prevention Program for the Prevention fo Type 2 Dabetes Mellitus</t>
  </si>
  <si>
    <t>U1111-1141-0084</t>
  </si>
  <si>
    <t>Individuals with prediabetes (impaired glucose tolerance or impaired fasting glycemia)or metabolic syndrome without diabetes</t>
  </si>
  <si>
    <t>Sandra Roberta Gouvea Ferreira</t>
  </si>
  <si>
    <t>+55(11)3061-7870</t>
  </si>
  <si>
    <t>Faculdade de Saúde Pública,USP</t>
  </si>
  <si>
    <t>Biomechanics of Lower Limbs Valuation Pre and Post-treatment of Individuals with Anterior Knee Pain. Randomized Clinical Trial</t>
  </si>
  <si>
    <t>U1111-1123-5278</t>
  </si>
  <si>
    <t>Anterior Knee Pain</t>
  </si>
  <si>
    <t>Marcelo Camargo Saad</t>
  </si>
  <si>
    <t>+55(16)3602-4585</t>
  </si>
  <si>
    <t>marfisiousp@yahoo.com.br</t>
  </si>
  <si>
    <t>Occlusion of Inferior Lacrimal Punctun with Hypromelosis in Dry Eye Patients</t>
  </si>
  <si>
    <t>07/31/2013</t>
  </si>
  <si>
    <t>U1111-1130-8528</t>
  </si>
  <si>
    <t>Dry eye,Punctal occlusion</t>
  </si>
  <si>
    <t>Leonardo Capita Oliveira</t>
  </si>
  <si>
    <t>55-(61)-95577571</t>
  </si>
  <si>
    <t>leonardocapita@gmail.com</t>
  </si>
  <si>
    <t>Hospital Universitário de Brasília - Universidade de Brasília</t>
  </si>
  <si>
    <t>Effects of Lumbo-pelvic Stabilization Training on Women with Patellofemoral Pain Syndrome</t>
  </si>
  <si>
    <t>07/30/2013</t>
  </si>
  <si>
    <t>U1111-1131-4355</t>
  </si>
  <si>
    <t>Fabio Viadanna Serrao</t>
  </si>
  <si>
    <t>+55(16)33518754</t>
  </si>
  <si>
    <t>fserrao@ufscar.br</t>
  </si>
  <si>
    <t>Control of Type 2 Diabetes Mellitus: Analysis of an Intervention Program with Information about the Disease Via Phone Calls</t>
  </si>
  <si>
    <t>07/17/2013</t>
  </si>
  <si>
    <t>U1111-1142-3742</t>
  </si>
  <si>
    <t>Hérica Cristina Alves de Vasconcelos</t>
  </si>
  <si>
    <t>+55(85)88349158</t>
  </si>
  <si>
    <t>hekinha@hotmail.com</t>
  </si>
  <si>
    <t>Universidade Federal do Ceará - Departamento de Enfermagem</t>
  </si>
  <si>
    <t>Impact of a Physical Activity Program on Plasma Concentrations of Adipocitokines in Overweight and Obese Schoolchildren from Public Schools at Ouro Preto and Barbacena Cities Minas Gerais State</t>
  </si>
  <si>
    <t>07/16/2013</t>
  </si>
  <si>
    <t>U1111-1142-7693</t>
  </si>
  <si>
    <t>Obesity,overweight</t>
  </si>
  <si>
    <t>Joel Alves Lamounier</t>
  </si>
  <si>
    <t>+55 31 34099641</t>
  </si>
  <si>
    <t>jalamo@medicina.ufmg.br</t>
  </si>
  <si>
    <t>The Use of Exercises and Instructions for Self-care in Diabetic Patients</t>
  </si>
  <si>
    <t>U1111-1135-7672</t>
  </si>
  <si>
    <t>Diabettes Mellitus</t>
  </si>
  <si>
    <t>Plasma Selenium Concentrations and Erythrocyte Glutathione Peroxidase Activity: Relationship to Inflamatory Response and Nutritional Status in Critically Ill Children</t>
  </si>
  <si>
    <t>U1111-1134-4238</t>
  </si>
  <si>
    <t>Undernutrition</t>
  </si>
  <si>
    <t>Heitor Pons Leite</t>
  </si>
  <si>
    <t>+55(11)5539-1783</t>
  </si>
  <si>
    <t>heitorpons@gmail.com</t>
  </si>
  <si>
    <t>Study of the Effects of non Pharmacological Training on Components of the Metabolic Syndrome and Fatty Liver Disease in Children and Adolescents with Overweight and Obesityobese Adolescents</t>
  </si>
  <si>
    <t>U1111-1141-1750</t>
  </si>
  <si>
    <t>Ismael F. Freitas Júnior</t>
  </si>
  <si>
    <t>+55(18)3229-5828</t>
  </si>
  <si>
    <t>grupocelapam@yahoo.com.br</t>
  </si>
  <si>
    <t>Influence of Patellar Taping on Baropodometric Characteristics of Subjects with Patellofemoral Pain</t>
  </si>
  <si>
    <t>U1111-1135-0223</t>
  </si>
  <si>
    <t>Eduardo Luiz Stapait</t>
  </si>
  <si>
    <t>+55(48)-32218660</t>
  </si>
  <si>
    <t>stapait_fisio@hotmail.com</t>
  </si>
  <si>
    <t>Use of Positive Pressure in Morbidly Obese Patients Undergoing Gastroplasty</t>
  </si>
  <si>
    <t>U1111-1134-7452</t>
  </si>
  <si>
    <t>Pulmonary atelectasis,obesity</t>
  </si>
  <si>
    <t>+55(19)31241558</t>
  </si>
  <si>
    <t>empforti@unimep.br</t>
  </si>
  <si>
    <t>Analysis of electromyography and craniocervical posture of patients with denture bimaxillary</t>
  </si>
  <si>
    <t>U1111-1128-1068</t>
  </si>
  <si>
    <t>Craniocervical posture,electromyography,prosthesis</t>
  </si>
  <si>
    <t>Andréia Maria Silva</t>
  </si>
  <si>
    <t>35-32911486</t>
  </si>
  <si>
    <t>andreiamarias@bol.com.br</t>
  </si>
  <si>
    <t>Universidade do Vale do Sapucaí</t>
  </si>
  <si>
    <t>Comparison of two techniques for using the Kinesio Taping in patients with chronic non-specific low back pain: a randomized controlled trial</t>
  </si>
  <si>
    <t>01/17/2012</t>
  </si>
  <si>
    <t>U1111-1125-8829</t>
  </si>
  <si>
    <t>Leonardo Oliveira Pena Costa</t>
  </si>
  <si>
    <t>(11) 2178 1564</t>
  </si>
  <si>
    <t>lcosta@edu.unicid.br</t>
  </si>
  <si>
    <t>Effect of different hearing stimuli on cardiac autonomic regulation</t>
  </si>
  <si>
    <t>U1111-1128-0412</t>
  </si>
  <si>
    <t>Pacientes saudáveis,Agentes do Sistema Cardiovascular</t>
  </si>
  <si>
    <t>Luiz Carlos Marques Vanderlei</t>
  </si>
  <si>
    <t>18-3229-5388</t>
  </si>
  <si>
    <t>lcvanderlei@fct.unesp.br</t>
  </si>
  <si>
    <t>Faculdade de Ciências e Tecnologia,UNESP</t>
  </si>
  <si>
    <t>Effectiveness of muscle stretching in cortisol levels and in emotional stress of third trimester pregnant women: a randomized clinical trial</t>
  </si>
  <si>
    <t>U1111-1127-0647</t>
  </si>
  <si>
    <t>pregnancy,maintenance of emotional stress</t>
  </si>
  <si>
    <t>Dose-Dependent Effect of Maltodextrin on Cardiovascular and Glucose Response in Type 2 Diabetes During Aerobic Exercise</t>
  </si>
  <si>
    <t>U1111-1129-8637</t>
  </si>
  <si>
    <t>Elderly,Diabetes Mellitus Type 2,glicemic control</t>
  </si>
  <si>
    <t>Carlos Ricado Malfatti</t>
  </si>
  <si>
    <t>Itati</t>
  </si>
  <si>
    <t>(42) 3421-3000</t>
  </si>
  <si>
    <t>crmalfatti@gmail.com</t>
  </si>
  <si>
    <t>Universidade Estadual do Centro - Oeste</t>
  </si>
  <si>
    <t>Stiper Application on Feet Reflexology Points in Cases of Lombar Pain</t>
  </si>
  <si>
    <t>U1111-1137-1454</t>
  </si>
  <si>
    <t>Cristina de Paula Avelino</t>
  </si>
  <si>
    <t>+55(21)8899-7376</t>
  </si>
  <si>
    <t>cristina.naturologa@gmail.com</t>
  </si>
  <si>
    <t>Evaluation of humidity and temperature of inspired gases in pediatric patients under general anesthesia with different fresh gas flows and use of a heat and moisture exchanger</t>
  </si>
  <si>
    <t>U1111-1124-4042</t>
  </si>
  <si>
    <t>José Reinaldo Cerqueira Braz</t>
  </si>
  <si>
    <t>Rubião Júnior</t>
  </si>
  <si>
    <t>(14)38116022</t>
  </si>
  <si>
    <t>jbraz@fmb.unesp</t>
  </si>
  <si>
    <t>Assessment Alveolar Recruiting During Heart Surgeries</t>
  </si>
  <si>
    <t>U1111-1126-8383</t>
  </si>
  <si>
    <t>Coronary artery disease,valvular disease</t>
  </si>
  <si>
    <t>Orlando Petrucci Junior</t>
  </si>
  <si>
    <t>+55(19)3521-2121</t>
  </si>
  <si>
    <t>orlandopetrucci@gmail.com</t>
  </si>
  <si>
    <t>Effects of Muscle Energy Technique on Range of Motion and Cervical Spine Position Sense of Subjects with Chronic Neck Pain</t>
  </si>
  <si>
    <t>U1111-1138-2271</t>
  </si>
  <si>
    <t>Chronic neck pain</t>
  </si>
  <si>
    <t>Arlindo Elias</t>
  </si>
  <si>
    <t>+55(27)3335-2900</t>
  </si>
  <si>
    <t>arlindofisio@yahoo.com.br</t>
  </si>
  <si>
    <t>Faculdade Estácio de Sá de Vitória</t>
  </si>
  <si>
    <t>The Use of Topiramate in the Crack Addiction</t>
  </si>
  <si>
    <t>06/13/2013</t>
  </si>
  <si>
    <t>U1111-1131-4443</t>
  </si>
  <si>
    <t>Cocaine crack addiction</t>
  </si>
  <si>
    <t>Leonardo  Baldaçara</t>
  </si>
  <si>
    <t>Palma</t>
  </si>
  <si>
    <t>+55(63)3228-1807</t>
  </si>
  <si>
    <t>leonardobaldassara@gmail.com</t>
  </si>
  <si>
    <t>Evaluation of A Preoperative Physiotherapeutic Program Influence on Postoperative Pulmonary Function of Megaesophagus Correction</t>
  </si>
  <si>
    <t>U1111-1140-8768</t>
  </si>
  <si>
    <t>Chagasic megaesophagus,achalasia,esophageal neoplasia</t>
  </si>
  <si>
    <t>Eduardo Crema</t>
  </si>
  <si>
    <t>+55(34)3318-5228</t>
  </si>
  <si>
    <t>cremauftm@mednet.com.br</t>
  </si>
  <si>
    <t>Rehabilitation of the Masticatory Function in Patients with Different Types of Dental Prostheses</t>
  </si>
  <si>
    <t>U1111-1133-2339</t>
  </si>
  <si>
    <t>Static Balance and Function in Children with Cerebral Palsy Submitted to Neuromuscular Block and Neuromuscular Electrical Stimulation: Study Protocol for Prospective Randomized Controlled Trial</t>
  </si>
  <si>
    <t>U1111-1124-6770</t>
  </si>
  <si>
    <t>Cerebral palsy. Static balance. Physical therapy</t>
  </si>
  <si>
    <t>+55(11)3868-1681</t>
  </si>
  <si>
    <t>Universidade Node de Julho</t>
  </si>
  <si>
    <t>Treadmill Training Without Body Weight Support on Children with Cerebral Palsy</t>
  </si>
  <si>
    <t>U1111-1127-4526</t>
  </si>
  <si>
    <t>Cerebral palsy. Gait disorders neurologic</t>
  </si>
  <si>
    <t>São Paulo - SP</t>
  </si>
  <si>
    <t>Improves the Immune System Through of Exercise for Patients with Chronic Heart Failure</t>
  </si>
  <si>
    <t>05/15/2013</t>
  </si>
  <si>
    <t>U1111-1123-3310</t>
  </si>
  <si>
    <t>Chronic Heart Failure. Congestive heart failure</t>
  </si>
  <si>
    <t>Tales de Carvalho</t>
  </si>
  <si>
    <t>+55(48)3321-8643</t>
  </si>
  <si>
    <t>tales@cardiol.br</t>
  </si>
  <si>
    <t>Núcleo de Cardiologia e Medicina do Exercício (NCME)</t>
  </si>
  <si>
    <t>Analysis and Comparison of Two Physical Exercise Trainings and Their Detraining in Oldest Old</t>
  </si>
  <si>
    <t>U1111-1138-3550</t>
  </si>
  <si>
    <t>São Carlos - SP</t>
  </si>
  <si>
    <t>+55(16)3351-8704</t>
  </si>
  <si>
    <t>Effect of Captopril use on Blood Pressure Response After a Single Bout of Resistance Exercise in Hypertensive Men</t>
  </si>
  <si>
    <t>U1111-1121-5553</t>
  </si>
  <si>
    <t>Association of Fatty Acid in Erythrocytes with the Clinical Status of Pediatric and Adolescent Patients with Cystic Fibrosis Supplemented with Oil Rich in Omega-3</t>
  </si>
  <si>
    <t>U1111-1140-9661</t>
  </si>
  <si>
    <t>Célia Regina Moutinho de Miranda Chaves</t>
  </si>
  <si>
    <t>Rio de Janeiro - RJ</t>
  </si>
  <si>
    <t>+55(21)2554-1718</t>
  </si>
  <si>
    <t>crchaves@iff.fiocruz.br</t>
  </si>
  <si>
    <t>Instituto Nacional de Saúde da Mulher da Criança e do Adolescente Fernandes Figueira</t>
  </si>
  <si>
    <t>Photobiomodulation as a New Approach for the Treatmment of Nipple Traumas: A Pilot Study</t>
  </si>
  <si>
    <t>U1111-1121-6913</t>
  </si>
  <si>
    <t>Angélica Rodrigues Araújo</t>
  </si>
  <si>
    <t>Belo Horizonte - MG</t>
  </si>
  <si>
    <t>+55(31)3319-4425</t>
  </si>
  <si>
    <t>angelica@bios.srv.br</t>
  </si>
  <si>
    <t>PUC Minas</t>
  </si>
  <si>
    <t>Effect of Educational Intervention on the Knowledge and Control of Diabetes in Patients of the Hypertension League of UFG</t>
  </si>
  <si>
    <t>06/27/2011</t>
  </si>
  <si>
    <t>U1111-1122-0075</t>
  </si>
  <si>
    <t>Dalma Alves Pereira</t>
  </si>
  <si>
    <t>Goiânia - GO</t>
  </si>
  <si>
    <t>+55(62)3274-1292</t>
  </si>
  <si>
    <t>dalmaalvespereira@hotmail.com</t>
  </si>
  <si>
    <t>Parish Nursing and Quality of Life of Adventists: Clinical Trial</t>
  </si>
  <si>
    <t>U1111-1121-4995</t>
  </si>
  <si>
    <t>Quality of life,religion,spirituality,elderly</t>
  </si>
  <si>
    <t>Cachoeira Bahia</t>
  </si>
  <si>
    <t>75-3425-8000</t>
  </si>
  <si>
    <t>gina.abdala@usp.br</t>
  </si>
  <si>
    <t>FACULDADE ADVENTISTA DA BAHIA</t>
  </si>
  <si>
    <t>Impact of Intervention Dietary Approaches to Stop Hypertension(dash) in Hypertension and Nutritional Status of Patients Monitored in Primary Health</t>
  </si>
  <si>
    <t>U1111-1121-2062</t>
  </si>
  <si>
    <t>Hypertension,nutritional status</t>
  </si>
  <si>
    <t>Use of Infrared Laser in Vaginal Delivery with Episiotomy: Randomized Controlled Trial</t>
  </si>
  <si>
    <t>06/21/2011</t>
  </si>
  <si>
    <t>U1111-1120-8464</t>
  </si>
  <si>
    <t>Healing of episiotomies</t>
  </si>
  <si>
    <t>Marina Barreto Alvarenga</t>
  </si>
  <si>
    <t>+55(11)97445-9213</t>
  </si>
  <si>
    <t>marinaobusp@gmail.com</t>
  </si>
  <si>
    <t>Study of Efficacy and Safety of a New Co-blister Packs of Chloroquine and Primaquine for Malaria Treatment of Uncomplicated Plasmodium Vivax in Brasil</t>
  </si>
  <si>
    <t>U1111-1121-2982</t>
  </si>
  <si>
    <t>Malaria Vivax</t>
  </si>
  <si>
    <t>Dhelio Batista Pereira</t>
  </si>
  <si>
    <t>Porto Velho - RO</t>
  </si>
  <si>
    <t>+55(69)3216-5442</t>
  </si>
  <si>
    <t>dbpfall@gmail.com</t>
  </si>
  <si>
    <t>CEPEM - Centro de Pesquisa em Medicina Tropical de Rondonia</t>
  </si>
  <si>
    <t>Double-blind Randomized Placebo-Controlled Clinical Trial of Corticosteroids for the Autistic Spectrum Disorder</t>
  </si>
  <si>
    <t>U1111-1120-4284</t>
  </si>
  <si>
    <t>The classical clinical picture of autistic spectrum disorder</t>
  </si>
  <si>
    <t>Adriana Rocha Brito</t>
  </si>
  <si>
    <t>Niterói - RJ</t>
  </si>
  <si>
    <t>+55(21)8565-1212</t>
  </si>
  <si>
    <t>adri.r.brito@gmail.com</t>
  </si>
  <si>
    <t>HUAP</t>
  </si>
  <si>
    <t>Randomized Open Controlled Parallel Trial on The Facial Edema Reduction Following Alveolar Bone Grafting by Manual Lymphatic Drainage</t>
  </si>
  <si>
    <t>U1111-1119-6522</t>
  </si>
  <si>
    <t>Facial swelling after alveolar bone grafting</t>
  </si>
  <si>
    <t>Alceu Sergio Trindade Jr</t>
  </si>
  <si>
    <t>Bauru - SP</t>
  </si>
  <si>
    <t>+55(14)3235-8066</t>
  </si>
  <si>
    <t>atrind@usp.br</t>
  </si>
  <si>
    <t>Hospital de Reabilitação de Anomalias Craniofaciais/ USP</t>
  </si>
  <si>
    <t>Adjuvant Laser Acupuncture to Occlusal Splint Therapy: A Controlled Trial in Temporomandibular Disorders Patients</t>
  </si>
  <si>
    <t>U1111-1119-1317</t>
  </si>
  <si>
    <t>Temporomandibular disorders,stress</t>
  </si>
  <si>
    <t>Juiz de Fora - MG</t>
  </si>
  <si>
    <t>Effects of Specific Training on the Ability of Reaching in Preterm Infants</t>
  </si>
  <si>
    <t>04/25/2013</t>
  </si>
  <si>
    <t>U1111-1134-0294</t>
  </si>
  <si>
    <t>+55(16)3351-8407</t>
  </si>
  <si>
    <t>Hemodynamic Effects of Physical Activity in Critically Ill Patients During Hemodialysis</t>
  </si>
  <si>
    <t>04/19/2013</t>
  </si>
  <si>
    <t>U1111-1140-2524</t>
  </si>
  <si>
    <t>Renal failure</t>
  </si>
  <si>
    <t>Ruy Camargo Pires-Neto</t>
  </si>
  <si>
    <t>+55(11)30618521</t>
  </si>
  <si>
    <t>ruy@usp.br</t>
  </si>
  <si>
    <t>The Efefcts of Elastic Bandages on Gait Biomechancs Muscular Performance Pain and Physical Function in Individuals with Knee Osteoartritis</t>
  </si>
  <si>
    <t>04/18/2013</t>
  </si>
  <si>
    <t>U1111-1130-2906</t>
  </si>
  <si>
    <t>Jennifer Granja Peixoto</t>
  </si>
  <si>
    <t>+55(31)3409-7403</t>
  </si>
  <si>
    <t>jenniferpeixoto@uol.com.br</t>
  </si>
  <si>
    <t>Effects of Stimulation Transcranial Direct Current by Associated Gait Training and Mobility Functionality About Children with Cerebral Palsy: Clinical Trial Randomized Controlled Double Blind</t>
  </si>
  <si>
    <t>U1111-1133-9116</t>
  </si>
  <si>
    <t>Cerebral palsy,child,physicotherapy,cerebral cortex,eletrical stimulation</t>
  </si>
  <si>
    <t>The Impact of the Substitution of Convencional Salt for Light Salt on the Blood Pressure of Hypertensive Patients</t>
  </si>
  <si>
    <t>04/16/2013</t>
  </si>
  <si>
    <t>U1111-1131-3920</t>
  </si>
  <si>
    <t>Impact of a Structured Program of Subaquatic Therapeutic Exercises in Elderly Women with Knee Osteoarthritis</t>
  </si>
  <si>
    <t>04/15/2013</t>
  </si>
  <si>
    <t>U1111-1130-5024</t>
  </si>
  <si>
    <t>Kneee osteoarthritis</t>
  </si>
  <si>
    <t>João Marcos Dias</t>
  </si>
  <si>
    <t>jmdd@ufmg.br</t>
  </si>
  <si>
    <t>Effect of Human Ration in Weight Loss and in Bone Health in Overweight Women</t>
  </si>
  <si>
    <t>U1111-1130-2542</t>
  </si>
  <si>
    <t>Weight loss. Organic mineral homeostase. Bone health</t>
  </si>
  <si>
    <t>Hércia Stampini Duarte Martino</t>
  </si>
  <si>
    <t>+55(31)3899-3742</t>
  </si>
  <si>
    <t>hercia@ufv.br</t>
  </si>
  <si>
    <t>The Effect of Low Level Laser Therapy in the Modulation of the Inflammatory Process After Surgery</t>
  </si>
  <si>
    <t>03/19/2013</t>
  </si>
  <si>
    <t>U1111-1129-9338</t>
  </si>
  <si>
    <t>Extraction of impacted third molars</t>
  </si>
  <si>
    <t>Kristianne Porta Santos Fernandes</t>
  </si>
  <si>
    <t>kristianneporta@gmail.com</t>
  </si>
  <si>
    <t>Comparison of Response to Vaccination with Three Different Schemes Pneumococcal Vaccine in Adults Infected by Human Immunodeficiency Virus</t>
  </si>
  <si>
    <t>03/13/2013</t>
  </si>
  <si>
    <t>U1111-1130-5662</t>
  </si>
  <si>
    <t>HIV infected patients</t>
  </si>
  <si>
    <t>Yeh Li Ho</t>
  </si>
  <si>
    <t>+55(11)2661-6000</t>
  </si>
  <si>
    <t>hoyehli@yahoo.com.br</t>
  </si>
  <si>
    <t>Effects of Cardiopulmonary Rehabilitation on Exercise Tolerance Time (Tlim) and Oxygen Uptake Kinetics in Ischemic Heart Disease</t>
  </si>
  <si>
    <t>U1111-1125-7588</t>
  </si>
  <si>
    <t>Ischemic heart disease</t>
  </si>
  <si>
    <t>Carlos Cordeiro Hossri</t>
  </si>
  <si>
    <t>+55(11)3053-6611</t>
  </si>
  <si>
    <t>carloshossri@cardiol.br</t>
  </si>
  <si>
    <t>Hospital do Coração - HCor - Instituto de Ensino e Pesquisa (I.E.P.)</t>
  </si>
  <si>
    <t>Insulin Secretory Capacity in Healthy in Obese and in Obese Type 2 Diabetic Patients Undergoing Bariatric Surgery Through the Hyperglycemic Clamp</t>
  </si>
  <si>
    <t>U1111-1137-0489</t>
  </si>
  <si>
    <t>Type 2 diabetes. Beta-cell Dysfunction. Bariatric Surgery</t>
  </si>
  <si>
    <t>Bruno  Geloneze</t>
  </si>
  <si>
    <t>+55(19)3521-8589</t>
  </si>
  <si>
    <t>anacarolinavasques@yahoo.com.br</t>
  </si>
  <si>
    <t>Effect of Posture Positioning Front Support from Gradil Costal Premature Newborn</t>
  </si>
  <si>
    <t>02/28/2013</t>
  </si>
  <si>
    <t>U1111-1138-0321</t>
  </si>
  <si>
    <t>Newborn preterm</t>
  </si>
  <si>
    <t>Franca - São Paulo</t>
  </si>
  <si>
    <t>Weight Training Apathy Syndrome and Motor Function in Patients With Alzheimers Disease</t>
  </si>
  <si>
    <t>02/22/2013</t>
  </si>
  <si>
    <t>U1111-1126-6632</t>
  </si>
  <si>
    <t>Alzheimer´s disease,Apathy,Reduced motor function</t>
  </si>
  <si>
    <t>Rosemary Donizeti Oliveira Santos Cardoso</t>
  </si>
  <si>
    <t>+55(19)3526-4104</t>
  </si>
  <si>
    <t>spgib@rc.unesp.br</t>
  </si>
  <si>
    <t>Effect of a Perturbation-based Balance Training Program on the Reactive Neuromuscular Control in Older Adults</t>
  </si>
  <si>
    <t>01/15/2013</t>
  </si>
  <si>
    <t>U1111-1133-2777</t>
  </si>
  <si>
    <t>Prevention of Falls in Older Persons</t>
  </si>
  <si>
    <t>Luciano Pavan Rossi</t>
  </si>
  <si>
    <t>Grarapuava - PR</t>
  </si>
  <si>
    <t>+55(42)3629-8100</t>
  </si>
  <si>
    <t>lucianofisioo@yahoo.com.br</t>
  </si>
  <si>
    <t>Effects of Carrier Frequency of Interferential Current on Modulation of Pain and Central Hypersensitivity in Patients with Nonspecific Chronic Low Back Pain: Randomized Controlled Trial</t>
  </si>
  <si>
    <t>U1111-1131-5585</t>
  </si>
  <si>
    <t>Nonspecific chronic low back pain</t>
  </si>
  <si>
    <t>+55(11)2107-5497</t>
  </si>
  <si>
    <t>Influence of the inespecifc mobilization and the massotherapy on the eletromiographic sign of masticatory muscles and the static balance in individuals with temporomandibular disorders. Clinical Trial</t>
  </si>
  <si>
    <t>U1111-1126-3356</t>
  </si>
  <si>
    <t>Temporomandibular Joint Disfunction</t>
  </si>
  <si>
    <t>Daniela Aparecida Biasotto-Gonzalez</t>
  </si>
  <si>
    <t>+55(11)3665-9325</t>
  </si>
  <si>
    <t>dani_atm@ig.com.br</t>
  </si>
  <si>
    <t>The influence of mobilization of TMJ on the center of pressure in individuals with and without TMD: A clinical study</t>
  </si>
  <si>
    <t>U1111-1126-2692</t>
  </si>
  <si>
    <t>Temporomandibular disfunction</t>
  </si>
  <si>
    <t>Effect of Different Lifestyle Interventions on Metabolic Syndrome: Physical Metabolic and Behavioral Aspects</t>
  </si>
  <si>
    <t>U1111-1125-6050</t>
  </si>
  <si>
    <t>Risk factors present in metabolic syndrome may be improved through a change in lifestyle. Metabolic syndrome X,life style</t>
  </si>
  <si>
    <t>Ana Maria Pandolfo Feoli</t>
  </si>
  <si>
    <t>+55(51)9911-3014</t>
  </si>
  <si>
    <t>anamariafeoli@hotmail.com</t>
  </si>
  <si>
    <t>Accuracy of Erythrocyte Indices and Serum Ferritin on Diagnosis of Iron-Deficiency Anemia in Pregnant Women: A Phase III Validation Study of Diagnostic Tests</t>
  </si>
  <si>
    <t>U1111-1123-2605</t>
  </si>
  <si>
    <t>Malaquias Batista Filho</t>
  </si>
  <si>
    <t>+55(81)2122-4781</t>
  </si>
  <si>
    <t>Malaquias.imip@gmail.com</t>
  </si>
  <si>
    <t>A Phase 3 Randomized Double-blinded Study of IMC-1121B and Best Supportive Care (BSC) Versus Placebo and BSC in the Treatment of Metastatic Gastric or Gastroesophageal Junction Adenocarcinoma Following Disease Progression on First-line Platinum- or Fluoropyrimidine-Containing Combination Therapy</t>
  </si>
  <si>
    <t>U1111-1133-4801</t>
  </si>
  <si>
    <t>Adenocarcinoma. Gastric cancer</t>
  </si>
  <si>
    <t>Rodrigo Guimarães</t>
  </si>
  <si>
    <t>+55(11)3868-0500</t>
  </si>
  <si>
    <t>Rodrigo.Guimaraes@Quintiles.com</t>
  </si>
  <si>
    <t>Quintiles Brasil Ltda</t>
  </si>
  <si>
    <t>Effects of the use of citrate content dialysate on the extracorporeal anticoagulation in maintenance hemodialysis</t>
  </si>
  <si>
    <t>U1111-1123-2018</t>
  </si>
  <si>
    <t>Jocemir Ronaldo Lugon</t>
  </si>
  <si>
    <t>(0xx)21 2629-9000</t>
  </si>
  <si>
    <t>jocerl@huap.uff.br</t>
  </si>
  <si>
    <t>Divisão de Nefrologia da Faculdade de Medicina da Universidade Federal Fluminense</t>
  </si>
  <si>
    <t>Post-Aerobic Exercise Hypotension and its Hemodynamic and Neural Mechanisms in Pre-Hypertensives: influence of time and association with circadian endocrine regulation</t>
  </si>
  <si>
    <t>U1111-1121-9393</t>
  </si>
  <si>
    <t>Pre-hypertension</t>
  </si>
  <si>
    <t>Open label prospective parallel multicenter and randomized study for comparative evaluation of efficacy and safety of nitrendipino (Caltren) versus nifedipino (Adalat retard) in the treatment of arteial hypertension stage 1</t>
  </si>
  <si>
    <t>U1111-1127-1408</t>
  </si>
  <si>
    <t>Arterial hypertension stage 1</t>
  </si>
  <si>
    <t>Rodrigo Tambellini</t>
  </si>
  <si>
    <t>+55 11 3879-2500</t>
  </si>
  <si>
    <t>rodrigo.tambellini@libbs.com.br</t>
  </si>
  <si>
    <t>Libbs Farmaceutica Ltda</t>
  </si>
  <si>
    <t>Effect of mirror therapy associated with functional tasks in arm function after stroke: a randomised clinical trial</t>
  </si>
  <si>
    <t>U1111-1122-0220</t>
  </si>
  <si>
    <t>Individuals with hemiparesis after stroke with mildly or moderately Motor impairment of upper limb (Fugl-Meyer Arm &gt; 30/66)</t>
  </si>
  <si>
    <t>55 48 99167838</t>
  </si>
  <si>
    <t>Immediate effects of specific or inespecific spinal manipulation in patients with chronic low back pain: a randomized controlled trial</t>
  </si>
  <si>
    <t>U1111-1123-9416</t>
  </si>
  <si>
    <t>Chronic low back pain (i.e. pain lasting for 12 weeks or more)</t>
  </si>
  <si>
    <t>Analysis of the effects of low frequency vibration in patients affected by stroke</t>
  </si>
  <si>
    <t>U1111-1124-5381</t>
  </si>
  <si>
    <t>Adriana Teresa Silva</t>
  </si>
  <si>
    <t>adrianat.silva@yahoo.com.br</t>
  </si>
  <si>
    <t>A controlled clinical trial on the effects of physical exercise on neuropsychiatric disorders and instrumental activities in women with Alzheimers disease</t>
  </si>
  <si>
    <t>U1111-1127-2317</t>
  </si>
  <si>
    <t>Aging,Alzheimer´s Disease,Physical Exercise</t>
  </si>
  <si>
    <t>Florindo Stella</t>
  </si>
  <si>
    <t>19-35264312</t>
  </si>
  <si>
    <t>fstella@rc.unesp.br</t>
  </si>
  <si>
    <t>São Paulo State University</t>
  </si>
  <si>
    <t>A comparative study of oral anticoagulants and antiplatelet prophylaxis of thrombosis and thromboembolic events in the Fontan operation using extracardiac conduit</t>
  </si>
  <si>
    <t>U1111-1126-0917</t>
  </si>
  <si>
    <t>Hypoplastic right heart syndrome,thrombosis,Tricuspid atresia</t>
  </si>
  <si>
    <t>Cristiane Félix Ximenes Pessotti</t>
  </si>
  <si>
    <t>11-3053661/ r 2631</t>
  </si>
  <si>
    <t>crisximenes08@gmail.com</t>
  </si>
  <si>
    <t>Hospital do Coração - Associação do Sanatório Sírio</t>
  </si>
  <si>
    <t>Effect of an exercise program based on the principles of the Pilates method in flexibility muscle performance and balance of elderly women: a randomized controlled clinical trial</t>
  </si>
  <si>
    <t>U1111-1124-4139</t>
  </si>
  <si>
    <t>Aging,Balance,Muscle Strength,Pilates Method</t>
  </si>
  <si>
    <t>3342-2006</t>
  </si>
  <si>
    <t>Universidade Federal do Rio Grande do Norte (UFRN)</t>
  </si>
  <si>
    <t>Comparison of the effectiveness of the use of pads in adult patients with diagnoses of hyperthermia admitted to the Intensive Care Unit</t>
  </si>
  <si>
    <t>U1111-1126-5476</t>
  </si>
  <si>
    <t>Fever,infection</t>
  </si>
  <si>
    <t>Tânia Machado Chianca</t>
  </si>
  <si>
    <t>(31)34099887</t>
  </si>
  <si>
    <t>Escola de Enfermagem Universidade Federal de Minas Gerais</t>
  </si>
  <si>
    <t>Manipulation of intrinsic muscles of the foot in people with acquired brain injury</t>
  </si>
  <si>
    <t>U1111-1127-4957</t>
  </si>
  <si>
    <t>Ana Elisa Zuliani Stroppa Marques</t>
  </si>
  <si>
    <t>anastropa@hotmail.com</t>
  </si>
  <si>
    <t>Centro Universitário de Rio Preto - UNIRP</t>
  </si>
  <si>
    <t>Effects of doxycycline on radiological and functional assessment and metalloproteinase blockage in patients with lymphangioleiomyomatosis</t>
  </si>
  <si>
    <t>U1111-1124-0501</t>
  </si>
  <si>
    <t>Lymphangioleiomyomatosis,doxycycline,respiratory tract diseases</t>
  </si>
  <si>
    <t>SUZANA PINHEIRO PIMENTA</t>
  </si>
  <si>
    <t>11 82326007</t>
  </si>
  <si>
    <t>SPP3847@YAHOO.COM.BR</t>
  </si>
  <si>
    <t>The melatonin analgesic effect in a human nociceptive and inflammatory pain model</t>
  </si>
  <si>
    <t>U1111-1123-5109</t>
  </si>
  <si>
    <t>Wolnei Caumo</t>
  </si>
  <si>
    <t>caumo@cpovo.net</t>
  </si>
  <si>
    <t>The efficacy of occlusal stabilization appliance associated to counselling in the management of myofascial pain chronic and in the improvement of the quality of life of patients with temporomandibular disorders</t>
  </si>
  <si>
    <t>U1111-1128-3875</t>
  </si>
  <si>
    <t>Temporomandibular disorder,stress psychological</t>
  </si>
  <si>
    <t>Patrícia Rocha Coelho</t>
  </si>
  <si>
    <t>(32) 99321100</t>
  </si>
  <si>
    <t>patriciacoelho.odonto@gmail.com</t>
  </si>
  <si>
    <t>Study of cardiac autonomic modulation and pulmonary function in patients undergoing coronary artery bypass grafting and physiotherapy program: phase I of cardiac rehabilitation</t>
  </si>
  <si>
    <t>U1111-1128-9578</t>
  </si>
  <si>
    <t>patients undergoing coronary artery bypass surgery,exercise autonomic responses</t>
  </si>
  <si>
    <t>16-33518952</t>
  </si>
  <si>
    <t>Home-based vs in center aerobic exercise: impact on functional capacity nutritional status and cardiometabolic parameters in overweight nondialysis dependent chronic kidney disease patients</t>
  </si>
  <si>
    <t>U1111-1128-0474</t>
  </si>
  <si>
    <t>Chronic kidney disease,overweight patients(BMI&gt;25 kg/m2)</t>
  </si>
  <si>
    <t>Lilian Cuppari Valle</t>
  </si>
  <si>
    <t>Fundação Oswaldo Ramos</t>
  </si>
  <si>
    <t>Comparison of methods of oral rehydration therapy in children with acute diarrhea</t>
  </si>
  <si>
    <t>U1111-1128-7872</t>
  </si>
  <si>
    <t>Patricia Silva de Almeida Mendes</t>
  </si>
  <si>
    <t>(55 71) 3283-8346</t>
  </si>
  <si>
    <t>pat-almeida@ig.com.br</t>
  </si>
  <si>
    <t>Centro de Pesquisa Fima Lifshtz/UFBA</t>
  </si>
  <si>
    <t>Electrical stimulation of the pelvic floor in the treatment of women with chronic vulvar pain</t>
  </si>
  <si>
    <t>U1111-1126-6729</t>
  </si>
  <si>
    <t>Vulvodynia</t>
  </si>
  <si>
    <t>Paulo César Giraldo</t>
  </si>
  <si>
    <t>(19)03521.9306</t>
  </si>
  <si>
    <t>giraldo@unicamp.br</t>
  </si>
  <si>
    <t>A comparative study of marginal bone variation around Titanium-13Zirconium and versus Titanium Grade IV</t>
  </si>
  <si>
    <t>U1111-1129-0678</t>
  </si>
  <si>
    <t>Lívia de Souza Tolentino</t>
  </si>
  <si>
    <t>55-11 3091-7840</t>
  </si>
  <si>
    <t>liviatolentino85@gmail.com</t>
  </si>
  <si>
    <t>Study of autonomic cardiac behavior and oxygen saturation during sleep in patients with the Obstructive Sleep Apnea Syndrome</t>
  </si>
  <si>
    <t>U1111-1129-3819</t>
  </si>
  <si>
    <t>Renata Trimer</t>
  </si>
  <si>
    <t>16 91743914</t>
  </si>
  <si>
    <t>retrimer@hotmail.com</t>
  </si>
  <si>
    <t>Ocular surface evaluation in patients treated with prostaglandin analogues or timolol maleate monotherapy compared to patients treated with fixed combination of prostaglandin analogues and timolol maleate 05% monotherapy</t>
  </si>
  <si>
    <t>U1111-1129-2872</t>
  </si>
  <si>
    <t>Ocular hypertension or Open angle Glaucoma with no previous treatment</t>
  </si>
  <si>
    <t>Jose Alvaro Gomes</t>
  </si>
  <si>
    <t>(11) 5085-2010,</t>
  </si>
  <si>
    <t>japgomes@uol.com.br</t>
  </si>
  <si>
    <t>Federal University of Sao Paulo</t>
  </si>
  <si>
    <t>Evaluation of the effectiveness of the chlorhexidine antimicrobial dressing for central venous catheter</t>
  </si>
  <si>
    <t>U1111-1128-5307</t>
  </si>
  <si>
    <t>Catheter-related bloodstream infection</t>
  </si>
  <si>
    <t>Edivane Pedrolo</t>
  </si>
  <si>
    <t>41 99255226</t>
  </si>
  <si>
    <t>edivanepedrolo@gmail.com</t>
  </si>
  <si>
    <t>Additional effect of physical therapy to drug treatment in reducing the intensity and frequency of migraine - a randomized controlled trial</t>
  </si>
  <si>
    <t>U1111-1120-4922</t>
  </si>
  <si>
    <t>Migraine without aura,myofascial pain syndromes,Limitations of the Cervical Range of Motion</t>
  </si>
  <si>
    <t>(16)36024585</t>
  </si>
  <si>
    <t>Faculdade de Medicina de Ribeirão preto da Universidade de São Paulo</t>
  </si>
  <si>
    <t>Fifty-millesimal potencies of Opium and Erythroxylum coca as complementary treatment of cocaine dependence: pilot randomized placebo controlled double-blind study</t>
  </si>
  <si>
    <t>U1111-1128-4791</t>
  </si>
  <si>
    <t>Cocaine dependence,fissure</t>
  </si>
  <si>
    <t>MARTA JEZIERSKI</t>
  </si>
  <si>
    <t>(11) 3329-4455</t>
  </si>
  <si>
    <t>marta.jezierskivaz@gmail.com</t>
  </si>
  <si>
    <t>Centro de Referência de Álcool,Tabaco e Outras Drogas da Secretaria de Estado da Saúde</t>
  </si>
  <si>
    <t>Multimodal monitoring inflammation and neuroregeneration in subarchnoid hemorrhage</t>
  </si>
  <si>
    <t>U1111-1125-9253</t>
  </si>
  <si>
    <t>Nervous system diseases,Subarachnoid hemorrhage</t>
  </si>
  <si>
    <t>Effects of Manual Chest Compression and Descompression Maneuver on Lung Volumes Capnography and Pulse Oximetry in Patients Receiving Mechanical Ventilation</t>
  </si>
  <si>
    <t>U1111-1125-4402</t>
  </si>
  <si>
    <t>19-81923394</t>
  </si>
  <si>
    <t>Effects of functional electrical stimulation and inspiratory muscle training on quality of life and functional capacity of patients with end-stage renal disease on hemodialysis: a randomized clinical trial</t>
  </si>
  <si>
    <t>U1111-1127-4675</t>
  </si>
  <si>
    <t>Rodrigo Della Méa Plentz</t>
  </si>
  <si>
    <t>roplentz@yahoo.com.br</t>
  </si>
  <si>
    <t>Effects of ultrasonic waves application on morphometric parameters and metalloproteases gene expression in venous ulcers</t>
  </si>
  <si>
    <t>U1111-1129-6557</t>
  </si>
  <si>
    <t>Venous leg ulcer</t>
  </si>
  <si>
    <t>Fernando Augusto Lavezzo Dias</t>
  </si>
  <si>
    <t>3342 2024</t>
  </si>
  <si>
    <t>faldias@ufrnet.br</t>
  </si>
  <si>
    <t>Effects of mirror therapy in upper limbs of young individuals with hemiparesis</t>
  </si>
  <si>
    <t>U1111-1128-6745</t>
  </si>
  <si>
    <t>Regina Célia Turolla de Souza</t>
  </si>
  <si>
    <t>(019) 3521-7374</t>
  </si>
  <si>
    <t>reginaturolla@yahoo.com</t>
  </si>
  <si>
    <t>UNICAMP</t>
  </si>
  <si>
    <t>Impact of electroacupuncture on quality of life for patients with Relapsing-Remitting Multiple Sclerosis under treatment with immunomodulators</t>
  </si>
  <si>
    <t>04/16/2012</t>
  </si>
  <si>
    <t>U1111-1128-8310</t>
  </si>
  <si>
    <t>Quality of life in Relapsing-Remitting Multiple Sclerosis</t>
  </si>
  <si>
    <t>Juan Guzman Quispe-Cabanillas</t>
  </si>
  <si>
    <t>(19)35216263</t>
  </si>
  <si>
    <t>juangqc@fcm.unicamp.br</t>
  </si>
  <si>
    <t>Departamento de Clinica Médica,Faculdade de Ciências Médicas,Universidade Estadual de Campinas - UNICAMP</t>
  </si>
  <si>
    <t>Study of the transcutaneous electrical diaphragmatic muscle stimulation</t>
  </si>
  <si>
    <t>U1111-1128-1643</t>
  </si>
  <si>
    <t>Aging,Sarcopenia</t>
  </si>
  <si>
    <t>(19) 3124-1515</t>
  </si>
  <si>
    <t>Analysis of low level laser therapy in the treatment of patients with fibromyalgia</t>
  </si>
  <si>
    <t>U1111-1129-8315</t>
  </si>
  <si>
    <t>João Afonso Ruaro</t>
  </si>
  <si>
    <t>Santa Cruz/RN</t>
  </si>
  <si>
    <t>(84)3291-2411</t>
  </si>
  <si>
    <t>joaoruaro@bol.com.br</t>
  </si>
  <si>
    <t>The use of carbon dioxide (CO2) as a contrast medium for performing endovascular procedures</t>
  </si>
  <si>
    <t>U1111-1129-8569</t>
  </si>
  <si>
    <t>Lower limb ischemia caused by aortoiliac stenosis,lower limb ischemia due to stenosis of femoropopliteal, Abdominal aortic aneurysm with an indication for endovascular repair</t>
  </si>
  <si>
    <t>Nelson Wolosker</t>
  </si>
  <si>
    <t>11 2151-5423</t>
  </si>
  <si>
    <t>nwolosker@yahoo.com.br</t>
  </si>
  <si>
    <t>Influence of biofeedback in gait training on a treadmill with partial body weight support in hemiparetic subjects</t>
  </si>
  <si>
    <t>U1111-1130-1950</t>
  </si>
  <si>
    <t>Hemiparesis,cerebral vascular accident (CVA),disorders of gait,independence to perform daily activities</t>
  </si>
  <si>
    <t>Gabriela Lopes Gama</t>
  </si>
  <si>
    <t>(83) 88298003</t>
  </si>
  <si>
    <t>gabilopes_@hotmail.com</t>
  </si>
  <si>
    <t>Resistance training in clinical inflammatory process control in patients with moderate severe and difficult control asthma</t>
  </si>
  <si>
    <t>U1111-1128-1626</t>
  </si>
  <si>
    <t>Asthma,Quality of life</t>
  </si>
  <si>
    <t>Luciana Malosa Sampaio</t>
  </si>
  <si>
    <t>11-96002075</t>
  </si>
  <si>
    <t>lucianamalosa@terra.com.br</t>
  </si>
  <si>
    <t>Cooling as an adjuntive therapy to percutaneous intervention in patients with acute myocardial infarction - cool-mi incor - version 2.0 february 2011</t>
  </si>
  <si>
    <t>U1111-1129-1175</t>
  </si>
  <si>
    <t>Myocardial Infarct</t>
  </si>
  <si>
    <t>Luis Augusto Dallan</t>
  </si>
  <si>
    <t>11-2661-5014</t>
  </si>
  <si>
    <t>luisdallan@yahoo.com</t>
  </si>
  <si>
    <t>InCor - HC-FMUSP</t>
  </si>
  <si>
    <t>Influence of training on reaching ability in infants</t>
  </si>
  <si>
    <t>U1111-1125-6025</t>
  </si>
  <si>
    <t>Term birth,child development,motor skills</t>
  </si>
  <si>
    <t>Federal University of São Carlos</t>
  </si>
  <si>
    <t>Hippotherapy on functional capacity of elderly</t>
  </si>
  <si>
    <t>U1111-1126-8601</t>
  </si>
  <si>
    <t>Faculdade de Educação Física Universidade de Brasília-UnB</t>
  </si>
  <si>
    <t>Evaluation of low level laser terapy(LLLT) for the treatment of pain associated with positioning elastomeric orthodontic interdental separators</t>
  </si>
  <si>
    <t>U1111-1129-9846</t>
  </si>
  <si>
    <t>dental malocclusion</t>
  </si>
  <si>
    <t>Celestino Jose Prudente Nobrega</t>
  </si>
  <si>
    <t>Pindamonhangaba SP</t>
  </si>
  <si>
    <t>(012)33029980</t>
  </si>
  <si>
    <t>celestino@ortogeo.com.br</t>
  </si>
  <si>
    <t>Evaluation of interference of finger nail polish on peripheral oxygen saturation in patients with pulmonary disease at rest and during exercise</t>
  </si>
  <si>
    <t>U1111-1128-6686</t>
  </si>
  <si>
    <t>chronic obstructive pulmonary disease,peripheral oxygen saturation</t>
  </si>
  <si>
    <t>Effect of neural mobilization in the lower limbs on the vertical jump and balance in healthy subjects</t>
  </si>
  <si>
    <t>U1111-1128-9411</t>
  </si>
  <si>
    <t>Guilherme Silva Nunes</t>
  </si>
  <si>
    <t>nunesguilherme@live.com</t>
  </si>
  <si>
    <t>Prevention of nausea and vomiting in obese patients undergoing laparoscopic bariatric surgery: A comparison between three schemes</t>
  </si>
  <si>
    <t>U1111-1129-8484</t>
  </si>
  <si>
    <t>Márcio Luiz Benevides</t>
  </si>
  <si>
    <t>(065)36212899</t>
  </si>
  <si>
    <t>mmmmb@terra.com.br</t>
  </si>
  <si>
    <t>Static stability evaluation in subjects with unilateral transtibial amputation traumatic</t>
  </si>
  <si>
    <t>U1111-1129-1737</t>
  </si>
  <si>
    <t>Individuals with traumatic amputation,changes in static stability</t>
  </si>
  <si>
    <t>Marcelle de Paula Ribeiro</t>
  </si>
  <si>
    <t>(32)88072601</t>
  </si>
  <si>
    <t>marcelleribeirofst@yahoo.com.br</t>
  </si>
  <si>
    <t>Study of lung function and maximal ventilatory pressures and sleep and daytime sleepiness and nocturnal periodic legs moviments and autonomic nervous system activity and ansiety and depression and stress vulnerability in chronic kidney disease patients</t>
  </si>
  <si>
    <t>U1111-1127-9390</t>
  </si>
  <si>
    <t>Renal failure,sleep apnea,psychological stress,anxiety,depression and,quality of life</t>
  </si>
  <si>
    <t>Luís Vicente Franco Oliveira</t>
  </si>
  <si>
    <t>+55(11)3665-9890</t>
  </si>
  <si>
    <t>Serial measurements before and after extubation of the index of rapid shallow breathing as a predictor of extubation failure in patients on prolonged mechanical ventilation</t>
  </si>
  <si>
    <t>U1111-1125-2740</t>
  </si>
  <si>
    <t>Intubated patients receiving mechanical ventilation</t>
  </si>
  <si>
    <t>Elaine Cristina Goncalves</t>
  </si>
  <si>
    <t>Sertãozinho</t>
  </si>
  <si>
    <t>(16) 8114-1167</t>
  </si>
  <si>
    <t>elacrisg@yahoo.com.br</t>
  </si>
  <si>
    <t>Effect of resistance training performed alone or associated with functional training on cardiovascular function and autonomic modulation in elderly patients with Parkinson Disease</t>
  </si>
  <si>
    <t>U1111-1129-0762</t>
  </si>
  <si>
    <t>Stress urinary incontinence: treatment with intravaginal electric stimulation and vaginal pH evaluation</t>
  </si>
  <si>
    <t>U1111-1130-5315</t>
  </si>
  <si>
    <t>urinary incontinence,vaginal infection</t>
  </si>
  <si>
    <t>Aracaju-SE</t>
  </si>
  <si>
    <t>Remote ischemic preconditioning in patients with intermittent claudication</t>
  </si>
  <si>
    <t>U1111-1130-2938</t>
  </si>
  <si>
    <t>Remote Ischemic Preconditioning,Intermittent Claudication,Peripheral Arterial Disease</t>
  </si>
  <si>
    <t>11- 21515423</t>
  </si>
  <si>
    <t>Effects of Square Stepping Exercise in patients with sequelae of stroke</t>
  </si>
  <si>
    <t>U1111-1126-4772</t>
  </si>
  <si>
    <t>Grazieli Silva Túbero</t>
  </si>
  <si>
    <t>(19)3526-4312</t>
  </si>
  <si>
    <t>grazielitubero@yahoo.com.br</t>
  </si>
  <si>
    <t>Universidade Estadual Paulista Júlio de Mesquita Filho - Unesp</t>
  </si>
  <si>
    <t>Use of de game therapy to assess functionality and upper limb muscle strength in critical patients</t>
  </si>
  <si>
    <t>U1111-1131-1450</t>
  </si>
  <si>
    <t>Admitted to the intensive care unit,loss of muscle strength in upper limbs</t>
  </si>
  <si>
    <t>Maira Maturana</t>
  </si>
  <si>
    <t>(41)9615-0814</t>
  </si>
  <si>
    <t>mairamaturana@yahoo.com.br</t>
  </si>
  <si>
    <t>Evaluation of Thermography in the Diagnosis of RSI in the wrist joint</t>
  </si>
  <si>
    <t>U1111-1130-7947</t>
  </si>
  <si>
    <t>Occupational repetitive strain injury</t>
  </si>
  <si>
    <t>Patolological conditions,signs and symptoms</t>
  </si>
  <si>
    <t>Percy Nohama</t>
  </si>
  <si>
    <t>(41)3271-1657</t>
  </si>
  <si>
    <t>percy.nohama@gmail.com</t>
  </si>
  <si>
    <t>Pontificia Universidade Catolica do Parana- PUC- PR</t>
  </si>
  <si>
    <t>Strengthening exercise in individuals with parkinson´s disease: A randomised trial</t>
  </si>
  <si>
    <t>U1111-1131-2668</t>
  </si>
  <si>
    <t>Lidiane Oliveira Lima</t>
  </si>
  <si>
    <t>(31) 9143-5050</t>
  </si>
  <si>
    <t>lidianelima848@hotmail.com</t>
  </si>
  <si>
    <t>Universidade Federal de Minas Gerais-UFMG</t>
  </si>
  <si>
    <t>Effects of preoperative physiotherapy in cardiorespiratory conditions and physical functioning of patients undergoing upper abdominal surgery</t>
  </si>
  <si>
    <t>12/14/2011</t>
  </si>
  <si>
    <t>U1111-1123-5518</t>
  </si>
  <si>
    <t>Silvia Maria de Toledo Piza Soares</t>
  </si>
  <si>
    <t>19-3343-6868</t>
  </si>
  <si>
    <t>stpsoares@terra.com.br</t>
  </si>
  <si>
    <t>Effect of nonsurgical periodontal therapy on levels of c-reactive protein in serum of subjects with severe periodontitis</t>
  </si>
  <si>
    <t>U1111-1133-5512</t>
  </si>
  <si>
    <t>C-reactive protein,periodontal diseases</t>
  </si>
  <si>
    <t>Anne Carolina Leite</t>
  </si>
  <si>
    <t>+55(61)3435-8587</t>
  </si>
  <si>
    <t>annecarolinaleite@gmail.com</t>
  </si>
  <si>
    <t>Physical functional and quality of life in patients with chronic obstructive pulmonary disease in a program of strength training with elastic tubing</t>
  </si>
  <si>
    <t>05/30/2012</t>
  </si>
  <si>
    <t>U1111-1125-3687</t>
  </si>
  <si>
    <t>Alessandra Choqueta Toledo</t>
  </si>
  <si>
    <t>11 85615969</t>
  </si>
  <si>
    <t>Faculdade de Ciências e Tecnologia FCT/UNESP</t>
  </si>
  <si>
    <t>Evaluation of dynamic hyperinflation in patients with lymphangioleiomyomatosis (LAM) using cardiopulmonary exercise testing and study of response to bronchodilator</t>
  </si>
  <si>
    <t>01/31/2012</t>
  </si>
  <si>
    <t>U1111-1125-1498</t>
  </si>
  <si>
    <t>Lymphangioleiomyomatosis</t>
  </si>
  <si>
    <t>Bruno Guedes Baldi</t>
  </si>
  <si>
    <t>55112661-5695</t>
  </si>
  <si>
    <t>bruno.guedes2@terra.com.br</t>
  </si>
  <si>
    <t>Instituto do Coração do Hospital das Clínicas da Faculdade de Medicina da USP</t>
  </si>
  <si>
    <t>A clinical study comparing the technique of forming functional model changed and direct functional impression technique for removable partial dentures free distal end</t>
  </si>
  <si>
    <t>U1111-1133-0095</t>
  </si>
  <si>
    <t>Natal/ RN</t>
  </si>
  <si>
    <t>Comparison of methods for determining the load and speed of executation of strength training on neuromuscular adaptations and performance of functional perfomance in older women</t>
  </si>
  <si>
    <t>U1111-1133-8099</t>
  </si>
  <si>
    <t>Carlos Leandro Tiggemann</t>
  </si>
  <si>
    <t>55- 051- 3308 5820</t>
  </si>
  <si>
    <t>cltiggemann@yahoo.com.br</t>
  </si>
  <si>
    <t>Effectiveness of the Pilates method performed in the equipament or mat Pilates in the treatment of chronic non-specific low back pain</t>
  </si>
  <si>
    <t>U1111-1123-6353</t>
  </si>
  <si>
    <t>Cristina Maria Nunes Cabral</t>
  </si>
  <si>
    <t>(11) 2178-1479</t>
  </si>
  <si>
    <t>ccabral@edu.unicid.br</t>
  </si>
  <si>
    <t>Electroacupuncture and Manual Acupuncture in Patients With Knee Osteoarthritis: Randomized Controlled Trial</t>
  </si>
  <si>
    <t>U1111-1131-2004</t>
  </si>
  <si>
    <t>Pacients with knee osteoarthritis,arthralgia,acupuncture analgesia</t>
  </si>
  <si>
    <t>+55(11)3865-2708</t>
  </si>
  <si>
    <t>Effect of using an adhesive in conventional complete denture wearers</t>
  </si>
  <si>
    <t>U1111-1129-0929</t>
  </si>
  <si>
    <t>The Influence of Physical Exercise on Postural Control and Gait pattern Associated or not to The Dual-task</t>
  </si>
  <si>
    <t>U1111-1126-1184</t>
  </si>
  <si>
    <t>Healthy older people,prevention of falls,physiotherapy</t>
  </si>
  <si>
    <t>Postoperative analgesia and anesthetic effect of local tramadol chloridrate injection after oral surgery</t>
  </si>
  <si>
    <t>05/17/2012</t>
  </si>
  <si>
    <t>U1111-1128-1902</t>
  </si>
  <si>
    <t>Postsurgical pain,unerupted tooth</t>
  </si>
  <si>
    <t>Maria da Graça  Naclério-Homem</t>
  </si>
  <si>
    <t>+55(11)3091-7911</t>
  </si>
  <si>
    <t>mgracanh@usp.br</t>
  </si>
  <si>
    <t>Italian Multicenter Project Sleep and Heart Failure</t>
  </si>
  <si>
    <t>U1111-1131-7404</t>
  </si>
  <si>
    <t>Effects of Different Models of Undulating Periodization of Resistance Training on Cardiovascular Risk Parameters Body Composition Muscle Strength and Lifespam in Premenopausal Women with Metabolic Syndrome</t>
  </si>
  <si>
    <t>U1111-1132-4385</t>
  </si>
  <si>
    <t>Women with different genotypes of polymorphism of the Angiotensin Converting Enzyme (ACE)</t>
  </si>
  <si>
    <t>Ramires Alsamir Tibana</t>
  </si>
  <si>
    <t>+55(61)9616-8340</t>
  </si>
  <si>
    <t>ramiires@hotmail.com</t>
  </si>
  <si>
    <t>Randomized Double-Blind Phase 3 Trial to Compare the Efficacy of Ipilimumab vs Placebo in Asymptomatic or Minimally Symptomatic Patients with Metastatic Chemotherapy-Naïve Castration Resistant Prostate Cancer</t>
  </si>
  <si>
    <t>11/13/2011</t>
  </si>
  <si>
    <t>U1111-1121-5066</t>
  </si>
  <si>
    <t>Metastatic Chemotherapy-Naïve Castration Resistant Prostate Cancer</t>
  </si>
  <si>
    <t>Evaluation of Pharmacotherapy Adherence of Patients Attended to Pharmaceutical Service in a Psychosocial Care Center</t>
  </si>
  <si>
    <t>04/23/2012</t>
  </si>
  <si>
    <t>U1111-1123-5176</t>
  </si>
  <si>
    <t>Juliana Santos Rabelo</t>
  </si>
  <si>
    <t>+55(79)2105-6844</t>
  </si>
  <si>
    <t>juliana_srabelo@yahoo.com.br</t>
  </si>
  <si>
    <t>Assessment of costs and benefits of a physical activity program for Chronic Obstructive Pulmonary Disease: implementation and Primary Care Units in the SUS</t>
  </si>
  <si>
    <t>06/18/2012</t>
  </si>
  <si>
    <t>U1111-1130-5576</t>
  </si>
  <si>
    <t>Cronic Obstrutive Pulmonary Diseases</t>
  </si>
  <si>
    <t>Guilherme Augusto Freitas Fregonezi</t>
  </si>
  <si>
    <t>(84)33422013</t>
  </si>
  <si>
    <t>fregonezi@ufrnet.br</t>
  </si>
  <si>
    <t>Effects of omega 3 fatty acids supplementation on insulin resistance in patients with chronic hepatitis C</t>
  </si>
  <si>
    <t>U1111-1129-6471</t>
  </si>
  <si>
    <t>Hepatitis C virus-infected patients,insulin resistance</t>
  </si>
  <si>
    <t>Insoles postural functionality of children with cerebral palsy randomized controlled trial</t>
  </si>
  <si>
    <t>U1111-1125-7482</t>
  </si>
  <si>
    <t>Hugo Pasini Neto</t>
  </si>
  <si>
    <t>11-33859000</t>
  </si>
  <si>
    <t>hugopneto@yahoo.com.br</t>
  </si>
  <si>
    <t>Effects of gait training on sloping surfaces in the gait of individuals with chronic hemiparesis - randomized controlled trial</t>
  </si>
  <si>
    <t>03/30/2012</t>
  </si>
  <si>
    <t>U1111-1126-4608</t>
  </si>
  <si>
    <t>Individual with hemiparesis after stroke,impaired gait,independence to perform daily activities</t>
  </si>
  <si>
    <t>Evaluation of the analgesic efficacy of general and spinal anesthesia with morphine associated ropivacaine in patients who underwent surgery type coronary artery bypass grafting</t>
  </si>
  <si>
    <t>U1111-1127-5518</t>
  </si>
  <si>
    <t>Chronic ischemic heart disease,unspecified</t>
  </si>
  <si>
    <t>Valdecy Ferreira de Oliveira Pinheiro</t>
  </si>
  <si>
    <t>84 99939807</t>
  </si>
  <si>
    <t>valdecy63@gmail.com</t>
  </si>
  <si>
    <t>Effect of low-level laser therapy on pain quality of life and sleep in patients with fibromyalgia</t>
  </si>
  <si>
    <t>02/14/2012</t>
  </si>
  <si>
    <t>U1111-1125-5007</t>
  </si>
  <si>
    <t>Fibromyalgia,Sleep Disorders,Pain,Quality of Life</t>
  </si>
  <si>
    <t>Paulo de Tarso Camillo de Carvalho</t>
  </si>
  <si>
    <t>(11) 3665-9752</t>
  </si>
  <si>
    <t>paulo.tarso@uninove.br</t>
  </si>
  <si>
    <t>A comparative study between interscalene brachial plexus block and selective suprascapular and axillary nerve block in arthroscopic shoulder surgery</t>
  </si>
  <si>
    <t>U1111-1123-5211</t>
  </si>
  <si>
    <t>Arthroscopic Surgery</t>
  </si>
  <si>
    <t>55 14 3811-6222</t>
  </si>
  <si>
    <t>Effects of high thoracic spine manipulation on temporomandibular and cervical disorders</t>
  </si>
  <si>
    <t>U1111-1126-2995</t>
  </si>
  <si>
    <t>Temporomandibular disorder,cervical disorder</t>
  </si>
  <si>
    <t>(19) 31241558</t>
  </si>
  <si>
    <t>The effects of attention directed to movement parameters on motor behavior of handicap persons</t>
  </si>
  <si>
    <t>U1111-1124-0330</t>
  </si>
  <si>
    <t>Andrea Lucia Serio Bertoldi</t>
  </si>
  <si>
    <t>+55 41 3026 4398</t>
  </si>
  <si>
    <t>seriobertoldi@gmail.com</t>
  </si>
  <si>
    <t>andrea bertoldi</t>
  </si>
  <si>
    <t>Influence of exercise based on the principles of Pilates respiratory muscle performance in older</t>
  </si>
  <si>
    <t>U1111-1124-3484</t>
  </si>
  <si>
    <t>Elderly Healthy</t>
  </si>
  <si>
    <t>Comitê de Ética UFRN</t>
  </si>
  <si>
    <t>(84) 3215.3135</t>
  </si>
  <si>
    <t>cepufrn@reitoria.ufrn.br</t>
  </si>
  <si>
    <t>Postoperative analgesia: comparison between ketoprofen and parecoxib in patients submitted to conventional cholecystectomy</t>
  </si>
  <si>
    <t>U1111-1124-5928</t>
  </si>
  <si>
    <t>Jose Eduardo Orosz</t>
  </si>
  <si>
    <t>je.orosz@terra.com.br</t>
  </si>
  <si>
    <t>PUCCAMP</t>
  </si>
  <si>
    <t>Determination of fasting glucose and glycated hemoglobin levels preditives to dental complications occurrence in patients with type 2 diabetes mellitus</t>
  </si>
  <si>
    <t>U1111-1125-1285</t>
  </si>
  <si>
    <t>Ana Carolina Fragoso Motta</t>
  </si>
  <si>
    <t>55-16-3602-4109</t>
  </si>
  <si>
    <t>anacfm@usp.br</t>
  </si>
  <si>
    <t>Faculdade de Odontologia de Ribeirão Preto- USP</t>
  </si>
  <si>
    <t>Correlation between vastus lateralis morphology and neuromuscular control for patients with knee osteoarthritis grade I and II</t>
  </si>
  <si>
    <t>U1111-1125-0049</t>
  </si>
  <si>
    <t>Knee osteoarthritis,study of the muscle morphology,prevention of neuromuscular disorders in humans with early degrees of knee osteoarthritis,assessment of quality of life,compared with healthy humans</t>
  </si>
  <si>
    <t>(16) 33715587</t>
  </si>
  <si>
    <t>ppregina@yahoo.com.br</t>
  </si>
  <si>
    <t>Effects of treadmill walking training with additional body load in subjects with Parkinsons disease</t>
  </si>
  <si>
    <t>U1111-1125-3870</t>
  </si>
  <si>
    <t>Neurological gait disorders,Parkinsons disease</t>
  </si>
  <si>
    <t>Larissa Coutinho de Lucena Trigueiro</t>
  </si>
  <si>
    <t>Recife - PE</t>
  </si>
  <si>
    <t>55 81 9668-1554</t>
  </si>
  <si>
    <t>larissacoutinho@gmail.com</t>
  </si>
  <si>
    <t>Analysis of functional performance and its correlation with the weight transfer in hemiparetic individuals</t>
  </si>
  <si>
    <t>U1111-1126-9375</t>
  </si>
  <si>
    <t>(14) 38116049</t>
  </si>
  <si>
    <t>gluvizutto@fmb.unesp.br</t>
  </si>
  <si>
    <t>Effects of high voltage eletrical stimulation on pain and disfunction in workers with carpal tunnel syndrome</t>
  </si>
  <si>
    <t>U1111-1126-5524</t>
  </si>
  <si>
    <t>Carpal tunnel syndrome,occupational sick leave</t>
  </si>
  <si>
    <t>Rosana Macher Teodori</t>
  </si>
  <si>
    <t>(19) 31241515</t>
  </si>
  <si>
    <t>rteodori@unimep.br</t>
  </si>
  <si>
    <t>Faculdade de Ciências da Saúde - UNIMEP</t>
  </si>
  <si>
    <t>A Randomized study on the effects of sleep hygiene in glycemic control in patients with type 2 diabetes mellitus</t>
  </si>
  <si>
    <t>U1111-1121-4798</t>
  </si>
  <si>
    <t>Veralice Meirels Bruin</t>
  </si>
  <si>
    <t>Fortaleza - CE</t>
  </si>
  <si>
    <t>(85) 3366.8052 - Fax: (85) 3366.8054</t>
  </si>
  <si>
    <t>veralice@ig.com.br</t>
  </si>
  <si>
    <t>UFC- Universidade Federal do Ceará</t>
  </si>
  <si>
    <t>Interaction between chronic periodontitis and type II diabetes: A randomized clinical trial to study the impact of periodontal treatment on severity of both pathologies by clinical metabolic immunology and microbiology parameters</t>
  </si>
  <si>
    <t>U1111-1124-3635</t>
  </si>
  <si>
    <t>Periodontitis,diabetes mellitus</t>
  </si>
  <si>
    <t>Imipramine versus conservative treatment in women with Overactive Bladder Syndrome</t>
  </si>
  <si>
    <t>U1111-1125-5578</t>
  </si>
  <si>
    <t>Urgency Urinary Incontinence,Overactive Bladder Syndrome,Detrusor Instability</t>
  </si>
  <si>
    <t>Renata Silva Burmann</t>
  </si>
  <si>
    <t>renatah_puc@yahoo.com.br</t>
  </si>
  <si>
    <t>Hospital de Clínicas de Porto Alegrte - HCPA</t>
  </si>
  <si>
    <t>Immediate effects of mobilization of the talocrural joint on the static and dinamic balance of elderly</t>
  </si>
  <si>
    <t>U1111-1125-8564</t>
  </si>
  <si>
    <t>Balance dysfunction,Musculoskeletal diseases,Physical Therapy Modalities</t>
  </si>
  <si>
    <t>Adriana Pertille</t>
  </si>
  <si>
    <t>+55 19 3124 1558</t>
  </si>
  <si>
    <t>apertille@unimep.br</t>
  </si>
  <si>
    <t>Radiographic analysis of the cervical column before and after application of Manual Therapy techniques</t>
  </si>
  <si>
    <t>U1111-1125-2807</t>
  </si>
  <si>
    <t>Dean Azevedo Rodrigues de Oliveira</t>
  </si>
  <si>
    <t>Uberlândia - MG</t>
  </si>
  <si>
    <t>deanazevedo@yahoo.com.br</t>
  </si>
  <si>
    <t>FAMERP</t>
  </si>
  <si>
    <t>Acute and Chronic Cardiovascular Responses to Exercise in Subjects with Intermittent Claudication</t>
  </si>
  <si>
    <t>U1111-1124-6912</t>
  </si>
  <si>
    <t>Effect of Hight Voltage Pulsate Current on chronic cutaneous ulcers treatment</t>
  </si>
  <si>
    <t>U1111-1122-5637</t>
  </si>
  <si>
    <t>Patients with cutaneos diseases: chronic cutaneos ulcers - pressure or venous ulcers</t>
  </si>
  <si>
    <t>Maisa Soares Gui</t>
  </si>
  <si>
    <t>19-37131530</t>
  </si>
  <si>
    <t>Comparison between Pilates and conventional physical therapy for treatment of patients with nonspecific chronic low back pain: randomized controlled trial</t>
  </si>
  <si>
    <t>U1111-1126-8469</t>
  </si>
  <si>
    <t>Individuals diagnosed with chronic low back pain</t>
  </si>
  <si>
    <t>Jefferson Rosa Cardoso</t>
  </si>
  <si>
    <t>(43) 3371.2649</t>
  </si>
  <si>
    <t>jeffcar@uel.br</t>
  </si>
  <si>
    <t>Effectiveness of aerobic physical training applied to patients with spinal cord injury to increase oxygen consumption</t>
  </si>
  <si>
    <t>U1111-1126-8407</t>
  </si>
  <si>
    <t>Edson Lopes Lavado</t>
  </si>
  <si>
    <t>55 43 33712288</t>
  </si>
  <si>
    <t>lavado@uel.br</t>
  </si>
  <si>
    <t>Investigation of the effect of psyllium in the process of atherosclerosis juvenile</t>
  </si>
  <si>
    <t>U1111-1125-1692</t>
  </si>
  <si>
    <t>Dyslipidemia (elevated cholesterol total or high LDL- cholesterol)</t>
  </si>
  <si>
    <t>simone augusta ribas</t>
  </si>
  <si>
    <t>(21)28688188</t>
  </si>
  <si>
    <t>Analysis of energy expenditure and cardiovascular responses while gait in amputees</t>
  </si>
  <si>
    <t>U1111-1126-8296</t>
  </si>
  <si>
    <t>Individuals with traumatic amputation,heart rate changes,changes in blood pressure,increased energy expenditure,gait changes</t>
  </si>
  <si>
    <t>Marília Mendes do Nascimento Garcia</t>
  </si>
  <si>
    <t>(32) 9194-2820</t>
  </si>
  <si>
    <t>marimendes5@yahoo.com.br</t>
  </si>
  <si>
    <t>Faculdade de Educação Física da Universidade Federal de Juiz de Fora</t>
  </si>
  <si>
    <t>Clinical evaluation and treatment of voice tremor with botulinum toxin and propranolol</t>
  </si>
  <si>
    <t>U1111-1120-9759</t>
  </si>
  <si>
    <t>Patients with vocal tremor</t>
  </si>
  <si>
    <t>Bruno Teixeira Moraes</t>
  </si>
  <si>
    <t>+55 1155732740</t>
  </si>
  <si>
    <t>moraesbruno.orl@hotmail.com</t>
  </si>
  <si>
    <t>Comparative analysis of aesthetic and functional parameters of implant abutments using ceramic and metallic</t>
  </si>
  <si>
    <t>U1111-1127-1096</t>
  </si>
  <si>
    <t>Dental implant,dental implant fixed,arcade,Edentulous,Partially,cosmetic dentistry</t>
  </si>
  <si>
    <t>Thais Camargo Bittencourt</t>
  </si>
  <si>
    <t>(32) 3224 - 5797</t>
  </si>
  <si>
    <t>thaisbitte@hotmail.com</t>
  </si>
  <si>
    <t>Effects of supplementation with vitamin D3 in the cardiovascular system in patients with chronic kidney disease in predialysis</t>
  </si>
  <si>
    <t>01/30/2012</t>
  </si>
  <si>
    <t>U1111-1126-2741</t>
  </si>
  <si>
    <t>Vitamin D deficiency,Chronic kidney failure</t>
  </si>
  <si>
    <t>Maria Eugênia Fernandes Canziani</t>
  </si>
  <si>
    <t>011 59048499</t>
  </si>
  <si>
    <t>Efficacy of continuous positive airway pressure on blood pressure control of resistant hypertensive patients with obstructive sleep apnea syndrome</t>
  </si>
  <si>
    <t>U1111-1126-8936</t>
  </si>
  <si>
    <t>Resistant Hypertension,Obstructive Sleep Apnea Syndrome</t>
  </si>
  <si>
    <t>Gil Fernando Salles</t>
  </si>
  <si>
    <t>21-25622514</t>
  </si>
  <si>
    <t>gilsalles@hucff.ufrj.br</t>
  </si>
  <si>
    <t>Faculdade de Medicina - Universidade Federal do Rio de Janeiro</t>
  </si>
  <si>
    <t>Effectiveness of aerobic physical training for prevention and treatment of chronic asymptomatic bacteriuria in subjects with spinal cord injury: a randomized controlled trial</t>
  </si>
  <si>
    <t>U1111-1126-8539</t>
  </si>
  <si>
    <t>Effect of Kinesio Taping on swelling after ankle sprain</t>
  </si>
  <si>
    <t>U1111-1126-4817</t>
  </si>
  <si>
    <t>People with acute ankle sprain</t>
  </si>
  <si>
    <t>Clinical and electromyographic evaluation of masticatory dynamics in adult patients with cerebral palsy</t>
  </si>
  <si>
    <t>01/25/2012</t>
  </si>
  <si>
    <t>U1111-1123-9637</t>
  </si>
  <si>
    <t>Cerebbral palsy</t>
  </si>
  <si>
    <t>Mônica Fernandes Gomes</t>
  </si>
  <si>
    <t>(12) 3947-9000</t>
  </si>
  <si>
    <t>mfgomes@fosjc.unesp.br</t>
  </si>
  <si>
    <t>Faculdade de Odontologia \ UNESP</t>
  </si>
  <si>
    <t>PREVER Study: Efficacy of Chlorthalidone associated with Amiloride versus Losartan in reducing blood pressure of patients with hypertension Prever 2 Study</t>
  </si>
  <si>
    <t>U1111-1119-5101</t>
  </si>
  <si>
    <t>Flávio Danni Fuchs</t>
  </si>
  <si>
    <t>51 33598449</t>
  </si>
  <si>
    <t>ffuchs@hcpa.ufrgs.br</t>
  </si>
  <si>
    <t>PREVER Study: Efficacy of the combination of Chlorthalidone and Amiloride versus placebo in the prevention of hypertension in patients with prehypertension PREVER 1 Study</t>
  </si>
  <si>
    <t>U1111-1119-5061</t>
  </si>
  <si>
    <t>Interaction between single nucleotide polymorphisms of the genes of TNF-alpha IL6 IL10 and brain-derived neurotrophic factor (BDNF) and the effects of physical exercise in older women</t>
  </si>
  <si>
    <t>U1111-1125-4393</t>
  </si>
  <si>
    <t>Aging,inflammation,exercise,sarcopenia</t>
  </si>
  <si>
    <t>Gait parameters plantar pressures and body balance of diabetics with neuropathy and vasculopathy that use insoles</t>
  </si>
  <si>
    <t>U1111-1123-7627</t>
  </si>
  <si>
    <t>(18) 3229 5555</t>
  </si>
  <si>
    <t>Faculdade de Ciência e Tecnologia - Universidade Estadual Paulista</t>
  </si>
  <si>
    <t>Effect of Nebulisation on the Mucociliary Nasal Transport</t>
  </si>
  <si>
    <t>U1111-1123-0713</t>
  </si>
  <si>
    <t>Study in healthy subjects</t>
  </si>
  <si>
    <t>Effects of Glycine max (L.) Merr in the vaginal epitelium and the endometrium in post menopausal women</t>
  </si>
  <si>
    <t>U1111-1122-9186</t>
  </si>
  <si>
    <t>Vaginal atrophy,Menopause,Treatment,Women</t>
  </si>
  <si>
    <t>silvia saito</t>
  </si>
  <si>
    <t>11 36677833</t>
  </si>
  <si>
    <t>sisaito@hotmail.com</t>
  </si>
  <si>
    <t>faculdade de ciencias medicas da santa casa de sao paulo</t>
  </si>
  <si>
    <t>Randomized clinical trial controled duble blind four arms to evaluate the impact of the treatment of oral appliance for obstructive sleep apnea on heart rate variability and on structural and functional characteristics of carotid artery</t>
  </si>
  <si>
    <t>U1111-1124-5695</t>
  </si>
  <si>
    <t>Obstructive sleep apnea,carotid atherosclerose</t>
  </si>
  <si>
    <t>Luis Vicente Franco de Oliveira</t>
  </si>
  <si>
    <t>55 11 91069296</t>
  </si>
  <si>
    <t>Quality of life in patients of hypertension arterial systemic</t>
  </si>
  <si>
    <t>U1111-1123-3566</t>
  </si>
  <si>
    <t>Hypertension Arterial Systemic</t>
  </si>
  <si>
    <t>JOÃO SIMÃO MELO NETO</t>
  </si>
  <si>
    <t>17-33054971</t>
  </si>
  <si>
    <t>joaosimao03@hotmail.com</t>
  </si>
  <si>
    <t>JOAO SIMAO DE MELO NETO</t>
  </si>
  <si>
    <t>Effect of carvedilol and antioxidant vitamins (E and C) in patients with chronic Chagas cardiopathy</t>
  </si>
  <si>
    <t>U1111-1123-2967</t>
  </si>
  <si>
    <t>Roberto Coury Pedrosa</t>
  </si>
  <si>
    <t>coury@hucff.ufrj.br</t>
  </si>
  <si>
    <t>Effect of acupuncture on anxiety in women undergoing to in vitro fertilization</t>
  </si>
  <si>
    <t>U1111-1123-3660</t>
  </si>
  <si>
    <t>Anxiety in infertility women undergoing to in vitro fertilization</t>
  </si>
  <si>
    <t>Daniela Isoyama</t>
  </si>
  <si>
    <t>55 11 87810910</t>
  </si>
  <si>
    <t>daniela.isoyama@gmail.com</t>
  </si>
  <si>
    <t>Serviço de Reprodução Humana - Faculdade de Medicina do ABC</t>
  </si>
  <si>
    <t>Effectiveness of the training with isolated load training with load associated with the aerobic and isolated aerobic training on the functional and muscular performance on the plasmáticas concentrations of inflammatory mediators and on the satisfaction with the life in community-dwelling older women</t>
  </si>
  <si>
    <t>U1111-1123-3700</t>
  </si>
  <si>
    <t>Sarcopenia,musculoskeletal disfunction,functional capacity</t>
  </si>
  <si>
    <t>Giane Amorim Samora-Ribeiro</t>
  </si>
  <si>
    <t>gribeirosamora@gmail.com</t>
  </si>
  <si>
    <t>Centro Universitário de Belo Horizonte - Uni-BH</t>
  </si>
  <si>
    <t>Immediate effects of manual acupuncture on the biceps brachii muscle function in healthy subjects and chronic hemiparetic patients</t>
  </si>
  <si>
    <t>10/26/2011</t>
  </si>
  <si>
    <t>U1111-1123-9318</t>
  </si>
  <si>
    <t>Stroke-related motor impairment</t>
  </si>
  <si>
    <t>(21)38685063</t>
  </si>
  <si>
    <t>Comparison of the effects of intravaginal electrical stimulation and surface electrical stimulation in women with stress urinary incontinence</t>
  </si>
  <si>
    <t>U1111-1124-4313</t>
  </si>
  <si>
    <t>Grasiéla Nascimento Correia</t>
  </si>
  <si>
    <t>(16) 3351-9577</t>
  </si>
  <si>
    <t>grasiela_n_correia@yahoo.com.br</t>
  </si>
  <si>
    <t>Analysis of the effectiveness of Kinesio Tape on the performance of jumping and dynamic balance in athletes</t>
  </si>
  <si>
    <t>07/17/2011</t>
  </si>
  <si>
    <t>U1111-1122-7135</t>
  </si>
  <si>
    <t>Healthy Individuals</t>
  </si>
  <si>
    <t>Effectiveness of motor imagery in the treatment of ankle sprains in athletes</t>
  </si>
  <si>
    <t>U1111-1124-0168</t>
  </si>
  <si>
    <t>Individuals with ankle sprain</t>
  </si>
  <si>
    <t>Effect of gait training back on the treadmill in locomotor function of older adults with osteoarthritis of knee</t>
  </si>
  <si>
    <t>U1111-1124-0205</t>
  </si>
  <si>
    <t>Older adults with osteoarthritis of knee</t>
  </si>
  <si>
    <t>Randomized controlled clinical trial with topical use of estrogentestosterone polyacryli cacid and placebo in the treatment of urogenital atrophy in postmenopausal women</t>
  </si>
  <si>
    <t>U1111-1125-5434</t>
  </si>
  <si>
    <t>In postmenopausal women with symptoms of urogenital atrophy</t>
  </si>
  <si>
    <t>Aarão Mendes Pinto Neto</t>
  </si>
  <si>
    <t>(19) 8129-6638</t>
  </si>
  <si>
    <t>aarao@unicamp.br</t>
  </si>
  <si>
    <t>Hospital da Mulher Prof. Dr. José Aristodemo Pinotti - CAISM Unicamp</t>
  </si>
  <si>
    <t>Effect of using the method of case management on glycemic control in people with type 2 diabetes</t>
  </si>
  <si>
    <t>U1111-1123-8855</t>
  </si>
  <si>
    <t>Ricardo Castanho Moreira</t>
  </si>
  <si>
    <t>Cornélio Procópio</t>
  </si>
  <si>
    <t>(43)9964-0974</t>
  </si>
  <si>
    <t>ricardocastanho@uenp.edu.br</t>
  </si>
  <si>
    <t>Postural and mobility characterization of adolescent basketball athletes</t>
  </si>
  <si>
    <t>U1111-1124-3547</t>
  </si>
  <si>
    <t>Patricia Ferreira Guedes</t>
  </si>
  <si>
    <t>+55 11 20918424</t>
  </si>
  <si>
    <t>patriciafguedes@ig.com.br</t>
  </si>
  <si>
    <t>Using azithromycin to reduce bronchiolitis length of hospital stay in infants</t>
  </si>
  <si>
    <t>U1111-1122-3127</t>
  </si>
  <si>
    <t>Acute viral bronchiolitis</t>
  </si>
  <si>
    <t>51 3320-300,R2313</t>
  </si>
  <si>
    <t>The use of Phytoestrogens low dose hormone therapy and placebo to treat psychological somatic and urogenital symptoms in climacteric women: randomized controlled double-blind clinical trial</t>
  </si>
  <si>
    <t>U1111-1121-0488</t>
  </si>
  <si>
    <t>vasomotor symptoms,psychoemotional symptoms,urogenital symptoms</t>
  </si>
  <si>
    <t>Jose Guilherme Cecatti</t>
  </si>
  <si>
    <t>19 35219304</t>
  </si>
  <si>
    <t>A proposal for intervention through exercise for the elderly: implications for physical fitness and functional hability</t>
  </si>
  <si>
    <t>U1111-1124-2547</t>
  </si>
  <si>
    <t>wilson almeida de moraes</t>
  </si>
  <si>
    <t>(85)34773000</t>
  </si>
  <si>
    <t>wmax_amm@yahoo.com.br</t>
  </si>
  <si>
    <t>The influence of physiotherapy intervention on quality of life in patients with urinary incontinence</t>
  </si>
  <si>
    <t>U1111-1122-1163</t>
  </si>
  <si>
    <t>(51)3320-3596</t>
  </si>
  <si>
    <t>Compliance assessment to the Recommendations of the Corporate Guidelines through a Protocol Approach to Acute Coronary Syndrome by residents in the Emergency Room of Cardiology Institute of Santa Catarina: a Cluster Randomized Clinical Trial</t>
  </si>
  <si>
    <t>U1111-1122-3041</t>
  </si>
  <si>
    <t>Masterson Marian de Farias</t>
  </si>
  <si>
    <t>masterson@yahoo.com.br</t>
  </si>
  <si>
    <t>Instituto de Cardiologia de Santa Catarina</t>
  </si>
  <si>
    <t>Effect of high voltage electrical stimulation - negative pole - on pain and electromyographic activity of masticatory muscles in women with temporomandibular disorders</t>
  </si>
  <si>
    <t>U1111-1124-1924</t>
  </si>
  <si>
    <t>Randomized five arm clinical trial to evaluate the effects of neuromuscular electrical stimulation lasertherapy and ledtherapy on the masticatory system and the impact on sleep variables in cerebral palsy patients</t>
  </si>
  <si>
    <t>11/24/2011</t>
  </si>
  <si>
    <t>U1111-1123-7969</t>
  </si>
  <si>
    <t>Sitting position and respiratory function in two significantly different chair-table system</t>
  </si>
  <si>
    <t>U1111-1123-7824</t>
  </si>
  <si>
    <t>(11) 3091-7451</t>
  </si>
  <si>
    <t>fcaromano@uol.com.br</t>
  </si>
  <si>
    <t>Analysis of the effectiveness of treadmill training with partial body weight support and the Proprioceptive Neuromuscular Facilitation method on the hemiparetic gait due to stroke</t>
  </si>
  <si>
    <t>U1111-1123-7725</t>
  </si>
  <si>
    <t>Ana Raquel Lindquist</t>
  </si>
  <si>
    <t>+55 (84) 3342-2010</t>
  </si>
  <si>
    <t>raquellindquist@ufrnet.br</t>
  </si>
  <si>
    <t>Effects of a training program of pelvic floor muscles after childbirth</t>
  </si>
  <si>
    <t>U1111-1123-6124</t>
  </si>
  <si>
    <t>Conditions of the pelvic floor muscles after childbirth</t>
  </si>
  <si>
    <t>Thais Rocha Assis</t>
  </si>
  <si>
    <t>064 36068360</t>
  </si>
  <si>
    <t>rochafisio@hotmail.com</t>
  </si>
  <si>
    <t>Evaluation of a training on the performance of reaching in late preterm infants</t>
  </si>
  <si>
    <t>10/30/2011</t>
  </si>
  <si>
    <t>U1111-1121-0227</t>
  </si>
  <si>
    <t>Prematurity,child development,motor skills</t>
  </si>
  <si>
    <t>+55 16 3351-8407</t>
  </si>
  <si>
    <t>Improving Medication Adherence and Clinical Outcomes Following Hospitalization in Chronic Cardiovascular Disease</t>
  </si>
  <si>
    <t>10/27/2011</t>
  </si>
  <si>
    <t>U1111-1124-9079</t>
  </si>
  <si>
    <t>Alfredo Dias de Oliveira Filho</t>
  </si>
  <si>
    <t>adias1@hotmail.com</t>
  </si>
  <si>
    <t>Fundação de Apoio à Pesquisa do Estado de Alagoas</t>
  </si>
  <si>
    <t>Effect of juice diet enriched with soluble fiber in reducing blood glucose of patients with diabetes mellitus type 2</t>
  </si>
  <si>
    <t>09/26/2011</t>
  </si>
  <si>
    <t>U1111-1123-1045</t>
  </si>
  <si>
    <t>(55-62) 3521-1000</t>
  </si>
  <si>
    <t>Strengthening exercises for hand muscles to increase strength and improve functionality in individuals with rheumatoid arthritis hand deformities</t>
  </si>
  <si>
    <t>09/25/2011</t>
  </si>
  <si>
    <t>U1111-1122-5448</t>
  </si>
  <si>
    <t>Universidade de São Paulo - Faculdade de Medicina de RibeirãoPreo</t>
  </si>
  <si>
    <t>Effects of noninvasive mechanical ventilation on the hemodynamic and ventilatory parameters in post-cardiac surgery patients who developed hypoxemia after tracheal extubation</t>
  </si>
  <si>
    <t>U1111-1123-1618</t>
  </si>
  <si>
    <t>Alessandra Preisig Werlang</t>
  </si>
  <si>
    <t>51 81400630</t>
  </si>
  <si>
    <t>alepreisig@gmail.com</t>
  </si>
  <si>
    <t>Irmandade da Santa Casa de Misericórdia de Porto Alegre</t>
  </si>
  <si>
    <t>Effect of kinesiotherapy in the contractility of pelvic floor in women with orgasmic dysfunction: electromyographic evaluation</t>
  </si>
  <si>
    <t>U1111-1123-0138</t>
  </si>
  <si>
    <t>Muscle hypotonia</t>
  </si>
  <si>
    <t>Ana Helena Barbosa Lanza</t>
  </si>
  <si>
    <t>Poços de Caldas/MG</t>
  </si>
  <si>
    <t>(35) 91912149</t>
  </si>
  <si>
    <t>j5lanza@terra.com.br</t>
  </si>
  <si>
    <t>Interferencial current produce peripheral vasodilation in healthy individuals</t>
  </si>
  <si>
    <t>U1111-1122-8800</t>
  </si>
  <si>
    <t>Francisco Valdez Santos</t>
  </si>
  <si>
    <t>11-82335019</t>
  </si>
  <si>
    <t>valdezs@terra.com.br</t>
  </si>
  <si>
    <t>Comparison of the influence of two blood flow patterns generated by cardiopulmonary bypass pump in oxy-hemodynamic markers during cardiopulmonary bypass</t>
  </si>
  <si>
    <t>U1111-1120-6508</t>
  </si>
  <si>
    <t>heart failure,coronary insufficiency,myocardial infarction</t>
  </si>
  <si>
    <t>Maria Aparecida Marcondes Salgado</t>
  </si>
  <si>
    <t>21-22853344</t>
  </si>
  <si>
    <t>gpecic@gmail.com</t>
  </si>
  <si>
    <t>Efficacy of Oral Hygiene Practices on Aspiration Pneumonia Oral Pathogens in Elderly Nursing Home Residents</t>
  </si>
  <si>
    <t>U1111-1122-4643</t>
  </si>
  <si>
    <t>Elizabete Regina Araújo de Oliveira</t>
  </si>
  <si>
    <t>(27) 4009-7287</t>
  </si>
  <si>
    <t>elizabete_regina@hotmail.com</t>
  </si>
  <si>
    <t>PPGASC</t>
  </si>
  <si>
    <t>Outpatient Treatment of Keloids in patients treated in Juiz de Fora - MG. 2010</t>
  </si>
  <si>
    <t>U1111-1122-7174</t>
  </si>
  <si>
    <t>LUCAS TEIXEIRA DE ALMEIDA</t>
  </si>
  <si>
    <t>32 9119 9911</t>
  </si>
  <si>
    <t>md_surgery_lta@yahoo.com.br</t>
  </si>
  <si>
    <t>Universidade Presidente Antônio Carlos - Faculdade de Medicina de Juiz de Fora</t>
  </si>
  <si>
    <t>Evaluation of the anesthetic efficacy and hemodynamic effects in the use of 2% and 4% articaine associated with 1:200000 epinephrine in lower third molar removals</t>
  </si>
  <si>
    <t>U1111-1120-3074</t>
  </si>
  <si>
    <t>Local anesthesia during lower third molar removals</t>
  </si>
  <si>
    <t>(14)32358276</t>
  </si>
  <si>
    <t>cebola@usp.br</t>
  </si>
  <si>
    <t>Physical therapy protocol on normal birth puerperium</t>
  </si>
  <si>
    <t>U1111-1122-6599</t>
  </si>
  <si>
    <t>Primiparous immediately post vaginal delivery</t>
  </si>
  <si>
    <t>Daniella Leiros CC Aita</t>
  </si>
  <si>
    <t>Ribeirão Preto/SP</t>
  </si>
  <si>
    <t>3446-4433</t>
  </si>
  <si>
    <t>daniellaleiros@usp.br</t>
  </si>
  <si>
    <t>FMRP</t>
  </si>
  <si>
    <t>Conservative treatment in patients with carpal tunnel syndrome: randomized and controlled trial study</t>
  </si>
  <si>
    <t>U1111-1121-5184</t>
  </si>
  <si>
    <t>Marisa de Cássia Registro Fonseca</t>
  </si>
  <si>
    <t>(16) 3602-4413</t>
  </si>
  <si>
    <t>marisa@fmrp.usp.br</t>
  </si>
  <si>
    <t>Bilateral upper limbs function after bilateral training in individuals with severe hemiparesis: a randomised clinical trial</t>
  </si>
  <si>
    <t>07/31/2011</t>
  </si>
  <si>
    <t>U1111-1122-0411</t>
  </si>
  <si>
    <t>Paresis,Bilateral upper limbs function</t>
  </si>
  <si>
    <t>Nayara Correa Farias</t>
  </si>
  <si>
    <t>55(48)3321-8607</t>
  </si>
  <si>
    <t>nayaracfarias@yahoo.com.br</t>
  </si>
  <si>
    <t>Effects of rosuvastatin and sevelamer in coronary calcification in chronic kidney disease patients not on dialysis</t>
  </si>
  <si>
    <t>07/20/2011</t>
  </si>
  <si>
    <t>U1111-1122-6205</t>
  </si>
  <si>
    <t>Coronary calcification</t>
  </si>
  <si>
    <t>MARCELO MONTEBELLO LEMOS</t>
  </si>
  <si>
    <t>11- 5572-0530</t>
  </si>
  <si>
    <t>lemosmm@gmail.com</t>
  </si>
  <si>
    <t>UNIVERSIDADE FEDERAL DE SAO PAULO</t>
  </si>
  <si>
    <t>Comparison of the effects of mild versus moderate aerobic training on the inflammatory markers on oxidative stress and quality of life in patients with chronic heart failure – a randomized clinical trial</t>
  </si>
  <si>
    <t>07/18/2011</t>
  </si>
  <si>
    <t>U1111-1121-0285</t>
  </si>
  <si>
    <t>Heart failure,inflammation,oxidative stress</t>
  </si>
  <si>
    <t>+55 31 34094793</t>
  </si>
  <si>
    <t>rbrito@eeffto.ufmg.br</t>
  </si>
  <si>
    <t>Escola de Educação Física,Fisioterapia e Terapia Ocupacional - UFMG</t>
  </si>
  <si>
    <t>Sleep study respiratory mechanics chemosensitive response and quality of life in morbidly obese patients undergoing bariatric surgery: A prospective randomized controlled</t>
  </si>
  <si>
    <t>U1111-1121-9008</t>
  </si>
  <si>
    <t>Luis Vicente Franco Oliveira</t>
  </si>
  <si>
    <t>Cross-sectional study on efficacy of negative expiratory pressure test proposed as screening for obstructive sleep apnea syndrome among commercial interstate bus drivers</t>
  </si>
  <si>
    <t>U1111-1121-8873</t>
  </si>
  <si>
    <t>Evaluation myofascial chronic pain in pacients with Temporomandibular disorders and its relationship with serum cortisol and heart rate variability after intervention physiotherapic by low level laser therapy</t>
  </si>
  <si>
    <t>U1111-1122-2872</t>
  </si>
  <si>
    <t>Temporomandibular disorders (TMD),myofascial chronic pain in TMD</t>
  </si>
  <si>
    <t>Marcelo Custódio Rubira</t>
  </si>
  <si>
    <t>69 9228-9889</t>
  </si>
  <si>
    <t>rubiramc@terra.com.br</t>
  </si>
  <si>
    <t>Impact of pulmonary rehabilitation in the incidence of postoperative respiratory complications in pulmonary resection for lung cancer</t>
  </si>
  <si>
    <t>U1111-1122-2906</t>
  </si>
  <si>
    <t>Lung Cancer,Pre/post operative complication</t>
  </si>
  <si>
    <t>Comitê de Ética em Pesquisa dos Seres Humanos Dr. Carlos Alberto Studat Gomes</t>
  </si>
  <si>
    <t>3101-7845</t>
  </si>
  <si>
    <t>cep.hm@hm.ce.gov.br</t>
  </si>
  <si>
    <t>HOSPITAL DE MESSEJANA DR. CARLOS ALBERTO STUDART GOMES - SESA/CE</t>
  </si>
  <si>
    <t>Evaluation of effects of iontophoresis and phonophoresis whit acetic acid in the treatment of plantar fasciitis calcifying</t>
  </si>
  <si>
    <t>U1111-1121-6558</t>
  </si>
  <si>
    <t>PLANTAR FASCIITIS CALCIFYING</t>
  </si>
  <si>
    <t>(31)3319-4425</t>
  </si>
  <si>
    <t>The Effects of Scapular Taping compared to physical therapy on Electromyographic Muscle Activity in subjects with subacromial impingement symptoms</t>
  </si>
  <si>
    <t>U1111-1121-5667</t>
  </si>
  <si>
    <t>Shoulder impingement</t>
  </si>
  <si>
    <t>87 3866-6496</t>
  </si>
  <si>
    <t>rodrigocappato@hotmail.com</t>
  </si>
  <si>
    <t>Evaluation of Electroacupuncture on the myofascial pain treatment of the upper trapezius muscle</t>
  </si>
  <si>
    <t>U1111-1122-1815</t>
  </si>
  <si>
    <t>maria beatriz gavião</t>
  </si>
  <si>
    <t>019 21065368</t>
  </si>
  <si>
    <t>Randomized double-blind study on the effect of the Informative Paper on patients and families in the Oncogenetic Ambulatory of universitary hospital: evaluation of information and perception of coercion</t>
  </si>
  <si>
    <t>06/30/2011</t>
  </si>
  <si>
    <t>U1111-1121-9995</t>
  </si>
  <si>
    <t>Hereditary Cancer</t>
  </si>
  <si>
    <t>Cristina Soares Melnik</t>
  </si>
  <si>
    <t>crismelnik@gmail.com</t>
  </si>
  <si>
    <t>Acute and second meal effects of peanuts on glycemic response and appetite in obese women a randomized crossover trial</t>
  </si>
  <si>
    <t>06/29/2011</t>
  </si>
  <si>
    <t>U1111-1122-3837</t>
  </si>
  <si>
    <t>Impaired glucose tolerance,Type 2 diabetes mellitus,Obesity</t>
  </si>
  <si>
    <t>Rita de Cássia Gonçalves Alfenas</t>
  </si>
  <si>
    <t>+55 31 38993740</t>
  </si>
  <si>
    <t>ralafenas@ufv.br</t>
  </si>
  <si>
    <t>A Randomized Double-blind Multi-center Phase III Study of Brivanib plus Best Supportive Care (BSC) versus Placebo plus BSC in Subjects with Advanced Hepatocellular Carcinoma (HCC) who have Failed or are Intolerant to Sorafenib</t>
  </si>
  <si>
    <t>U1111-1121-6881</t>
  </si>
  <si>
    <t>Advanced Hepatocellular Carcinoma</t>
  </si>
  <si>
    <t>Juliana Castro</t>
  </si>
  <si>
    <t>11 3882 2115</t>
  </si>
  <si>
    <t>juliana.castro@bms.com</t>
  </si>
  <si>
    <t>A Phase II Study of Dasatinib Therapy in Children and Adolescents with Ph+ Leukemia with Resistance or Intolerance to Imatinib</t>
  </si>
  <si>
    <t>U1111-1121-7351</t>
  </si>
  <si>
    <t>Ph+ Leukemia</t>
  </si>
  <si>
    <t>A Randomized Double-blind Multi-center Phase III Study of Brivanib versus Sorafenib as First-line Treatment in Patients with Advanced Hepatocellular Carcinoma</t>
  </si>
  <si>
    <t>U1111-1121-6387</t>
  </si>
  <si>
    <t>A Phase III Open Label Randomized 2 Arm Study of Ixabepilone Administered Every 21 Days Versus Paclitaxel Or Doxorubicin Administered Every 21 Days in Women with Advanced Endometrial Cancer Who Have Previously Been Treated with Chemotherapy</t>
  </si>
  <si>
    <t>U1111-1119-6883</t>
  </si>
  <si>
    <t>Advanced Endometrial Cancer</t>
  </si>
  <si>
    <t>A Randomized Double-Blinded Phase II Study of Carboplatin/Paclitaxel/CT-322 versus Carboplatin/Paclitaxel/Bevacizumab as First-Line Treatment for Recurrent or Advanced Non-Small Cell Lung Cancer with Non-Squamous Histology</t>
  </si>
  <si>
    <t>U1111-1119-7435</t>
  </si>
  <si>
    <t>Recurrent or Advanced Non-Small Cell Lung Cancer with Non-Squamous Histology</t>
  </si>
  <si>
    <t>A Randomized Double-Blind Phase 3 Trial Comparing Docetaxel Combined with Dasatinib to Docetaxel Combined with Placebo in Castration-Resistant Prostate Cancer</t>
  </si>
  <si>
    <t>U1111-1121-7760</t>
  </si>
  <si>
    <t>Castration-Resistant Prostate Cancer</t>
  </si>
  <si>
    <t>A Randomized Open-Label Crossover Clinical Trial for Evaluation of Impact of the Implantation of an Anticoagulation Clinic in the Assistance of Chagas and Non-Chagas Disease Patients at the Hospital of Clinics of the Universidade Federal de Minas Gerais - UFMG</t>
  </si>
  <si>
    <t>U1111-1120-3971</t>
  </si>
  <si>
    <t>Heart Diseases,Chagas Disease,Hemorrhage,Thrombosis</t>
  </si>
  <si>
    <t>Antonio Luiz Pinho Ribeiro</t>
  </si>
  <si>
    <t>tom1963br@yahoo.com.br</t>
  </si>
  <si>
    <t>Parkinsons Disease,Chronic Pain</t>
  </si>
  <si>
    <t>Leukemia,Lymphoma</t>
  </si>
  <si>
    <t>Breast Neoplasms,Sexual Dysfunction,Physiological</t>
  </si>
  <si>
    <t>Diabetes mellitus,Hypertension,Obesity</t>
  </si>
  <si>
    <t>Mastitis,Episiotomy,Lacerations,Pain</t>
  </si>
  <si>
    <t>Snoring,Obstructive Sleep Apnea</t>
  </si>
  <si>
    <t>Anxiety,Stress,Psychological</t>
  </si>
  <si>
    <t>Spastic diplegic cerebral palsy,Spastic hemiplegic cerebral palsy</t>
  </si>
  <si>
    <t>Peripheral arterial disease,Intermittent Claudication</t>
  </si>
  <si>
    <t>Electroencephalography,Anesthesia,General</t>
  </si>
  <si>
    <t>Loss of teeth due to accident,extraction or localized periodontal disease,Jaw Edentulous,Atrophy of the toothless alveolar ridge</t>
  </si>
  <si>
    <t>Low back pain,scars</t>
  </si>
  <si>
    <t>Halitosis,Periodontitis</t>
  </si>
  <si>
    <t>Obesity,Lung diseases</t>
  </si>
  <si>
    <t>Periapical Periodontitis,Pain</t>
  </si>
  <si>
    <t>Cognitive Dysfunction,Muscle Strength</t>
  </si>
  <si>
    <t>Ketamine,Electroencephalography</t>
  </si>
  <si>
    <t>Diabetes Mellitus,diabetic polyneuropathy</t>
  </si>
  <si>
    <t>fibromyalgia,chronic pain</t>
  </si>
  <si>
    <t>Dental Caries,Fracture of teeth</t>
  </si>
  <si>
    <t>Community Health Workers,</t>
  </si>
  <si>
    <t>Major depressive disorder,depression</t>
  </si>
  <si>
    <t>Arterial Hypertension,Diabetes Mellitus</t>
  </si>
  <si>
    <t>Infant,Patient Acceptance of Health Care</t>
  </si>
  <si>
    <t>Diabetic Neuropathie,Pain</t>
  </si>
  <si>
    <t>Overweight,Overnutrition</t>
  </si>
  <si>
    <t>Therapeutics,Adolescent</t>
  </si>
  <si>
    <t>Mastodynia,Breast Feeding</t>
  </si>
  <si>
    <t>Phacoemulsification,Inflammation</t>
  </si>
  <si>
    <t>Gingival recessions,Dental Esthetics</t>
  </si>
  <si>
    <t>Endometriosis,Pelvic Pain</t>
  </si>
  <si>
    <t>Skeletal Muscle Enlargement,Muscle strength</t>
  </si>
  <si>
    <t>Edema,Pregnancy</t>
  </si>
  <si>
    <t>Pulpits,Periapical abscess with sinus</t>
  </si>
  <si>
    <t>Plyometric Exercise,Biomechanical Phenomena</t>
  </si>
  <si>
    <t>Type 1 diabetes mellitus,Type 2 diabetes mellitus</t>
  </si>
  <si>
    <t>Cronic pain,obesity</t>
  </si>
  <si>
    <t>Breast Neoplasms,Radiodermatitis</t>
  </si>
  <si>
    <t>COVID-19,Hypertension</t>
  </si>
  <si>
    <t>Family caregiver,Alzheimer disease</t>
  </si>
  <si>
    <t>Pelvic Floor,Urinary Incontinence</t>
  </si>
  <si>
    <t>Gait,Congnition</t>
  </si>
  <si>
    <t>General Anxiety,Bruxism</t>
  </si>
  <si>
    <t>Mucositis,Peri-Implantitis</t>
  </si>
  <si>
    <t>Dental anxiety,Other specified anxiety disorders</t>
  </si>
  <si>
    <t>Obesity,Periodontitis</t>
  </si>
  <si>
    <t>Anxiety,Biomarkers</t>
  </si>
  <si>
    <t>Urinary incontinence,obesity</t>
  </si>
  <si>
    <t>Chikungunya fever,arthralgia</t>
  </si>
  <si>
    <t>Vaccine Immunogenicity,Adverse effects</t>
  </si>
  <si>
    <t>Postural Balance,Stress Disorders,Post-Traumatic</t>
  </si>
  <si>
    <t>Emotional Intelligence,Resilience,Psychological</t>
  </si>
  <si>
    <t>Sexuality,Sexual Dysfunction Physiological</t>
  </si>
  <si>
    <t>mobility limitation,unspecified shoulder injury</t>
  </si>
  <si>
    <t>Dentin sensitivity,Tooth Discoloration</t>
  </si>
  <si>
    <t>Chronic Obstructive Pulmonary Disease,Emphysema</t>
  </si>
  <si>
    <t>Body weight,healthy individuals</t>
  </si>
  <si>
    <t>Asthmatic crisis,Symptom Flare up</t>
  </si>
  <si>
    <t>Screening intervention,COVID-19</t>
  </si>
  <si>
    <t>Gastric Neoplasms,Gastrectomy</t>
  </si>
  <si>
    <t>Chagas disease,Nursing Care</t>
  </si>
  <si>
    <t>Parkinson Disease,Parkinson Disease,Secondary</t>
  </si>
  <si>
    <t>Muscle Weakness,COVID-19</t>
  </si>
  <si>
    <t>Students,Learning</t>
  </si>
  <si>
    <t>Breast cancer,Sentinel lymph node</t>
  </si>
  <si>
    <t>Neonatal Intensive Care Unit,Neonatal Nursing</t>
  </si>
  <si>
    <t>Postoperative Pain,Third Molar</t>
  </si>
  <si>
    <t>Healthcare-Associated Pneumonia,Pneumonia,Ventilator-Associated</t>
  </si>
  <si>
    <t>Dental Caries,Pain</t>
  </si>
  <si>
    <t>Myopia,Astigmatism</t>
  </si>
  <si>
    <t>Gestational Age,Infant,Premature</t>
  </si>
  <si>
    <t>Psychological Distress,Catheterization,Peripheral,Child,Hospitalized</t>
  </si>
  <si>
    <t>Normal State of Health,Epidermis</t>
  </si>
  <si>
    <t>Septic shock,thiamine deficiency,</t>
  </si>
  <si>
    <t>Sepsis,health workers</t>
  </si>
  <si>
    <t>musculoskeletal pain,Trigger Points</t>
  </si>
  <si>
    <t>risk factors for hamstring injuries,athletic performance</t>
  </si>
  <si>
    <t>complete denture,Edentulous Jaw</t>
  </si>
  <si>
    <t>Pneumonia Ventilator-Associated,Dysbiosis</t>
  </si>
  <si>
    <t>Muscle weakness,Intensive Care Units</t>
  </si>
  <si>
    <t>Joint range of motion,Athletes</t>
  </si>
  <si>
    <t>Hypertension,Medication Adherence</t>
  </si>
  <si>
    <t>Neck pain,myofascial pain syndrome</t>
  </si>
  <si>
    <t>Health of the elderly,Postural Balance</t>
  </si>
  <si>
    <t>obesity,overweight</t>
  </si>
  <si>
    <t>Postural Balance,Accidental falls</t>
  </si>
  <si>
    <t>Appetite changes,overweight</t>
  </si>
  <si>
    <t>Dental Aesthetics,Dentin sensitivity</t>
  </si>
  <si>
    <t>Parkinsons disease,postural control</t>
  </si>
  <si>
    <t>Obesity,diabetes mellitus</t>
  </si>
  <si>
    <t>Anxiety,Depression</t>
  </si>
  <si>
    <t>Malnutrition,Starvation</t>
  </si>
  <si>
    <t>Low-risk pregnancy,gestational edema</t>
  </si>
  <si>
    <t>Leg ulcer,Healing</t>
  </si>
  <si>
    <t>Unspecified obesity,Convalescence after surgery</t>
  </si>
  <si>
    <t>Breast Neoplasms,postoperative complications</t>
  </si>
  <si>
    <t>Infant,Premature,</t>
  </si>
  <si>
    <t>Osteonecrosis,Oncology</t>
  </si>
  <si>
    <t>medication adherence,hypoglycemic agents</t>
  </si>
  <si>
    <t>Coronavirus,Hyperglycemia</t>
  </si>
  <si>
    <t>Systemic Lupus Erythematosous,Ophthalmopathies</t>
  </si>
  <si>
    <t>Amputation,Peripheral Vascular Diseases</t>
  </si>
  <si>
    <t>Fecal Incontinence,Constipation</t>
  </si>
  <si>
    <t>Hyperglycemia,Insulin Resistance</t>
  </si>
  <si>
    <t>dental health education,disease prevention</t>
  </si>
  <si>
    <t>Intubation Intratracheal,perioperative care</t>
  </si>
  <si>
    <t>Aphasia,Hemiplegia</t>
  </si>
  <si>
    <t>Pelvic Floor Disorders,Postpartum Period</t>
  </si>
  <si>
    <t>Bruxism,Temporomandibular joint disorders</t>
  </si>
  <si>
    <t>Depression postpartum,Pregnancy High-Risk</t>
  </si>
  <si>
    <t>Dental Pulp Necrosis,Periapical Diseases</t>
  </si>
  <si>
    <t>Hospitalized Child,Hospitalized Adolescent</t>
  </si>
  <si>
    <t>Chronic skin ulcer not elsewhere classified,Insulin-dependent diabetes mellitus</t>
  </si>
  <si>
    <t>Cardiac Catheterization,Endovascular Procedures</t>
  </si>
  <si>
    <t>aging,frail elderly</t>
  </si>
  <si>
    <t>Obesity,COVID-19</t>
  </si>
  <si>
    <t>Osteoarthritis,Shoulder Pain</t>
  </si>
  <si>
    <t>Crohns disease,Ulcerative colitis</t>
  </si>
  <si>
    <t>Breast Neoplasms,Cancer Survivors</t>
  </si>
  <si>
    <t>Acute bronchiolitis,Pneumonia due to unspecified microorganism</t>
  </si>
  <si>
    <t>chronic pain,arthralgia</t>
  </si>
  <si>
    <t>Parkinson disease,Central Nervous System Diseases</t>
  </si>
  <si>
    <t>Urinary incontinence,kyphosis</t>
  </si>
  <si>
    <t>Oral Health,dentin sensitivity</t>
  </si>
  <si>
    <t>Dysphonia,Voice</t>
  </si>
  <si>
    <t>COVID-19,Acute Respiratory Distress Syndrome (SDRA)</t>
  </si>
  <si>
    <t>Mastication,Jaw Edentulous</t>
  </si>
  <si>
    <t>immunotherapy,anaphylaxis</t>
  </si>
  <si>
    <t>Dental pulp necrosis,pulpitis</t>
  </si>
  <si>
    <t>Stomatognathic Diseases,Tooth Diseases</t>
  </si>
  <si>
    <t>periodontics,surgical flaps</t>
  </si>
  <si>
    <t>Neck pain,low back pain</t>
  </si>
  <si>
    <t>Mucopolysaccharidosis VI,Other mucopolysaccharidoses</t>
  </si>
  <si>
    <t>intracranial trauma,Intensive Care Units</t>
  </si>
  <si>
    <t>Frailty,Sarcopenia</t>
  </si>
  <si>
    <t>Low-Level Light Therapy,Pain</t>
  </si>
  <si>
    <t>Positive expiratory end pressure,Other functional disorders following cardiac surgery</t>
  </si>
  <si>
    <t>Cognitive dysfunction,Mobility limitation</t>
  </si>
  <si>
    <t>Renal Insufficiency,Chronic,Renal Dialysis</t>
  </si>
  <si>
    <t>Severe Acute Respiratory Syndrome,Coronavirus Infections</t>
  </si>
  <si>
    <t>Condylomata Acuminata,Papillomavirus Infections</t>
  </si>
  <si>
    <t>Bone remodeling,taekwondo</t>
  </si>
  <si>
    <t>Oral Health,Plant Oils</t>
  </si>
  <si>
    <t>Down Syndrome,Autism Spectrum Disorder</t>
  </si>
  <si>
    <t>Anthropometry,Triglycerides</t>
  </si>
  <si>
    <t>Evaluation of Results of Therapeutic Interventions,athletes</t>
  </si>
  <si>
    <t>Transfer of pacients,critical care units</t>
  </si>
  <si>
    <t>Infant,Newborn,Intensive Care Units,Neonatal</t>
  </si>
  <si>
    <t>Benign Prostatic Hyperplasia,Prostatic Adenoma</t>
  </si>
  <si>
    <t>postoperative pain,dental implants</t>
  </si>
  <si>
    <t>Sexually Transmitted Diseases,Knowledge</t>
  </si>
  <si>
    <t>Noncommunicable diseases,cardiovascular diseases</t>
  </si>
  <si>
    <t>Womens Health,Pregnant Women</t>
  </si>
  <si>
    <t>Edentulous jaw,malloclusion</t>
  </si>
  <si>
    <t>Coronavirus Infections,Respiratory Tract Diseases</t>
  </si>
  <si>
    <t>Urinary incontinence,Physical Therapy Specialty</t>
  </si>
  <si>
    <t>Cognition,Cognitive Reserve</t>
  </si>
  <si>
    <t>Anosmia,parosmia</t>
  </si>
  <si>
    <t>Striae distensae,skin</t>
  </si>
  <si>
    <t>COVID-19,SARS-CoV-2</t>
  </si>
  <si>
    <t>Newborn Respiratory Discomfort Syndrome,Pain</t>
  </si>
  <si>
    <t>Functional Status,Quality of Life</t>
  </si>
  <si>
    <t>Overweight,Obesity</t>
  </si>
  <si>
    <t>Bruxism,Temporomandibular Joint Disorders</t>
  </si>
  <si>
    <t>Vomiting,Nausea</t>
  </si>
  <si>
    <t>Tooth discoloration,Dentin sensitivity</t>
  </si>
  <si>
    <t>Exercise Movement Techniques,Muscle Strength</t>
  </si>
  <si>
    <t>Urinary Incontinence,Neoplasms</t>
  </si>
  <si>
    <t>Chronic Pain,Exercise</t>
  </si>
  <si>
    <t>Meningomyelocele,spinal dysraphism</t>
  </si>
  <si>
    <t>Lack of physical exercise,downward trend not classified elsewhere</t>
  </si>
  <si>
    <t>Reaction to severe stress,and adjustment disorders,Dialectical behavior therapy</t>
  </si>
  <si>
    <t>healthy young adult,sedentary behavior</t>
  </si>
  <si>
    <t>Intraoperative complications,Low Cardiac Output Syndrome</t>
  </si>
  <si>
    <t>Premature Ejaculation,Erectile Dysfunction</t>
  </si>
  <si>
    <t>Heart Rate,Athletic performance</t>
  </si>
  <si>
    <t>Blood Glucose,Dietary Fiber</t>
  </si>
  <si>
    <t>Acupuncture,Placebo Effect</t>
  </si>
  <si>
    <t>Shoulder injuries,Rotator cuff syndrome</t>
  </si>
  <si>
    <t>Critical Care Outcomes,Early Ambulation</t>
  </si>
  <si>
    <t>Therapeutics,Massage</t>
  </si>
  <si>
    <t>Bone resorption,alveolar bone loss</t>
  </si>
  <si>
    <t>Depressive episodes,non-organic sleep disorders due to emotional factors</t>
  </si>
  <si>
    <t>Depressive Disorder,Treatment-resistant Depression</t>
  </si>
  <si>
    <t>Absence or reduction of sexual desire,Hypoactive Sexual Desire Disorder</t>
  </si>
  <si>
    <t>Lower limb,Autonomic Nervous System</t>
  </si>
  <si>
    <t>healthy university students from the physiotherapy course at the Federal University of Alfenas,motor learning</t>
  </si>
  <si>
    <t>Carie dental,periodontics</t>
  </si>
  <si>
    <t>Acute pain,pain management</t>
  </si>
  <si>
    <t>Anxiety,HIV</t>
  </si>
  <si>
    <t>inflammation,abdominal obesity</t>
  </si>
  <si>
    <t>Senile cataract,astigmatism</t>
  </si>
  <si>
    <t>elderly,cognition</t>
  </si>
  <si>
    <t>Occupational Stress,Affect</t>
  </si>
  <si>
    <t>Fibromyalgia,Sleep disorder</t>
  </si>
  <si>
    <t>Trigger Points,Myofascial Pain Syndromes</t>
  </si>
  <si>
    <t>Tooth Demineralization,Esthetics,Dental</t>
  </si>
  <si>
    <t>Thoracic surgery,Physiotherapy</t>
  </si>
  <si>
    <t>High-Intensity Interval Training,Sedentary behavior</t>
  </si>
  <si>
    <t>Clavicle fracture,clavicle</t>
  </si>
  <si>
    <t>Accidental Falls,Perception</t>
  </si>
  <si>
    <t>healthy,obesity</t>
  </si>
  <si>
    <t>Jaw,Edentulous,Jaw,Edentulous,Partially</t>
  </si>
  <si>
    <t>fatigue,pain</t>
  </si>
  <si>
    <t>Overweight,obesity</t>
  </si>
  <si>
    <t>Tooth discoloration,Gingiva</t>
  </si>
  <si>
    <t>Coronavirus Infections,Allied Health Personnel</t>
  </si>
  <si>
    <t>Workload,Musculoskeletal pain</t>
  </si>
  <si>
    <t>Psychological Distress,Burnout Professional</t>
  </si>
  <si>
    <t>Weight loss,argon</t>
  </si>
  <si>
    <t>Stress,Psychological,Resilience,Psychological</t>
  </si>
  <si>
    <t>Rotator Cuff tendinopathy,Rotator Cuff Injuries</t>
  </si>
  <si>
    <t>Tooth Loss,Atrophied alveolar ridge</t>
  </si>
  <si>
    <t>Other specified muscle disorders,Other primary muscle disorders</t>
  </si>
  <si>
    <t>Muscle disorder not specified,Other specified muscle disorders</t>
  </si>
  <si>
    <t>Cardiovascular Diseases,Cronic Obstrutive Pulmonary Disease</t>
  </si>
  <si>
    <t>Substance-Related Disorders,Anxiety Disorders</t>
  </si>
  <si>
    <t>quality of life indicators,chewing</t>
  </si>
  <si>
    <t>Fatigue,Transcranial Direct Current Stimulation</t>
  </si>
  <si>
    <t>Physical therapy treatment for migraine,headache,neck pain,combined modality therapy,physical therapy modalities</t>
  </si>
  <si>
    <t>Sepsis,Encephalopathy</t>
  </si>
  <si>
    <t>Gingivitis,Permanent Dentition</t>
  </si>
  <si>
    <t>Carbon Dioxide,Cellulite</t>
  </si>
  <si>
    <t>Radiodermatitis,Breast cancer</t>
  </si>
  <si>
    <t>Arterial hypertension,Risk Factors for Cardiovascular Diseases</t>
  </si>
  <si>
    <t>radical mastectomy,simple mastectomy</t>
  </si>
  <si>
    <t>Weight loss,Caloric Restriction</t>
  </si>
  <si>
    <t>Unspecified injury at unspecified level of cervical spinal cord,Unspecified injury at unspecified level of thoracic spinal cord</t>
  </si>
  <si>
    <t>Coronavirus infections of unspecified location,Severe acute respiratory syndrome</t>
  </si>
  <si>
    <t>End Stage Liver Disease,Liver Transplantation</t>
  </si>
  <si>
    <t>Gonarthrosis ( knee arthrosis ),Knee Primary Gonarthrosis</t>
  </si>
  <si>
    <t>Maximum Respiratory Pressures,Vital Capacity</t>
  </si>
  <si>
    <t>Forearm Fracture,Internal Fracture Fixation</t>
  </si>
  <si>
    <t>Gonarthrosis,knee arthrosis</t>
  </si>
  <si>
    <t>Other acute pancreatitis,pancreatitis</t>
  </si>
  <si>
    <t>Oxidative stress,muscle strength</t>
  </si>
  <si>
    <t>Obesity,Fatty degeneration of the liver not elsewhere classified</t>
  </si>
  <si>
    <t>Chronic C hepatitis carriers (B 18.2),chronic C hepatitis</t>
  </si>
  <si>
    <t>Craniomandibular Disorders,Trigger Points</t>
  </si>
  <si>
    <t>Developmental Disabilities,Healthy Volunteers</t>
  </si>
  <si>
    <t>Muscle weakness,COVID-19</t>
  </si>
  <si>
    <t>Sedentary behavior,coronavirus infections</t>
  </si>
  <si>
    <t>Nursing,Clinical competence</t>
  </si>
  <si>
    <t>Colorectal Neoplasia,Intestinal Polyposis</t>
  </si>
  <si>
    <t>Covid-19,Patient isolation</t>
  </si>
  <si>
    <t>Dental caries,tooth extraction</t>
  </si>
  <si>
    <t>Chronic Disease,Deglutition Disorders</t>
  </si>
  <si>
    <t>Community-acquired pneumonia caused by Streptococcus pneumoniae,Infection of the lower respiratory tract by respiratory syncytial virus</t>
  </si>
  <si>
    <t>Autism Spectrum Disorder,Neurodevelopmental Disorders</t>
  </si>
  <si>
    <t>tension-type headache,headache</t>
  </si>
  <si>
    <t>Body Weight,Obesity</t>
  </si>
  <si>
    <t>Halitosis,quality of life</t>
  </si>
  <si>
    <t>Myofascial Trigger Points,General joint hypermobility</t>
  </si>
  <si>
    <t>Obesity,Weight loss</t>
  </si>
  <si>
    <t>Esophageal motility disorders,Esophageal Achalasia</t>
  </si>
  <si>
    <t>Coagulopathy,Liver cells carcinoma</t>
  </si>
  <si>
    <t>Arteriovenous malformation of cerebral vessels,Intracranial Arteriovenous Malformations</t>
  </si>
  <si>
    <t>Dentin Erosion,Dentin Sensitivity</t>
  </si>
  <si>
    <t>Premature birth,hospitalization</t>
  </si>
  <si>
    <t>Bronchopulmonary dysplasia originating in the perinatal period,Infant,Premature</t>
  </si>
  <si>
    <t>Low Back Pain,Sciatica</t>
  </si>
  <si>
    <t>Muscular Atrophy,Disorder of muscle,unspecified</t>
  </si>
  <si>
    <t>Diabetes Mellitus,periodontitis</t>
  </si>
  <si>
    <t>Shoulder pain,shoulder joint</t>
  </si>
  <si>
    <t>Dental caries,Pulpitis</t>
  </si>
  <si>
    <t>Diseases of the lips,Actinic keratosis</t>
  </si>
  <si>
    <t>Acute Respiratory Failure,Respiratory Failure</t>
  </si>
  <si>
    <t>Pancreaticoduodenectomy,pancreatic fistula</t>
  </si>
  <si>
    <t>Healthy participants,Male</t>
  </si>
  <si>
    <t>Parturition,Labor induced</t>
  </si>
  <si>
    <t>Bariatric Surgery,Binge-Eating Disorder</t>
  </si>
  <si>
    <t>Essential (primary) hypertension,Hypertension</t>
  </si>
  <si>
    <t>Sleep apnoea,Obesity due to excess calories</t>
  </si>
  <si>
    <t>Population at Risk,Coronavirus Infection</t>
  </si>
  <si>
    <t>Healthy individuals,influence of supplementation on physical performance</t>
  </si>
  <si>
    <t>clinical trial,dentin sensitivity</t>
  </si>
  <si>
    <t>Ventilation,Exercise</t>
  </si>
  <si>
    <t>Spine fusion,sarcopenia</t>
  </si>
  <si>
    <t>Mastication,Edentulous,Jaw</t>
  </si>
  <si>
    <t>Pediatric Obesity,Downs Syndrome</t>
  </si>
  <si>
    <t>Stroke,Motor skills</t>
  </si>
  <si>
    <t>Osteoarthritis,Sarcopenia</t>
  </si>
  <si>
    <t>Lichen Planus,Oral,Burning Mouth Syndrome</t>
  </si>
  <si>
    <t>Polyneuropathies,Craniocerebral Trauma</t>
  </si>
  <si>
    <t>Pregnancy,Humanizing Delivery</t>
  </si>
  <si>
    <t>Carpal tunnel syndrome,De Quervain´s tenosynovitis,Rupture of synovium,Trigger Finger,</t>
  </si>
  <si>
    <t>Memory Disorders,Alzheimer Disease</t>
  </si>
  <si>
    <t>Mental Health Assistance,Circadian Rhythm</t>
  </si>
  <si>
    <t>Tooth Bleaching,Color</t>
  </si>
  <si>
    <t>unspecified pain,</t>
  </si>
  <si>
    <t>viral load,coronavirus infections</t>
  </si>
  <si>
    <t>Solid pancreatic lesions,maligant neoplasm of head of pancreas</t>
  </si>
  <si>
    <t>suicide attempted,attitude to death</t>
  </si>
  <si>
    <t>Virus diseases,of unspecified location,Coronavirus infection of unspecified location</t>
  </si>
  <si>
    <t>Joint pain,Chikungunya</t>
  </si>
  <si>
    <t>Muscle Weakness,Intensive Care Unit</t>
  </si>
  <si>
    <t>Pneumonia by the SARS-CoV-2 virus,pneumonia</t>
  </si>
  <si>
    <t>Medication Adherence,Health Education</t>
  </si>
  <si>
    <t>Chronic Periodontitis,Diabetes Mellitus,Type 2</t>
  </si>
  <si>
    <t>HIV infection,pregnancy</t>
  </si>
  <si>
    <t>Gingivitis,Periodontal Diseases</t>
  </si>
  <si>
    <t>Thoracic surgery,Heart Valve Prosthesis Implant</t>
  </si>
  <si>
    <t>Patellofemoral Pain Syndrome,Patellofemoral disorders</t>
  </si>
  <si>
    <t>Obesity management,Obesity</t>
  </si>
  <si>
    <t>Bariatric surgery,Obesity</t>
  </si>
  <si>
    <t>Tuberculosis,Psoriasis</t>
  </si>
  <si>
    <t>Low Back Pain,Chronic Pain</t>
  </si>
  <si>
    <t>Aging,Institutionalization</t>
  </si>
  <si>
    <t>Tooth Abrasion,Tooth Erosion</t>
  </si>
  <si>
    <t>new coronavirus infection,viral pneumonia,not elsewhere classified</t>
  </si>
  <si>
    <t>oxidative stress,antioxidant</t>
  </si>
  <si>
    <t>Nervous system diseases,Parkinsons disease</t>
  </si>
  <si>
    <t>prematuridade,dor</t>
  </si>
  <si>
    <t>Coronavirus as the cause of diseases classified to other chapters,/drug effects</t>
  </si>
  <si>
    <t>Coronavirus infection,unspecified,Acute renal failure</t>
  </si>
  <si>
    <t>dental caries,gingivitis</t>
  </si>
  <si>
    <t>Tooth Eruption,Anxiety</t>
  </si>
  <si>
    <t>Intensive care,enteral nutritional therapy</t>
  </si>
  <si>
    <t>Diseases of the circulatory system,Lymphoedema not elsewhere classified</t>
  </si>
  <si>
    <t>Muscle weakness,Polyneuropathies</t>
  </si>
  <si>
    <t>Coronavirus infections,Respiratory Distress Syndrome,Adult</t>
  </si>
  <si>
    <t>Coronavirus,Coronavirus,as a cause of diseases classified in other chapters</t>
  </si>
  <si>
    <t>Depressive episode,unspecified,Generalized anxiety disorder</t>
  </si>
  <si>
    <t>Fasciitis Plantar,</t>
  </si>
  <si>
    <t>Oxidative stress,healthy diet</t>
  </si>
  <si>
    <t>Sjogrens syndrome,Sicca Syndrome (Sjogren)</t>
  </si>
  <si>
    <t>obesity,cellulite from other parts of the limbs</t>
  </si>
  <si>
    <t>Senile cataract not specified,Not specified cataract</t>
  </si>
  <si>
    <t>Stroke,Postural Balance</t>
  </si>
  <si>
    <t>Atherosclerotic heart disease,multiple valve disease</t>
  </si>
  <si>
    <t>bipolar disorder,Health education,cognition</t>
  </si>
  <si>
    <t>Sleep apnea syndromes,Sleep apnea,obstructive,Palatal expansion technique,Snoring,Quality of life</t>
  </si>
  <si>
    <t>Myofascial Pain Syndromes,Myalgia</t>
  </si>
  <si>
    <t>Asthma,Children</t>
  </si>
  <si>
    <t>Uterine Prolapse,Cystocele</t>
  </si>
  <si>
    <t>papilloma,laryngeal diseases</t>
  </si>
  <si>
    <t>Temporomandibular joint disorders,Bruxism</t>
  </si>
  <si>
    <t>Stomatognathic diseases,edentulism</t>
  </si>
  <si>
    <t>Disorders of the temporomandibular,articulation,Dysfunction Syndrome,Temporomandibular Joint</t>
  </si>
  <si>
    <t>Dementia,Burnout</t>
  </si>
  <si>
    <t>Severe Acute Respiratory Syndrome,Coronavirus infections</t>
  </si>
  <si>
    <t>Unspecified senile cataract,unspecified cataract</t>
  </si>
  <si>
    <t>Bone Resorption,Dental Implantation</t>
  </si>
  <si>
    <t>chronic periodontitis,periodontal therapy</t>
  </si>
  <si>
    <t>Stomatognathic Diseases,Edentulism</t>
  </si>
  <si>
    <t>Elderly,Overweight</t>
  </si>
  <si>
    <t>Tooth Discoloration,Dentition,Permanent</t>
  </si>
  <si>
    <t>university students,young people,psychological stress,cardiovascular risk,cardiovascular deseases</t>
  </si>
  <si>
    <t>Diabetes Mellitus,Periodontal Diseases</t>
  </si>
  <si>
    <t>Heart failure unspecified,Chronic obstructive pulmonary disease unspecified</t>
  </si>
  <si>
    <t>Osteoporosis,metabolic diseases</t>
  </si>
  <si>
    <t>Intensive Care Units,Limitation of Mobility</t>
  </si>
  <si>
    <t>Acute renal failure,Coronavirus infection of unspecified location</t>
  </si>
  <si>
    <t>Pain,Anesthetic Adjuvants</t>
  </si>
  <si>
    <t>Coronavirus infection,Sepsis</t>
  </si>
  <si>
    <t>neonatology,autonomic denervation</t>
  </si>
  <si>
    <t>Knee joint,knee injuries</t>
  </si>
  <si>
    <t>Hypertension,Prehypertension</t>
  </si>
  <si>
    <t>Muscle Weakness,Respiratory insufficiency</t>
  </si>
  <si>
    <t>Nursing education ,Adolescent health,IEarly Intervention,</t>
  </si>
  <si>
    <t>cellulite,</t>
  </si>
  <si>
    <t>Climateric,Menopause</t>
  </si>
  <si>
    <t>Severe acute respiratory syndrome,Viral Pneumonia</t>
  </si>
  <si>
    <t>Musculoskeletal Diseases,Patellofemoral pain syndrome</t>
  </si>
  <si>
    <t>Urinary incontinence,physiotherapy</t>
  </si>
  <si>
    <t>cardiovascular diseases,infarct</t>
  </si>
  <si>
    <t>Cancer Care Facilities,Muscle Stretching Exercises</t>
  </si>
  <si>
    <t>Sedentary Lifestyle,Cognitive Dysfunction</t>
  </si>
  <si>
    <t>Endodontics,Root Canal Therapy</t>
  </si>
  <si>
    <t>Sleep obstructive apnea,Sleep Bruxism</t>
  </si>
  <si>
    <t>Sedentary behavior,Healthy lifestyle</t>
  </si>
  <si>
    <t>Pain,Infant,Premature</t>
  </si>
  <si>
    <t>Pelvic floor,Urinary Incontinence</t>
  </si>
  <si>
    <t>Crying,Infant newborn</t>
  </si>
  <si>
    <t>Complete denture,Edentulous jaw</t>
  </si>
  <si>
    <t>Spinal cord injury,Sexuality</t>
  </si>
  <si>
    <t>Plantar Fasciite,Musculoskeletal Diseases</t>
  </si>
  <si>
    <t>obesity,Morbid,Diabetes Mellitus,Type 2</t>
  </si>
  <si>
    <t>Other Specific bowel diseases,preterm newborn</t>
  </si>
  <si>
    <t>hemophilic arthropathy,hemophilia A</t>
  </si>
  <si>
    <t>Heart Failure,Nursing Care</t>
  </si>
  <si>
    <t>Motor Activity,Adult</t>
  </si>
  <si>
    <t>Anxiety,Cesarean Section</t>
  </si>
  <si>
    <t>Bone Marrow Transplantation,Hematopoietic Stem Cell Transplantation</t>
  </si>
  <si>
    <t>Jaw Abnormalities,Gingiva</t>
  </si>
  <si>
    <t>Cognitive aging,Cognitive dysfunction</t>
  </si>
  <si>
    <t>Craniocerebral trauma,stroke</t>
  </si>
  <si>
    <t>Injury due to failure of sterile precautions during kidney dialysis or other perfusion,Renal Insufficiency Chronic</t>
  </si>
  <si>
    <t>Gingiviti,Periodontal Disease</t>
  </si>
  <si>
    <t>Chronic Periodontitis,Smokers</t>
  </si>
  <si>
    <t>Sleep deprivation,Sleep-Wake Disorders</t>
  </si>
  <si>
    <t>color,dentin sensitivity</t>
  </si>
  <si>
    <t>chronic renal failure,cardiac disease</t>
  </si>
  <si>
    <t>Snoring,obesity</t>
  </si>
  <si>
    <t>Periodontal disease,unspecified,other periodontal diseases</t>
  </si>
  <si>
    <t>Obesity,Diabetes Mellitus</t>
  </si>
  <si>
    <t>Hydroxymethylglutaryl-CoA Reductase Inhibitors,Simvastatin,bone regeneration,Molar,Third</t>
  </si>
  <si>
    <t>Herpes simplex,herpes labialis</t>
  </si>
  <si>
    <t>Human T lymphotropic virus 1,tropical spastic paraparesis</t>
  </si>
  <si>
    <t>Obesity due to excess calories,Bariatric surgery</t>
  </si>
  <si>
    <t>Pain,Muscle,Skeletal</t>
  </si>
  <si>
    <t>Sedentary Behavior,overweight</t>
  </si>
  <si>
    <t>Kidney diseases,Kidney Transplantation</t>
  </si>
  <si>
    <t>Dentin sensitivity,Dental Marginal Adaptation</t>
  </si>
  <si>
    <t>periodontium,therapy,laser</t>
  </si>
  <si>
    <t>Nutrition for Vulnerable Groups,Child Nutrition</t>
  </si>
  <si>
    <t>Dental caries,Periodontal diseases</t>
  </si>
  <si>
    <t>Wounds,injuries</t>
  </si>
  <si>
    <t>Primary dysmenorrhea,pain</t>
  </si>
  <si>
    <t>Hypertension Arterial,Elderly</t>
  </si>
  <si>
    <t>Systemic Arterial Hypertention,Menopause</t>
  </si>
  <si>
    <t>Third molar,Loss of teeth due to accident,extraction or localized periodontal diseases</t>
  </si>
  <si>
    <t>dental caries,periodontal disease</t>
  </si>
  <si>
    <t>postoperative pain,tibial shaft fracture</t>
  </si>
  <si>
    <t>oral health,orthodontics</t>
  </si>
  <si>
    <t>Stroke,hemiparesis</t>
  </si>
  <si>
    <t>child behavior disorders,child behavior</t>
  </si>
  <si>
    <t>Proctocolitis,Medication Adherence</t>
  </si>
  <si>
    <t>Septic,acute renal injury,peripheral perfusion</t>
  </si>
  <si>
    <t>type 2 diabetes mellitus,telemedicina</t>
  </si>
  <si>
    <t>Down syndrome,obesity,muscle strength,cardiorespiratory fitness</t>
  </si>
  <si>
    <t>Dental Caries,Fracture of tooth</t>
  </si>
  <si>
    <t>Venous insufficiency,chronic ulcers</t>
  </si>
  <si>
    <t>Temporomandibular joint disorders,Facial pain</t>
  </si>
  <si>
    <t>Loss of teeth due to accident,extraction or localized periodontal diseases,Dental implants</t>
  </si>
  <si>
    <t>Primary prevention,Healthy volunteers</t>
  </si>
  <si>
    <t>Anxiety,Pain,Postoperative</t>
  </si>
  <si>
    <t>Conditions with indication of retrograde endoscopic cholangiopancreatography (ERCP) with endoscopic papillotomy,such as choledocholithiasis (biliary ducts lithiasis),obstructive periampular tumors (neoplasms)</t>
  </si>
  <si>
    <t>Heart Defects Congenital,thoracic surgery</t>
  </si>
  <si>
    <t>fibromyalgia,Pain</t>
  </si>
  <si>
    <t>Hypertension,Periodontitis</t>
  </si>
  <si>
    <t>Obesity,Menopause</t>
  </si>
  <si>
    <t>Juvenile Systemic Lupus Erythematosus,Juvenile Dermatomyositis</t>
  </si>
  <si>
    <t>Hypotension post-Exercise,blood pressure</t>
  </si>
  <si>
    <t>Respiration Artificial,Home Nursing</t>
  </si>
  <si>
    <t>Dental Assistants,Dentistry</t>
  </si>
  <si>
    <t>Obesity,cardiovascular diseases</t>
  </si>
  <si>
    <t>muscle strength,old man</t>
  </si>
  <si>
    <t>Heart Failure,Left Ventricular Failure</t>
  </si>
  <si>
    <t>Dental Biofilm,Dental Caries</t>
  </si>
  <si>
    <t>Tooth Bleaching,Dentin</t>
  </si>
  <si>
    <t>Alveolar Bone Loss,Maxillary Sinus</t>
  </si>
  <si>
    <t>Periodontitis,Chronic Renal Insufficiency</t>
  </si>
  <si>
    <t>administration intravaginal,</t>
  </si>
  <si>
    <t>Heart Rate Determination,Infant,Newborn</t>
  </si>
  <si>
    <t>Musculoskeletal diseases,myalgia</t>
  </si>
  <si>
    <t>Stomatitis Denture,Oral Candidiasis</t>
  </si>
  <si>
    <t>Periapical periodontitis,Diabetes mellitus type 2</t>
  </si>
  <si>
    <t>Musculoskeletal diseases,Altered postural balance</t>
  </si>
  <si>
    <t>leukopenia,Carcinoma in situ of breast</t>
  </si>
  <si>
    <t>Pulpitis,inflammation</t>
  </si>
  <si>
    <t>Mental Disorders,Borderline Personality Disorder</t>
  </si>
  <si>
    <t>Blindness,Low vision</t>
  </si>
  <si>
    <t>Neoplasms,Chemically-induced disorders</t>
  </si>
  <si>
    <t>Patients admitted to the intensive care unit,biomarkers</t>
  </si>
  <si>
    <t>Tonsillectomy,pain post operative</t>
  </si>
  <si>
    <t>Healthy volunteers,low back pain</t>
  </si>
  <si>
    <t>Neoplasias Colorretais Hereditárias sem Polipose,Pólipo do cólon</t>
  </si>
  <si>
    <t>Accidental Falls,Postural Balance</t>
  </si>
  <si>
    <t>Stroke,not specified as hemorrhagic or ischemic,Sequelae of stroke not specified as hemorrhagic or ischemic</t>
  </si>
  <si>
    <t>Men with healthy lifestyle,musculoskeletal diseases</t>
  </si>
  <si>
    <t>Malignant colon cancer with invasive lesion,diverticular disease of intestine</t>
  </si>
  <si>
    <t>Osteoarthritis of the knee,Osteoarthritis</t>
  </si>
  <si>
    <t>Diabetes Mellitus,Diabetic Foot</t>
  </si>
  <si>
    <t>Eldery,Diabetics Mellitus Type 2</t>
  </si>
  <si>
    <t>Tobacco Use Cessation,Pregnancy,High-Risk</t>
  </si>
  <si>
    <t>overweight,obesity</t>
  </si>
  <si>
    <t>Paralysis,Obstetric,Injury of brachial plexus</t>
  </si>
  <si>
    <t>Dental caries,dentin sensitivity</t>
  </si>
  <si>
    <t>Headache,myalgia</t>
  </si>
  <si>
    <t>Multiple Sclerosis,pain,quality of life,sleep,Fatigue</t>
  </si>
  <si>
    <t>knee osteoarthritis,articular pain</t>
  </si>
  <si>
    <t>Skin alterations due to chronic exposure to non-ionizing radiation unspecified/photo-aging,peeling</t>
  </si>
  <si>
    <t>Dentin Sensitivity: Gingival Retraction,Teeth Wear,Dental Erosion</t>
  </si>
  <si>
    <t>cystic fibrosis,cholecalciferol</t>
  </si>
  <si>
    <t>Endometriosis of uterus,Hysterectomy</t>
  </si>
  <si>
    <t>Lymphoid leukemia,myeloid leukemia</t>
  </si>
  <si>
    <t>Professional burnout,anxiety</t>
  </si>
  <si>
    <t>Tendinopathy,Patellar Tendinopathy</t>
  </si>
  <si>
    <t>Ventricular tachycardia,Ventricular fibrillation</t>
  </si>
  <si>
    <t>Anxiety disorder,unspecified,Atypical facial pain</t>
  </si>
  <si>
    <t>Contact with exposure to rabies,Rabies</t>
  </si>
  <si>
    <t>Dental caries,endodontics</t>
  </si>
  <si>
    <t>Essential hypertension,Diabetes Mellitus - non-insulin dependent</t>
  </si>
  <si>
    <t>Malaise,fatigue</t>
  </si>
  <si>
    <t>Kidney Failure,Chronic,Renal Dialysis</t>
  </si>
  <si>
    <t>Leishmaniasis,Mucocutaneous leishmaniasis</t>
  </si>
  <si>
    <t>Postural Balance,Healthy People Programs</t>
  </si>
  <si>
    <t>Accidents by Falls,Postural Balance</t>
  </si>
  <si>
    <t>Depression,depressive disorder</t>
  </si>
  <si>
    <t>Periapical Periodontitis,quality of life</t>
  </si>
  <si>
    <t>HIV,Health Care Quality,Access,and Evaluation</t>
  </si>
  <si>
    <t>Dental caries,Child,Tooth,Deciduous</t>
  </si>
  <si>
    <t>Nausea,vomiting</t>
  </si>
  <si>
    <t>Other bladder disorders,Constipation</t>
  </si>
  <si>
    <t>Osteoradionecrosis,Inflammatory conditions of the jaws</t>
  </si>
  <si>
    <t>Vaccination,Papillomaviridae</t>
  </si>
  <si>
    <t>Elderly,Health of the Elderly</t>
  </si>
  <si>
    <t>Stomatognathic Diseases,Dental cavity</t>
  </si>
  <si>
    <t>Premature Newborn,Neonatal Intensive Care Unit</t>
  </si>
  <si>
    <t>Low Back Pain,Diastase of muscle</t>
  </si>
  <si>
    <t>paresis,Stroke</t>
  </si>
  <si>
    <t>Cerebral Palsy,Dyscalculia</t>
  </si>
  <si>
    <t>Diabetes Mellitus Type 1,Diabetes mellitus</t>
  </si>
  <si>
    <t>mental,behaviour disorders,</t>
  </si>
  <si>
    <t>Pacients with gingivitis,Dental caries</t>
  </si>
  <si>
    <t>Malignant neoplasm of stomach,unspecified,Nutritional deficiency,unspecified</t>
  </si>
  <si>
    <t>Tooth Discoloration,Dentin Sensitivity</t>
  </si>
  <si>
    <t>Immunosuppression,Oxidative stress</t>
  </si>
  <si>
    <t>Leprosy,Men</t>
  </si>
  <si>
    <t>Noncommunicable Diseases,Overweight</t>
  </si>
  <si>
    <t>Aging,Muscle Weakness</t>
  </si>
  <si>
    <t>Low back pain,chronic pain</t>
  </si>
  <si>
    <t>Molar,Third,Balanitis</t>
  </si>
  <si>
    <t>Teeth darkened,decayed teeth</t>
  </si>
  <si>
    <t>pulpitis,degeneration of the pulp</t>
  </si>
  <si>
    <t>Stroke,Shoulder Pain</t>
  </si>
  <si>
    <t>Occupational Edema,Edema</t>
  </si>
  <si>
    <t>Pelvic pain,low back pain</t>
  </si>
  <si>
    <t>Temporomandibular joint disorders,Temporomandibular Joint Dysfunction Syndrome</t>
  </si>
  <si>
    <t>gait training,prevention of injury-related risk factors</t>
  </si>
  <si>
    <t>Obesity,Depression</t>
  </si>
  <si>
    <t>Sequelae of stroke,not specified as hemorrhagic or ischemic,Stroke</t>
  </si>
  <si>
    <t>obesity,post operative ileus</t>
  </si>
  <si>
    <t>Acne Vulgaris,Food Formulated</t>
  </si>
  <si>
    <t>Diabetic foot,Diabetes Mellitus,Self Care</t>
  </si>
  <si>
    <t>Tooth Discoloration,Dental cavity</t>
  </si>
  <si>
    <t>Fibromyalgia,Chronic pain</t>
  </si>
  <si>
    <t>Pediatric Obesity,metabolism</t>
  </si>
  <si>
    <t>Child development,Learning</t>
  </si>
  <si>
    <t>Visually Impaired Persons,Quality of Life</t>
  </si>
  <si>
    <t>Aging,Functionality</t>
  </si>
  <si>
    <t>Gingivitis,Diabetes Complications</t>
  </si>
  <si>
    <t>Fracture Teeth,Cracked tooth syndrome</t>
  </si>
  <si>
    <t>Androgenic alopecia,Telogen effluvium</t>
  </si>
  <si>
    <t>Healthy population containing Polycystic Ovarian Syndrome,Metabolic Syndrome</t>
  </si>
  <si>
    <t>Aging,Hypertension</t>
  </si>
  <si>
    <t>cervix,cervicalgia,shoulder tendonitis,shoulder tendinosis,shoulder bursitis</t>
  </si>
  <si>
    <t>Parkinsons disease,</t>
  </si>
  <si>
    <t>Severe depressive episode without psychotic symptoms,Moderate depressive episode</t>
  </si>
  <si>
    <t>Spinal anesthesia,clinical trial</t>
  </si>
  <si>
    <t xml:space="preserve"> subdermal implant,postpartum,adolescent</t>
  </si>
  <si>
    <t>Tardive Dyskinesia,Schizophrenia</t>
  </si>
  <si>
    <t>Low Back Pain,Failed Back Surgery Syndrome</t>
  </si>
  <si>
    <t>Workload,self care</t>
  </si>
  <si>
    <t>disorders of iron metabolism,hemochromatosis</t>
  </si>
  <si>
    <t>Fibromyalgia,chronic pain</t>
  </si>
  <si>
    <t>Dental caries,Children</t>
  </si>
  <si>
    <t>Respiratory distress syndrome of newborn,Ventilator-Induced Lung Injury</t>
  </si>
  <si>
    <t>Dental pigmentation,tooth discoloration</t>
  </si>
  <si>
    <t>obesity,bariatric surgery</t>
  </si>
  <si>
    <t>Pediatric Intensive Care Unit,Artificial Breathing</t>
  </si>
  <si>
    <t>chronic sinusitis,nasal polyps</t>
  </si>
  <si>
    <t>Cystic fibrosis,Gastrointestinal Microbioma</t>
  </si>
  <si>
    <t>Dorsalgia non specific,non specific back pain</t>
  </si>
  <si>
    <t>Anemia due to glucose-6-phospate dehydrogenase deficiency,malaria by Plasmodium vivax</t>
  </si>
  <si>
    <t>Mucositis,Pain</t>
  </si>
  <si>
    <t>Respiratory variation of the inferior vena cava of hospitalized children. Ultrasonography,inferior vena cava</t>
  </si>
  <si>
    <t>Epilepsy,craniofacial abnormalities</t>
  </si>
  <si>
    <t>Hypertension,Vascular Stiffness</t>
  </si>
  <si>
    <t>Dental caries,Orthodontics,Corrective</t>
  </si>
  <si>
    <t>Intensive Care Units,Neonatal,hydrotherapy</t>
  </si>
  <si>
    <t>obesity due to excess calories,morbid obesity</t>
  </si>
  <si>
    <t>Cold Temperature,Body Temperature,Regulation,Body Temperature,Body Temperature Changes</t>
  </si>
  <si>
    <t>Visceral Leishmaniasi,calazar</t>
  </si>
  <si>
    <t>Epidural Anesthesia,Neuromuscular Blockade</t>
  </si>
  <si>
    <t>Diabetes complications,Exercise-Induced Asthma</t>
  </si>
  <si>
    <t>Chronic Renal Insufficiency,Arteriovenous Fistula</t>
  </si>
  <si>
    <t>Obesity,diabetes mellitus,caries,periodontal disease</t>
  </si>
  <si>
    <t>Diabetes mellitus,type 1 diabetes mellitus</t>
  </si>
  <si>
    <t>Breast Neoplasms,Muscle Strength</t>
  </si>
  <si>
    <t>artificial respiration,congenital malformation of the heart</t>
  </si>
  <si>
    <t>Shoulder,shoulder pain</t>
  </si>
  <si>
    <t>Dental bleaching,Dentifrices</t>
  </si>
  <si>
    <t>Range of Motion,Articular,Healthy Lifestyle</t>
  </si>
  <si>
    <t>Dental caries,health promotion,susceptibility to dental caries,child health service</t>
  </si>
  <si>
    <t>postmenopausal atrophic vaginitis,urinary incontinence</t>
  </si>
  <si>
    <t>obesity,diabetes,hypercholesterolemia</t>
  </si>
  <si>
    <t>dental cavity,amelogênese</t>
  </si>
  <si>
    <t>Obesity,Men</t>
  </si>
  <si>
    <t>Consumption of Alcoholic Beverages,Tobacco</t>
  </si>
  <si>
    <t>neck pain,trigger points</t>
  </si>
  <si>
    <t>Breast Neoplasms,Prostatic Neoplasms</t>
  </si>
  <si>
    <t>elderly women,pre frailty</t>
  </si>
  <si>
    <t>Young Adult,Athletic Performance</t>
  </si>
  <si>
    <t>Oxidative stress,menopause</t>
  </si>
  <si>
    <t>Prevention &amp; control,Candida stomatitis</t>
  </si>
  <si>
    <t>Premature,child development</t>
  </si>
  <si>
    <t>Postoperative pain,Anxiety</t>
  </si>
  <si>
    <t>Sedentary,weakness of the forearm musculature</t>
  </si>
  <si>
    <t>Skeletal muscle,Muscles</t>
  </si>
  <si>
    <t>Parkinsons desease,Healthy elderly</t>
  </si>
  <si>
    <t>breastfeeding,early weaning</t>
  </si>
  <si>
    <t>Respiratory tract diseases,Athletic performance</t>
  </si>
  <si>
    <t>Zika virus Infection,Pregnant women</t>
  </si>
  <si>
    <t>breast cancer,postoperative pain</t>
  </si>
  <si>
    <t>Urinary incontinence,Sexuality</t>
  </si>
  <si>
    <t>Muscular dystrophy,duchenne muscular dystrophy</t>
  </si>
  <si>
    <t>Sleep,Sleep-Wake Disorders</t>
  </si>
  <si>
    <t>Dental caries,occlusal-proximal lesions</t>
  </si>
  <si>
    <t>Depressive episodes,Other anxiety disorders</t>
  </si>
  <si>
    <t>oncology,health promotion</t>
  </si>
  <si>
    <t>Sleep Disorders of Circadian Rhythm,Postpartum Period</t>
  </si>
  <si>
    <t>Eutrophication,morbid obesity</t>
  </si>
  <si>
    <t>Cervix Uteri,Uterus</t>
  </si>
  <si>
    <t>Diabetes Mellitus,Type 2 diabetes</t>
  </si>
  <si>
    <t>Autonomic Nervous System,Cardiovascular system</t>
  </si>
  <si>
    <t>Parkinsons disease,Population Dynamics</t>
  </si>
  <si>
    <t>Pain Postoperative,Anterior Cruciate Ligament Injuries</t>
  </si>
  <si>
    <t>Localized adiposity,Obesity,abdominal</t>
  </si>
  <si>
    <t>Chronic viral hepatitis B without delta-agent,Need for immunization against viral hepatitis</t>
  </si>
  <si>
    <t>Ataxia,Ataxia not classified</t>
  </si>
  <si>
    <t>Urinary Incontinence,Urgency Urinary Incontinence,Urinary Stress Incontinence</t>
  </si>
  <si>
    <t>Severe preeclampsia,Eclampsia in pregnancy</t>
  </si>
  <si>
    <t>Urinary incontinence,pelvic floor disorders</t>
  </si>
  <si>
    <t>Pain,Postural</t>
  </si>
  <si>
    <t>Parkinson Disease,masticatory muscles</t>
  </si>
  <si>
    <t>smoking,body weight</t>
  </si>
  <si>
    <t>Cardiac rehabilitation,autonomic nervous system</t>
  </si>
  <si>
    <t>Disorders of the temporomandibular articulation,Dysfunction Syndrome Temporomandibular Joint</t>
  </si>
  <si>
    <t>Smoking,Tobacco Use Disorder</t>
  </si>
  <si>
    <t>Coronary artery disease,Myocardial revascularization,</t>
  </si>
  <si>
    <t>Disease of the circulatory system,Coronary Artery Disease</t>
  </si>
  <si>
    <t>Knee Osteoarthritis,Gonarthrosis [arthrosis of knee]</t>
  </si>
  <si>
    <t>Stress Urinary Incontinence,Mixed Urinary Incontinence</t>
  </si>
  <si>
    <t>Obesity,Overweight,Psychological Stress</t>
  </si>
  <si>
    <t>Dental Prosthesis,Ceramics,Disease of hard tissues of teeth,unspecified</t>
  </si>
  <si>
    <t>Temporomandibular Joint Dysfunction Syndrome,Facial Pain</t>
  </si>
  <si>
    <t>Chagas Cardiomyopathy,Chagas Disease</t>
  </si>
  <si>
    <t>Diabetic Foot,Foot Ulcer</t>
  </si>
  <si>
    <t>People with disabilities,men</t>
  </si>
  <si>
    <t>Muscle stretching exercises,muscle rigidity</t>
  </si>
  <si>
    <t>Infant,Pressure Ulcer</t>
  </si>
  <si>
    <t>Dental Fluorosis,Mottled teeth</t>
  </si>
  <si>
    <t>Hhealtly elders,Dysphagia</t>
  </si>
  <si>
    <t>Obesity,Feeding Behavior</t>
  </si>
  <si>
    <t>Obesity,Insulin Resistance</t>
  </si>
  <si>
    <t>Heart Failure,Sleep Apnea Syndromes</t>
  </si>
  <si>
    <t>healthy volunteers,men</t>
  </si>
  <si>
    <t>Frail Elderly,Elderly</t>
  </si>
  <si>
    <t>Paresis,Upper-extremity</t>
  </si>
  <si>
    <t>Obesity,Abdominal Obesity</t>
  </si>
  <si>
    <t>Inflammatory Disease of the Uterine Cervix,Congenital Ectropion</t>
  </si>
  <si>
    <t>Older Adults,Health of Institutionalized Elderly</t>
  </si>
  <si>
    <t>Tension-Type Headache,Migraine Disorders</t>
  </si>
  <si>
    <t>Healthy Volunteers,Osteoarthritis</t>
  </si>
  <si>
    <t>Temporomandibular Joint Disorders,Temporomandibular Joint Dysfunction Syndrome</t>
  </si>
  <si>
    <t>Sciatica,Low back pain</t>
  </si>
  <si>
    <t>Hand strength,Muscle strength,Muscle weakness,Young adult,</t>
  </si>
  <si>
    <t>Men,Acquired immunodeficiency syndrome</t>
  </si>
  <si>
    <t>Obstructive Sleep Apnea Syndrome,Systemic Arterial Hypertension</t>
  </si>
  <si>
    <t>Obesity,Elderly</t>
  </si>
  <si>
    <t>Back pain,Chronic pain</t>
  </si>
  <si>
    <t>Coronary Artery Disease,Percutaneous Coronary Intervention</t>
  </si>
  <si>
    <t>Human immunodeficiency virus [HIV] disease,Unspecified human immunodeficiency virus [HIV] disease</t>
  </si>
  <si>
    <t>Dyskinesis,</t>
  </si>
  <si>
    <t>Old man,Healthy Volunteers</t>
  </si>
  <si>
    <t>Professional Exhaustion,Psychological Stress</t>
  </si>
  <si>
    <t>Respiratory insufficiency,Muscle weakness</t>
  </si>
  <si>
    <t>digestive system diseases,gastrointestinal microbiome</t>
  </si>
  <si>
    <t>central nervous disease,Dementia in Alzheimers disease,Vascular dementia,Unspecified dementia,</t>
  </si>
  <si>
    <t>Mottled teeth,Dental bleaching agents</t>
  </si>
  <si>
    <t>Severe periodontitis,Hyperlipidemia</t>
  </si>
  <si>
    <t>Dental caries,</t>
  </si>
  <si>
    <t>Neonatal Screening,Pain Management</t>
  </si>
  <si>
    <t>Newborn,Infusions Intravenous</t>
  </si>
  <si>
    <t>Ankylosing Spondylitis,Behavior sedentary</t>
  </si>
  <si>
    <t>Dysfunction Sexual,Dysfunction of pelvic floor muscles</t>
  </si>
  <si>
    <t>Respiratory Syncytial Virus Infections,Respiratory syncytial virus as the cause of diseases classified to other chapters</t>
  </si>
  <si>
    <t>rheumatoid arthritis,insulin resistance</t>
  </si>
  <si>
    <t>Heart Failure,Patient Compliance,Self care</t>
  </si>
  <si>
    <t>muscle fatigue,muscular atrophy</t>
  </si>
  <si>
    <t>Speech changes,orthodontic retainer,malocclusion</t>
  </si>
  <si>
    <t>Hypertension,Diseases of the circulatory system</t>
  </si>
  <si>
    <t>Disease caused by human immunodeficiency virus,HIV/AIDS</t>
  </si>
  <si>
    <t>Left ventricular failure,exercise</t>
  </si>
  <si>
    <t>osteoarthritis,Knee</t>
  </si>
  <si>
    <t>Musculoskeletal diseases,Hip ostheoarthrosis</t>
  </si>
  <si>
    <t>isolated hypercholesterolemia,combined hypercholesterolemia</t>
  </si>
  <si>
    <t>Pediatric pain,hoapitalization</t>
  </si>
  <si>
    <t>Human patients infected,Methicillin-resistant Staphylococcus aureus</t>
  </si>
  <si>
    <t>Vertigo,dizziness</t>
  </si>
  <si>
    <t>Impaired mastication,total edentulism</t>
  </si>
  <si>
    <t>Ventilator-Associated Pneumonia,Nosocomial Infections</t>
  </si>
  <si>
    <t>essential (primary) hypertension,depressive episode,unspecified</t>
  </si>
  <si>
    <t>Shoulder Dislocation,Stroke</t>
  </si>
  <si>
    <t>Obesity,interpersonal relationships</t>
  </si>
  <si>
    <t>Chronic Ankle instability,Postural Balance</t>
  </si>
  <si>
    <t>Pelvic floor muscle hypotonia,orgasmic dysfunction</t>
  </si>
  <si>
    <t>Psychological stress,Range of motion,Chronic pain</t>
  </si>
  <si>
    <t>Mouthwashes,Dental Care,Gingival Hyperplasia</t>
  </si>
  <si>
    <t>Nausea,Vomiting,Hyperemesis gravidarum</t>
  </si>
  <si>
    <t>Posture,postural balance,electromyography</t>
  </si>
  <si>
    <t>Neoplasms,muscle fatigue,postural balance</t>
  </si>
  <si>
    <t>Infantile cerebral palsy,Muscle Spasticity,Alpinia</t>
  </si>
  <si>
    <t>Class III malocclusion,cleft palate,cleft lip</t>
  </si>
  <si>
    <t>Aging,Sedentary lifestyle,Sarcopenia</t>
  </si>
  <si>
    <t>High-Intensity Interval Training,Immune System,Vaccinium macrocarpon</t>
  </si>
  <si>
    <t>Corrective Orthodontics,Oral hygiene,Multimedia</t>
  </si>
  <si>
    <t>Dysmenorrhoea,pain,pelvic pain</t>
  </si>
  <si>
    <t>Third molar,Postoperative Period,Osteogenesis</t>
  </si>
  <si>
    <t>Periodontal Diseases,Biomarkers,Bacteria</t>
  </si>
  <si>
    <t>Dental Pulp Necrosis,Pulp necrosis,Periapical Periodontitis</t>
  </si>
  <si>
    <t>Periodontal Diseases,Dental Marginal Adaptation,Inflammation Mediators</t>
  </si>
  <si>
    <t>Autism Spectrum Disorder,Periodontitis,Dental Caries</t>
  </si>
  <si>
    <t>Pulp Necrosis,Pulpitis,Periapical Periodontitis</t>
  </si>
  <si>
    <t>Musculoskeletal Pain,Myalgia,Arthralgia</t>
  </si>
  <si>
    <t>Fatigue,Myalgia,Dyspnea</t>
  </si>
  <si>
    <t>Myofascial pain syndrome,trigger points,cervical pain</t>
  </si>
  <si>
    <t>Patellofemoral Pain Syndrome,young adult,</t>
  </si>
  <si>
    <t>Complete denture,bite force,mastigation</t>
  </si>
  <si>
    <t>Muscle strength,rehablitation,acupuncture</t>
  </si>
  <si>
    <t>Pregnant women,Prenatal care,premature birth</t>
  </si>
  <si>
    <t>Chronic respiratory failure,Interstitial lung disease unspecified,Unclassified Respiratory Failure from Other Party</t>
  </si>
  <si>
    <t>Hospitalization,General Ward,Upper Complete Denture</t>
  </si>
  <si>
    <t>Candida,Upper Complete Denture,Denture Stomatitis</t>
  </si>
  <si>
    <t>Coronavirus Infections,Epidemiology,Asymptomatic infections</t>
  </si>
  <si>
    <t>Dental Caries,Fixed orthodontic appliances,Corrective orthodontics</t>
  </si>
  <si>
    <t>Temporomandibular Joint Disorders,Temporomandibular Joint,Facial Pain</t>
  </si>
  <si>
    <t>Caries Disease,Stomatognathic Disease,Mouth Rehabilitation</t>
  </si>
  <si>
    <t>Respiratory discomfort in patients in the immediate postoperative period of orthognathic surgery,Orthognathic Surgery,Palatine Fissure,Rhinomanometry</t>
  </si>
  <si>
    <t>Child,Preschool,Learning desabilites</t>
  </si>
  <si>
    <t>open bite,tooth diseases,stomatognathic diseases</t>
  </si>
  <si>
    <t>Stomatitis,Adverse effects,Oncology</t>
  </si>
  <si>
    <t>Healthy aging,Alzheimers disease,Old man</t>
  </si>
  <si>
    <t>Premature Birth,Respiratory distress syndrome of newborn,Transient tachypnoea of newborn</t>
  </si>
  <si>
    <t>Diabetes Mellitus,Chronic Obstructive Pulmonary Disease,Congestive Heart Failure</t>
  </si>
  <si>
    <t>Gonarthrosis,articular pain,keloid scar</t>
  </si>
  <si>
    <t>Cardiovascular diseases,Heart Diseases,Ventricular Dysfunction</t>
  </si>
  <si>
    <t>Myofascial Pain syndrome,temporomandibular joint,temporomandibular disorders</t>
  </si>
  <si>
    <t>gingivitis,oral hygiene,dental devices,home care</t>
  </si>
  <si>
    <t>After-Hours Care,Patient-Centered Care,Medical care,unspecified</t>
  </si>
  <si>
    <t>Diseases of the genitourinary system,Congenital vesico-uretero-renal reflux,Reflex neuropathic bladder,not elsewhere classified</t>
  </si>
  <si>
    <t>ICD 10 - M17 Gonarthrosis (knee arthrosis),Osteoarthritis,Knee Osteoarthritis</t>
  </si>
  <si>
    <t>Constipation,Anorectal malformationr,Hirschsprung disease</t>
  </si>
  <si>
    <t>Residual effect of Covid-19,Anxiety,Unspecified depressive episode</t>
  </si>
  <si>
    <t>Stroke,hemiplegia,perception disorders,unilateral spatial neglect</t>
  </si>
  <si>
    <t>Fasting,Gastric emptying,Respiratory Aspiration of Gastric Contents</t>
  </si>
  <si>
    <t>Burnout,anxiety,empathy</t>
  </si>
  <si>
    <t>constipation,inflammation,Renal Insufficiency Chronic</t>
  </si>
  <si>
    <t>sepsis,acute kidney injury,nephrotoxicity</t>
  </si>
  <si>
    <t>social environment,exposure to violence,child abuse</t>
  </si>
  <si>
    <t>Stroke,not specified as haemorrhage or infarction,sarcopenia,muscle development</t>
  </si>
  <si>
    <t>Nail disease,Biotin,Minoxidil</t>
  </si>
  <si>
    <t>Shoulder Collision Syndrome,Shoulder Joint,Manual Therapy</t>
  </si>
  <si>
    <t>Shoulder Collision Syndrome,Shoulder Joint,Physical Therapy Specialty</t>
  </si>
  <si>
    <t>Third molar even,anesthesia,Lidocaine</t>
  </si>
  <si>
    <t>primary open-angle glaucoma,unspecified post-procedure eye disorder,glaucoma secondary to other eye disorders</t>
  </si>
  <si>
    <t>Students,psychological distress,anxiety</t>
  </si>
  <si>
    <t>Generalized anxiety,Acute pain,Unspecified edema</t>
  </si>
  <si>
    <t>Beverages,Color,Esthetics,Dental</t>
  </si>
  <si>
    <t>Necrosis of pulp,Chronic apical periodontitis,Pulpitis</t>
  </si>
  <si>
    <t>supraespinatus syndrome,shoulder impingement syndrome,shoulder injuries</t>
  </si>
  <si>
    <t>Dysgeusia,COVID-19,Taste disorders</t>
  </si>
  <si>
    <t>Contraception,Intrauterine Devices,Postpartum Period</t>
  </si>
  <si>
    <t>Pericoronitis,Dental carious,Periodontal diseases</t>
  </si>
  <si>
    <t>Breast neoplasms,mastectomy segmental,opiate substitution treatment</t>
  </si>
  <si>
    <t>Technology assessment,biomedical,Pressure ulcer,Personal protective equipment</t>
  </si>
  <si>
    <t>Prevention of hypothermia,premature newborn,neonatal intensive care</t>
  </si>
  <si>
    <t>Liver,liver neoplasms,focal nodular hyperplasia of the liver</t>
  </si>
  <si>
    <t>Temporomandibular joint,temporomandibular joint disorders,facial pain</t>
  </si>
  <si>
    <t>Health of the elderly,Cognition,Memory</t>
  </si>
  <si>
    <t>Health of the elderly,Cognition,Accidental Falls</t>
  </si>
  <si>
    <t>Depression,insanity,attention</t>
  </si>
  <si>
    <t>Coronavirus Infections,Homeopathy,Disease prevention</t>
  </si>
  <si>
    <t>Nervous system disorders,Critical Care,Intracranial trauma</t>
  </si>
  <si>
    <t>Mandibular Nerve,Molar,Third,Paresthesia</t>
  </si>
  <si>
    <t>Intelligence Tests,Personal Satisfaction,Academic Performance</t>
  </si>
  <si>
    <t>Anxiety to dental treatment,Pediatric dentistry,</t>
  </si>
  <si>
    <t>The research was directed to sedentary elderly women,Hypertensive,Diabetic</t>
  </si>
  <si>
    <t>Physical exercise,Back pain,Elderly</t>
  </si>
  <si>
    <t>Vitamin D deficiency,Pediatrics,Diabetes Mellitus</t>
  </si>
  <si>
    <t>Vitamin D deficiency,Pregnancy,Diabetes Mellitus</t>
  </si>
  <si>
    <t>Healthy humans,Youth,Sedentary</t>
  </si>
  <si>
    <t>Myocardial Infarction,Stroke,Depression</t>
  </si>
  <si>
    <t>Pregnant women,Cesarean section,Fasting</t>
  </si>
  <si>
    <t>Women under the age of 65,Physical State I to III of the American Society of Anesthesiologists (ASA),who are candidates for non-oncologic abdominal hysterectomy</t>
  </si>
  <si>
    <t>Emphysema,Chronic bronchitis unspecified,Asthma unspecified</t>
  </si>
  <si>
    <t>Pain,Postoperative,Shoulder Pain,Brachial Plexus Block</t>
  </si>
  <si>
    <t>Fibromyalgia,Osteopathic manipulation,</t>
  </si>
  <si>
    <t>Mental health,Coronavirus Infections,Emotional Regulation</t>
  </si>
  <si>
    <t>Obesity,dysbiosis,gastric bypass</t>
  </si>
  <si>
    <t>Sedentary behaviour,Mild cognitive impairment,Aging</t>
  </si>
  <si>
    <t>Physical fitness,muscle strength,postural balance,gait analysis,physical functional performance</t>
  </si>
  <si>
    <t>Arthralgia,Temporomandibular Joint Dysfunction,Myofascial Pain Syndromes</t>
  </si>
  <si>
    <t>Cognition,Cognitive Aging,Comprehensive Health Care</t>
  </si>
  <si>
    <t>Mild Cognitive Impairment,Alzheimers disease,Cognitive Aging</t>
  </si>
  <si>
    <t>Arcade Partially Edentulous,Tooth Loss,Alveolar Bone Loss</t>
  </si>
  <si>
    <t>multiple sclerosis,malaise,fatigue</t>
  </si>
  <si>
    <t>Musculoskeletal diseases,knee injuries,hip injuries</t>
  </si>
  <si>
    <t>Hereditary factor VIII deficiency,Hereditary factor IX deficiency,men</t>
  </si>
  <si>
    <t>breast neoplasms,neoplasms,fatigue</t>
  </si>
  <si>
    <t>Sedentary,cardiovascular diseases,back pain</t>
  </si>
  <si>
    <t>Cesarean Section,Pain,</t>
  </si>
  <si>
    <t>Musculoskeletal diseases,Healthy Volunteers,Sedentary Behavior</t>
  </si>
  <si>
    <t>Chemically-Induced Disorders,Substance-Related Disorders,Medication Errors</t>
  </si>
  <si>
    <t>Evaluation of the effect of Kinesiotaping tape on femoral quadriceps muscle. Musculoskeletal diseases,Athletic tape,Men</t>
  </si>
  <si>
    <t>Epigenomics,Exercise,Cognition</t>
  </si>
  <si>
    <t>Oral contraceptives,womens health,sedentary behavior</t>
  </si>
  <si>
    <t>Atherosclerosis,Obesity,Inflammation</t>
  </si>
  <si>
    <t>Fascia,Healthy Volunteers,Massage</t>
  </si>
  <si>
    <t>Diabetes Mellitus,obesity,Cardiovascular Diseases</t>
  </si>
  <si>
    <t>Depressive episodes,generalized anxiety disorder,non-organic sleep disorders due to emotional factors</t>
  </si>
  <si>
    <t>Child,Intensive Care Units,</t>
  </si>
  <si>
    <t>Lymphedema Related to Breast Cancer,Breast Neoplasm,Mama</t>
  </si>
  <si>
    <t>Malocclusion,Anomalies of tooth position,Loss of teeth due to accident,extraction or local periodontal disease</t>
  </si>
  <si>
    <t>Dental caries,not otherwise specified,endodontics,dental caries</t>
  </si>
  <si>
    <t>Hypertension,Obesity,Sedentary behavior</t>
  </si>
  <si>
    <t>Gallbladder calculus with acute colicistitis,Cholecystectomy,Analgesia</t>
  </si>
  <si>
    <t>Dental plaque,gingivitis,dental caries</t>
  </si>
  <si>
    <t>Atherosclerotic cardiovascular disease,so described,Oral Hygiene</t>
  </si>
  <si>
    <t>Oral surgery,pulpectomy,prevention &amp; control</t>
  </si>
  <si>
    <t>Universities,Students,Healthy Volunteers</t>
  </si>
  <si>
    <t>Self-care,Telenursing,Postoperative Care</t>
  </si>
  <si>
    <t>Obesity,overweight,obesity maternal</t>
  </si>
  <si>
    <t>COVID-19,Bedridden Persons,Homebound Persons</t>
  </si>
  <si>
    <t>Adolescent,Papillomavirus Infections,Papillomavirus Vaccines</t>
  </si>
  <si>
    <t>Severe Acute Respiratory Syndrome,COVID-19,coronavirus infections</t>
  </si>
  <si>
    <t>Urinary incontinence,Primary Prevention,Postpartum period</t>
  </si>
  <si>
    <t>low back pain,primary health care,preliminary data</t>
  </si>
  <si>
    <t>Renal Insufficiency,Chronic,Nephrology Nursing,Musculoskeletal Pain</t>
  </si>
  <si>
    <t>Social support,humanized birth,nursing care</t>
  </si>
  <si>
    <t>Caregivers of patients suffering from stroke,Hospital discharge,Randomized Controlled Clinical Trial</t>
  </si>
  <si>
    <t>HIV,Sexually Transmitted Diseases,Controlled Clinical Trial</t>
  </si>
  <si>
    <t>Dental Abrasion,Dental erosion,hypersensitivity</t>
  </si>
  <si>
    <t>pain,backache,joint pain</t>
  </si>
  <si>
    <t>Dysgeusia,Neoplasms,Drug Therapy,Combination</t>
  </si>
  <si>
    <t>Vertigo,benign paroxysmal positional vertigo,physiological nystagmus</t>
  </si>
  <si>
    <t>Physical exercise,risk factors,atherosclerosis</t>
  </si>
  <si>
    <t>Obesity,Dyslipidemia,Inflammation</t>
  </si>
  <si>
    <t>Cystic fibrosis,inflammation,</t>
  </si>
  <si>
    <t>Muscle Strength,Body Mass Index,Body Composition</t>
  </si>
  <si>
    <t>Hypersensitivity,allergy,allergic contact dermatitis due to metals</t>
  </si>
  <si>
    <t>Alkalosis,Acidosis,Muscle fatigue</t>
  </si>
  <si>
    <t>Diabetes Mellitus,Arterial hypertension,Obesity</t>
  </si>
  <si>
    <t>musculoskeletal diseases,Muscle Tonus,postural balance</t>
  </si>
  <si>
    <t>Autistic disorder,periodontal disease,dental caries</t>
  </si>
  <si>
    <t>Neonatal Intensive Care Units,Depression,Anxiety</t>
  </si>
  <si>
    <t>Body Image,Body Dysmorphic Disorder,Body Dissatisfaction</t>
  </si>
  <si>
    <t>Body Dysmorphic Disorder,Body Image,Body Dissatisfaction</t>
  </si>
  <si>
    <t>Coronavirus Infections,/rehabilitation,Telemonitoring</t>
  </si>
  <si>
    <t>Musculoskeletal diseases,chronic pain,musculoskeletal pain</t>
  </si>
  <si>
    <t>Low-Level Light Therapy,muscle fatigue,torque</t>
  </si>
  <si>
    <t>Study conducted in humans,who present teeth with periodontal disease,extensive cavities,the extraction being indicated</t>
  </si>
  <si>
    <t>Kidney Diseases,Anxiety,Depression</t>
  </si>
  <si>
    <t>Other current complications following acute myocardial infarction,Postoperative Period,Myocardial Revascularization</t>
  </si>
  <si>
    <t>actinic keratosis,upper extremity,fluorouracil</t>
  </si>
  <si>
    <t>thoracic surgery,coronary artery bypass graft,functional capacity maintenance</t>
  </si>
  <si>
    <t>Malleability,Photogrammetry,Amplitude of articular motion</t>
  </si>
  <si>
    <t>Fibromyalgia,Autonomic Nervous System,</t>
  </si>
  <si>
    <t>Patient comfort,homebound persons,chronic disease</t>
  </si>
  <si>
    <t>Obesity,Acute postoperative pain,Y en Roux Gastroplasty</t>
  </si>
  <si>
    <t>cognitive aging,Physical fitness,body composition</t>
  </si>
  <si>
    <t>Breast neoplasm,segmental mastectomy,radio dermatitis</t>
  </si>
  <si>
    <t>diabetes mellitus,hypertension,accidental falls</t>
  </si>
  <si>
    <t>Eye diseases,nervous system diseases,smoking</t>
  </si>
  <si>
    <t>Depression,stress,anxiety</t>
  </si>
  <si>
    <t>Rehabilitation,COVID-19,Exercise</t>
  </si>
  <si>
    <t>Myalgia,Neck Pain,Chronic Pain</t>
  </si>
  <si>
    <t>Mixed intestinal helminthiases,Ascariasis,Ancylostomiasis</t>
  </si>
  <si>
    <t>Psychological stress,Depression,Anxiety</t>
  </si>
  <si>
    <t>Stress,Physiological,Stress,Psychological,Anxiety</t>
  </si>
  <si>
    <t>Musculoskeletal diseases,Frail Elderly,Physical Functional Performance</t>
  </si>
  <si>
    <t>Sleep,REM sleep,Sleep stages</t>
  </si>
  <si>
    <t>Non Alcoholic Fatty Liver Disease,Type 2 Diabetes Mellitus,Obesity</t>
  </si>
  <si>
    <t>Pulmonary collapse,hypoventilation,Extreme obesity with alveolar hypoventilation</t>
  </si>
  <si>
    <t>Vulvar Sclerosus Lichen,Vulva Diseases,Clobetasol</t>
  </si>
  <si>
    <t>Bruxism,Temporomandibular Joint Disorders,Facial Pain</t>
  </si>
  <si>
    <t>Disorders of environmental origin,Sleep-Wake Transition Disorders,Disorders of Excessive Somnolence</t>
  </si>
  <si>
    <t>Obesity,Dyslipidemia,Hypercholesterolemia</t>
  </si>
  <si>
    <t>Osteoarthritis,Resistance Training,Electric Stimulation</t>
  </si>
  <si>
    <t>Arginine Vasopressin,Osmolar Concentration,Thirst</t>
  </si>
  <si>
    <t>Other preterm newborns,Early Intervention,Child Development</t>
  </si>
  <si>
    <t>Oxidative Stress,Glomerular Filtration Rate,Renal Insufficiency Chronic</t>
  </si>
  <si>
    <t>Necrosis of pulp,Pulpitis,Periapical Abscess</t>
  </si>
  <si>
    <t>diabetes mellitus,hyperlipidemia,obesity</t>
  </si>
  <si>
    <t>Physical Fitness,Quality of Life,Postural Balance</t>
  </si>
  <si>
    <t>Pregnant Women,Labor Obstetric,Labor Pain</t>
  </si>
  <si>
    <t>Anterior cruciate ligament,arthroscopy,cronical knee instability</t>
  </si>
  <si>
    <t>Prostate Cancer,Inflammation,Periodontitis</t>
  </si>
  <si>
    <t>Pulpitis,postoperative pain,diabetes mellitus</t>
  </si>
  <si>
    <t>Physically active university students,are not making use of medicines,reduction of oxidative stress</t>
  </si>
  <si>
    <t>Stained teeth,Adolescent,Young Adult</t>
  </si>
  <si>
    <t>Muscle fatigue,Low-Level Light Therapy,Electromyography</t>
  </si>
  <si>
    <t>Cough,hoarseness,deglutition disorders</t>
  </si>
  <si>
    <t>disabled persons,Chronic disease,Patient discharge</t>
  </si>
  <si>
    <t>Human immunodeficiency virus - HIV,Acquired immunodeficiency syndrome,healthy volunteers</t>
  </si>
  <si>
    <t>Body image,self image,sedentary behavior</t>
  </si>
  <si>
    <t>Alveolite,Fracture of the Alveolar Process,Alveolar Bone Loss</t>
  </si>
  <si>
    <t>Pain,edema,trismus</t>
  </si>
  <si>
    <t>Premature newborn,Low Birth Weight,Sleep</t>
  </si>
  <si>
    <t>Multimedia,Caregiver,Neoplasms</t>
  </si>
  <si>
    <t>Temporomandibular Joint Disorders,Temporomandibular Joint Dysfunction Syndrome,Facial Pain</t>
  </si>
  <si>
    <t>physical functional perfomance,Muscle Strength Dynamometer,youn adult</t>
  </si>
  <si>
    <t>aging,cognition,</t>
  </si>
  <si>
    <t>Dysphagia,swallowing disorders,elderly</t>
  </si>
  <si>
    <t>edentulism,mastication,quality of life</t>
  </si>
  <si>
    <t>Musculoskeletal diseases,pain,Muscle,Skeletal</t>
  </si>
  <si>
    <t>Nursing,nursing diagnosis,Simulation</t>
  </si>
  <si>
    <t>Prenatal care,Humanized birth,Pregnancy</t>
  </si>
  <si>
    <t>anxiety,chronic pain,Hypertensive renal disease</t>
  </si>
  <si>
    <t>Vitamin E,Lactation,Deficiency in vitamin E</t>
  </si>
  <si>
    <t>Tooth Demineralization,Dental Caries,Dental Enamel</t>
  </si>
  <si>
    <t>heart failure,respiratory muscles weakness,dyspnea</t>
  </si>
  <si>
    <t>Fracture Fixation,Physical Therapy Department,Hospital,Oxidative Stress</t>
  </si>
  <si>
    <t>Burns,Cold Injury,lacerations</t>
  </si>
  <si>
    <t>Men,Deficiency of vitamins,Mental Fatigue</t>
  </si>
  <si>
    <t>Quality of life,Depression,Pain</t>
  </si>
  <si>
    <t>Renal Dialysis,End-stage renal disease,Kidney Failure,Chronic</t>
  </si>
  <si>
    <t>Healthy diet,Nutritional status,mobile health</t>
  </si>
  <si>
    <t>Fadiga,Ansiedade,Depressão</t>
  </si>
  <si>
    <t>Pain,Infant,Newborn,Intensive Care Units,Neonatal</t>
  </si>
  <si>
    <t>Saccades,Parkinsons disease,eye movement disorders</t>
  </si>
  <si>
    <t>Loss of teeth due to accident,extraction or localized periodontal disease,Dental implants</t>
  </si>
  <si>
    <t>Loss of teeth due to accident,extraction or localized periodontal disease,Dental implants,Tooth extraction</t>
  </si>
  <si>
    <t>Healthy aging,physical functional performance,cognition</t>
  </si>
  <si>
    <t>Obesity,Quality of life,Medication use</t>
  </si>
  <si>
    <t>Diabetes Mellitus,Self Care,Insulin</t>
  </si>
  <si>
    <t>Benign migratory glossitis,Fissured tongue,Hairy tongue</t>
  </si>
  <si>
    <t>Hypertension,Physical Fitness,Anthropometry</t>
  </si>
  <si>
    <t>Angioedema,Trismus,Anxiety</t>
  </si>
  <si>
    <t>Postural Balance,Cervicalgia,low back pain</t>
  </si>
  <si>
    <t>discoloured teeth,dentin sensitivity,dental drugs for topical use</t>
  </si>
  <si>
    <t>Tooth discoloration,Dentin sensitivity,Gingiva</t>
  </si>
  <si>
    <t>Newborns respiratory distress syndrome,Premature newborn,Newborn Respiratory Discomfort Syndrome</t>
  </si>
  <si>
    <t>Arginine,Anti-Inflammatory Agents,Endodontics</t>
  </si>
  <si>
    <t>Dentin sensitivity,stomatognathic diseases,tooth discoloration</t>
  </si>
  <si>
    <t>Dental caries,Child,Tooth Deciduous</t>
  </si>
  <si>
    <t>Periodontitis,Dental Anxiety,Anesthesia,Dental</t>
  </si>
  <si>
    <t>Anxiety,Depression,Stress,Psychological</t>
  </si>
  <si>
    <t>transplanted kidney,child,adolescent</t>
  </si>
  <si>
    <t>Muscle strength,physical functional performance,muscle spasticity</t>
  </si>
  <si>
    <t>Cleft palate with cleft lip,Cleft palate,Cleft lip</t>
  </si>
  <si>
    <t>Motor Skills Disorders,Overweight,Obesity</t>
  </si>
  <si>
    <t>Physical fitness,Cognition,Quality of life</t>
  </si>
  <si>
    <t>Heartburn,dyspepsia,gastroesophageal reflux</t>
  </si>
  <si>
    <t>Oral health education,Oral hygiene,Periodontal diseases</t>
  </si>
  <si>
    <t>Low back pain,Posture,Exercise</t>
  </si>
  <si>
    <t>Coronavirus Infections,Aerosols,Dentistry</t>
  </si>
  <si>
    <t>short-term memory,long-term memory,episodic memory</t>
  </si>
  <si>
    <t>pediatric obesity,caries,infant</t>
  </si>
  <si>
    <t>Molar,Endodontics,Permanent Dental Restoration</t>
  </si>
  <si>
    <t>Muscle damage,inflammation,recovery</t>
  </si>
  <si>
    <t>Pain,Minor Surgical Procedures,Cistoscopia</t>
  </si>
  <si>
    <t>Connective Tissue,Palate,Wound Healing</t>
  </si>
  <si>
    <t>Aging,voice,singing</t>
  </si>
  <si>
    <t>Clinal trial conducted on normal population with traumatic injury or degenerative disease of spinal column with indication of arthrodesis. Intention is to observe if there is less surgical site infection rates with use of topical vancomycin. Vancomycin,Clinical Trial,Arthrodesis</t>
  </si>
  <si>
    <t>Pelvic musculature function,obesity,elderly people</t>
  </si>
  <si>
    <t>Renal insufficiency,breathing exercises,kidney transplantation</t>
  </si>
  <si>
    <t>Respiration,artificial,thoracic surgery,anoxia</t>
  </si>
  <si>
    <t>feeding behavior,infant,premature,infant,newborn</t>
  </si>
  <si>
    <t>Chronic Obstructive Pulmonary Disease with unspecified acute exacerbation,Interstitial lung disease,unspecified,Primary pulmonary hypertension</t>
  </si>
  <si>
    <t>Child development,social vulnerability,family risk</t>
  </si>
  <si>
    <t>Pediatric obesity,metabolic Changes,psychomotor Performance</t>
  </si>
  <si>
    <t>Pediatric obesity,metabolism,psychomotor Performance</t>
  </si>
  <si>
    <t>Renal dialysis,Chronic kidney failure,sarcopenia</t>
  </si>
  <si>
    <t>Obesity,metabolic diseases,cardiovascular diseases</t>
  </si>
  <si>
    <t>Institutionalization,learning,metabolism</t>
  </si>
  <si>
    <t>Nursing Students,Simulation,Education Nursing</t>
  </si>
  <si>
    <t>Patellofemoral disorder,Unspecified internal knee disorder,Patellofemoral pain syndrome</t>
  </si>
  <si>
    <t>Tobacco use,Chemically-induced disorders,Abandono do Uso de Tabaco</t>
  </si>
  <si>
    <t>Coronavirus infection of unspecified location,Muscle strength,Quality of life</t>
  </si>
  <si>
    <t>Urinary incontinence,urine leaks,Urinary Incontinence,Stress</t>
  </si>
  <si>
    <t>mucocele,doença da glândula salivar,glândula salivar menor</t>
  </si>
  <si>
    <t>Self-care,arteriovenous fistula,Renal Insufficiency,Chronic</t>
  </si>
  <si>
    <t>Mucopolysaccharidosis II,Mucopolysaccharidosis VI,Mucopolysaccharidosis IV</t>
  </si>
  <si>
    <t>Obstructive sleep apnea,blood pressure,autonomic nervous system</t>
  </si>
  <si>
    <t>Inflammatory polyneuropathy,unspecified,Polyneuropathies,Critical Care</t>
  </si>
  <si>
    <t>Dental Restoration Wear,Tooth Wear,Dental Caries Susceptibility</t>
  </si>
  <si>
    <t>Anxiety,Depression,Other anxious disorders</t>
  </si>
  <si>
    <t>Stroke,Paresia,Musculoskeletal diseases</t>
  </si>
  <si>
    <t>Sarcopenia,Muscle Strength,Functional Status</t>
  </si>
  <si>
    <t>Cardiovascular diseases,Hypertensive heart disease,hypertension</t>
  </si>
  <si>
    <t>Schizophrenia,Obesity,Healthy volunteers</t>
  </si>
  <si>
    <t>Breastfeeding,Lactation,postpartum period</t>
  </si>
  <si>
    <t>Quality of life,Depression,Mental Disorders</t>
  </si>
  <si>
    <t>Chagas disease,chronic chagasic cardiomyopathy,cardiac arrhythmias</t>
  </si>
  <si>
    <t>Malocclusion,Orthodontic Appliances,Dentifrices</t>
  </si>
  <si>
    <t>Malloclusion,bone,</t>
  </si>
  <si>
    <t>Halitosis,Edentulism,Quality of Life</t>
  </si>
  <si>
    <t>Denture-Related Stomatitis,Halitosis,quality of life</t>
  </si>
  <si>
    <t>Operationalization of the immunization information system by nursing professionals. Patient Simulation,Immunization Programs,Information Systems</t>
  </si>
  <si>
    <t>birth weight,adiposity,growth</t>
  </si>
  <si>
    <t>Malocclusion,Orthodontic Appliances,Molecular Biology</t>
  </si>
  <si>
    <t>Dementia,cognitive dysfunction,functional capacity</t>
  </si>
  <si>
    <t>Psychological stress,quality of life,protocols</t>
  </si>
  <si>
    <t>Aging,Epigenomics,Exercise</t>
  </si>
  <si>
    <t>Dementia,Depression,Health of the Institutionalized Elderly</t>
  </si>
  <si>
    <t>lactation disorders,breast-feeding,postpartum</t>
  </si>
  <si>
    <t>Genu Varum,Osteoarthritis,Knee,Anterior Cruciate Ligament Injuries</t>
  </si>
  <si>
    <t>Osteoarthritis,Knee,Pain,Intractable,Musculoskeletal Diseases</t>
  </si>
  <si>
    <t>Idiopathic familial dystonia,idiopathic non-familial dystonia,spasmodic torticollis</t>
  </si>
  <si>
    <t>RNA Virus Infections,Antibody Formation,Immunogenicity,Vaccine</t>
  </si>
  <si>
    <t>low back pain,menopause,Insulin-Like Growth Factor I</t>
  </si>
  <si>
    <t>Parkinsons disease,Postural Balance,Gait Analysis</t>
  </si>
  <si>
    <t>Stroke,paresis,Appetite</t>
  </si>
  <si>
    <t>Pain,Infant,Newborn,Rooming-in-care</t>
  </si>
  <si>
    <t>chronic apical periodontitis,periapical abscess with sinus,periapical abscess without sinus</t>
  </si>
  <si>
    <t>Family history of breast cancer,Family history of malignant neoplasm of genital organs,Malignant neoplasm of female genital organs with invasive lesion</t>
  </si>
  <si>
    <t>Dental caries,Propole,Dental Plaque</t>
  </si>
  <si>
    <t>Tuberculosis,Pulmonary Tuberculosis,Special screening examination for respiratory tuberculosis</t>
  </si>
  <si>
    <t>Drug therapy,Nausea,Vomiting</t>
  </si>
  <si>
    <t>Electrocardiography,Electrodes,diagnosis</t>
  </si>
  <si>
    <t>Osteoarthritis,Temporomandibular Joint,Temporomandibular Joint Dysfunction Syndrome</t>
  </si>
  <si>
    <t>Respiratory tract diseases,Virus diseases,Respiratory Distress Syndrome,Adult</t>
  </si>
  <si>
    <t>Neuromuscular block,general anesthesia,rocuronium</t>
  </si>
  <si>
    <t>Alcoholism,Tobacco Use Disorder,Substance-Related Disorders</t>
  </si>
  <si>
    <t>Leprosy Patients,Multibacillary,with completed polychemotherapy</t>
  </si>
  <si>
    <t>Hypertension,beta vulgaris,vascular rigidity</t>
  </si>
  <si>
    <t>HIV,AIDS,Transgender Persons</t>
  </si>
  <si>
    <t>Gingivitis,Periodontitis,Probiotics</t>
  </si>
  <si>
    <t>Altered pattern of family relationships in childhood,Other problems related to neglect in upbringing,Receptive language disorder</t>
  </si>
  <si>
    <t>Metabolic Syndrome,Food behaviour,Diabetes Mellitus Type 2</t>
  </si>
  <si>
    <t>Eating,Physical Fitness,Body Image</t>
  </si>
  <si>
    <t>Elderly,posture,health promotion</t>
  </si>
  <si>
    <t>Diabetic neuropathy,Diabetic polyneuropathy,Diabetic mononeuropathy</t>
  </si>
  <si>
    <t>Heart Failure,Heart Diseases,Coronary Artery Disease</t>
  </si>
  <si>
    <t>Coronavirus Infections,Nutrition Therapy,Inflammation</t>
  </si>
  <si>
    <t>Nervous system diseases,Parkinsons Disease,Stroke</t>
  </si>
  <si>
    <t>Hearing Loss,Bilateral,Persons With Hearing Impairments,deafness</t>
  </si>
  <si>
    <t>Heart failure,Coronary Heart Disease,Heart Valve Disease</t>
  </si>
  <si>
    <t>Muscle Fatigue,Pain,Physical Functional Performance</t>
  </si>
  <si>
    <t>Darkened anterior tooth with endodontic treatment,Tooth Bleaching,Tooth,Nonvital,Randomized Controlled Trial</t>
  </si>
  <si>
    <t>Mouth Abnormalities,Maxilla,Child</t>
  </si>
  <si>
    <t>Child,Effects of hunger,Unspecified protein-energy malnutrition</t>
  </si>
  <si>
    <t>Psychomotor Performance,Child,Preschool,Early Intervention,Educational</t>
  </si>
  <si>
    <t>Exercise Movement Techniques,Hypertension,Exercise Test</t>
  </si>
  <si>
    <t>Obesity,Metabolic Syndrome,Inflammation mediators</t>
  </si>
  <si>
    <t>Cardiorespiratory Fitness,Cardiovascular Deconditioning,Exercise</t>
  </si>
  <si>
    <t>Plantar fasciitis,heel spur,musculoskeletal diseases</t>
  </si>
  <si>
    <t>Diseases of the nervous system,Children,Teenagers</t>
  </si>
  <si>
    <t>Pain,Hair Removal,Anesthetics</t>
  </si>
  <si>
    <t>young adult,muscle strength,muscle fatigue</t>
  </si>
  <si>
    <t>Caregiver Burden,Depression,Anxiety</t>
  </si>
  <si>
    <t>Tendinopathy,Rotator cuff,Trigger Points</t>
  </si>
  <si>
    <t>Breast Neoplasm,Mastectomy,Chronic Pain</t>
  </si>
  <si>
    <t>Study conducted in children with typical development,Yoga-based intervention volunteers,verification of the effects of Yoga on the psychosocial aspect of schoolchildren</t>
  </si>
  <si>
    <t>Chronic Obstrutive Pulmonary Disease,Heart Failure,</t>
  </si>
  <si>
    <t>Parkinson disease,Respiratory disorders in diseases classified elsewhere,Motor Disorders</t>
  </si>
  <si>
    <t>Diabetes Mellitus,Systemic Arterial Hypertension,hyperlipidemia</t>
  </si>
  <si>
    <t>Fibromyalgia,other disorders of the autonomic nervous system,unspecified rheumatism</t>
  </si>
  <si>
    <t>Sleep,sleep disorders,critical patient</t>
  </si>
  <si>
    <t>Chronic apical periodontitis,Periapical Abscess,Bacterial Infections</t>
  </si>
  <si>
    <t>Migraine with aura [classical migraine],Migraine without aura [common migraine],Other migraine</t>
  </si>
  <si>
    <t>Muscle weakness,dyspnea,Exercise Tolerance</t>
  </si>
  <si>
    <t>Heart Valve Prosthesis Implantation,Myocardial Revascularization,Aortic aneurysm</t>
  </si>
  <si>
    <t>Orthodontic brackets,gingival crevicular fluid,Dental enamel</t>
  </si>
  <si>
    <t>Dentition permanent,/prevention &amp; control,dental caries</t>
  </si>
  <si>
    <t>Deep endometriosis,endometriosis,pelvic peritoneum endometriosis</t>
  </si>
  <si>
    <t>simulation training,personal satisfaction,trust</t>
  </si>
  <si>
    <t>Endomyocardial fibrosis,Diastolic Heart Failure,Restrictive Cardiomyopathy</t>
  </si>
  <si>
    <t>Treatment-resistant Depression,Depressive Disorder,Treatment-Resistant,Recurrent depressive disorder</t>
  </si>
  <si>
    <t>Prostate Cancer,Prostatic Neoplasm,Mlignant Neoplasm of Prostate</t>
  </si>
  <si>
    <t>Myelodysplastic Syndromes,Myelodysplastic syndrome,unspecified,</t>
  </si>
  <si>
    <t>Advanced Prostate Cancer,Prostatic Neoplasms,Malignant neoplasm of prostate</t>
  </si>
  <si>
    <t>Active Nonradiographic Axial Spondylitis,Ankylosing spondylitis,Spondylitis,Ankylosing</t>
  </si>
  <si>
    <t>Active Radiographic Axial Spondylitis,Ankylosing spondylitis,Spondylitis,Ankylosing</t>
  </si>
  <si>
    <t>Neoplasms,Healthy Volunteers,Prognosis</t>
  </si>
  <si>
    <t>Heart Failure,Anthracyclines,Cardiotoxicity</t>
  </si>
  <si>
    <t>Postoperative Care,Hallux Valgus,Hammer Toe Syndrome</t>
  </si>
  <si>
    <t>Neurofibromatosis (non-malignant),Unspecified disorder of development of school skills,Hearing Disorders</t>
  </si>
  <si>
    <t>Depression,Suicidal Ideation,Anxiety Disorders</t>
  </si>
  <si>
    <t>Dysarthria,Dysphagia,Machado-Joseph Disease</t>
  </si>
  <si>
    <t>microbiota,breastfeeding,Physiological phenomena of Maternal Nutrition</t>
  </si>
  <si>
    <t>Breast Cancer,postoperative pain,chronic pain</t>
  </si>
  <si>
    <t>Metabolic desorders,Systemic Arterial Hypertension,Type 2 Diabetes Mellitus</t>
  </si>
  <si>
    <t>Intensive Care Units,Muscle Strength Dynamometer,Mobility Limitation</t>
  </si>
  <si>
    <t>obesity,diabetes,metabolic syndrome</t>
  </si>
  <si>
    <t>Psychological stress,premature newborn,Postpartum period</t>
  </si>
  <si>
    <t>Anxiety,Depression,Substance use</t>
  </si>
  <si>
    <t>Adrenal Gland Diseases,Adrenocortical hyperfunction,Metabolic syndrome</t>
  </si>
  <si>
    <t>children,adolescents,Cerebral Palsy</t>
  </si>
  <si>
    <t>Pelvic Floor,Transcranial Direct Current Stimulation,pelvic floor musculature</t>
  </si>
  <si>
    <t>Physical Therapy Department,Hospital,Critical Care,Personnel,Hospital</t>
  </si>
  <si>
    <t>Recurrent depressive disorder,Recurrent depressive disorder,unspecified,Other depressive episodes</t>
  </si>
  <si>
    <t>Surgical Wound Infection,Preoperative Period,Health Promotion</t>
  </si>
  <si>
    <t>Prostatic Hyperplasia,Unspecified Hematuria,Men</t>
  </si>
  <si>
    <t>Man,Erectile dysfunction of organic origin,malignant neoplasm of the prostate</t>
  </si>
  <si>
    <t>healthy individuals,women with recurrent miscarriage,high doses of folic acid</t>
  </si>
  <si>
    <t>Adolescent,overweight,obesity</t>
  </si>
  <si>
    <t>Atherosclerotic cardiovascular disease,End stage renal disease,</t>
  </si>
  <si>
    <t>Liver cirrhosis,liver transplantation,hepatectomiy</t>
  </si>
  <si>
    <t>Cardiovascular diseases,oral surgery,hemostasis</t>
  </si>
  <si>
    <t>Breast cancer,oncogene protein HER2,antineoplastic agents</t>
  </si>
  <si>
    <t>Inflammation,Oxidative Stress,Muscle Strength</t>
  </si>
  <si>
    <t>HIV-1,Acquired Immunodeficiency Syndrome,Nutritional status</t>
  </si>
  <si>
    <t>Pregnancy,Humanizing Delivery,Medical Chaperones</t>
  </si>
  <si>
    <t>Dental Plaque,Biofilms,Downs syndrome,Preschool,Child</t>
  </si>
  <si>
    <t>Peri-implantitis,dental implant,implant-supported dental prosthesis</t>
  </si>
  <si>
    <t>Nephropaty,Hospital Units in hemodialysis,kidney failure</t>
  </si>
  <si>
    <t>Thoracic Surgery,Analgesia,Pain,Postoperative</t>
  </si>
  <si>
    <t>Patients with Cerebrovascular Accident Sequelae,cerebrovascular accident,pulmonary function</t>
  </si>
  <si>
    <t>Brain Injuries,Traumatic,Music Therapy</t>
  </si>
  <si>
    <t>Orthopedic Procedures,Medical Errors,Patient Safety</t>
  </si>
  <si>
    <t>Sedentary behavior,Adolescent,Screen time</t>
  </si>
  <si>
    <t>elderly,muscle strength,quality of life</t>
  </si>
  <si>
    <t>Fracture of the distal end of the radius,Post operative pain,Musculoskeletal Diseases</t>
  </si>
  <si>
    <t>Mucositis,Inflammation,Dental biofilms</t>
  </si>
  <si>
    <t>Pain,Edema,Trismus</t>
  </si>
  <si>
    <t>Genu Valgum,Patellofemoral Pain Syndrome,Proprioception,</t>
  </si>
  <si>
    <t>Rotator Cuff Injuries,Arthroscopy,Brachial Plexus Block</t>
  </si>
  <si>
    <t>knee Osteoarthritis,Arthralgia,Hyperalgesia</t>
  </si>
  <si>
    <t>Overweight,obesity,cardiometabolic risk factors</t>
  </si>
  <si>
    <t>Obesity due to excess calories,Other obesity,Obesity,unspecified</t>
  </si>
  <si>
    <t>Intubation,Intratracheal,Ventilator Weaning,Respiration,Artificial</t>
  </si>
  <si>
    <t>Diabetes mellitus,diabetic foot,complications</t>
  </si>
  <si>
    <t>Overweight,High blood pressure,sedentary lifestyle</t>
  </si>
  <si>
    <t>Musculoskeletal diseases,Rheumatic diseases,Fibromyalgia</t>
  </si>
  <si>
    <t>Genomics,Gastrointestinal microbiome,Food consumption</t>
  </si>
  <si>
    <t>Anxiety,pregnancy,labor obstetric</t>
  </si>
  <si>
    <t>Cost-Efficiency Analysis,Efficiency,Diabetes Mellitus</t>
  </si>
  <si>
    <t>Low back pain,nociceptive pain,manual therapy,rehabilitation</t>
  </si>
  <si>
    <t>Diseases of the genitourinary system,urinary incontinence,constipation,Sexuality</t>
  </si>
  <si>
    <t>Dental carie,pain,local anesthesia,mandibular nerve</t>
  </si>
  <si>
    <t>pain,mobility limitation,quality of life,Osteoarthritis</t>
  </si>
  <si>
    <t>Stomatognathic diseases,Maxillary sinus,Bone substitutes,Bone resorption</t>
  </si>
  <si>
    <t>Developmental disorders of the jaws,maxilla,palate,other specified diseases of the jaws</t>
  </si>
  <si>
    <t>Pregnancy,Obesity,Periodontitis,Saliva</t>
  </si>
  <si>
    <t>Mental health,Anxiety,Depression,Nursing</t>
  </si>
  <si>
    <t>Oxidative Stress,Inflammation,Telomere Shortening,Ectopic Gene Expression</t>
  </si>
  <si>
    <t>Estomatitis,Laser,Mouth Neoplasms,Oropharyngeal Neoplasms</t>
  </si>
  <si>
    <t>liver cirrhosis,sarcopenia,liver transplantation,malnutrition</t>
  </si>
  <si>
    <t>Von Willebrands disease,Other coagulation defects,Antepartum haemorrhage with coagulation defect,Excessive bleeding in the premenopausal period</t>
  </si>
  <si>
    <t>Frozen shoulder,Adhesive Capsulites,Depression,Anxiety</t>
  </si>
  <si>
    <t>Gastrointestinal intubation,Newborn,Nursing Neonatal,enteral nutrition</t>
  </si>
  <si>
    <t>Urinary incontinence,Urinary Incontinence,Urge,Urinary Incontinence,Stress,Prostatic Neoplasms</t>
  </si>
  <si>
    <t>Coronavirus infection,unspecified,Coronavirus infections,Severe acute respiratory syndrome (SARS),Severe Acute Respiratory Syndrome</t>
  </si>
  <si>
    <t>Severe asthma,child,preschool,child,adolescent</t>
  </si>
  <si>
    <t>Chronic Renal Insufficiency,Renal dialysis,Hospitalized Child,Adolescent Health</t>
  </si>
  <si>
    <t>Fracture of the femoral neck,Femoral fracture,Subtrochanteric fracture,Femoral fracture part not specified</t>
  </si>
  <si>
    <t>Nervous system disorders,Stroke,Cerebrovascular diseases,Paresis</t>
  </si>
  <si>
    <t>Anxiety,Anesthesia,Child Welfare,Other anxiety disorders</t>
  </si>
  <si>
    <t>Occupational exposure to other air contaminants,adverse effects in the therapeutic use of inhaled anaesthetics,genotoxicity,epigenomics</t>
  </si>
  <si>
    <t>Teeth included,Trismus,Postoperative pain,Edema</t>
  </si>
  <si>
    <t>Malocclusion of Angle Class II,Orthognathic surgery,Maxillomandibular Abnormalities,Computer Assisted Surgery</t>
  </si>
  <si>
    <t>Aging,older people,Chronic Pain,non-specific Chronic low back pain</t>
  </si>
  <si>
    <t>Anemia,Chronic Renal Insufficiency,Hyperparathyroidism,Ascorbic Acid Deficiency</t>
  </si>
  <si>
    <t>Inflammation,pain,edema,cervical atlas</t>
  </si>
  <si>
    <t>Inflammation,pain,edema,trismus</t>
  </si>
  <si>
    <t>Irritable Bowel Syndrome,Abdominal Pain,Flatulence,Eructation</t>
  </si>
  <si>
    <t>Stomatognathic diseases,Mouth Mucosa,Surgery,Oral,Lasers</t>
  </si>
  <si>
    <t>Menopause,climacteric,atrophic vaginitis,post menopause</t>
  </si>
  <si>
    <t>Adenomyosis,endometriosis,uterine neoplasia,optic nerve</t>
  </si>
  <si>
    <t>Gingiva,Gingival Retraction Techniques,Other periodontal diseases,Wound Healing</t>
  </si>
  <si>
    <t>Primary open-angle glaucoma,ocular hypertension,open-angle glaucoma,glaucoma suspicion</t>
  </si>
  <si>
    <t>endometriosis,tumor biomarkers,nerve fibers,pelvic pain</t>
  </si>
  <si>
    <t>Endometriosis,Pelvic Pain,Dysmenorrhea,Dyspareunia</t>
  </si>
  <si>
    <t>Sickle-cell anaemia with crisis,anemia,sickle cell,pain,inflammation</t>
  </si>
  <si>
    <t>Genitourinary menopause syndrome,sexual dysfunction,menopause,breast cancer</t>
  </si>
  <si>
    <t>Intra-Abdominal Hypertension,Cardiac Output,Low,Child,Hospitalized,Critical Care</t>
  </si>
  <si>
    <t>anxiety,Preoccupation Expression,Psychological stress,</t>
  </si>
  <si>
    <t>Affect,anxiety,depression,sleep</t>
  </si>
  <si>
    <t>Colon polyps,Diverticulosis,Constipation,Irritable bowel syndrome</t>
  </si>
  <si>
    <t>Pregnancy,Maternal Obesity,Hypotension,Cesarean</t>
  </si>
  <si>
    <t>Breastfeeding,Self-efficacy,Motivational Interview,</t>
  </si>
  <si>
    <t>Escherichia coli infection,hypercholesterolemia,inflammation mediators,oxidative stress</t>
  </si>
  <si>
    <t>Obesity,dyslipidemias,inflammation,polymorphism genetic</t>
  </si>
  <si>
    <t>Molar,Third,Edema,Trismus,Pain</t>
  </si>
  <si>
    <t>Bronchiectasis,Sleep,Obstructive Sleep Apnea,Polysomnography</t>
  </si>
  <si>
    <t>Vaccines,Infant,Pain,Crying</t>
  </si>
  <si>
    <t>Psychological stress,Sleep,Mental Fatigue,Affect</t>
  </si>
  <si>
    <t>Dental Fistula,Abscess with sinus,Pulp Necrosis,Toothache</t>
  </si>
  <si>
    <t>Stroke,Gait Neurological Disorders,Paresis,</t>
  </si>
  <si>
    <t>Range of Motion,Articular,Muscle Strength,Postural Balance,Movement</t>
  </si>
  <si>
    <t>Dengue,Zika Virus Infection,Chikungunya Fever,Aedes</t>
  </si>
  <si>
    <t>Hope,Anxiety,Spirituality,Vital Signs</t>
  </si>
  <si>
    <t>Psychological Distress,Breast Neoplasms,Drug Therapy,Neoplasms</t>
  </si>
  <si>
    <t>Cervical neoplasms,adolescent,social participation,community health nursing</t>
  </si>
  <si>
    <t>Screening interventions,psychological distress,stress,Intervention in crisis</t>
  </si>
  <si>
    <t>Varicose Ulcer,Pressure Injury,Ache,Patient Comfort</t>
  </si>
  <si>
    <t>Vitamin D deficiency,overweight,dyslipidemias,food intake</t>
  </si>
  <si>
    <t>Acute reaction to stress,athletic performance,clinical evolution,recovery of physiological function</t>
  </si>
  <si>
    <t>Colorectal Neoplasms,Transitional Care,Quality of life,Patient Readmission</t>
  </si>
  <si>
    <t>Pain,Pain management,Blood Specimen Collection,Neonatal intensive care unit</t>
  </si>
  <si>
    <t>Breastfeeding,Healing,Ache,nipple bodies</t>
  </si>
  <si>
    <t>Social isolation,Covid-19,Anxiety,Psychological stress</t>
  </si>
  <si>
    <t>Injury of Brachial Plexus,Chronic Intractable Pain,Pain,Intractable,Chronic Pain</t>
  </si>
  <si>
    <t>COVID-19,Obesity,weight loss,Respiration</t>
  </si>
  <si>
    <t>Garlic,Post-Exercise Hypotension,Arterial Hypertension,Aerobic Exercise</t>
  </si>
  <si>
    <t>stratification of oral health risk,pre-eclampsia during prenatal care,children born with Low Weight,children born premature</t>
  </si>
  <si>
    <t>Obesity,diabetes mellitus type 2,insulin resistance,inflammation</t>
  </si>
  <si>
    <t>Cognitive Dysfunction,Attention,Memory,Depressive episodes</t>
  </si>
  <si>
    <t>Auriculotherapy,Anxiety,Students,Mental health</t>
  </si>
  <si>
    <t>Acupuncture analgesia,Acupuncture therapy,Placebo effect,Healthy volunteers</t>
  </si>
  <si>
    <t>Heart failure,Stress,Psychological,Sleep Wake Disorders,Depressive Disorder,Anxiety Disorders</t>
  </si>
  <si>
    <t>movement,motor activity,psychomotor performance,child</t>
  </si>
  <si>
    <t>asthma,child,physical aptitude,treatment outcome</t>
  </si>
  <si>
    <t>Adults,Health Volunteers,Exercise,Postural balance</t>
  </si>
  <si>
    <t>Parents,Infant Premature,Music,Stress Psychological</t>
  </si>
  <si>
    <t>Neurogenic bladder,Neurogenic bowel,Nervous System Diseases,Pediatrics</t>
  </si>
  <si>
    <t>Sedentary Lifestyle,Cognitive Dysfunction,Cardiorespiratory Fitness,Quality of Life</t>
  </si>
  <si>
    <t>Tranexamic acid,hemorrhage,blood transfusion,blood volume</t>
  </si>
  <si>
    <t>Diabetic Neuropathies,Type 2 Diabetes Mellitus,Post-Menopause,Sedentary Lifestyle</t>
  </si>
  <si>
    <t>Dental pulp necrosis,Regenerative Endodontics,Dental pulp,Pulpitis</t>
  </si>
  <si>
    <t>Obesity,Sedentary behavior,Hypertension,Diabetes Mellitus</t>
  </si>
  <si>
    <t>Shoulder pain,Shoulder Impingement Syndrome,Myofascial Pain Syndrome,Trigger point</t>
  </si>
  <si>
    <t>Dysmenorrhea,Chronic Pain,colic,pelvic pain</t>
  </si>
  <si>
    <t>Physical exercise,Delayed-onset muscle soreness,Edema,Lesão muscular</t>
  </si>
  <si>
    <t>Heart Failure,Anxiety,Depression,Cardiovascular Diseases</t>
  </si>
  <si>
    <t>Hypertension,Obesity,Dyslipidemias,Dysbiosis</t>
  </si>
  <si>
    <t>Chronic Kidney Disease,Hemodialysis,Inflammation,Oxidative stress</t>
  </si>
  <si>
    <t>elderly,Transcutaneous Electric Nerve Stimulation,Frailty,</t>
  </si>
  <si>
    <t>Overweight,obesity,hypertension,diabetes mellitus</t>
  </si>
  <si>
    <t>intensive care,nenonatal,infant,premature,pain,sleep stages</t>
  </si>
  <si>
    <t>Brain Injuries,Critical Care,Muscle Weakness,Critical Care Outcomes</t>
  </si>
  <si>
    <t>Dental Atraumatic Restorative Treatment,Dental caries,Child,Tooth Deciduous</t>
  </si>
  <si>
    <t>Dental caries,Dental Restoration,Permanent,Anesthesia,Dental,Pain</t>
  </si>
  <si>
    <t>Dental caries,Dental Restoration Failure,Anesthesia,Dental,Dentin Sensitivity</t>
  </si>
  <si>
    <t>Dentin Sensitivity,Pain,Corrective Orthodontics,Periodontics</t>
  </si>
  <si>
    <t>Chronic Periodontitis,Vascular Diseases,Lung Diseases,Metabolic Diseases</t>
  </si>
  <si>
    <t>Endodontics,Root Canal Therapy,Anti-Inflammatory Agents,Pain,Postoperative</t>
  </si>
  <si>
    <t>Bradiarritmias,Tachyarrhythmias,Ventricular fibrillation,Heart failure</t>
  </si>
  <si>
    <t>Parkinson disease,inflammation,physiotherapy,neuroprotection</t>
  </si>
  <si>
    <t>Chronic Obstructive Pulmonary Disease,Dyspnea,Exercise,Respiratory mechanics</t>
  </si>
  <si>
    <t>Unspecified bacterial pneumonia,Acute respiratory failure,Hydrocephalus,Spinal muscular atrophy,type I (Werdnig-Hoffman)</t>
  </si>
  <si>
    <t>sepsis,ventilatory insufficiency,shock,septic shock</t>
  </si>
  <si>
    <t>Fibromyalgia,Hearing,Dizziness,Quality of life</t>
  </si>
  <si>
    <t>Edema,Pain,Anterior Cruciate Ligament Reconstruction,Anterior Cruciate Ligament Injuries</t>
  </si>
  <si>
    <t>Sarcopenia,muscle strength dynamometer,falls accidents,body composition</t>
  </si>
  <si>
    <t>Hospitalization,Virtual Reality Exposure Therapy,Heart Failure,Emergency Service Hospital</t>
  </si>
  <si>
    <t>Learning,institutionalization,child,adolescent</t>
  </si>
  <si>
    <t>Cardiovascular disease,Diabetes Mellitus,Type 2,Mens health,Low-Level Light Therapy</t>
  </si>
  <si>
    <t>Newborn,Birth Room,Permanent Education,Training</t>
  </si>
  <si>
    <t>Breast cancer,Breast Neoplasms,Personal history of malignant breast cancer,Family history of breast cancer</t>
  </si>
  <si>
    <t>Ophthalmopathies,Musculoskeletal system,Emotional Adjustment,Cardiac disorders</t>
  </si>
  <si>
    <t>COVID-19,post-COVID-19,non-communicable chronic diseases,communicable diseases</t>
  </si>
  <si>
    <t>Phlebitis,Cross Infection,Pressure Ulcer,Medication Errors</t>
  </si>
  <si>
    <t>Delivery of Health Care,Obesity,unspecified,Sedentary Behaviour,Quality of Life</t>
  </si>
  <si>
    <t>Stomatognathic System,Electromyography,Ultrasonography,Mouth Protectors</t>
  </si>
  <si>
    <t>Spinal Dysraphism,Muscular Dystrophy,Duchenne,Charcot-Marie-Tooth Disease,Neuromuscular Diseases</t>
  </si>
  <si>
    <t>Diabetes Mellitus,sepsis,septicaemia,septic shock</t>
  </si>
  <si>
    <t>Stress,Physiological,Stress,Psychological,Mindfulness,Occupational Health</t>
  </si>
  <si>
    <t>Preterm newborn,Human Milk,Human Milk Banc,Newrborn</t>
  </si>
  <si>
    <t>Premature,sleep,prone position,child development</t>
  </si>
  <si>
    <t>von Willebrands Disease,Hereditary factor VIII deficiency,Hereditary factor IX deficiency,Oral Hemorrhage</t>
  </si>
  <si>
    <t>Periodontitis,biomarkers,cardiovascular diseases,sepsis</t>
  </si>
  <si>
    <t>misoprostol,obesity,labor induction,pharmacokinetics</t>
  </si>
  <si>
    <t>obesity,hypercholesterolemia,hypothyroidism,C18452584500500396 hypercholesterolemia</t>
  </si>
  <si>
    <t>Serotonin 5ht3 receptors,mechanorecptors,thermoreceptors,</t>
  </si>
  <si>
    <t>Biofilm,gingivitis,periodontal disease,bacteries infectious</t>
  </si>
  <si>
    <t>gummy smile,gingival exposure,lip repositioning surgery,stomatognathic disease</t>
  </si>
  <si>
    <t>liver cirrhosis,liver cirrhosis alcoholic,fatty liver,hepatitis</t>
  </si>
  <si>
    <t>Zika Virus Infection,Dengue,Yellow Fever,Arbovirus Infections</t>
  </si>
  <si>
    <t>Fall in the same level by slippage,stumble or false steps [traspés] - unspecified location,Health of the Elderly,Old man,Accidental falls</t>
  </si>
  <si>
    <t>Coronavirus disease 2019,Betacoronavirus,Pneumonia,Severe acute respiratory syndrome</t>
  </si>
  <si>
    <t>Chikungunya Fever,Arboviruses,Quality of life,Muskuloskeletal abnormalities</t>
  </si>
  <si>
    <t>Obesity,Oxidative Stress,Balanitis,Hypercholesterolemia</t>
  </si>
  <si>
    <t>Obesity,Heart Rate,Blood pressure,Microcirculation</t>
  </si>
  <si>
    <t>Obesity,Lung Injury induced-mechanical ventilation,Postoperative pulmonary complications,Artificial ventilation</t>
  </si>
  <si>
    <t>Obesity,non-insulin-dependent diabetes mellitus,essential (primary) hypertension,metabolic syndrome</t>
  </si>
  <si>
    <t>Leprosy,Tuberculoid leprosy,Borderline tuberculoid leprosy,Leprosy sequelae (leprosy)</t>
  </si>
  <si>
    <t>Neuritis,leprosy,Intractable chronic pain,Median neuropathy</t>
  </si>
  <si>
    <t>Agrochemicals,alternative food,biomarkers,Diet</t>
  </si>
  <si>
    <t>Loss of teeth due to accident,extraction or local periodontal disease,Jaw,Edentulous,Atrophy of edentulous alveolar ridge,Alveolar Bone Loss</t>
  </si>
  <si>
    <t>Tendinopathy,Fractures,bone,Muscle Fatigue,Arthralgia</t>
  </si>
  <si>
    <t>Mobility Limitation,sedentary behavior,activities of daily life,depression</t>
  </si>
  <si>
    <t>Attitude,Breast Feeding,Orientation,Nurseries,Hospital</t>
  </si>
  <si>
    <t>malignant neoplasm of the breast,pharmacological treatment,nausea,vomit</t>
  </si>
  <si>
    <t>Musculoskeletal pain,anxiety,occupational stress,</t>
  </si>
  <si>
    <t>Infant Premature,Infant Extremely Premature,Child Development,Clinical Trial</t>
  </si>
  <si>
    <t>Cerebral palsy,family caregivers at risk of low back pain,Psychological stress,social problems</t>
  </si>
  <si>
    <t>Athletic Performance,running,supplementary feeding,acidosis</t>
  </si>
  <si>
    <t>Dental Pulp Necrosis,Chronic apical periodontitis,Periapical Abscess,Periapical Diseases</t>
  </si>
  <si>
    <t>Edema,trismus,molar tooth,oral surgery</t>
  </si>
  <si>
    <t>Dental Pulp Necrosis,Chronic apical periodontitis,Periapical Abscess,Bacterial Infections</t>
  </si>
  <si>
    <t>Dental Caries,Dental Leakage,Dental Restoration Wear,Dental Restoration Failure</t>
  </si>
  <si>
    <t>Molar-incisor hipomineralization,Tooth Abnormalities,Quality of life,Tooth demineralization</t>
  </si>
  <si>
    <t>skin neoplasms,prognosis,parotid neoplasms,salivary gland diseases</t>
  </si>
  <si>
    <t>Hospitalized patients for Covid-19 pneumonia,liraglutide,experimental,treatment</t>
  </si>
  <si>
    <t>Obesity,obstructive sleep apnea,pain,pulmonary thromboembolism</t>
  </si>
  <si>
    <t>Chronic fatigue,Chronic Pain,Takayasus arteritis,Granulomatosis with polyangiitis</t>
  </si>
  <si>
    <t>Acute myocardium infarction,Sleep Disorders,Circadian Rhythm,Melatonin,Critical Care</t>
  </si>
  <si>
    <t>Craniocerebral Trauma,Intracranial injury,unspecified,Coma,Hypothermia,Induced</t>
  </si>
  <si>
    <t>Hypertrophic obstructive cardiomyopathy,Artifical respiration,Positive-pressure Respiration,Heart rate</t>
  </si>
  <si>
    <t>Malignant neoplasm of tongue unspecified,Malignant neoplasm of floor of mouth unspecified,Malignant neoplasm of palate,Inflammatory conditions of jaws</t>
  </si>
  <si>
    <t>Bone metastases,thyroid gland neoplasms,pheochromocytoma,neuroendocrine carcinomas</t>
  </si>
  <si>
    <t>Down syndrome,functional skills,caregiver assistance,public health</t>
  </si>
  <si>
    <t>Muscle fatigue,Torque,Muscle strength,Myalgia</t>
  </si>
  <si>
    <t>Toxic effect of spider venom,Contact with poisonous spiders,Brown Recluse Spider,Cream for the Skin</t>
  </si>
  <si>
    <t>Digital Bonding,Indirect Bonding,Direct Bondin,Accuracy</t>
  </si>
  <si>
    <t>Sedentary behavior,frail elderly,mobility limitation,postural balance</t>
  </si>
  <si>
    <t>Shoulder Impingement Syndrome,Transplantation,Autologous,Fascia Lata,Randomized Controlled Trial</t>
  </si>
  <si>
    <t>child,motor skill,healthy volunteers,swimming</t>
  </si>
  <si>
    <t>adult,tinnitus,attention,cognition</t>
  </si>
  <si>
    <t>Parkinsons disease,tremor,rigidity,gait disorders</t>
  </si>
  <si>
    <t>Social vulnerability,Compassion,Well-being,</t>
  </si>
  <si>
    <t>Healthy Volunteers,Learning,Memory,</t>
  </si>
  <si>
    <t>Down Syndrome,sleep apnea,sleep disorders,hypotonicity</t>
  </si>
  <si>
    <t>Maternal care for cervical incompetence,Preterm labor,preterm labor with preterm delivery,preterm labor with term delivery</t>
  </si>
  <si>
    <t>Weight loss,Muscle strength,Body composition,Inflammation</t>
  </si>
  <si>
    <t>Fever,Child,Pediatric Nursing,Randomized Controlled Trial</t>
  </si>
  <si>
    <t>: elderly,inflammatory diet index,muscle fiber,sarcopenia</t>
  </si>
  <si>
    <t>Urinary incontinence unspecified,stress urinary incontinence,urgency urinary incontinence,nocturnal enuresis</t>
  </si>
  <si>
    <t>Reduction of cardiovascular disease risk,nutrition diseases,hypercolesterolemia,abdominal obesity</t>
  </si>
  <si>
    <t>Patients with cholelithiasis,gallbladder calculus without cholecystitis,Patients with cholelithiasis,surgical</t>
  </si>
  <si>
    <t>Athletic performance,muscle fatigue,muscle strength,injuries</t>
  </si>
  <si>
    <t>Problems to be avoided: low sports performance,fatigue,poor posture during matches,lesions arising from the processes mentioned above</t>
  </si>
  <si>
    <t>Angina Microvascular,Coronary Artery Disease,Scintigraphy,Myocardial Perfusion Image</t>
  </si>
  <si>
    <t>Self Concept,Self Concept,Life Expectancy,Gastrointestinal Neoplasia</t>
  </si>
  <si>
    <t>Pharmacological treatment,gastrointestinal neoplasms,nursing care,Chemotherapy,Adjuvant</t>
  </si>
  <si>
    <t>mental disorders,Burnout professional,social support,sleep wake disorders</t>
  </si>
  <si>
    <t>Milk Human,Bertholletia,Selenium,Fatty Acids,Maternal Nutrition</t>
  </si>
  <si>
    <t>Patient Simulation,Education Nursing,Nursing Process,Nursing Care</t>
  </si>
  <si>
    <t>Cardiovascular Diseases,Patient Discharge,Evidence-Based Pharmacy Practice,Pharmacy Service,Hospital</t>
  </si>
  <si>
    <t>sepsis,biomarkers,gene expression,prognosis</t>
  </si>
  <si>
    <t>Activating Appliances,Saliva,Cytokines,Mastication,Pain</t>
  </si>
  <si>
    <t>Pertrocantheric hip fracture,subtrochanteric hip fracture,femoral neck fracture,acetabulum fracture,fracture of other parts of the femur</t>
  </si>
  <si>
    <t>Cardiac surgeries,cardiac insufficiency,asthma,chronic obstructive pulmonary disease,essential hypertension</t>
  </si>
  <si>
    <t>Female infertility,Male infertility,Assisted Reproductive Techniques,Estrogen Replacement Therapy,Endometrium</t>
  </si>
  <si>
    <t>Type 1 diabetes Mellitus,Low-carbohydrate diet,Glycemic control,Glycated Hemoglobin,Dietary therapy</t>
  </si>
  <si>
    <t>Maternal health,Child health,Breastfeeding,Child development,Postpartum depression</t>
  </si>
  <si>
    <t>Psychological Distress,Social Marketing,Anxiety,Depression,Self Efficacy</t>
  </si>
  <si>
    <t>Health services,Primary Health Care,Patient Discharge,Health Planning Guidelines,Unified Health System</t>
  </si>
  <si>
    <t>Premature,pain,child development,non-pharmacological interventions / therapy,Fundus Oculi</t>
  </si>
  <si>
    <t>Oncology nursing,Surgical Oncology,Surgical Procedures,Operative,Uncertainty,Nursing Theory</t>
  </si>
  <si>
    <t>Sleep Apnea,Obstructive,Palatal Expansion Technique,Myofunctional Therapy,Tonsillectomy,Activator Appliances</t>
  </si>
  <si>
    <t>Stress urinary incontinence,climacteric,vaginal atrophy,sexual dysfunction,</t>
  </si>
  <si>
    <t>Neonatal Nursing,Intensive Care Units,Neonatal,Catheters,Infant,Premature,Infusions,Intravenous</t>
  </si>
  <si>
    <t>health of the elderly,frail elderly,sarcopenia,elderly nutrition,musculoskeletal system</t>
  </si>
  <si>
    <t>Obesity,dyslipidemias,inflammation,polymorphism genetic,cardiovascular diseases</t>
  </si>
  <si>
    <t>Tinnitus,Temporomandibular joint disorders,Bruxism,Headache,Psychological Phenomena</t>
  </si>
  <si>
    <t>Labyrinthine dysfunction,Disorders of vestibular function,Other peripheral vertigo,Vertigo,Dizziness,Postural Balance</t>
  </si>
  <si>
    <t>Disorders of environmental origin,Anxiety,Mood Disorders,Disorders of Excessive Somnolence,Self Concept</t>
  </si>
  <si>
    <t>Sedentary behavior,obesity,diabetes mellitus,hypertension,cardiovascular diseases</t>
  </si>
  <si>
    <t>Pain Measurement,Child,Post-Operative Pain,Injection Site Reaction,Anxiety in Dental Treatment</t>
  </si>
  <si>
    <t>Adult,inguinal hernia,comorbidity,herniorrhaphy,unilateral inguinal hernia without obstruction</t>
  </si>
  <si>
    <t>Chronic Obstructive Pulmonary Disease,Cystic fibrosis,Pulmonary fibrosis,Pulmonary Hypertension,Bronchiectasis</t>
  </si>
  <si>
    <t>Hypertension,Diabetes Mellitus,Pneumopathy,HIV,AIDS-Related Opportunistic Infections</t>
  </si>
  <si>
    <t>Deficiency Diseases,Iron deficiency anemia,Vitamin A Deficiency,Hearing loss,Anemia</t>
  </si>
  <si>
    <t>Composite resin,Dental Restoration,Permanent,Dentin Sensitivity,Dental caries,Dental Restoration Failure</t>
  </si>
  <si>
    <t>Chronic renal failure,Renal Dialysis,Inflammation,Oxidative stress,Chronic Renal Insufficiency</t>
  </si>
  <si>
    <t>Obesity,Fatty liver,Diabetes mellitus,Hypertension,Insulin Resistance</t>
  </si>
  <si>
    <t>Treponema Infections,Congenital syphilis,Pregnancy Complications,Postpartum period,Syphilis</t>
  </si>
  <si>
    <t>Study with healthy humans performing a half marathon race Sports Nutritional Physiological Phenomena,Running,Inflammation,Myalgia,</t>
  </si>
  <si>
    <t>Tonsillectomy,analgesia,child,postoperative pain,morphine</t>
  </si>
  <si>
    <t>Gastroesophageal reflux disease,musculoskeletal Manipulations,diaphragm,pain Threshold,quality of life</t>
  </si>
  <si>
    <t>Stroke,,Respiratory Mechanics,Postural Balance,Quality of Life</t>
  </si>
  <si>
    <t>Exercise,Muscle Fatigue,Polymorphism,Angiotensin Converting Enzyme,Body Temperature</t>
  </si>
  <si>
    <t>Hypertension,Nutritional supplements,Physical exercise,Post-exercise hypotension,genetic polymorphism</t>
  </si>
  <si>
    <t>Labor,Obstetric,Labor Pain,Delivery of Health Care,Complementary Therapies,Patient Satisfaction</t>
  </si>
  <si>
    <t>Dentin sensitivity,Gingival recession,Erosion,Evaluation of the Efficacy-Effectiveness of Interventions,Adult</t>
  </si>
  <si>
    <t>Healthy human patients. Activated Carbon,Dentifrices,Tooth Bleaching,Activated Carbon,Dentifrices</t>
  </si>
  <si>
    <t>Overweight,Obesity,Abdominal Obesity,Morbid Obesity,</t>
  </si>
  <si>
    <t>athletic performance,fatigue,athletes,carbohydrate metabolism,hydration</t>
  </si>
  <si>
    <t>Exercise,Athletic Performance,Muscle Fatigue,Fatigue,Athletes</t>
  </si>
  <si>
    <t>Conservative Treatment,Physical Therapy Modalities,Anxiety,Depression,Pain</t>
  </si>
  <si>
    <t>Smokers,Endodontics,Tobacco Smoking,Tobacco,Periapical Periodontitis</t>
  </si>
  <si>
    <t>Skin,Accidental Injuries,Wounds,Nonpenetrating,Wounds,Penetrating,skin disease</t>
  </si>
  <si>
    <t>Postoperative Care,Oral Surgery,Pediatric Dentistry,Pharmacology,Other specified diseases of the jaws</t>
  </si>
  <si>
    <t>Hemophilia A,Hemophilia B,Von Willebrands disease,Loss of teeth due to accident,extraction or localized periodontal disease,dental implants</t>
  </si>
  <si>
    <t>Loss of teeth due to accident,extraction or localized periodontal disease,Dental implants,Tooth extraction,Lasers</t>
  </si>
  <si>
    <t>Sedentary Lifestyle,arterial pressure,c-reactive protein,cholesterol,obesity</t>
  </si>
  <si>
    <t>Stomatognathic Diseases,Ketorolac Tromethamine,Postoperative pain,Tramadol,Tooth,Unerupted</t>
  </si>
  <si>
    <t>Heart Arrest,Induced,Extracorporeal Circulation,Cardiovascular Surgical Procedures,Pathology,Cardiovascular diseases</t>
  </si>
  <si>
    <t>Comprehension,Child Language,Memory,Short-Term,Cognition,Dyslexia</t>
  </si>
  <si>
    <t>Major anomalies of jaw size,Malocclusion,unspecified,Dentofacial anomaly,unspecified,Anomalies of tooth position,Other dentofacial anomalies</t>
  </si>
  <si>
    <t>Tuberculosis,Tuberculosis,Pulmonary,Tuberculosis,Multidrug-Resistant,Special screening examination for respiratory tuberculosis,</t>
  </si>
  <si>
    <t>Syndrome of Temporomandibular joint Dysfunction,Syndrome of miofascial pain,Fascia,Facial pain,Arthralgia,Myalgia</t>
  </si>
  <si>
    <t>Atrial Fibrillation,Pain,Pleural Effusion,Pericarditis,Other functional disturbances following cardiac surgery</t>
  </si>
  <si>
    <t>Coronary Disease,Lung Diseases,Diabetes Mellitus,Risk Factors,Healthy Volunteers</t>
  </si>
  <si>
    <t>Oral Health,Adult Health,Dentition,Permanent,Health,Stained teeth</t>
  </si>
  <si>
    <t>Dental caries,Dental Restoration Failure,Dental Restoration Wear,Fracture of tooth,Diastema</t>
  </si>
  <si>
    <t>sialadenitis,salivary gland calculi,salivary gland diseases,sialendoscopy,quality of life</t>
  </si>
  <si>
    <t>Urinary Incontinence,Stress,Quality of Life,Patient Acceptance of Health Care,Pactient Satisfaction,Treatment Outcome</t>
  </si>
  <si>
    <t>deafness,cochlear implant,Mastoidectomy,Cochlear implant,</t>
  </si>
  <si>
    <t>immunosuppression,squamous cell carcinoma,surgery,transplantation,nomograms</t>
  </si>
  <si>
    <t>Cardiovascular diseases,Diseases of the circulatory system,Coronary Angiography,Percutaneous Coronary Intervention,Radial Artery</t>
  </si>
  <si>
    <t>Hypothermia,Rewarming,Cardiac Surgery,Cardiopulmonary Bypass,Hemorrhage</t>
  </si>
  <si>
    <t>Hospitalization,Palliative Care,Spirituality,Personality,Mental Health</t>
  </si>
  <si>
    <t>Fracture of teeth,Dental cavity,Chronic periodontitis,Pathological reabsorption of teeth,Periapical abscess without fistula</t>
  </si>
  <si>
    <t>SSocial isolation,Sending Text Messages,Pandemics,Alphacoronavirus,Coronavirus infections</t>
  </si>
  <si>
    <t>Parkinsons disease,Tremor,Dyskinesias,Muscle Rigidity,Neurosurgery</t>
  </si>
  <si>
    <t>Covid-19,2019-CoV,SARS-CoV,Telemedicine,Hydroxychloroquine</t>
  </si>
  <si>
    <t>breast cancer,mammaplasty,breast implantation,seroma,dehiscence</t>
  </si>
  <si>
    <t>Diseases of the respiratory system,Accute respiratory insufficiency,Failed or Difficult intubation,intubation,intratracheal,laryngoscopy,pediatrics,emergency medicine</t>
  </si>
  <si>
    <t>Orthognathic Surgery,Tomography,Emission-Computed,Mandible,Maxilla,Dentofacial anomaly,unspecified</t>
  </si>
  <si>
    <t>Pain,Temporal Mandibular Dysfunction,Manipulative Osteopathic Treatment,Pain,Temporal Mandibular Dysfunction</t>
  </si>
  <si>
    <t>Visually Impaired Persons,Postural Balance,Muscle strength,Range of Motion,Articular,Quality of life</t>
  </si>
  <si>
    <t>Renal Insufficiency,Chronic,Exercise,Renal Dialysis,Endurance Training,Resistance Training</t>
  </si>
  <si>
    <t>Ventilator-associated pneumonia,ventilator-induced lung injury,mortality,severe acute respiratory syndrome,primary prevention</t>
  </si>
  <si>
    <t>Vaccination,Pain,Anxiety,Cryotherapy,Nursing</t>
  </si>
  <si>
    <t>Anxiety,Education health,Preoperative Care,Educational Technology,Thoracic Surgery</t>
  </si>
  <si>
    <t>Malignant neoplasm of cardia,Malignant neoplasm of the fundus of the stomach,Malignant neoplasm of the body of the stomach,Malignant neoplasm of the pyloric antrum,Malignant neoplasm of the pylorus,Malignant neoplasm of stomach with invasive lesion</t>
  </si>
  <si>
    <t>COVID-19,chronic renal insufficiency,dialysis,Renal Dialysis,Respiratory Insufficiency,Hypoxia</t>
  </si>
  <si>
    <t>Sinusitis,Paranasal sinuses,Polyp of nasal cavity,Polypoid sinus degeneration,Other polyp of sinus,Polyps</t>
  </si>
  <si>
    <t>Healthy patients,female,intervention volunteers,changes in renal function,perioperative,</t>
  </si>
  <si>
    <t>Climacteric,Menopause,Postmenopausal Atrophic Vaginitis,Dyspareunia,Vulva Atrophy,Postmenopausal Vaginal Dryness</t>
  </si>
  <si>
    <t>Constipation,Enema,Appendix,Fecal incontinence,Child,Adolescent</t>
  </si>
  <si>
    <t>malnutrition,nursing education,health education,early intervention (education),nutrition therapy,enteral diet</t>
  </si>
  <si>
    <t>Sepsis,Microcirculation,Ischemia,Vascular Resistance,Biomarkers,Genetics</t>
  </si>
  <si>
    <t>Hypertensive heart disease,Congestive heart failure,Cardiac arrhythmia,unspecified,Ischaemic heart diseases,Myocardial Infarction,Multiple valve diseases</t>
  </si>
  <si>
    <t>Oxidative stress,inflammation,fatigue,depressive symptoms,anxiety,men</t>
  </si>
  <si>
    <t>Neoplasms,fatigue,pain,nausea,leukopenia,lasers</t>
  </si>
  <si>
    <t>Essential hypertension,Type 1 Diabetes Mellitus,Type 2 Diabetes Mellitus,Obesity,Mental Health,Risk Factors</t>
  </si>
  <si>
    <t>Pulpitis,Pulp abscess,Polyp,Acute pulpitis,Chronic (hyperplastic) (ulcerative) pulpitis,suppurative pulpitis</t>
  </si>
  <si>
    <t>Postoperative Care,Telenursing,Cholecystectomy,Herniorrhaphy,Perioperative Nursing,Office Nursing</t>
  </si>
  <si>
    <t>Elderly,Denture,Speech,Deglutition,Quality of life,Dental Implantation</t>
  </si>
  <si>
    <t>Good condition general health,good condition oral health,absence of caries in anterosuperior teeth,absence of restorations in anterosuperior teeth,absence of prostheses in anterosuperior teeth,absence of endodontic treatment in anterosuperior teeth</t>
  </si>
  <si>
    <t>Sacroiliac Joint,Musculoskeletal System,Therapeutics,Investigative Techniques,Reproducibility of Results,Musculoskeletal Manipulations</t>
  </si>
  <si>
    <t>Neoplasms,Drug Therapy,Exercise,Sedentary Behavior,Mental health,Telemedicine</t>
  </si>
  <si>
    <t>Weight Loss,Cognition,Sleep,Affective disorders,Social isolation,Sedentary behavior</t>
  </si>
  <si>
    <t>Coronavirus Infections,Respiratory Function Tests,Immunologic Factors,Cardiorespiratory Fitness,Physical Fitness,Hypoxia-Inducible Factor 1,alpha Subunit</t>
  </si>
  <si>
    <t>Condylomata Acuminata,Alphapapillomavirus,Laser,Laser Therapy,Electrocoagulation,Lasers,Semiconductor</t>
  </si>
  <si>
    <t>Sedentary Behavior,Diet,Binge Drinking,Smoking,Stress,Psychological,Sleep</t>
  </si>
  <si>
    <t>Pediatric Obesity,Obesity due to excess calories,Fatty (change of) liver,not elsewhere classified,Fatty Liver,Insulin Resistance,Other specified endocrine disorders</t>
  </si>
  <si>
    <t>Dental caries,mottled teeth,Dental Restoration Failure,Diastema,Dental Enamel Hypoplasia,Dental Fluorosis</t>
  </si>
  <si>
    <t>medical error,safety management,anesthesia,anesthesiology,organizational culture,patient safety</t>
  </si>
  <si>
    <t>Unspecified urinary incontinence,Other specified urinary incontinence,Neuromuscular dysfunction of bladder,not elsewhere classified,Urinary Incontinence,Urinary Incontinence Urge,Urinary Incontinence Stress</t>
  </si>
  <si>
    <t>joint range of motion,ankle joint,skeletal muscle,contracture,tendinopathy,achilles tendon</t>
  </si>
  <si>
    <t>Breast neoplasms,physical fitness,malignant neoplasm of breast,quality of life,muscle strength,cardiorespiratory fitness</t>
  </si>
  <si>
    <t>Cancer,pain,fatigue,sleep disturbance,anxiety,depression</t>
  </si>
  <si>
    <t>Hypertension,Diabetes Mellitus,Obesity,Depression,Ache,Health promotion</t>
  </si>
  <si>
    <t>Noncommunicable diseases,Hypertension,Diabetes Mellitus,Coronary Disease,Hypercholesterolemia,Coronavirus Infections,</t>
  </si>
  <si>
    <t>Breast neoplasms,patient satisfaction,quality of life,limb pain,shoulder joint,joint range of motion,malignant neoplasm of breast</t>
  </si>
  <si>
    <t>Premature,Neonatal Intensive Care Unit,Ache,Physiological stress,Sleep,Cry,Breath</t>
  </si>
  <si>
    <t>Coronavirus Infections,child development,child care,pregnancy,parturition,pospartum period,newborn</t>
  </si>
  <si>
    <t>Sexual Dysfunction,Physiological,Urinary Incontinence,Uterine Prolapse,Constipation,Fecal Incontinence,Rectal Prolapse,Cystocele</t>
  </si>
  <si>
    <t>Diabetes Mellitus,Hypercholesterolemia,Hypertension,Stroke,Myocardial Infarction,Peripheral Arterial Disease,Cardiovascular Diseases</t>
  </si>
  <si>
    <t>Hypercholesterolemia,Blood Glucose,Emergency Nursing,Sleep Wake Disorders,Affect,Stress,Psychological,Depression</t>
  </si>
  <si>
    <t>Renal Insufficiency,Chronic,Kidney Transplantation,Diabetes Mellitus,Sarcopenia,Dyslipidemias,Obesity,Proteinuria</t>
  </si>
  <si>
    <t>Acute Respiratory Distress Sindromy,sepsis,pneumonia,critical illness polyneuropathy,respiratory insufficiency,intensive care unit,weaning of mechanical ventilation</t>
  </si>
  <si>
    <t>Gingival Diseases,Periodontal Diseases,Periodontal Pocket,Periodontal debridement,Subgingival Curettage,Anesthesia,Local,Pain</t>
  </si>
  <si>
    <t>Diabetes Mellitus,Hypertension,Lung Diseases,Respiratory Insufficiency,Respiration,Artificial,Critical Care,Hospitalization</t>
  </si>
  <si>
    <t>Uncomplicated malaria,Plasmodium falciparum,Brazil,Plasmodium falciparum histidine-rich protein-2 gene,therapeutic efficacy trial,Artemisinin-based combination therapy,Parasitological clearance rate</t>
  </si>
  <si>
    <t>Fibromyalgia,Chronic Pain,Fatigue,Paresthesia,Irritable Bowel Syndrome,Anxiety,Depression</t>
  </si>
  <si>
    <t>Dental Pulp Diseases,Pulp necrosis,Periapical Diseases,Chronic apical periodontitis,Periapical Abscess,Chronic apical periodontitis,</t>
  </si>
  <si>
    <t>Chronic non-communicable diseases,diabetes mellitus,hypertension,obesity,health promotion,neoplasms,cardiovascular diseases,respiratory diseases</t>
  </si>
  <si>
    <t>tobacco use disorder,physical exercise,dizziness,headache,anxiety,fear,emotional suffering,depression</t>
  </si>
  <si>
    <t>vaginal atrophy,atrophic vaginitis,Malignant Neoplasm of Breast,Breast Neoplasms,Laser CO²,Radiofrequency,Vaginal Lubrificants,Genitourinary Syndrome of menopause</t>
  </si>
  <si>
    <t>Oxidative Stress,Cholesterol,LDL-Cholesterol,HDL-Cholesterol,Triglycerides,Antioxidants,Absorption,Excretion</t>
  </si>
  <si>
    <t>Type 2 Diabetes Mellitus,Postmenopause,Muscle Strength,Carbohydrate Metabolism,Lipid Metabolism,Glucose Metabolism Disorders,Irisin levels,Quality of Life Indicators</t>
  </si>
  <si>
    <t>Meal frequency,hypocaloric diet plan,body weight loss,body composition,glycemia,plasma ghrelin,energy expenditure,obesity</t>
  </si>
  <si>
    <t>Type 2 Diabetes Mellitus,Post-Menopause,Muscle strength,Carbohydrate Metabolism,Lipid Metabolism,Glucose Metabolism Disorders,arcopenia,Quality of Life Indicators</t>
  </si>
  <si>
    <t>Atherosclerotic cardiovascular disease,Myocardial infarction,Other multiple valve diseases,Valvular prostheses,Other functional disorders subsequent to cardiac surgery,Cardiac surgical procedures,Other pulmonary disorders,Pulmonary atelectasis</t>
  </si>
  <si>
    <t>Respiratory diseases,COVID-19,Immunocompromised hosts,Transplant recipients,Chronic kidney disease,Liver cirrhosis,Neoplasms,Primary immunodeficiency diseases</t>
  </si>
  <si>
    <t>autoimmune diseases,rheumatoid arthritis,systemic lupus erythematosus,Sjögrens syndrome,systemic scleroderma,myositis,vasculitis,spondylitis</t>
  </si>
  <si>
    <t>chronic obstructive pulmonary disease,interstitial lung diseases,asthma,occupational diseases,bronchiectasis,pulmonary hypertension,seasonal allergic rhinitis,sinusitis</t>
  </si>
  <si>
    <t>womens health,menstrual cycle,estradiol,progesterone,electroencephalography,sensorimotor cortex,functional laterality,psychomotor performance,reaction time</t>
  </si>
  <si>
    <t>Humans,adults,healthy,with impacted mandibular third molars with an indication for extraction.Third molar,Impacted tooth,Periodontium,Oral Surgery,Mandible,Third molar,Impacted tooth,Periodontium,Oral Surgery</t>
  </si>
  <si>
    <t>Human Type 1 Lymphotropic T Virus,Tropical Spastic Paraparesis,Cytokines,Pain,Muscle tone,Muscle strength,Limitation of mobility,Postural balance,Daily activities,Quality of life</t>
  </si>
  <si>
    <t>Hypertension,asthma,thyroid neoplasms,uterine neoplasms,prostatic neoplasms,lung neoplasms,breast neoplasms,spinal desease,nephrolitiasis,diabetes mellitus,gallstones</t>
  </si>
  <si>
    <t>Intertitial lung disease unspecified,Chronic obstructive pulmonary disease unspecified,Other secondary pulmonary hypertension,Asthma,Respiratory diseases,Interstitial lung diseases,Idiopathic interstitial pneumonias,Idiopathic pulmonary fibrosis,Pulmonary sarcoidosis,Pulmonary arterial hypertension,Chronic obstructive pulmonary disease,Bronchiectasis</t>
  </si>
  <si>
    <t>Pulpitis,Dental Pulp,Necrosis,Abscess,Periapical Granuloma,Periapical Periodontitis,Retreatment,Periapical Tissue,Non-Vital Tooth,Dental Mobility,Tooth Resorption,Permanent Dentition</t>
  </si>
  <si>
    <t>Pregnant with type 1 diabetes mellitus,type 2 diabetes mellitus,gestational hypertension,preeclampsia,eclampsia,excessive weight gain,loss of glycemic control,hyperlipidemia,oxidative stress,dietary intake,macrossomia,neonatal intercurrences (hypoglycemia,jaundice),prematurity,caesarean section,genetic polymorphisms related to obesity,hypertension</t>
  </si>
  <si>
    <t>Stomatognathic Diseases,Loss of Periodontal Insertion,Periodontal Diseases,Periodontal Pocket,Alveolar Bone Loss,Loss of Periodontal Insertion,Necrotizing Ulcerative Gingivitis,Stomatitis</t>
  </si>
  <si>
    <t>Great saphenous vein insufficiency,Varicose veins</t>
  </si>
  <si>
    <t>Pregnancy, childbirth and the puerperium</t>
  </si>
  <si>
    <t>Natural Childbirth,pelvic floor,perception,Labor,Obstetric,Sexual Dysfunction,Physiological</t>
  </si>
  <si>
    <t>Health Volunteers,Esthetics</t>
  </si>
  <si>
    <t>Radiodermatitis,Dermatitis</t>
  </si>
  <si>
    <t>Diabetes Mellittus,hypertension</t>
  </si>
  <si>
    <t>Alveolar Bone Loss,Jaw,Edentulous</t>
  </si>
  <si>
    <t>Exodontia,Third molar</t>
  </si>
  <si>
    <t>Tooth sensitivity,Tooth Bleaching</t>
  </si>
  <si>
    <t>tendinopathy,hip injuries</t>
  </si>
  <si>
    <t>Parkinson Disease,REM behavior sleep disorder</t>
  </si>
  <si>
    <t>Unified Health System,Primary Health Care,Diabetes Mellitus</t>
  </si>
  <si>
    <t>Asthma,Other interstitial lung diseases with fibrosis,Chronic obstructive pulmonary disease,Pulmonary Hypertension</t>
  </si>
  <si>
    <t>Malnutrition,dysphagia,hospitalization</t>
  </si>
  <si>
    <t>Edentulism,mandibular bone atrophy,edentulous jaw</t>
  </si>
  <si>
    <t>NI</t>
  </si>
  <si>
    <t>U1111-1270-4313</t>
  </si>
  <si>
    <t>U1111-1272-4730</t>
  </si>
  <si>
    <t>U1111-1272-2043</t>
  </si>
  <si>
    <t>U1111-1266-2521</t>
  </si>
  <si>
    <t>96054818.5.0000.5544</t>
  </si>
  <si>
    <t>traumatic brain</t>
  </si>
  <si>
    <t>Dentin sensitivity to tooth whitening</t>
  </si>
  <si>
    <t>lymphoma disease</t>
  </si>
  <si>
    <t>Mental, Behavioral and Neurodevelopmental disorders</t>
  </si>
  <si>
    <t>Endocrine, nutritional and metabolic diseases</t>
  </si>
  <si>
    <t>Leprosy,Hansens disease,Chemoprevention,Serology</t>
  </si>
  <si>
    <t>Symptoms, signs and abnormal clinical and laboratory findings, not elsewhere classified</t>
  </si>
  <si>
    <t>severe hallux valgus</t>
  </si>
  <si>
    <t>Injury, poisoning and certain other consequences of external causes</t>
  </si>
  <si>
    <t>Sexually Transmitted Diseases,Bacterial,Viral,Sexual Partners</t>
  </si>
  <si>
    <t xml:space="preserve"> </t>
  </si>
  <si>
    <t>Effects of physical therapy on   development of children with congenital Zika virus syndrome</t>
  </si>
  <si>
    <t>Chronic Ulcers</t>
  </si>
  <si>
    <t>Overweight,Healthy adults</t>
  </si>
  <si>
    <t>Congenital malformations, deformations and chromosomal abnormalities</t>
  </si>
  <si>
    <t>Knee osteoarthritis,joint pain</t>
  </si>
  <si>
    <t>Infectious Diseases</t>
  </si>
  <si>
    <t xml:space="preserve"> Diseases of the musculoskeletal system and connective tissue</t>
  </si>
  <si>
    <t>Factors influencing health status and contact with health services.Pregnancy, childbirth and the puerperium.Diseases of the genitourinary system</t>
  </si>
  <si>
    <t>Endocrine, nutritional and metabolic diseases.Factors influencing health status and contact with health services</t>
  </si>
  <si>
    <t>Diseases of the circulatory system.Certain infectious and parasitic diseases.Endocrine, nutritional and metabolic diseases</t>
  </si>
  <si>
    <t>Diseases of the respiratory system.Certain infectious and parasitic diseases</t>
  </si>
  <si>
    <t>Certain infectious and parasitic diseases.Pregnancy, childbirth and the puerperium</t>
  </si>
  <si>
    <t>Endocrine, nutritional and metabolic diseases.Certain infectious and parasitic diseases</t>
  </si>
  <si>
    <t>Diseases of the respiratory system.Certain infectious and parasitic diseases.Coronavirus Infections</t>
  </si>
  <si>
    <t>Diseases of the respiratory system.Certain infectious and parasitic diseases.Mental, Behavioral and Neurodevelopmental disorders.Coronavirus Infections</t>
  </si>
  <si>
    <t>Diseases of the respiratory system.Certain infectious and parasitic diseases.Diseases of the musculoskeletal system and connective tissue.Coronavirus Infections</t>
  </si>
  <si>
    <t>Certain infectious and parasitic diseases.Factors influencing health status and contact with health services.Coronavirus Infections</t>
  </si>
  <si>
    <t>Certain infectious and parasitic diseases.Coronavirus Infections</t>
  </si>
  <si>
    <t>Certain infectious and parasitic diseases.Coronavirus Infections.Diseases of the digestive system</t>
  </si>
  <si>
    <t>Diseases of the circulatory system.Endocrine, nutritional and metabolic diseases</t>
  </si>
  <si>
    <t>Factors influencing health status and contact with health services.Neoplasms</t>
  </si>
  <si>
    <t>Cystic Fibrosis,Respiratory Function Test</t>
  </si>
  <si>
    <t>Factors influencing health status and contact with health services.Diseases of the musculoskeletal system and connective tissue</t>
  </si>
  <si>
    <t>Factors influencing health status and contact with health services.Certain infectious and parasitic diseases</t>
  </si>
  <si>
    <t>Diseases of the digestive system.Certain infectious and parasitic diseases</t>
  </si>
  <si>
    <t>gonarthrosis</t>
  </si>
  <si>
    <t>Diseases of the nervous system.Congenital malformations, deformations and chromosomal abnormalities</t>
  </si>
  <si>
    <t>Varicose veins,lower limbs,ulcer,inflammation</t>
  </si>
  <si>
    <t>Diseases of the genitourinary system.Pregnancy, childbirth and the puerperium</t>
  </si>
  <si>
    <t>Diseases of the genitourinary system.Certain infectious and parasitic diseases</t>
  </si>
  <si>
    <t>Injury, poisoning and certain other consequences of external causes.Pregnancy, childbirth and the puerperium</t>
  </si>
  <si>
    <t>Endocrine, nutritional and metabolic diseases.Pregnancy, childbirth and the puerperium</t>
  </si>
  <si>
    <t>Mental, Behavioral and Neurodevelopmental disorders.Pregnancy,childbirth and the puerperium</t>
  </si>
  <si>
    <t>Factors influencing health status and contact with health services.Diseases of the digestive system</t>
  </si>
  <si>
    <t>Factors influencing health status and contact with health services.Endocrine, nutritional and metabolic diseases</t>
  </si>
  <si>
    <t>Diseases of the musculoskeletal system and connective tissue.Diseases of the digestive system</t>
  </si>
  <si>
    <t>j</t>
  </si>
  <si>
    <t>pe</t>
  </si>
  <si>
    <t>p</t>
  </si>
  <si>
    <t>Diseases of the circulatory system.Diseases of the musculoskeletal system and connective tissue</t>
  </si>
  <si>
    <t>Diseases of the circulatory system.Diseases of the nervous system</t>
  </si>
  <si>
    <t>Diseases of the nervous system.Diseases of the musculoskeletal system and connective tissue</t>
  </si>
  <si>
    <t>Neoplasms.Diseases of the nervous system</t>
  </si>
  <si>
    <t>External causes of morbidity</t>
  </si>
  <si>
    <t>Mental, Behavioral and Neurodevelopmental disorders.Certain infectious and parasitic diseases</t>
  </si>
  <si>
    <t>Thoracic surgery,Digestive System Surgical Procedures,</t>
  </si>
  <si>
    <t>Adenoids,chronic diseases of tonsil,adenoids</t>
  </si>
  <si>
    <t>Endocrine, nutritional and metabolic diseases.Pregnancy, childbirth and the puerperium.Diseases of the skin and subcutaneous tissue</t>
  </si>
  <si>
    <t>Diseases of the respiratory system.Diseases of the circulatory system</t>
  </si>
  <si>
    <t>ICD-10</t>
  </si>
  <si>
    <t>mechanical ventilation,pulmonary secretions</t>
  </si>
  <si>
    <t>edentulous jaw</t>
  </si>
  <si>
    <t>Diseases of the musculoskeletal system and connective tissue.Symptoms, signs and abnormal clinical and laboratory findings, not elsewhere classified</t>
  </si>
  <si>
    <t>Pregnancy, childbirth and the puerperium.Certain infectious and parasitic diseases</t>
  </si>
  <si>
    <t xml:space="preserve"> Diseases of the skin,subcutaneous tissue,Skin Abnormalities,Skin Manifestations</t>
  </si>
  <si>
    <t>Abdominal,pelvic pain</t>
  </si>
  <si>
    <t>Abdominal fat,muscle paresis</t>
  </si>
  <si>
    <t>Abdominal pain,Abdominal,pelvic pain,Pain localized to other parts of lower abdomen,Pelvic,perineal pain</t>
  </si>
  <si>
    <t>Abuse,alcohol dependence,mental,behavioral disorders due to use of alcohol</t>
  </si>
  <si>
    <t>abuse,dependence of alcohol,abuse,dependence of drugs,violence,Mental,behavioural disorders</t>
  </si>
  <si>
    <t>Acne vulgaris,postinflammatory hyperpigmentation</t>
  </si>
  <si>
    <t>Acquired deformities of the fingers,toes,Foot Deformities,Acquired,Hallux valgus (acquired),Hallux Valgus,Bunion</t>
  </si>
  <si>
    <t>Acromegaly,Giant Pituitary</t>
  </si>
  <si>
    <t>Actinic cheilitis (AC) is a potentially malignant disorders of the oral mucosa (PMD) that occurs on the lip dua to excessive,cronic exposure to ultraviolet rays present in sunlight. This condition can progress to squamous cell carcinoma,the clinical characteristics of AC include atrophy of the vermilion border of the lip,pigmented,erythematous,or eukoplakic areas,loss of the mucocutaneous junction of the lip,fissures,erosions that can bleed,and symptoms of dryness,pain. DeCS: stomatognathic diseases,mouth diseases</t>
  </si>
  <si>
    <t>Acute Lymphoblastic Leukemia of children,adolescent patients</t>
  </si>
  <si>
    <t>Acute paralytic poliomyelitis,other,unspecified</t>
  </si>
  <si>
    <t>Acute upper respiratory infections of multiple,unspecified sites. Unspecified acute lower respiratory infection</t>
  </si>
  <si>
    <t>Adequacy of the weight gain in adult pregnant women with overweight,food intake,practice of physical activity,plasma glucose,insulin,C reactive protein,blood pressure,gestational diabetes,hypertensive disorders,prematurity,type of delivery,birth weight of the baby</t>
  </si>
  <si>
    <t>Adherence,knowledgement level about treatment with patients diagnosed with schizophrenia,schizotypal,delusional disorders</t>
  </si>
  <si>
    <t>Adherence to the guidelines of the residents in meeting the corporate chest pain,acute coronary syndrome in the emergency room</t>
  </si>
  <si>
    <t>Adolescent,Leprosy,Bacterial infections,mycoses,Adolescent Behavior,Knowledge of Results (Psychology),Certain infectious,parasitic diseases</t>
  </si>
  <si>
    <t>Adolescents or young adults with scoliosis,lordosis,kyphosis</t>
  </si>
  <si>
    <t>Anal,Perianal Condylomata Acuminata</t>
  </si>
  <si>
    <t>Anesthesiology,hypnosis,propofol,opioids,signs,symptoms</t>
  </si>
  <si>
    <t>Ankle Joint,Articular Range of Motion,Wounds,Injuries,Soccer</t>
  </si>
  <si>
    <t>Anorexia Nervosa,Bulimia Nervosa,Mental,behavior disorders</t>
  </si>
  <si>
    <t>Anxiety,depression</t>
  </si>
  <si>
    <t>Anxiety,Pain</t>
  </si>
  <si>
    <t>Anxiety,Temporomandibular Disorders</t>
  </si>
  <si>
    <t>Anxiety,Phobic disorders (social phobia),Mental,behavioural disorders,Pathological conditions,signs,symptoms</t>
  </si>
  <si>
    <t>Arterial Blood Pressure,glucose,cholesterol</t>
  </si>
  <si>
    <t>Arterial hypertension,diabetes type II</t>
  </si>
  <si>
    <t>Arthroplasty,Replacement,Knee,Embolism,Thrombosis,Venous Thromboembolism,Venous Thromboembolism,Edema,Postoperative Hemorrhage</t>
  </si>
  <si>
    <t>Athletes performance,Other,unspecified medical devices associated with adverse incidents,therapeutic (nonsurgical),rehabilitative devices</t>
  </si>
  <si>
    <t>Atopic dermatitis,Wounds,injuries</t>
  </si>
  <si>
    <t>Atrial fibrillation,esophageal ulcer,esophageal fistula,flutter,atrial fibrillation</t>
  </si>
  <si>
    <t>Atrophy of the alveolar residual ridge,Jaw,Edentulous,Prostheses,Implants</t>
  </si>
  <si>
    <t>Attention deficit hyperactivity disorder,Conduct disorder,Defiant,opposing disorder,Depressive conduct disorder,Childhood social anxiety disorder</t>
  </si>
  <si>
    <t>Auriculotherapy,HIV,Sleep Initiation,Maintenance Disorders</t>
  </si>
  <si>
    <t>bacterial,fungal infections</t>
  </si>
  <si>
    <t>Bacterial infections,mycoses,Chronic apical periodontitis</t>
  </si>
  <si>
    <t>Behavioral problems,aggression in childhood</t>
  </si>
  <si>
    <t>Biomechanical lesion,unspecified,Patellofemoral disorders,Sprain,strain involving (anterior) (posterior) cruciate ligament of knee,Chondromalacia Patellae,Anterior Cruciate Ligament Injuries</t>
  </si>
  <si>
    <t>Bleeding (hemorrhage Oral) after tooth extractions in patients taking oral anticoagulants: users of heart valves,deep venous thrombosis,stroke</t>
  </si>
  <si>
    <t>blindness in one eye,subnormal vision in the contralateral eye,subnormal vision in both eyes</t>
  </si>
  <si>
    <t>Body temperature regulation,heart rate,oxygen consumption,hydrocortisone levels,behavior in preterm infants</t>
  </si>
  <si>
    <t>Bone,Bones</t>
  </si>
  <si>
    <t>Breast Neoplasms,Wounds,Injuries</t>
  </si>
  <si>
    <t>Breast pain,decreased quality of life</t>
  </si>
  <si>
    <t>broken leg,foot,/ or ankle injury in the ankle or foot</t>
  </si>
  <si>
    <t>Burning Mouth Syndrome,Other,unspecified lesions of the oral mucosa</t>
  </si>
  <si>
    <t>Calculus of bile duct with cholecystitis,postoperative nausea,vomiting</t>
  </si>
  <si>
    <t>cancer,cardiovascular diseases,bone marrow transplantation,solid,hematological neoplasms,cardiopulmonary function,muscle strength,fatigue,physical function,quality of life,physical exercise,cardiorespiratory capacity,oncohematological,neoplams,exercise,Cancer Care Facilities,Cardiorespiratory Fitness,Hemic,lymphatic diseases</t>
  </si>
  <si>
    <t>Cancer,Dance Pilates,Quality of life,Sleep Initiation,Maintenance Disorders,Disfunções Sexuais Fisiológicas</t>
  </si>
  <si>
    <t>Cancer. Nauseas,vomiting</t>
  </si>
  <si>
    <t>Candidiasis of vulva,vagina</t>
  </si>
  <si>
    <t>Cardiac,renal hypertensive disease,non specified</t>
  </si>
  <si>
    <t>cardiac,vascular surgeries</t>
  </si>
  <si>
    <t>Cardiovascular diseases,Catheterization,Radial Artery,Compression Bandages,Diabetic Angiopathies</t>
  </si>
  <si>
    <t>Cardiovascular diseases,Nutritional,metabolic diseases,Obesity</t>
  </si>
  <si>
    <t>Caries,malocclusion</t>
  </si>
  <si>
    <t>Cerebral Palsy,Cerebral Vascular Accident</t>
  </si>
  <si>
    <t>cerebral palsy,encephalopathies,pathological conditions ,signs,symptoms</t>
  </si>
  <si>
    <t>Certain infectious,parasitic diseases,Chronic viral hepatitis B without delta-agent,Need for immunization against viral hepatitis,Virus diseases,Hepatitis B Antibodies,International Certificate of Vaccination or Prophylaxis</t>
  </si>
  <si>
    <t>Cervix narrowing,stenosis,Accidental cut,puncture,perforation or hemorrhage during endoscopic examination,Vulvar atrophy,Postmenopausal atrophic vaginitis</t>
  </si>
  <si>
    <t>Change in taste of patients undergoing chemotherapy treatment for breast,prostate cancer,Dysgeusia,laser therapy,breast cancer,prostate cancer</t>
  </si>
  <si>
    <t>Changes in saliva secretion,Head,Neck Neoplasms</t>
  </si>
  <si>
    <t>Changes in the development of preterm newborns when compared to behavioral,physiological indicators during hospitalization in an Intermediate Care Unit</t>
  </si>
  <si>
    <t>child development,Depression Postpartum,parental stress,mother-child relationship,parental believes,practices on child care</t>
  </si>
  <si>
    <t>Children,adolescents in postoperative cardiac surgery</t>
  </si>
  <si>
    <t>Children hospitalized with acute diarrhea,dehydration</t>
  </si>
  <si>
    <t>Cholecystectomy in humans,prevention of vomiting,postoperative tremor,5-HT3 antagonist,total intravenous anesthesia,Cholecystitis,nausea,vomiting,unspecified tremor</t>
  </si>
  <si>
    <t>chronic cardiac failure secondary to Chagas Disease,in functional classes II,III,IV</t>
  </si>
  <si>
    <t>Chronic Chagas disease in indeterminate,cardiac without ventricular dysfunction,cardiac with ventricular dysfunction forms</t>
  </si>
  <si>
    <t>Chronic Kidney Disease of hypertensive origin by changes in the circulatory,genitourinary system</t>
  </si>
  <si>
    <t>Chronic pain in the spine,chronic pain,auricular acupuncture,musculoskeletal pain,spine,low-level light therapy,diseases of the musculoskeletal system,connective tissue,musculoskeletal diseases</t>
  </si>
  <si>
    <t>Chronic pain,Integrative medicine,Complementary,Integrative Practices,Alternative Therapies</t>
  </si>
  <si>
    <t>Chronic Renal Failure,Anxiety,Spirituality,Nursing</t>
  </si>
  <si>
    <t>Cigarette smoking,Mental,behavioural disorders due to use of tobacco - dependence syndrome</t>
  </si>
  <si>
    <t>Circulatory,Respiratory Physiological Phenomena</t>
  </si>
  <si>
    <t>Cleft lip,palate</t>
  </si>
  <si>
    <t>Cognitive Abilities,Anxiety,stress</t>
  </si>
  <si>
    <t>cognitive disorder,reactive child disorder,mental,behavior disorder</t>
  </si>
  <si>
    <t>Colitis,Dysbiosis,Bacterial Infections,Mycoses,Neutrophils,Gastrointestinal Microbiome,Clostridium Infections,Immunity,Innate,Disease Resistance,Host Microbial Interactions,Inflammation</t>
  </si>
  <si>
    <t>Concussion,oedema of cervical spinal cord</t>
  </si>
  <si>
    <t>Congenital,Hereditary,and Neonatal Diseases,Abnormalities</t>
  </si>
  <si>
    <t>congestive heart failure,peripheral artery disease ,tracking the autonomic nervous system in young,elderly</t>
  </si>
  <si>
    <t>Contracture,Range of Motion Articular</t>
  </si>
  <si>
    <t>Convalescence after radiotherapy,oral mucositis,head,neck cancer</t>
  </si>
  <si>
    <t>Coronavirus Infections,Signs,Symptoms,Digestive,Protein-Energy Malnutrition</t>
  </si>
  <si>
    <t>Coronavirus patients,Patients with Wounds,Injuries - (traumatic brain injury),Coronavirus infection of unspecified location,Coronavirus,as a cause of diseases classified in other chapters,Intracranial trauma,Bacterial pneumonia,not elsewhere classified,Cardiac insufficiency,Respiratory diseases</t>
  </si>
  <si>
    <t>Craniocerebral Trauma,anxiety,depression,Pathological conditions,signs,symptoms,Low-Level Light Therapy</t>
  </si>
  <si>
    <t>Dementia,symptoms,signs related to cognition,perception,emotional state,behavior</t>
  </si>
  <si>
    <t>Dental Caries,Stomatognathic System Abnormalities</t>
  </si>
  <si>
    <t>Dental caries,Dental Restoration,Permanent,Anesthesia,Dental,Pain,Dental Anxiety,Pit,Fissure Sealants</t>
  </si>
  <si>
    <t>Dental Caries,Mottled teeth,Diseases of pulp,periapical tissues,Diastema,Dental Restoration Failure,Dental Enamel Hypoplasia,Dental Fluorosis</t>
  </si>
  <si>
    <t>Dental caries,Preventive Dentistry,Child,Adolescent,Young Adult</t>
  </si>
  <si>
    <t>Dental caries,tooth deciduous,efectiveness,composite resins,pit,fissure sealants</t>
  </si>
  <si>
    <t>Dental plaque,Prevention,control</t>
  </si>
  <si>
    <t>Dentofacial functional abnormalities,Postoperative Nausea,Vomiting,pain,nausea,vomiting,surgical tampons</t>
  </si>
  <si>
    <t>Diabetes Mellitus Type 2,wounds,Injuries</t>
  </si>
  <si>
    <t>diabetes mellitus,diabetes mellitus Type 1 diabetes,diabetes mellitus type 2,gestational diabetes,loss of glycemic control,macrosomia,cesarean delivery,inadequate weight gain,dietary intake,congenital malformations,maternal complications (Preeclampsia,eclampsia,gestational hypertension,urinary tract infection),neonatal complications (neonatal (hypoglycemia,jaundice),dietary intake</t>
  </si>
  <si>
    <t>Diabetes mellitus,Wounds,injuries</t>
  </si>
  <si>
    <t>Diabetic Foot,Prevention,control</t>
  </si>
  <si>
    <t>Difficulties in the healing of breast fissures in breastfeeding women. Wounds,injuries,Diseases of the skin,subcutaneous tissue,Skin,connective tissue diseases,Lasers,Breast Feeding,Weaning,</t>
  </si>
  <si>
    <t>Digestive system disease,respiratory diseases,neoplasms,pathological conditions signs,symptoms,malignant liver neoplasia,hospital physical therapy</t>
  </si>
  <si>
    <t>Digestive system diseases,Stomach Ulcer,Duodenal Ulcer,Aspirin,Drug-Related Side Effects,Adverse Reactions</t>
  </si>
  <si>
    <t>Diseases of the circulatory system,Other disorders of arteries,arterioles,capillaries in diseases classified elsewhere,Anticoagulants,Coumarins</t>
  </si>
  <si>
    <t>Diseases of the genitourinary system,excessive,frequent,irregular menstruation,leiomyoma of uterus,polyp of corpus uteri,endometriosis of uterus</t>
  </si>
  <si>
    <t>Diseases of the musculoskeletal system,connective tissue</t>
  </si>
  <si>
    <t>Diseases of the musculoskeletal system,connective tissue,Alveolar Process,Maxillofacial Abnormalities,Vertical Dimension,Malocclusion,Tooth Movement Techniques</t>
  </si>
  <si>
    <t>Diseases of the musculoskeletal system,connective tissue,Palatal Expansion Technique,Congenital malformations of palate,not elsewhere classified,Malocclusion,Anomalies of dental arch relationship</t>
  </si>
  <si>
    <t>Diseases of the musculoskeletal system,connective tissue,Temporomandibular joint disorders,Diseases of the musculoskeletal system,connective tissue</t>
  </si>
  <si>
    <t>Diseases of the skin,subcutaneous tissue</t>
  </si>
  <si>
    <t>Disorder of the gingiva,alveolar ridge without teeth without other specification. Lifting the Floor of the Maxillary Sinus. Dental extraction</t>
  </si>
  <si>
    <t>Disorders of menopause,perimenopause</t>
  </si>
  <si>
    <t>Disorders of myoneural junction,muscle in diseases classified elsewhere/comatose patient</t>
  </si>
  <si>
    <t>disorders of nerves,roots,nerve plexuses,other polyneuropathies,respirator addiction</t>
  </si>
  <si>
    <t>Disorders of onset,maintenance of sleep (insomnia)</t>
  </si>
  <si>
    <t>Disturbance of activity,attention,Hyperkinetic conduct disorder,Oppositional defiant disorder</t>
  </si>
  <si>
    <t>Disturbances of onset,maintenance of sleep (insomnia)</t>
  </si>
  <si>
    <t>Disturbances of onset,maintenance of sleep,Healthy volunteers</t>
  </si>
  <si>
    <t>Drug-Related Side Effects,Adverse Reactions</t>
  </si>
  <si>
    <t>Drug-Related Side Effects,Adverse Reactions,Medication Errors</t>
  </si>
  <si>
    <t>Drug-Related Side Effects,Adverse Reactions. Signals e Symptons</t>
  </si>
  <si>
    <t>Eating Disorders,Food Intake</t>
  </si>
  <si>
    <t>elderly,fragile acute myeloid leukemia patients</t>
  </si>
  <si>
    <t>elderly with heart disease,cognition</t>
  </si>
  <si>
    <t>Elderly with systemic arterial hypertension,diabetes mellitus type 2</t>
  </si>
  <si>
    <t>Embedded,impacted teeth</t>
  </si>
  <si>
    <t>Embedded,impacted teeth,Tooth Socket</t>
  </si>
  <si>
    <t>Embolism,thrombosis of unspecified vein,Coagulation defect,unspecified</t>
  </si>
  <si>
    <t>Emesis,mucositis caused by chemotherapy in patients with breast or lung cancer</t>
  </si>
  <si>
    <t>Endocrine disorders,nutritional,metabolic diseases,pathological conditions,signs,symptoms,digestive system diseases,obesity,diet,edentulous arch,partially edentulous arch</t>
  </si>
  <si>
    <t>Endocrine,nutritional,metabolic diseases</t>
  </si>
  <si>
    <t>Endocrine,nutritional,metabolic diseases,Benign neoplasm of adrenal gland</t>
  </si>
  <si>
    <t>Endocrine,nutritional,metabolic diseases,Diabetes mellitus that arises during pregnancy,Obesity</t>
  </si>
  <si>
    <t>Endodontics,canal preparation Root,Clinical Trial,postoperative pain,Diseases of pulp,periapical tissues,ther specified disorders of teeth,supporting structures,Complications of medical,surgical care</t>
  </si>
  <si>
    <t>Endodontics,Postoperative Pain,Diseases of pulp,periapical tissues,Ther specified disorders of teeth,supporting structures,</t>
  </si>
  <si>
    <t>Epidemiological indices of oral health: DMF (mean decayed permanent teeth missing,filled),dmft (average primary teeth decayed,peroxides),endodontic,orthodontic needs,trauma,mucosal lesions,previous contact with topical application of fluoride,periodontal disease visible presence of tartar,white spot lesions,fluorosis</t>
  </si>
  <si>
    <t>Erosion of teeth,abrasion of teeth,excessive attrition of teeth,acute pain</t>
  </si>
  <si>
    <t>Erosive (osteo)arthrosis,joint diseases,shoulder joint. Patients with shoulder arthrosis will undergo drug therapy to improve pain,shoulder function</t>
  </si>
  <si>
    <t>Evaluation of Medicines,Drug-Induced Abnormalities,Drug Interactions,Pharmacological treatment,Adverse Results Routes,Abnormal findings of material proven to other organs,devices,systems,tissues - abnormal level of other drugs,medicines,biological substances</t>
  </si>
  <si>
    <t>Evaluation of process,results in health care</t>
  </si>
  <si>
    <t>exercise,athletic performance,equipment,supplies</t>
  </si>
  <si>
    <t>Experimental psychology study abaout implicit processes,action expectancy</t>
  </si>
  <si>
    <t>Eye diseases,Pathological conditions,signs,symptoms,Vision Disorders</t>
  </si>
  <si>
    <t>Falls,loss of functional capacity,balance,strength</t>
  </si>
  <si>
    <t>Feeding,Eating Disorders,Body Image</t>
  </si>
  <si>
    <t>Female urogenital diseases,pregnancy complications,postmenopause,atrophy,sexual dysfunction physiological,urinary incontinence,vulvovaginitis</t>
  </si>
  <si>
    <t>Female urogenital diseases,pregnancy complications. Primary Prevention. Pelvic Floor Disorders. Pelvic Floor. Outcome,Process Assessment,Health Care</t>
  </si>
  <si>
    <t>Fibromyalgia,Quality of life</t>
  </si>
  <si>
    <t>Fibrosis,cirrhosis of liver</t>
  </si>
  <si>
    <t>Food,Nutrition Education,Obesity Management,Awareness,Feeding Behavior,Healthy Volunteers,Women,Fast Foods,Reward</t>
  </si>
  <si>
    <t>food,nutrition education,obesity,chronic diseases</t>
  </si>
  <si>
    <t>Fuctional,athletic performance of healthy young individuals</t>
  </si>
  <si>
    <t>Gain lean mass,muscle strength,Adiposity reduction</t>
  </si>
  <si>
    <t>Gastroenteritis,non-infectious colitis,unspecified</t>
  </si>
  <si>
    <t>Gastroesophageal reflux disease,obesity</t>
  </si>
  <si>
    <t>General examination,investigation of persons without complaint or reported diagnosis</t>
  </si>
  <si>
    <t>Generalized anxiety disorder,Panic disorder [episodic paroxysmal anxiety],Anxiety disorder,unspecified,Mixed anxiety,depressive disorder</t>
  </si>
  <si>
    <t>Generalized Anxiety,Mixed anxiety,depressive disorder</t>
  </si>
  <si>
    <t>Genotoxicity,oxidative stress,gene expression,polymorphism,evaluation of lipophilic antioxidants,vitamins</t>
  </si>
  <si>
    <t>Gingival hyperplasia,Gingival,edentulous alveolar ridge lesions associated with trauma</t>
  </si>
  <si>
    <t>Gingivitis,periodontal disease</t>
  </si>
  <si>
    <t>Glomerular disorders in diabetes mellitus,kidney disease,glomerular disorders in endocrine,nutritional,metabolic diseases,inflammation</t>
  </si>
  <si>
    <t>Growth,differentiation Factor-15</t>
  </si>
  <si>
    <t>Head,Neck Cancer</t>
  </si>
  <si>
    <t>Head,neck neoplasm</t>
  </si>
  <si>
    <t>Head,Neck Neoplasms</t>
  </si>
  <si>
    <t>Head,Neck Neoplasms,Radiotherapy</t>
  </si>
  <si>
    <t>Head,Neck Neoplasms,Stomatitis</t>
  </si>
  <si>
    <t>Head,Neck Neoplasms,Stomatitis,Antineoplastic Combined Chemotherapy Protocols</t>
  </si>
  <si>
    <t>Head,Neck Squamous Cell Carcinoma,Oral Neoplasms</t>
  </si>
  <si>
    <t>Headache,Dysmenorrhea,Fever,Conjunctivitis,Diarrhea,Constipation,Vomiting,Heartburn,Herpes Labialis,Stomatitis,Aphthous,Burns,Sunstroke,Tobacco Use Disorder,Sleep Initiation,Maintenance Disorders,Dermatitis,Contact,Acne Vulgaris,Common Cold,Rhinitis,Cough,COVID-19</t>
  </si>
  <si>
    <t>Healing,Wounds,Injuries</t>
  </si>
  <si>
    <t>Healthy adults,children,muscular dystrophy</t>
  </si>
  <si>
    <t>Healthy adults,handicap adults</t>
  </si>
  <si>
    <t>Healthy humans,skin irritation test,contact dermatitis (skin sensitization),diseases of the skin,connective tissue</t>
  </si>
  <si>
    <t>healthy humans,tooth sensitivity postoperative,Pathological conditions,signs,symptoms. Stomatognathic diseases</t>
  </si>
  <si>
    <t>Healthy Individuals,femoral,sciatic,tibial nerve</t>
  </si>
  <si>
    <t>Healthy patients of both sexes,totally edentulous jaw presenting extensive maxillary bone resorption,in need of bone transplantation or bone graft,intending to receive implant-supported oral rehabilitation,with bone resorption and/or alveolar bone loss (residual alveolar bone height &lt;5 mm),presenting edentulous jaw,requiring bilateral bone augmentation in the maxillary sinuses for dental implant treatment aiming implant-supported fixed oral rehabilitation. Having undergone extraction of the maxillary teeth or have had previous total loss of teeth at least 8 weeks before the proposed bone graft</t>
  </si>
  <si>
    <t>Healthy volunteers,integrated skin</t>
  </si>
  <si>
    <t>Healthy Volunteers,according to inclusion,non-inclusioncriteria</t>
  </si>
  <si>
    <t>Healthy Volunteers,Clinical trial,Mental,behavioral disorders due to alcohol use - acute intoxication,Alcoholism</t>
  </si>
  <si>
    <t>healthy volunteers,Surveys,Questionnaires</t>
  </si>
  <si>
    <t>hearing health,hearing loss</t>
  </si>
  <si>
    <t>Hearing loss,Congenital,Hereditary,and Neonatal Diseases,Abnormalities</t>
  </si>
  <si>
    <t>Heart failure,sleep respiratory disorders,quality of life</t>
  </si>
  <si>
    <t>Hematologic Neoplasms. Leukemia. Lymphoma. Squamous Cell Carcinoma of Head,Neck. Esophageal Neoplasms. Facial Neoplasms. Mouth Neoplasms. Parathyroid Neoplasms. Thyroid Neoplasms. Tracheal Neoplasms</t>
  </si>
  <si>
    <t>hip,knee prosthetic joint infection,Sonication,Arthroplasty,Prosthesis-related infections /diagnosis,Biofilm,Tissue Culture Techniques</t>
  </si>
  <si>
    <t>Hospitalized patients in intensive care units (ICU) are prone to developing respiratory complications,particularly atelectasis,bronchopneumonia</t>
  </si>
  <si>
    <t>Human immunodeficiency virus (HIV) disease resulting in infectious,parasitic diseases</t>
  </si>
  <si>
    <t>Humans,Healthy Volunteers,men,Disease Prevention,Feeding,Eating Disorders</t>
  </si>
  <si>
    <t>Humidity,temperature of inspired gases during general anesthesia</t>
  </si>
  <si>
    <t>Hydrocortisone,Heart Rate,International Classification of Functioning,Disability,Health</t>
  </si>
  <si>
    <t>Hyperphosphatemia,renal dialysis,chronic Kidney disease-mineral,bone disorder</t>
  </si>
  <si>
    <t>hypertension,prenatal care</t>
  </si>
  <si>
    <t>Hypertension,APACHE,Diabetes Mellitus,Drug Therapy,Access to Essential Medicines,Health Technologies</t>
  </si>
  <si>
    <t>Hypertriglyceridemia,postprandial oxidative stress</t>
  </si>
  <si>
    <t>Improves the height of the vertical jump,improves muscle strength,power,improves aerobic conditioning</t>
  </si>
  <si>
    <t>Inadequate Diet,Eating Habits,Dietary Supplementation,Nutrition,metabolic diseases</t>
  </si>
  <si>
    <t>Inadequate supervision,control by parents,nighttime fear,separation anxiety,childhood behavioral insomnia in children of pre-school age</t>
  </si>
  <si>
    <t>Individuals with malocclusion class II,III,Malocclusion,Angle Class II,Malocclusion,Angle Class III</t>
  </si>
  <si>
    <t>Infants exposed to pre-,/ or perinatal risk factors</t>
  </si>
  <si>
    <t>Inflammation,Gene Expression,Hormones,protein,Enzymes</t>
  </si>
  <si>
    <t>Injuries,wounds,respiratory diseases,artificial breathing,cough,air way obstruction</t>
  </si>
  <si>
    <t>Injuries to the nipple (fissures,cracks) resulting breastfeeding</t>
  </si>
  <si>
    <t>Injury,Injury,Edema,Varicose veins of the lower limbs with ulcer</t>
  </si>
  <si>
    <t>Insertion of (intrauterine) contraceptive device,Gynaecological examination (general) (routine),General examination,investigation of persons without complaint or reported diagnosis,</t>
  </si>
  <si>
    <t>Insomnia,Sleep Initiation,Maintenance Disorders</t>
  </si>
  <si>
    <t>Intubation,hemodynamic</t>
  </si>
  <si>
    <t>knee injuries,pain in physical activity</t>
  </si>
  <si>
    <t>Labor pain,Pregnancy, childbirth,the puerperium,Labor pain</t>
  </si>
  <si>
    <t>Leiomyoma of uterus,abdominal hysterectomy,Nausea,Vomiting</t>
  </si>
  <si>
    <t>leprosy,wounds,injuries</t>
  </si>
  <si>
    <t>Loss of teeth due to accident,extraction or local periodontal disease,Retained dental root,Disease of hard tissues of teeth,unspecified,Diseases of pulp,periapical tissues,Periodontal disease,unspecified</t>
  </si>
  <si>
    <t>Loss of teeth due to accident,extraction or localized periodontal diseases / Fitting,adjustment of dental prosthetic device</t>
  </si>
  <si>
    <t>low back pain,neck pain,posture</t>
  </si>
  <si>
    <t>Lung Neoplasms,Head,Neck Neoplasms</t>
  </si>
  <si>
    <t>Lymphoma,Precursor B cell Lymphoblastic Leukemia,Precursor B cell Lymphoblastic Lymphoma,Adult T cell Leukemia,Lymphoma</t>
  </si>
  <si>
    <t>Macula,posterior pole degenerations</t>
  </si>
  <si>
    <t>Malaise,Fatigue</t>
  </si>
  <si>
    <t>Malignant neoplasm of bronchus,lung</t>
  </si>
  <si>
    <t>Malignant neoplasm of head,face,neck</t>
  </si>
  <si>
    <t>Malignant neoplasm of trachea,bronchus,lung / Neoplasia Solida</t>
  </si>
  <si>
    <t>Masticatory performance,ability,maximum occlusal force,complete denture wearers</t>
  </si>
  <si>
    <t>maxillomandibular trauma,dentoalveolar injuries,soft tissue injuries,Traumatology,mouth guards,wounds,injuries</t>
  </si>
  <si>
    <t>Measles,Rubella</t>
  </si>
  <si>
    <t>Measurement of the patient,their keloid formation in patients treated at the Surgery Clinic of the Institute of Clinical Specialist / PAM MARECHAL Juiz de Fora - MG</t>
  </si>
  <si>
    <t>Medical diagnoses of Fibromyalgia,Sleep Initiation,Maintenance Disorders</t>
  </si>
  <si>
    <t>Men who have sex with men (MSM),transgender individuals (TG) who are at higher risk of acquiring HIV infection in Brazil,Mexico,Peru</t>
  </si>
  <si>
    <t>Menopausal,female climacteric states,Disorders of initiating,maintaining sleep,insomnia</t>
  </si>
  <si>
    <t>Mental,behavioral disorders</t>
  </si>
  <si>
    <t>Mental,behavioral disorders due to alcohol use</t>
  </si>
  <si>
    <t>Mental,behavioral disorders due to cocaine use - dependency syndrome</t>
  </si>
  <si>
    <t>Mental,behavioral disorders due to cocaine use - dependency syndrome,Blood alcohol level of 100-119 mg/100 ml,Periodontal Diseases</t>
  </si>
  <si>
    <t>Mental,behavioral disorders due to crack use - dependency</t>
  </si>
  <si>
    <t>Mental,behavioral disorders due to smoking - dependency syndrome</t>
  </si>
  <si>
    <t>Mental,behavioral disorders due to use of alcohol- use harmful to health</t>
  </si>
  <si>
    <t>Mental,behavioral disorders due to use of alcohol,self-poisoning by,exposure,intentional,to narcotics,psychodysleptics [hallucinogens]</t>
  </si>
  <si>
    <t>Mental,behavioral disorders due to use of alcohol,self-poisoning by,exposure,intentional,to narcotics,psychodysleptics [hallucinogens] by adolescents</t>
  </si>
  <si>
    <t>mental,behavioral disorders,learning,short term memory,dyslexia,cognition</t>
  </si>
  <si>
    <t>Mental,behavioural disorders due to use of alcohol</t>
  </si>
  <si>
    <t>Mental,behavioural disorders due to use of alcohol - harmful use</t>
  </si>
  <si>
    <t>Mental,behavioural disorders due to use of cocaine</t>
  </si>
  <si>
    <t>Mental,behavioural disorders due to use of tobacco,dependence syndrome. Mental,behavioural disorders due to use of tobacco,withdrawal state</t>
  </si>
  <si>
    <t>Mental behavioural disorders,mental,behavioural disorders due to use of alcohol,dependence syndrome</t>
  </si>
  <si>
    <t>Metabolic Syndrome,Hepatic steatosis</t>
  </si>
  <si>
    <t>Metabolic syndrome X,nutritional,metabolic diseases</t>
  </si>
  <si>
    <t>Metabolic Syndrome X,type 2 diabetes mellitus,hypertension,triglycerides,cholesterol,obesity</t>
  </si>
  <si>
    <t>Migraine with,without aura</t>
  </si>
  <si>
    <t>Mineral,Bone Disorders in Chronic Kidney Disease</t>
  </si>
  <si>
    <t>Mucositis,Head,Neck Neoplasms</t>
  </si>
  <si>
    <t>Mucositis,Squamous Cell Carcinoma,In situ carcinoma of the lips,oral cavity,pharynx</t>
  </si>
  <si>
    <t>Multiple injuries of forearm,Arthroplasty,Replacement,Elbow,Wrist Injuries,Forearm Injuries,Open wound of forearm,part unspecified,Multiple open wounds of forearm,Wrist Injuries,Hand Injuries,Multiple open wounds of wrist,hand,Vascular Surgical Procedures</t>
  </si>
  <si>
    <t>Multiple sclerosis,Tropical spastic paraparesis in the carrier of T-lymphotropic virus type 1 infection [HTLV-1]</t>
  </si>
  <si>
    <t>Muscle fatigue,muscle soreness</t>
  </si>
  <si>
    <t>Muscle loss,atrophy</t>
  </si>
  <si>
    <t>Muscle loss,atrophy,not elsewhere classified</t>
  </si>
  <si>
    <t>Muscle strength,Psychomotor Performance,Aging,Cognitive Aging,Body image,International Classification of Functioning,Disability,Health,Sleep,Body composition,Posture,Physical aptitude,Exercise,Movement Techniques</t>
  </si>
  <si>
    <t>Muscle wasting,atrophy,not elsewhere classified,Malnutrition,Neoplasms</t>
  </si>
  <si>
    <t>muscle weakness,improvement of the decrease of balance,Immune System Diseases,Multiple Sclerosis,Progressive Chronic Multiple Sclerosis,Multiple Sclerosis Relapsing-Sender</t>
  </si>
  <si>
    <t>musculoeskeletal diseases,deseases of the musculoskeletal system,connective tissue,muscular atrophy,non-specified muscular disorder</t>
  </si>
  <si>
    <t>Musculoskeletal diseases,Diseases of the musculoskeletal system,connective tissue,Low back pain,Disability-Adjusted Life Years</t>
  </si>
  <si>
    <t>Musculoskeletal diseases,Gait,Falls Accidents,Abnormalities of gait,mobility</t>
  </si>
  <si>
    <t>Musculoskeletal diseases,Nutritional,metabolic diseases,Aromatherapy</t>
  </si>
  <si>
    <t>musculoskeletal diseases,osteomuscular,connective tissue diseases</t>
  </si>
  <si>
    <t>Musculoskeletal diseases,Pathological conditions,signs,symptoms,Myalgia</t>
  </si>
  <si>
    <t>Musculoskeletal diseases,Wounds,injuries,Amputees</t>
  </si>
  <si>
    <t>Musculoskeletal pain,chronic pain</t>
  </si>
  <si>
    <t>Music therapy,pain,intensive care unit,artificial respiration,deep sedation,pathological conditions,signs,symptoms</t>
  </si>
  <si>
    <t>Myopia,Astigmatism refractive Surgery in virgin eyes</t>
  </si>
  <si>
    <t>Nausea,Vomiting</t>
  </si>
  <si>
    <t>nausea,vomiting postoperative</t>
  </si>
  <si>
    <t>Nausea,vomiting postoperative,Obesity</t>
  </si>
  <si>
    <t>Nausea,vomiting,post operative period,laparoscopic Cholecystectomy,women</t>
  </si>
  <si>
    <t>Neoplasms,Malignant neoplasm of other parts of pancreas,Malignant neoplasm of rectum,Malignant neoplasm of splenic flexure,Malignant neoplasm of main bronchus,Undescended testis,Malignant neoplasm of ovary,Hodgkins disease,Malignant neoplasm of head,face,neck,Malignant neoplasm of breast,Idiopathic peripheral autonomic neuropathy</t>
  </si>
  <si>
    <t>Nerve injury at the wrist,hand/DIGITAL NERVES</t>
  </si>
  <si>
    <t>Nervous system disease,Mental,behavioral disorders,generalized anxiety</t>
  </si>
  <si>
    <t>Nervous System Disease. Stroke. Unspecified Stroke between Ischemic,Hemorrhagic</t>
  </si>
  <si>
    <t>Nervous System Diseases,Charcot-Marie-Tooth Disease,Hereditary Motor,Sensory Neuropathy</t>
  </si>
  <si>
    <t>Nervous system diseases,Pathological conditions,signs,symptoms,Parkinsons disease</t>
  </si>
  <si>
    <t>Newborns admitted to neonatal intensive care units are submitted daily to serial blood sample collections through arterial punctures. This repeated exposure to pain can cause immediate,delayed damage. The aim of this study was to compare the eutética mixture of local anesthetic (EMLA) ®,oral glucose solution,acetaminophen in the treatment of acute pain in preterm newborns undergoing arterial puncture ,because it is a procedure frequently performed in neonatal intensive care units. The relevance of this project is in the possibility that its results contribute to evaluate the best treatment options for this age group,procedure. In addition,it advances in relation to a previous study carried out by the proponent in evaluating arterial puncture with the introduction of a new pharmacological method of pain relief,paracetamol</t>
  </si>
  <si>
    <t>Non syndromic unilateral cleft lip,palate</t>
  </si>
  <si>
    <t>Nurses,Nurses,Nursing team</t>
  </si>
  <si>
    <t>Nursing education,Teaching,learning strategies,Realistic simulation,Immunization of adults</t>
  </si>
  <si>
    <t>Nursing professionals with levels of stress,anxiety,depression,Nursing,Stress,Psychological,Anxiety,Depression</t>
  </si>
  <si>
    <t>Nutrition,sport sciences,Nutritional Supplements</t>
  </si>
  <si>
    <t>Nutrition child,growth,development,breastfeeding ,nutrition,human milk</t>
  </si>
  <si>
    <t>Nutrition Programs,Policies,Pediatric Obesity</t>
  </si>
  <si>
    <t>Nutritional,metabolic disease,Digestive System Neoplasms</t>
  </si>
  <si>
    <t>Nutritional,metabolic diseases</t>
  </si>
  <si>
    <t>Nutritional,metabolic diseases Obesity</t>
  </si>
  <si>
    <t>Nutritional,metabolic diseases,Adolescent,Overweight,Obesity</t>
  </si>
  <si>
    <t>Nutritional,metabolic diseases,Cardiovascular diseases,Hypertension,Obesity,Dyslipidemias</t>
  </si>
  <si>
    <t>nutritional,metabolic diseases,endocrine,nutritional,metabolic diseases</t>
  </si>
  <si>
    <t>Nutritional,metabolic diseases,endocrine,nutritional,metabolic diseases,obesity,abdominal obesity,overweight</t>
  </si>
  <si>
    <t>Nutritional,metabolic diseases,Obesity,Abdominal,Sedentary Lifestyle</t>
  </si>
  <si>
    <t>Nutritional,metabolic diseases,Obesity,Bariatric Surgery</t>
  </si>
  <si>
    <t>Nutritional,metabolic diseases,Obesity,Diabetes Mellitus,Type 2</t>
  </si>
  <si>
    <t>Nutritional,metabolic diseases,Obesity,Feeding Behavior,Educational Technology,Medical Informatics Applications</t>
  </si>
  <si>
    <t>Nutritional,metabolic diseases,obesity,sobrepeso</t>
  </si>
  <si>
    <t>Nutritional,metabolic diseases,Overweight,Obesity,Shift Work Schedule</t>
  </si>
  <si>
    <t>Nutritional,metabolic diseases,Sports Nutritional Sciences,Muscle Skeletal</t>
  </si>
  <si>
    <t>Nutritional disorders,Reproductive Physiological Phenomena,Sedentary Lifestyle,obesity,State of menopause,female climacteric</t>
  </si>
  <si>
    <t>Nutritional status,Head,neck neoplasm</t>
  </si>
  <si>
    <t>Nutritive,non-nutritive sucking habit Sucking Behavior,Child Development</t>
  </si>
  <si>
    <t>Obese patients in preoperative preparation for bariatric surgery,Nutritional,metabolic diseases,morbid obesity,bariatric surgery,perioperative care</t>
  </si>
  <si>
    <t>Obesity,Eating Disorders</t>
  </si>
  <si>
    <t>Obesity,fatty liver</t>
  </si>
  <si>
    <t>Obesity,localized adiposity,dietary counseling,supervision</t>
  </si>
  <si>
    <t>Obesity,metabolic syndrome,binge-eating disorder,bulimia nervosa,feeding,eating disorders</t>
  </si>
  <si>
    <t>Obesity,Nutritional,Metabolic diseases,Men</t>
  </si>
  <si>
    <t>Obesity,Nutritional,metabolic diseases,Obesity,Abdominal</t>
  </si>
  <si>
    <t>Obesity,Other disorders of glucose regulation,internal pancreatic secretion,Fatty degeneration of the liver,not elsewhere classified,Hypertension secondary to endocrine disorders</t>
  </si>
  <si>
    <t>Obesity,Overweight,Nutritional,metabolic diseases</t>
  </si>
  <si>
    <t>Obesity,Postoperative Nausea,Vomiting</t>
  </si>
  <si>
    <t>Obesity,Postoperative pain,Postoperative nausea,vomiting</t>
  </si>
  <si>
    <t>Obsessive-Compulsive Disorder with predominance of obsessive ideas or ruminations,Obsessive-Compulsive Disorder with predominance of compulsive behaviors,Obsessive-Compulsive Disorder Mixed form,with obsessive ideas,compulsive behaviors</t>
  </si>
  <si>
    <t>Occlusion,stenosis of carotid artery,carotid stenosis,stroke,not specified as hemorrhagic or ischemic</t>
  </si>
  <si>
    <t>Oral,oropharyngeal cancer,oral mucositis</t>
  </si>
  <si>
    <t>Oral biofilm,prevention of pneumonia associated with mechanical ventilation</t>
  </si>
  <si>
    <t>Oral cancer,head,neck neoplasms</t>
  </si>
  <si>
    <t>Orthognathic surgery,Pain,Edema,Laser Therapy,Congenital,Hereditary,and Neonatal Diseases,Abnormalities,Stomatognathic diseases</t>
  </si>
  <si>
    <t>osteoarthrosis,Osteomuscular,connective tissue diseases,Polyarthrosis</t>
  </si>
  <si>
    <t>Osteomuscular System,Conjuntive Tissue Diseases,Wounds,injuries</t>
  </si>
  <si>
    <t>Other,unspecified disorders of lactation,Galactorrhoea,Suppressed lactation</t>
  </si>
  <si>
    <t>Other,unspecified types of non-Hodgkins lymphoma,Diffuse non-Hodgkins lymphoma,Follicular non-Hodgkins lymphoma,unspecified,Lymphoma</t>
  </si>
  <si>
    <t>Other anormalities of gait,mobility,Loss of Gait automaticity in Parkinsos´s Disease,Gait problems</t>
  </si>
  <si>
    <t>Other behavioral,emotional disorders that usually start during childhood or adolescence,Chronic diseases of tonsils,adenoids,Other behavioral,emotional disorders that usually start during childhood or adolescence</t>
  </si>
  <si>
    <t>Other disorders of gingiva,edentulous alveolar ridge</t>
  </si>
  <si>
    <t>Other disorders of nose,nasal sinuses</t>
  </si>
  <si>
    <t>Other forms of airway tuberculosis,with bacteriological,histological confirmation / Dysphonia</t>
  </si>
  <si>
    <t>Other noninflammatory disorders of vagina,Menopausal,female climacteric states</t>
  </si>
  <si>
    <t>Other specified disorders of teeth,supporting structures</t>
  </si>
  <si>
    <t>Other specified disorders of the nose,paranasal sinuses</t>
  </si>
  <si>
    <t>Oxidative Stress,Premature aging,Downs syndrome,Nutritional supplements,Antioxidants,Nutritional,metabolic disease</t>
  </si>
  <si>
    <t>Pain,edema,trismus on third molar surgery</t>
  </si>
  <si>
    <t>Pain,Pathological conditions,signs,symptoms,Buttocks,Penicillin G Benzathine,Pain</t>
  </si>
  <si>
    <t>Pain,Postoperative,Anesthesia,Analgesia,Elective Surgical Procedures,Femoral Fractures</t>
  </si>
  <si>
    <t>Pain,reduction of mobility,pulmonary function in Kidney donors</t>
  </si>
  <si>
    <t>Palliative Care,Nurses,Nurses</t>
  </si>
  <si>
    <t>paraplegia,quadriplegia,traumatic amputation</t>
  </si>
  <si>
    <t>Paraplegia,tetraplegia,Amputation,Traumatic</t>
  </si>
  <si>
    <t>Parkinson Disease,Pathological conditions,signs,symptoms,Cognition,Motor Activity</t>
  </si>
  <si>
    <t>Parkinson´s Disease,Dementia in Parkinsons disease</t>
  </si>
  <si>
    <t>Parkinsons Disease,Intestinal Constipation</t>
  </si>
  <si>
    <t>Pathological conditions signs,symptoms</t>
  </si>
  <si>
    <t>pathological conditions,signs,postural sintomas.Equilíbrio. Heart rate. Oxygenation</t>
  </si>
  <si>
    <t>Pathological conditions,signs,symptoms</t>
  </si>
  <si>
    <t>Pathological Conditions,Signs,Symptoms</t>
  </si>
  <si>
    <t>Pathological conditions,signs,symptoms,ascorbic acid,pediatric nursing,catheter obstruction</t>
  </si>
  <si>
    <t>Pathological conditions,signs,symptoms,Bacterial plaque,Gingivitis</t>
  </si>
  <si>
    <t>Pathological Conditions,Signs,Symptoms,Child Development,Maternal Health</t>
  </si>
  <si>
    <t>Pathological conditions,signs,symptoms,Congenital,hereditary,and neonatal diseases,abnormalities,Eye Diseases,Keratoconus,Astigmatisms,Ophthalmologic surgical procedures</t>
  </si>
  <si>
    <t>Pathological conditions,signs,symptoms,Dental Plaque,Products with Antimicrobial Action</t>
  </si>
  <si>
    <t>Pathological conditions,signs,symptoms,Dental radiography,Endodontics,Pulp cavity,</t>
  </si>
  <si>
    <t>Pathological conditions,signs,symptoms,External causes of morbidity,mortality,Old Age Assistance,Postural Balance,Accidental Falls</t>
  </si>
  <si>
    <t>Pathological conditions,signs,symptoms,Infant Newborn</t>
  </si>
  <si>
    <t>pathological conditions,signs,symptoms,Nutritional,metabolic diseases,depression,malnutrition,daily activities,medicalization</t>
  </si>
  <si>
    <t>Pathological conditions,signs,symptoms,periapical periodontitis,Bacteria,Anaerobic,Endotoxins,Cone-Beam Computed Tomography</t>
  </si>
  <si>
    <t>Pathological conditions,signs,symptoms,Pulpitis,Dental Pulp Necrosis</t>
  </si>
  <si>
    <t>pathological conditions,signs,symptoms,Ribcage,respiratory mechanics,bronchopulmonary dysplasia,</t>
  </si>
  <si>
    <t>pathological conditions,signs,symptoms,varicose veins,pregnant women</t>
  </si>
  <si>
    <t>Pathological conditions,signs,symptoms,xerostomia,dysgafia,taste disorders,swallowing disorders,changes in salivary secretion</t>
  </si>
  <si>
    <t>Pathological conditions,signs,symptoms. Adult,Catheterization Peripheral,Comparative effectiveness research,/complications,phlebitis,,traction,extravasation of diagnostic,therapeutic materials,catheter obstruction,infection</t>
  </si>
  <si>
    <t>Pathological conditions,signs,symptoms. adult,Comparative effectiveness research,/ complications,phlebitis,infiltration,traction,extravasation of diagnostic,therapeutic materials,catheter obstruction,thrombosis,infection</t>
  </si>
  <si>
    <t>Patient diabetic patients presenting diabetic foot ulcer of neuropathic,/ or vascular origin with or without clinical signs of infection</t>
  </si>
  <si>
    <t>Patients in the elective preoperative of: esophageous surgery,stomach surgery,billiar tract surgery</t>
  </si>
  <si>
    <t>Patients with breast neoplasia CID10 D-48,deCS C04.588.180</t>
  </si>
  <si>
    <t>Patients with complaints of headache,neck pain,cervicobrachial,/ or cervicodorsalgia</t>
  </si>
  <si>
    <t>Patients with contaminated .wounds,injuries. that need to be treated,to prevent the occurrence of inflammation of the ulcers,as well as to decrease its cicatrization time</t>
  </si>
  <si>
    <t>Patients with HIV/AIDS,non-adherence to antiretroviral therapy</t>
  </si>
  <si>
    <t>Patients with obesity,insulin resistance,according to the HOMA-IR index</t>
  </si>
  <si>
    <t>Patients with tongue coating,measurement of oral volatile sulfur compounds above 75 parts per billion by Halimeter®</t>
  </si>
  <si>
    <t>Medical exams,routine diagnostic tests,Pathological conditions,signs,symptoms</t>
  </si>
  <si>
    <t>Pediatric,adolescent patients with Cystic Fibrosis</t>
  </si>
  <si>
    <t>Pediatric obesity,diet,Food,Nutrition Education,functional food,nutritional,metabolic diseases,Factors influencing health status,contact with health services</t>
  </si>
  <si>
    <t>pelvic posture,pelvic floor contractility,urogynecologic symptoms</t>
  </si>
  <si>
    <t>Perineal pain. Perineal pain interference in daily activities: sitting,walking,urination,defecation,sleeping,breastfeeding,caring for the newborn</t>
  </si>
  <si>
    <t>perineum,pain,postpartum period,parturition,pelvic,perineal pain</t>
  </si>
  <si>
    <t>Periodontal Disease,Diabetes</t>
  </si>
  <si>
    <t>Periodontal disease,unspecified,Gingivitis,periodontal diseases</t>
  </si>
  <si>
    <t>Personal history of endocrine,nutritional,metabolic diseases</t>
  </si>
  <si>
    <t>pharyngotonsillitis,bacterial infections,mycoses,pharyngitis,pathological conditions,signs,symptoms,acute tonsillitis</t>
  </si>
  <si>
    <t>Phlebitis,Thrombophlebitis</t>
  </si>
  <si>
    <t>Physical,emotional exhaustion in caregivers of children,adolescents with cancer</t>
  </si>
  <si>
    <t>Physical exertion,determination of heart rate,determination of blood pressure,oxygen level,pathological conditions,signs,symptoms</t>
  </si>
  <si>
    <t>Physical inactivity,low fruit,vegetable intake</t>
  </si>
  <si>
    <t>Physiotherapy,complications of heart disease,ill-defined heart disease,atherosclerotic heart disease</t>
  </si>
  <si>
    <t>Placement,adjustment of external breast prosthesis</t>
  </si>
  <si>
    <t>Polycystic Ovarian Syndrome,Health Volunteers</t>
  </si>
  <si>
    <t>Polymorphism,Genetic,Wounds,Injuries</t>
  </si>
  <si>
    <t>Polyp of colon,Malignant neoplasm of colon,Benign neoplasm of colon,rectum,anal canal,anus</t>
  </si>
  <si>
    <t>Population Dynamics,Accidental Falls,Sarcopenia,Frailty</t>
  </si>
  <si>
    <t>Post polio syndrome,muscular weakness,muscular fatigue,international classification of functioning,disability,health</t>
  </si>
  <si>
    <t>Post-eruptive changes in the color of the hard tissues of the teeth,Tooth whitening,Dental Pulp Capping Agents,Pulpectomy,Transcutaneous Monitoring of Blood Gas</t>
  </si>
  <si>
    <t>Postoperative complications,Insulin resistance,Malignant neoplasm of head,face,neck,Head,Neck Neoplasms</t>
  </si>
  <si>
    <t>postpartum women with blood type negative Rh,indirect coombs test negative,whose newborn is positive Rh</t>
  </si>
  <si>
    <t>Postural balance,Aging,International Classification of Functioning,Disability,Health</t>
  </si>
  <si>
    <t>postural balance,Training,condition cognitive,psychology,elderly woman</t>
  </si>
  <si>
    <t>Postural changes,weight bearing changes</t>
  </si>
  <si>
    <t>Postural deviations,Scoliosis,Kyphosis,lordosis</t>
  </si>
  <si>
    <t>pré-diabetes,type-2 diabetes patients</t>
  </si>
  <si>
    <t>Pregnancy in adolescence,Prenatal care,Supervision of primigravida very young,Assistance,examination of the nursing mother</t>
  </si>
  <si>
    <t>Pregnancy,childbirth,puerperium,Natural childbirth,Other single spontaneous delivery,Perineal laceration during delivery</t>
  </si>
  <si>
    <t>Pregnancy,childbirth,puerperium,normal birth,pregnant women,teenagers</t>
  </si>
  <si>
    <t>Pregnancy, childbirth,the puerperium,child development,depression</t>
  </si>
  <si>
    <t>Pregnancy, childbirth,the puerperium,labor,obstetric,labor stage,second,natural childbirth</t>
  </si>
  <si>
    <t>Pregnancy, childbirth,the puerperium. Pregnant women. Adult. First trimester of pregnancy</t>
  </si>
  <si>
    <t>Prematurity,mother stress</t>
  </si>
  <si>
    <t>Preoperative anxiety of children,their parents before surgery</t>
  </si>
  <si>
    <t>preparation,training of physiotherapists,healthy individuals,in palliative care,mainly in the in-hospital terminal,Intensive Care Unit,nursing ward,and how to develop their professional skills in this contex,Palliative Care,Palliative Care at the Terminal of Life,Bioethics,Physical Therapists</t>
  </si>
  <si>
    <t>Presence of biofilm,peri-implant mucositis in patients with dental implants</t>
  </si>
  <si>
    <t>Prevention,control,oral candidiasis,complete denture,Candida,probiotics,Lactobacillus</t>
  </si>
  <si>
    <t>Prevention of postoperative morbidity,represented by pain,trismus,edema in healthy human volunteers,after third molar removal surgery.Molar,third. Pain.Edema.Trismus</t>
  </si>
  <si>
    <t>Prevention of postoperative nausea,vomiting,pain in patient undergoing breast reconstruction after bariatric surgery</t>
  </si>
  <si>
    <t>Prevention of the ills caused by the ingestion of fat,advanced glycation end products (AGEs) in healthy women</t>
  </si>
  <si>
    <t>Prevention,nutritional,metabolic diseases,nutritional deficiency on exercise,carbohydrate metabolism</t>
  </si>
  <si>
    <t>Psychological stress. Anxiety. Sexuality. Urinary incontinence. International Classification of Functioning,Disability,Health</t>
  </si>
  <si>
    <t>Pulp,periapical tissue diseases</t>
  </si>
  <si>
    <t>Pulp,periapical tissue diseases,Chronic apical periodontitis,Pulp necrosis,Pulpitis,Acute apical periodontitis of pulp origin,Postoperative Pain,</t>
  </si>
  <si>
    <t>Pulp,periapical tissue diseases,Pulpitis</t>
  </si>
  <si>
    <t>pulpitis.,diseases of the pulp,periapical tissues</t>
  </si>
  <si>
    <t>quality of life,chewing,Total prosthesis,chewing,artificial teeth,quality of life,patient satisfaction</t>
  </si>
  <si>
    <t>Quality-Adjusted Life Years,Laryngeal Neoplasms,Rehabilitation of Speech,Language Disorders,Voice Disorders,Treatment Outcome</t>
  </si>
  <si>
    <t>Radiation-induced trismus,head,neck cancer,Benign neoplasm of connective tissue,other soft tissues of the head,face,neck,Trismus,Radiotherapy</t>
  </si>
  <si>
    <t>Radiodermatitis,Dermatitis,Breast Neoplasms,Head,Neck Neoplasms,</t>
  </si>
  <si>
    <t>radiological angles in Talipes Cavus,neuromuscular stretching technique with electric stimulation therapy</t>
  </si>
  <si>
    <t>Recurrent depressive disorder,Mixed anxiety,depressive disorder,Depression</t>
  </si>
  <si>
    <t>Reduced flexibility,range of motion ,Seniors</t>
  </si>
  <si>
    <t>Research volunteers are physically inactive,seemingly healthy adults,men with no physical exercise restriction</t>
  </si>
  <si>
    <t>Respiratory disease,acute respiratory failure,poisoning by drugs,medications,acute pain,allergies,digestive disorders</t>
  </si>
  <si>
    <t>Respiratory function,sitting posture</t>
  </si>
  <si>
    <t>Rheumatoid arthritis with involvement of other organs,systems/Rheumatoid arthritis</t>
  </si>
  <si>
    <t>rheumatoid arthritis,anxiety,depression,woman</t>
  </si>
  <si>
    <t>Rotator cuff lesions,adhesive capsulitis,glenohumeral instability,subacromial impingement</t>
  </si>
  <si>
    <t>Rupture of ligaments at ankle,foot level</t>
  </si>
  <si>
    <t>Sarcopenia,frailty</t>
  </si>
  <si>
    <t>Scamous Cell- Carcinoma of Head,Neck,Neoplasms,Positron Emission Tomography Computed Tomography</t>
  </si>
  <si>
    <t>school feeding,food preferences,food,nutrition education,food promotion,food planning,nutrition programs,nutritional epidemiology</t>
  </si>
  <si>
    <t>School feeding. Food,Nutrition Education. Food hygiene. Food,Nutrition Security. Legislation,food</t>
  </si>
  <si>
    <t>Sciatica Lumbar,other intervertebral disc disorders with radiculopathy</t>
  </si>
  <si>
    <t>Secondary hypertension,Unspecified hyperglycemia,Disorders of Lipoprotein Metabolism,Other Lipidemias</t>
  </si>
  <si>
    <t>Self-report of urinary loss,constipation,dyspareunia,female urogenital diseases,pregnancy complications,urinary incontinence</t>
  </si>
  <si>
    <t>senile cataract,complicated cataract,Degeneration of macula,posterior pole,Other disorders of the vitreous</t>
  </si>
  <si>
    <t>Sequelae of burns,corrodes,frostbite / sequela burns</t>
  </si>
  <si>
    <t>Sequelae of other specified infectious,parasitic diseases</t>
  </si>
  <si>
    <t>Sequelae of spinal cord injury,Paraplegia,tetraplegia</t>
  </si>
  <si>
    <t>Sequelae of stroke,Abnormality of gait,mobility</t>
  </si>
  <si>
    <t>Signs,symptoms in clinical findings,as darkened teeth</t>
  </si>
  <si>
    <t>Skin,connective tissue diseases,Infant,Newborn,Skin,Soaps,Skin Care</t>
  </si>
  <si>
    <t>Skin,subcutaneous tissue disorders</t>
  </si>
  <si>
    <t>Skin Neoplasms,transplant recipients,chemoprevention,Skin,Connective Tissue Diseases,Squamous Cell carcinoma,basal cell carcinoma,niacinamide</t>
  </si>
  <si>
    <t>Sleep Iniciation,Mantainance Disturbs,Intensive care unit</t>
  </si>
  <si>
    <t>Sleep Initiation,Maintenance Disorders</t>
  </si>
  <si>
    <t>Sleep initiation,maintenance disorders (insomnia)</t>
  </si>
  <si>
    <t>sleep,physical education,training</t>
  </si>
  <si>
    <t>Slow fetal growth,fetal malnutrition. Premature Birth. Hyaline Membrane Disease. Transient Tachypnea of the Newborn</t>
  </si>
  <si>
    <t>Some conditions originating in the perinatal period,pathological conditions,signs,symptoms,bacterial septicemia of the newborn</t>
  </si>
  <si>
    <t>Spastic paraplegia,spastic tetraplegia</t>
  </si>
  <si>
    <t>Spine posture,mobility of the Upper Limb</t>
  </si>
  <si>
    <t>Sprain,distention involving the cruciate ligament (anterior)</t>
  </si>
  <si>
    <t>Sprain,strain involving (anterior) (posterior) cruciate ligament of knee</t>
  </si>
  <si>
    <t>Sprain,strain involving knee (anterior) (posterior) cruciate ligament / anterior cruciate ligament</t>
  </si>
  <si>
    <t>Staphylococcal scalded skin syndrome. Impetigo [any organism] [any site]. Cutaneous abscess,furuncle,carbuncle of face. Cellulitis of finger,toe. Acute lymphadenitis of face,head,neck. Pilonidal cyst with abscess. Pyoderma</t>
  </si>
  <si>
    <t>Statistics on Sequelae,Disability</t>
  </si>
  <si>
    <t>Stomatitis,other diseases of lip,oral mucosa</t>
  </si>
  <si>
    <t>Stomatognathic diseases,pathological conditions,signs,symptoms,dental caries,dental fluorosis,tooth demineralization,dental erosion,tooth plaque</t>
  </si>
  <si>
    <t>Stomatognathic diseases,Pulp,periapical tissue diseases</t>
  </si>
  <si>
    <t>Stomatognathic diseases. Pathological conditions,signs,symptoms. Other specified disorders of teeth,supporting structures</t>
  </si>
  <si>
    <t>Stroke,balance,locomotion,transcranial direct current stimulation</t>
  </si>
  <si>
    <t>stroke,gait,balance functionality,quality of life</t>
  </si>
  <si>
    <t>stroke,multiple sclerosis,alzheimer disease,alcoholic polyneuropathy</t>
  </si>
  <si>
    <t>Stroke,not specified as hemorrhagic or ischemic,Occlusion,stenosis of the carotid artery,Carotid Stenosis,embolism</t>
  </si>
  <si>
    <t>stroke,physical therapy,rehabilitation,exercise</t>
  </si>
  <si>
    <t>Stroke. Abnormalities of gait,mobility</t>
  </si>
  <si>
    <t>Subjects suffering from diabetic neuropathic,vascular complications in the feet</t>
  </si>
  <si>
    <t>Symptom Assessment,General Symptoms,Statistics on Sequelae,Disability</t>
  </si>
  <si>
    <t>Symptoms,signs related to the emotional state,Obsessive-compulsive disorder</t>
  </si>
  <si>
    <t>Teachers with vocal,/ or musculoskeletal complaints</t>
  </si>
  <si>
    <t>Temporomandibular Joint Dysfunction Syndrome,Diseases of the musculoskeletal system,connective tissue</t>
  </si>
  <si>
    <t>Temporomandibular Joint Dysfunction Syndrome,Pathological conditions,signs,symptoms</t>
  </si>
  <si>
    <t>Term,late preterm newborns</t>
  </si>
  <si>
    <t>Test of tolerance to abnormal glucose,insulin-dependent diabetes mellitus</t>
  </si>
  <si>
    <t>Tests will be performed to verify that a negative expiratory pressure equipment has a sensitivity,specificity for identifying the presence of obstructive sleep apnea which is characterized as a sleep disorder in professional bus drivers subjects</t>
  </si>
  <si>
    <t>The diagnoses obtained through different models of diagnostic interviews (history taking) in psychiatry will be evaluated,compared. Such interviews will be evaluated as diagnostic tools,compared against LEAD (Longitudinal,Expert,All Data) obtained by an experienced psychiatrist. The following interviews will be studied: Free style interview (non-structured),semi-structured interview (Standard for Clinicians Interview in Psychiatry - SCIP,with McGill MINI - Narrative experiences of illness),totally structured interview (Structured Clinical Interview for Diagnosis - SCID or MINIplus). Diagnosis will be described through their codes in DSMIV,DSMIVtr or ICD-10</t>
  </si>
  <si>
    <t>The effect of grape juice consumption associated with aquatic exercise improves parameters of oxidative stress,epigenetics,functionality in participants with Parkinsons disease,Parkinson,exercise,diet</t>
  </si>
  <si>
    <t>The inadequate metabolic control of diabetes mellitus associated with chronic elevations of blood glucose can result in increased susceptibility to infections,among which are the oral infections. So you have to be wary of invasive procedures to prevent local infections,/ or systemic. This study aims to assess whether laboratory changes in fasting plasma glucose,glycated hemoglobin (Hb1AC) were related to clinical complications resulting from invasive dental treatment,so suggest values ??of fasting,Hb1AC that could be considered safe to avoid complications invasive dental procedures</t>
  </si>
  <si>
    <t>The patients in the study are apparently healthy,unrestricted women with physical exercise</t>
  </si>
  <si>
    <t>This project is an implementation study that aims to test an intervention to improve the monitoring of health care continuum (MCC) to people with HIV infection linked to SUS services in the state of São Paulo. The hypothesis is that the intervention will be able to intensify,improve the current monitoring activities in order to provide improvements in the care processes of PLWHA,the incorporation,use of the Clinical Monitoring System (SIMC) by the health services involved in the project</t>
  </si>
  <si>
    <t>Tonsillectomy,postoperative care,nausea,vomiting</t>
  </si>
  <si>
    <t>Tooth Loss,Men,Odontopathies,Other specified disorders of teeth,supporting structures</t>
  </si>
  <si>
    <t>Translation,cultural adaptation of the questionnaire into Brazilian Portuguese. This paper will not evaluate the effectiveness of the questionnaire in diagnosing children,but rather will test the cultural cohesion,adaptation of the translation of the Australian English questionnaire into Brazilian Portuguese</t>
  </si>
  <si>
    <t>Trauma to nerves,spinal cord at cervical level</t>
  </si>
  <si>
    <t>Traumatic brain injury,Critical illness polyneuropathy,myopathy,Muscle Weakness</t>
  </si>
  <si>
    <t>Trismus,radiation-induced fibrosis,head,neck cancer</t>
  </si>
  <si>
    <t>Troponin,creatine kinase,blood glucose,blood gas,electrolytes,C-reactive protein,lactate,blood count,total cardioplegia volume,number of doses,total aortic clamp time,extra-corporeal circulation,arrhythmias,acute myocardial infarction,need for hemodynamic support with an intra-aortic balloon,length of time using vasopressors or inotropic solutions,length of stay in the intensive care unit,transfusions of blood products,changes in the postoperative ejection fraction,mortality</t>
  </si>
  <si>
    <t>Two groups of intervention participants: (1) individuals without any underlying pathology or disease for toxicity assessment (2) individuals being treated for head,neck cancer by chemotherapy,radiotherapy,for assessment of anti-inflammatory profile on oral mucositis (stomatitis)</t>
  </si>
  <si>
    <t>Type 2 diabetes,disorders of sleep,daytime sleepiness,depression,restless legs syndrome,sedentarism</t>
  </si>
  <si>
    <t>Undescended testis,Hypospadias,Other congenital malformations of the urinary tract,prepuce hypertrophy,phimosis,paraphimosis,hydrocele,Spermatoceles,inguinal hernia,umbilical hernia,acute tonsillitis,tonsil diseases,unspecified adenoids,Other congenital malformations of the face,neck</t>
  </si>
  <si>
    <t>Unspecified Dementia,Vascular Dementia,Alzheimers Disease,Mild Cognitive Impairment, Depressive episodes,International Classification of Functioning,Disability,Health</t>
  </si>
  <si>
    <t>Unwanted pregnancies,Sexually Transmitted Diseases.Unwanted pregnancy. Contraception. Adolescent. Sexually Transmitted Diseases</t>
  </si>
  <si>
    <t>Urinary incontinence,sexual dysfunction,Pelvic floor,urinary incontinence,physiological sexual dysfunction,Physical Therapy Modalities</t>
  </si>
  <si>
    <t>Urinary retention,Postoperative Pain,Postoperative Nausea,Vomiting</t>
  </si>
  <si>
    <t>Vaginitis,vulvitis,vulvovaginitis in infectious,parasitic diseases classified elsewherea</t>
  </si>
  <si>
    <t>Ventricular hypertrophy,carotid atherosclerosis</t>
  </si>
  <si>
    <t>Verifie the sequelae of zika virus infection in fetuses,infants born of mothers with had the infection during the pregnancy ,particularly the involvement by microcephaly . This study aims to include healthy pregnant in the first trimester of pregnancy,follow them throughout the pregnancy,babies born of these being pregnant that were affected or not by the virus zika</t>
  </si>
  <si>
    <t>violence,maltreatment prevention against children</t>
  </si>
  <si>
    <t>Vitamin E deficiency or vitamin A in the mother,newborn,maternal supplementation</t>
  </si>
  <si>
    <t>Volunteers with partial edentulism in the mandible,total maxilla edentulism</t>
  </si>
  <si>
    <t>Volunteers,pathological conditions,signs,symptoms</t>
  </si>
  <si>
    <t>We will study subjects with morbid obesity,considered nutritional,metabolic disease,undergone bariatric surgery,for investigation of sleep disorders,especially obstructive sleep apnea</t>
  </si>
  <si>
    <t>Wit,Humor,Respiratory Tract Infections,Gastrointestinal Microbiome,Sleep Deprivation</t>
  </si>
  <si>
    <t>women complaining of vocal,larynx alteration,vocal folds without pathology</t>
  </si>
  <si>
    <t>Women with climacteric symptoms,State of menopause,female climacteric,Climacteric</t>
  </si>
  <si>
    <t>Wound Healing,Burns,Wounds,Injuries</t>
  </si>
  <si>
    <t>wounds,injuries</t>
  </si>
  <si>
    <t>Wounds,Injuries</t>
  </si>
  <si>
    <t>Wounds,injuries,bacterial infections,mycoses,bacterial infections,chemically-induced disorders,virus diseases,lung diseases,parasitic</t>
  </si>
  <si>
    <t>Wounds,injuries,Esthetics</t>
  </si>
  <si>
    <t>Wounds,injuries,nose,infant,premature</t>
  </si>
  <si>
    <t>Wounds,Injuries,Wound Healing</t>
  </si>
  <si>
    <t>Wounds,Injuries. Wound Healing</t>
  </si>
  <si>
    <t>Wounds,Injury</t>
  </si>
  <si>
    <t>Wounds,injury,Lower extremity,Negative pressure therapy,Skin transplantation,Surgical flaps</t>
  </si>
  <si>
    <t>Xerophthalmia,Ophthalmopathy,Lacrimal Apparatus Diseases,Other specified disorders of the eye,appendages</t>
  </si>
  <si>
    <t>Xerostomia,Saliva,Head,neck neoplasms</t>
  </si>
  <si>
    <t>Young adult,Injuries,injuries,</t>
  </si>
  <si>
    <t>Young adult,Muscular fatigue,Injuries,injuries,</t>
  </si>
  <si>
    <t>Young,healthy,sedentary women</t>
  </si>
  <si>
    <t>20 Health patients presenting photo aging skin</t>
  </si>
  <si>
    <t>accidental falls,exercise therapy,postural balance,aging</t>
  </si>
  <si>
    <t>Accidental Falls,Physical Therapy Specialty,Education,aging</t>
  </si>
  <si>
    <t>Adropause,Men,Adult,Middle aging</t>
  </si>
  <si>
    <t>Adult,middle aging women,overweight or obese,sedentary lifestyle,abdominal obesity,any morbidity presence such hypertension,hyperglycemia or dyslipidemias</t>
  </si>
  <si>
    <t>aging</t>
  </si>
  <si>
    <t>aging,80,over,sedentary,community elderly</t>
  </si>
  <si>
    <t>aging,Accidental Falls</t>
  </si>
  <si>
    <t>aging,accidental Falls,muscular fatigue,postural balance</t>
  </si>
  <si>
    <t>aging,Accidental falls,Prevention &amp; control,Health Education</t>
  </si>
  <si>
    <t>aging,Aging</t>
  </si>
  <si>
    <t>aging,Cognitive Dysfunction,Physical Functional Performance</t>
  </si>
  <si>
    <t>aging,Cognitive Function</t>
  </si>
  <si>
    <t>aging,Dementia,Unspecified dementia,Health of Institutionalized Elderly</t>
  </si>
  <si>
    <t>aging,diabetes mellitus,obesity</t>
  </si>
  <si>
    <t>aging,Diet,Healthy</t>
  </si>
  <si>
    <t>aging,Diet,Healthy,Food,Nutrition Education,Food Security,Nutritional Status</t>
  </si>
  <si>
    <t>aging,gait analysis</t>
  </si>
  <si>
    <t>aging,Healthy Volunteer,accidental falls</t>
  </si>
  <si>
    <t>aging,Knee Osteoarthritis</t>
  </si>
  <si>
    <t>aging,knee,osteoarthritis,exercise movement techniques</t>
  </si>
  <si>
    <t>aging,Overweight,Woman</t>
  </si>
  <si>
    <t>aging,postural balance,gait</t>
  </si>
  <si>
    <t>aging,postural balance,gait,cognition</t>
  </si>
  <si>
    <t>aging,postural balance,gait,cognition,breath</t>
  </si>
  <si>
    <t>aging,Postural Balance,Orthotic Devices</t>
  </si>
  <si>
    <t>aging,Potentially Inappropriate Medication List,Clonazepam</t>
  </si>
  <si>
    <t>aging,sarcopenia,balance,fall</t>
  </si>
  <si>
    <t>aging,Sedantary lifestyle,Comprehensive health care</t>
  </si>
  <si>
    <t>aging,Sexually Transmitted Diseases</t>
  </si>
  <si>
    <t>Alzheimer Disease,Dementia in Alzheimers Disease,aging</t>
  </si>
  <si>
    <t>Aortic (valve) stenosis,Aortic Valve Stenosis,Rheumatic aortic stenosis,aging</t>
  </si>
  <si>
    <t>body composition,aging</t>
  </si>
  <si>
    <t>Cardiorespiratory Fitness,aging</t>
  </si>
  <si>
    <t>cardiovascular diseases,aging</t>
  </si>
  <si>
    <t>chronic low back pain,aging</t>
  </si>
  <si>
    <t>Cognition,aging</t>
  </si>
  <si>
    <t>Cognition,Mental Health,aging,Hope,Depression</t>
  </si>
  <si>
    <t>Depression,aging</t>
  </si>
  <si>
    <t>Diabetes Mellitus,aging</t>
  </si>
  <si>
    <t>Disorders of vestibular function,aging</t>
  </si>
  <si>
    <t>Dysphonia,aging,rehabilitation,voice disorders</t>
  </si>
  <si>
    <t>edentulism in older people,edentulous jaw,aging</t>
  </si>
  <si>
    <t>Falls,muscle strength,balance,anthropometry,aging</t>
  </si>
  <si>
    <t>Health Services for the aging,Low Back Pain,Accidental Falls</t>
  </si>
  <si>
    <t>Healthy volunteers,aging</t>
  </si>
  <si>
    <t>Healthy volunteers,aging,middle aging,women</t>
  </si>
  <si>
    <t>hip fracture,aging patient,pain</t>
  </si>
  <si>
    <t>Homes for the aging</t>
  </si>
  <si>
    <t>Hypertension,aging,80,over,</t>
  </si>
  <si>
    <t>Masseter thickness,masticatory performance,oral stereognosis,oral sensory function,tongue force,aging</t>
  </si>
  <si>
    <t>Mental behavioral disorders,aging</t>
  </si>
  <si>
    <t>Muscle fatigue,aging</t>
  </si>
  <si>
    <t>Muscle Strength,aging</t>
  </si>
  <si>
    <t>Muscle strength,postural balance,aging</t>
  </si>
  <si>
    <t>Musculoskeletal diseases,aging</t>
  </si>
  <si>
    <t>Musculoskeletal diseases,muscle strength,Motion Perception,Health Services for the aging</t>
  </si>
  <si>
    <t>Nutritional,metabolic diseases,Foods for Persons Engaging in Physical Activities,Athletes,Diet,Carbohydrate Loading</t>
  </si>
  <si>
    <t>Osteoporosis,Musculoskeletal System,Accidental Falls,aging</t>
  </si>
  <si>
    <t>Parkinsons disease,aging</t>
  </si>
  <si>
    <t>Pathological conditions,signs,symptoms,aging</t>
  </si>
  <si>
    <t>Patient discharge,aging</t>
  </si>
  <si>
    <t>Postural Balance,posture,aging</t>
  </si>
  <si>
    <t>postural balance,range of motion articular,aging,muscle stretching exercises</t>
  </si>
  <si>
    <t>Postural imbalance,thoracic Kyphosis,aging</t>
  </si>
  <si>
    <t>Prehypertension,Hypentension,Elderly,aging,Post-Exercise Hypotension</t>
  </si>
  <si>
    <t>Prevention,aging,pelvic floor,problems,exercises,muscle weakness</t>
  </si>
  <si>
    <t>sarcopenia,aging</t>
  </si>
  <si>
    <t>Sarcopenia,aging</t>
  </si>
  <si>
    <t>Sedentary behaviour,Coronavirus as the cause of diseases classified to other chapters,Coronavirus Infections,Healthy Aging,Cognition,aging</t>
  </si>
  <si>
    <t>Sedentary Lifestyle,aging</t>
  </si>
  <si>
    <t>Sedentary Lifestyle,aging,Middle aging,Women</t>
  </si>
  <si>
    <t>study conducted through the semen analysis of men with a healthy lifestyle,aging 20 to 49 years,from the five regions of Brazil</t>
  </si>
  <si>
    <t>Symptoms of tinnitus,aging</t>
  </si>
  <si>
    <t>Systemic arterial hypertension,aging</t>
  </si>
  <si>
    <t>the study is conducted in healthy humans belonging to the population of men,women aging between 18,60 years. Intervention volunteers must be fit for physical activity,with body mass classified as normal,literate,Mild Cognitive Disorder,unspecified dementia,Picks disease dementia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</si>
</sst>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14" fontId="0" fillId="0" borderId="0" xfId="0" applyNumberFormat="1"/>
    <xf numFmtId="0" fontId="0" fillId="0" borderId="0" xfId="0" applyAlignment="1">
      <alignment vertical="center"/>
    </xf>
    <xf numFmtId="49" fontId="0" fillId="0" borderId="0" xfId="0" applyNumberFormat="1"/>
    <xf numFmtId="0" fontId="0" fillId="0"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704603-FF26-4C9D-AEC9-3F731739C9C7}">
  <dimension ref="A1:N5999"/>
  <sheetViews>
    <sheetView tabSelected="1" zoomScaleNormal="100" workbookViewId="0">
      <pane ySplit="1" topLeftCell="A4329" activePane="bottomLeft" state="frozen"/>
      <selection pane="bottomLeft" activeCell="E1" sqref="E1:E1048576"/>
    </sheetView>
  </sheetViews>
  <sheetFormatPr defaultRowHeight="15" x14ac:dyDescent="0.25"/>
  <cols>
    <col min="1" max="1" width="65.85546875" customWidth="1"/>
    <col min="2" max="2" width="9.140625" hidden="1" customWidth="1"/>
    <col min="3" max="3" width="10.7109375" hidden="1" customWidth="1"/>
    <col min="4" max="4" width="9.140625" hidden="1" customWidth="1"/>
    <col min="5" max="5" width="35.85546875" customWidth="1"/>
    <col min="6" max="6" width="21.28515625" customWidth="1"/>
    <col min="7" max="9" width="0" hidden="1" customWidth="1"/>
    <col min="10" max="10" width="8.5703125" style="3" hidden="1" customWidth="1"/>
    <col min="11" max="11" width="7.140625" hidden="1" customWidth="1"/>
    <col min="12" max="12" width="52.85546875" hidden="1" customWidth="1"/>
    <col min="13" max="13" width="24.85546875" customWidth="1"/>
  </cols>
  <sheetData>
    <row r="1" spans="1:13" x14ac:dyDescent="0.25">
      <c r="A1" t="s">
        <v>0</v>
      </c>
      <c r="B1" t="s">
        <v>1</v>
      </c>
      <c r="C1" t="s">
        <v>2</v>
      </c>
      <c r="D1" t="s">
        <v>3</v>
      </c>
      <c r="E1" t="s">
        <v>4</v>
      </c>
      <c r="F1" t="s">
        <v>5</v>
      </c>
      <c r="G1" t="s">
        <v>6</v>
      </c>
      <c r="H1" t="s">
        <v>7</v>
      </c>
      <c r="I1" t="s">
        <v>8</v>
      </c>
      <c r="J1" s="3" t="s">
        <v>9</v>
      </c>
      <c r="K1" t="s">
        <v>10</v>
      </c>
      <c r="L1" t="s">
        <v>11</v>
      </c>
      <c r="M1" t="s">
        <v>32201</v>
      </c>
    </row>
    <row r="2" spans="1:13" x14ac:dyDescent="0.25">
      <c r="A2" t="s">
        <v>14424</v>
      </c>
      <c r="B2" t="s">
        <v>13</v>
      </c>
      <c r="C2" s="1">
        <v>43862</v>
      </c>
      <c r="D2" t="s">
        <v>14425</v>
      </c>
      <c r="E2" t="s">
        <v>32206</v>
      </c>
      <c r="F2" t="s">
        <v>785</v>
      </c>
      <c r="G2" t="s">
        <v>14426</v>
      </c>
      <c r="H2" t="s">
        <v>265</v>
      </c>
      <c r="I2" t="s">
        <v>19</v>
      </c>
      <c r="J2" s="3" t="s">
        <v>14427</v>
      </c>
      <c r="K2" t="s">
        <v>14428</v>
      </c>
      <c r="L2" t="s">
        <v>9922</v>
      </c>
      <c r="M2" t="s">
        <v>785</v>
      </c>
    </row>
    <row r="3" spans="1:13" x14ac:dyDescent="0.25">
      <c r="A3" t="s">
        <v>18999</v>
      </c>
      <c r="B3" t="s">
        <v>13</v>
      </c>
      <c r="C3" t="s">
        <v>12812</v>
      </c>
      <c r="D3" t="s">
        <v>19000</v>
      </c>
      <c r="E3" s="2" t="s">
        <v>31216</v>
      </c>
      <c r="F3" t="s">
        <v>1464</v>
      </c>
      <c r="G3" t="s">
        <v>19001</v>
      </c>
      <c r="H3" t="s">
        <v>18</v>
      </c>
      <c r="I3" t="s">
        <v>19</v>
      </c>
      <c r="J3" s="3" t="s">
        <v>19002</v>
      </c>
      <c r="K3" t="s">
        <v>19003</v>
      </c>
      <c r="L3" t="s">
        <v>285</v>
      </c>
      <c r="M3" t="s">
        <v>32121</v>
      </c>
    </row>
    <row r="4" spans="1:13" x14ac:dyDescent="0.25">
      <c r="A4" t="s">
        <v>26483</v>
      </c>
      <c r="B4" t="s">
        <v>13</v>
      </c>
      <c r="C4" t="s">
        <v>13644</v>
      </c>
      <c r="D4" t="s">
        <v>26484</v>
      </c>
      <c r="E4" t="s">
        <v>14137</v>
      </c>
      <c r="F4" t="s">
        <v>741</v>
      </c>
      <c r="G4" t="s">
        <v>14138</v>
      </c>
      <c r="H4" t="s">
        <v>352</v>
      </c>
      <c r="I4" t="s">
        <v>19</v>
      </c>
      <c r="J4" s="3" t="s">
        <v>14139</v>
      </c>
      <c r="K4" t="s">
        <v>14140</v>
      </c>
      <c r="L4" t="s">
        <v>14141</v>
      </c>
      <c r="M4" t="s">
        <v>741</v>
      </c>
    </row>
    <row r="5" spans="1:13" x14ac:dyDescent="0.25">
      <c r="A5" t="s">
        <v>14135</v>
      </c>
      <c r="B5" t="s">
        <v>13</v>
      </c>
      <c r="C5" s="1">
        <v>42494</v>
      </c>
      <c r="D5" t="s">
        <v>14136</v>
      </c>
      <c r="E5" t="s">
        <v>14137</v>
      </c>
      <c r="F5" t="s">
        <v>741</v>
      </c>
      <c r="G5" t="s">
        <v>14138</v>
      </c>
      <c r="H5" t="s">
        <v>352</v>
      </c>
      <c r="I5" t="s">
        <v>19</v>
      </c>
      <c r="J5" s="3" t="s">
        <v>14139</v>
      </c>
      <c r="K5" t="s">
        <v>14140</v>
      </c>
      <c r="L5" t="s">
        <v>14141</v>
      </c>
      <c r="M5" t="s">
        <v>741</v>
      </c>
    </row>
    <row r="6" spans="1:13" x14ac:dyDescent="0.25">
      <c r="A6" t="s">
        <v>6430</v>
      </c>
      <c r="B6" t="s">
        <v>101</v>
      </c>
      <c r="C6" s="1">
        <v>44478</v>
      </c>
      <c r="D6" t="s">
        <v>32135</v>
      </c>
      <c r="E6" s="2" t="s">
        <v>31966</v>
      </c>
      <c r="F6" t="s">
        <v>33</v>
      </c>
      <c r="G6" t="s">
        <v>6432</v>
      </c>
      <c r="H6" t="s">
        <v>36</v>
      </c>
      <c r="I6" t="s">
        <v>19</v>
      </c>
      <c r="J6" s="3" t="s">
        <v>6433</v>
      </c>
      <c r="K6" t="s">
        <v>6434</v>
      </c>
      <c r="L6" t="s">
        <v>32135</v>
      </c>
      <c r="M6" t="s">
        <v>57</v>
      </c>
    </row>
    <row r="7" spans="1:13" x14ac:dyDescent="0.25">
      <c r="A7" t="s">
        <v>24318</v>
      </c>
      <c r="B7" t="s">
        <v>13</v>
      </c>
      <c r="C7" s="1">
        <v>42891</v>
      </c>
      <c r="D7" t="s">
        <v>24319</v>
      </c>
      <c r="E7" t="s">
        <v>32734</v>
      </c>
      <c r="F7" t="s">
        <v>4639</v>
      </c>
      <c r="G7" t="s">
        <v>24320</v>
      </c>
      <c r="H7" t="s">
        <v>24321</v>
      </c>
      <c r="I7" t="s">
        <v>19</v>
      </c>
      <c r="J7" s="3" t="s">
        <v>24322</v>
      </c>
      <c r="K7" t="s">
        <v>24323</v>
      </c>
      <c r="L7" t="s">
        <v>24324</v>
      </c>
      <c r="M7" t="s">
        <v>785</v>
      </c>
    </row>
    <row r="8" spans="1:13" x14ac:dyDescent="0.25">
      <c r="A8" t="s">
        <v>13129</v>
      </c>
      <c r="B8" t="s">
        <v>101</v>
      </c>
      <c r="C8" s="1">
        <v>44046</v>
      </c>
      <c r="D8" t="s">
        <v>13130</v>
      </c>
      <c r="E8" t="s">
        <v>13131</v>
      </c>
      <c r="F8" t="s">
        <v>1464</v>
      </c>
      <c r="G8" t="s">
        <v>13132</v>
      </c>
      <c r="H8" t="s">
        <v>265</v>
      </c>
      <c r="I8" t="s">
        <v>19</v>
      </c>
      <c r="J8" s="3" t="s">
        <v>13133</v>
      </c>
      <c r="K8" t="s">
        <v>13134</v>
      </c>
      <c r="L8" t="s">
        <v>4230</v>
      </c>
      <c r="M8" t="s">
        <v>32121</v>
      </c>
    </row>
    <row r="9" spans="1:13" x14ac:dyDescent="0.25">
      <c r="A9" t="s">
        <v>22362</v>
      </c>
      <c r="B9" t="s">
        <v>13</v>
      </c>
      <c r="C9" s="1">
        <v>43102</v>
      </c>
      <c r="D9" t="s">
        <v>22363</v>
      </c>
      <c r="E9" s="2" t="s">
        <v>32197</v>
      </c>
      <c r="F9" t="s">
        <v>1464</v>
      </c>
      <c r="G9" t="s">
        <v>18948</v>
      </c>
      <c r="H9" t="s">
        <v>1486</v>
      </c>
      <c r="I9" t="s">
        <v>19</v>
      </c>
      <c r="J9" s="3" t="s">
        <v>18949</v>
      </c>
      <c r="K9" t="s">
        <v>18950</v>
      </c>
      <c r="L9" t="s">
        <v>1489</v>
      </c>
      <c r="M9" t="s">
        <v>32147</v>
      </c>
    </row>
    <row r="10" spans="1:13" x14ac:dyDescent="0.25">
      <c r="A10" t="s">
        <v>22103</v>
      </c>
      <c r="B10" t="s">
        <v>13</v>
      </c>
      <c r="C10" s="1">
        <v>43134</v>
      </c>
      <c r="D10" t="s">
        <v>22104</v>
      </c>
      <c r="E10" t="s">
        <v>32207</v>
      </c>
      <c r="F10" t="s">
        <v>32147</v>
      </c>
      <c r="G10" t="s">
        <v>22105</v>
      </c>
      <c r="H10" t="s">
        <v>265</v>
      </c>
      <c r="I10" t="s">
        <v>19</v>
      </c>
      <c r="J10" s="3" t="s">
        <v>22106</v>
      </c>
      <c r="K10" t="s">
        <v>22107</v>
      </c>
      <c r="L10" t="s">
        <v>22108</v>
      </c>
      <c r="M10" t="s">
        <v>32147</v>
      </c>
    </row>
    <row r="11" spans="1:13" x14ac:dyDescent="0.25">
      <c r="A11" t="s">
        <v>17180</v>
      </c>
      <c r="B11" t="s">
        <v>13</v>
      </c>
      <c r="C11" s="1">
        <v>43683</v>
      </c>
      <c r="D11" t="s">
        <v>17181</v>
      </c>
      <c r="E11" t="s">
        <v>17182</v>
      </c>
      <c r="F11" t="s">
        <v>2758</v>
      </c>
      <c r="G11" t="s">
        <v>1621</v>
      </c>
      <c r="H11" t="s">
        <v>1622</v>
      </c>
      <c r="I11" t="s">
        <v>19</v>
      </c>
      <c r="J11" s="3" t="s">
        <v>1623</v>
      </c>
      <c r="K11" t="s">
        <v>1624</v>
      </c>
      <c r="L11" t="s">
        <v>10697</v>
      </c>
      <c r="M11" t="s">
        <v>32149</v>
      </c>
    </row>
    <row r="12" spans="1:13" x14ac:dyDescent="0.25">
      <c r="A12" t="s">
        <v>16085</v>
      </c>
      <c r="B12" t="s">
        <v>13</v>
      </c>
      <c r="C12" t="s">
        <v>7263</v>
      </c>
      <c r="D12" t="s">
        <v>16086</v>
      </c>
      <c r="E12" t="s">
        <v>32208</v>
      </c>
      <c r="F12" t="s">
        <v>57</v>
      </c>
      <c r="G12" t="s">
        <v>2178</v>
      </c>
      <c r="H12" t="s">
        <v>2112</v>
      </c>
      <c r="I12" t="s">
        <v>19</v>
      </c>
      <c r="J12" s="3">
        <f>55-45-32207344</f>
        <v>-32207334</v>
      </c>
      <c r="K12" t="s">
        <v>14019</v>
      </c>
      <c r="L12" t="s">
        <v>14020</v>
      </c>
      <c r="M12" t="s">
        <v>57</v>
      </c>
    </row>
    <row r="13" spans="1:13" x14ac:dyDescent="0.25">
      <c r="A13" t="s">
        <v>25441</v>
      </c>
      <c r="B13" t="s">
        <v>13</v>
      </c>
      <c r="C13" t="s">
        <v>25410</v>
      </c>
      <c r="D13" t="s">
        <v>25442</v>
      </c>
      <c r="E13" t="s">
        <v>25443</v>
      </c>
      <c r="F13" t="s">
        <v>4639</v>
      </c>
      <c r="G13" t="s">
        <v>21252</v>
      </c>
      <c r="H13" t="s">
        <v>1466</v>
      </c>
      <c r="I13" t="s">
        <v>19</v>
      </c>
      <c r="J13" s="3" t="s">
        <v>24150</v>
      </c>
      <c r="K13" t="s">
        <v>25444</v>
      </c>
      <c r="L13" t="s">
        <v>25172</v>
      </c>
      <c r="M13" t="s">
        <v>32145</v>
      </c>
    </row>
    <row r="14" spans="1:13" x14ac:dyDescent="0.25">
      <c r="A14" t="s">
        <v>25854</v>
      </c>
      <c r="B14" t="s">
        <v>101</v>
      </c>
      <c r="C14" t="s">
        <v>25855</v>
      </c>
      <c r="D14" t="s">
        <v>25856</v>
      </c>
      <c r="E14" t="s">
        <v>32209</v>
      </c>
      <c r="F14" t="s">
        <v>337</v>
      </c>
      <c r="G14" t="s">
        <v>25857</v>
      </c>
      <c r="H14" t="s">
        <v>21441</v>
      </c>
      <c r="I14" t="s">
        <v>19</v>
      </c>
      <c r="J14" s="3" t="s">
        <v>25858</v>
      </c>
      <c r="K14" t="s">
        <v>25859</v>
      </c>
      <c r="L14" t="s">
        <v>1030</v>
      </c>
      <c r="M14" t="s">
        <v>337</v>
      </c>
    </row>
    <row r="15" spans="1:13" x14ac:dyDescent="0.25">
      <c r="A15" t="s">
        <v>26975</v>
      </c>
      <c r="B15" t="s">
        <v>13</v>
      </c>
      <c r="C15" s="1">
        <v>42371</v>
      </c>
      <c r="D15" t="s">
        <v>26976</v>
      </c>
      <c r="E15" t="s">
        <v>26977</v>
      </c>
      <c r="F15" t="s">
        <v>4639</v>
      </c>
      <c r="G15" t="s">
        <v>26978</v>
      </c>
      <c r="H15" t="s">
        <v>36</v>
      </c>
      <c r="I15" t="s">
        <v>19</v>
      </c>
      <c r="J15" s="3" t="s">
        <v>26979</v>
      </c>
      <c r="K15" t="s">
        <v>26980</v>
      </c>
      <c r="L15" t="s">
        <v>439</v>
      </c>
      <c r="M15" t="s">
        <v>785</v>
      </c>
    </row>
    <row r="16" spans="1:13" x14ac:dyDescent="0.25">
      <c r="A16" t="s">
        <v>28825</v>
      </c>
      <c r="B16" t="s">
        <v>13</v>
      </c>
      <c r="C16" s="1">
        <v>41770</v>
      </c>
      <c r="D16" t="s">
        <v>28826</v>
      </c>
      <c r="E16" t="s">
        <v>28827</v>
      </c>
      <c r="F16" t="s">
        <v>6656</v>
      </c>
      <c r="G16" t="s">
        <v>28828</v>
      </c>
      <c r="H16" t="s">
        <v>18</v>
      </c>
      <c r="I16" t="s">
        <v>19</v>
      </c>
      <c r="J16" s="3" t="s">
        <v>28829</v>
      </c>
      <c r="K16" t="s">
        <v>28830</v>
      </c>
      <c r="L16" t="s">
        <v>841</v>
      </c>
      <c r="M16" t="s">
        <v>6656</v>
      </c>
    </row>
    <row r="17" spans="1:13" x14ac:dyDescent="0.25">
      <c r="A17" t="s">
        <v>5585</v>
      </c>
      <c r="B17" t="s">
        <v>13</v>
      </c>
      <c r="C17" t="s">
        <v>5577</v>
      </c>
      <c r="D17" t="s">
        <v>5586</v>
      </c>
      <c r="E17" t="s">
        <v>5587</v>
      </c>
      <c r="F17" t="s">
        <v>5588</v>
      </c>
      <c r="G17" t="s">
        <v>5589</v>
      </c>
      <c r="H17" t="s">
        <v>229</v>
      </c>
      <c r="I17" t="s">
        <v>19</v>
      </c>
      <c r="J17" s="3">
        <f>55-11-49935453</f>
        <v>-49935409</v>
      </c>
      <c r="K17" t="s">
        <v>231</v>
      </c>
      <c r="L17" t="s">
        <v>32135</v>
      </c>
      <c r="M17" t="s">
        <v>771</v>
      </c>
    </row>
    <row r="18" spans="1:13" x14ac:dyDescent="0.25">
      <c r="A18" t="s">
        <v>26613</v>
      </c>
      <c r="B18" t="s">
        <v>13</v>
      </c>
      <c r="C18" s="1">
        <v>42494</v>
      </c>
      <c r="D18" t="s">
        <v>26614</v>
      </c>
      <c r="E18" t="s">
        <v>26615</v>
      </c>
      <c r="F18" t="s">
        <v>2036</v>
      </c>
      <c r="G18" t="s">
        <v>26616</v>
      </c>
      <c r="H18" t="s">
        <v>45</v>
      </c>
      <c r="I18" t="s">
        <v>19</v>
      </c>
      <c r="J18" s="3">
        <v>5585997663814</v>
      </c>
      <c r="K18" t="s">
        <v>26617</v>
      </c>
      <c r="L18" t="s">
        <v>1909</v>
      </c>
      <c r="M18" t="s">
        <v>57</v>
      </c>
    </row>
    <row r="19" spans="1:13" x14ac:dyDescent="0.25">
      <c r="A19" t="s">
        <v>17030</v>
      </c>
      <c r="B19" t="s">
        <v>13</v>
      </c>
      <c r="C19" t="s">
        <v>18302</v>
      </c>
      <c r="D19" t="s">
        <v>18313</v>
      </c>
      <c r="E19" t="s">
        <v>18314</v>
      </c>
      <c r="F19" t="s">
        <v>3785</v>
      </c>
      <c r="G19" t="s">
        <v>18315</v>
      </c>
      <c r="H19" t="s">
        <v>1335</v>
      </c>
      <c r="I19" t="s">
        <v>19</v>
      </c>
      <c r="J19" s="3" t="s">
        <v>18316</v>
      </c>
      <c r="K19" t="s">
        <v>17033</v>
      </c>
      <c r="L19" t="s">
        <v>17034</v>
      </c>
      <c r="M19" t="s">
        <v>337</v>
      </c>
    </row>
    <row r="20" spans="1:13" x14ac:dyDescent="0.25">
      <c r="A20" t="s">
        <v>5782</v>
      </c>
      <c r="B20" t="s">
        <v>13</v>
      </c>
      <c r="C20" s="1">
        <v>44266</v>
      </c>
      <c r="D20" t="s">
        <v>5783</v>
      </c>
      <c r="E20" s="2" t="s">
        <v>30859</v>
      </c>
      <c r="F20" t="s">
        <v>5784</v>
      </c>
      <c r="G20" t="s">
        <v>5785</v>
      </c>
      <c r="H20" t="s">
        <v>36</v>
      </c>
      <c r="I20" t="s">
        <v>19</v>
      </c>
      <c r="J20" s="3" t="s">
        <v>5786</v>
      </c>
      <c r="K20" t="s">
        <v>5787</v>
      </c>
      <c r="L20" t="s">
        <v>32135</v>
      </c>
      <c r="M20" t="s">
        <v>32144</v>
      </c>
    </row>
    <row r="21" spans="1:13" x14ac:dyDescent="0.25">
      <c r="A21" t="s">
        <v>28637</v>
      </c>
      <c r="B21" t="s">
        <v>13</v>
      </c>
      <c r="C21" s="1">
        <v>42126</v>
      </c>
      <c r="D21" t="s">
        <v>28638</v>
      </c>
      <c r="E21" t="s">
        <v>32210</v>
      </c>
      <c r="F21" t="s">
        <v>3084</v>
      </c>
      <c r="G21" t="s">
        <v>28639</v>
      </c>
      <c r="H21" t="s">
        <v>36</v>
      </c>
      <c r="I21" t="s">
        <v>19</v>
      </c>
      <c r="J21" s="3" t="s">
        <v>28640</v>
      </c>
      <c r="K21" t="s">
        <v>3082</v>
      </c>
      <c r="L21" t="s">
        <v>3083</v>
      </c>
      <c r="M21" t="s">
        <v>32144</v>
      </c>
    </row>
    <row r="22" spans="1:13" x14ac:dyDescent="0.25">
      <c r="A22" t="s">
        <v>17516</v>
      </c>
      <c r="B22" t="s">
        <v>13</v>
      </c>
      <c r="C22" s="1">
        <v>43621</v>
      </c>
      <c r="D22" t="s">
        <v>17517</v>
      </c>
      <c r="E22" s="2" t="s">
        <v>32211</v>
      </c>
      <c r="F22" t="s">
        <v>3084</v>
      </c>
      <c r="G22" t="s">
        <v>3080</v>
      </c>
      <c r="H22" t="s">
        <v>36</v>
      </c>
      <c r="I22" t="s">
        <v>19</v>
      </c>
      <c r="J22" s="3" t="s">
        <v>17518</v>
      </c>
      <c r="K22" t="s">
        <v>3082</v>
      </c>
      <c r="L22" t="s">
        <v>3083</v>
      </c>
      <c r="M22" t="s">
        <v>32144</v>
      </c>
    </row>
    <row r="23" spans="1:13" x14ac:dyDescent="0.25">
      <c r="A23" t="s">
        <v>14703</v>
      </c>
      <c r="B23" t="s">
        <v>13</v>
      </c>
      <c r="C23" s="1">
        <v>43597</v>
      </c>
      <c r="D23" t="s">
        <v>14704</v>
      </c>
      <c r="E23" t="s">
        <v>5720</v>
      </c>
      <c r="F23" t="s">
        <v>11797</v>
      </c>
      <c r="G23" t="s">
        <v>14705</v>
      </c>
      <c r="H23" t="s">
        <v>45</v>
      </c>
      <c r="I23" t="s">
        <v>19</v>
      </c>
      <c r="J23" s="3" t="s">
        <v>14706</v>
      </c>
      <c r="K23" t="s">
        <v>14707</v>
      </c>
      <c r="L23" t="s">
        <v>2189</v>
      </c>
      <c r="M23" t="s">
        <v>337</v>
      </c>
    </row>
    <row r="24" spans="1:13" x14ac:dyDescent="0.25">
      <c r="A24" t="s">
        <v>25317</v>
      </c>
      <c r="B24" t="s">
        <v>13</v>
      </c>
      <c r="C24" t="s">
        <v>25318</v>
      </c>
      <c r="D24" t="s">
        <v>25319</v>
      </c>
      <c r="E24" t="s">
        <v>32735</v>
      </c>
      <c r="F24" t="s">
        <v>2036</v>
      </c>
      <c r="G24" t="s">
        <v>17814</v>
      </c>
      <c r="H24" t="s">
        <v>798</v>
      </c>
      <c r="I24" t="s">
        <v>19</v>
      </c>
      <c r="J24" s="3" t="s">
        <v>17815</v>
      </c>
      <c r="K24" t="s">
        <v>17816</v>
      </c>
      <c r="L24" t="s">
        <v>1767</v>
      </c>
      <c r="M24" t="s">
        <v>57</v>
      </c>
    </row>
    <row r="25" spans="1:13" x14ac:dyDescent="0.25">
      <c r="A25" t="s">
        <v>6127</v>
      </c>
      <c r="B25" t="s">
        <v>13</v>
      </c>
      <c r="C25" t="s">
        <v>6128</v>
      </c>
      <c r="D25" t="s">
        <v>6129</v>
      </c>
      <c r="E25" s="2" t="s">
        <v>30875</v>
      </c>
      <c r="F25" t="s">
        <v>6130</v>
      </c>
      <c r="G25" t="s">
        <v>6131</v>
      </c>
      <c r="H25" t="s">
        <v>71</v>
      </c>
      <c r="I25" t="s">
        <v>19</v>
      </c>
      <c r="J25" s="3">
        <f>55-86-32155558</f>
        <v>-32155589</v>
      </c>
      <c r="K25" t="s">
        <v>6132</v>
      </c>
      <c r="L25" t="s">
        <v>74</v>
      </c>
      <c r="M25" t="s">
        <v>337</v>
      </c>
    </row>
    <row r="26" spans="1:13" x14ac:dyDescent="0.25">
      <c r="A26" t="s">
        <v>8156</v>
      </c>
      <c r="B26" t="s">
        <v>13</v>
      </c>
      <c r="C26" s="1">
        <v>44502</v>
      </c>
      <c r="D26" t="s">
        <v>32135</v>
      </c>
      <c r="E26" s="2" t="s">
        <v>32736</v>
      </c>
      <c r="F26" t="s">
        <v>5720</v>
      </c>
      <c r="G26" t="s">
        <v>8157</v>
      </c>
      <c r="H26" t="s">
        <v>8158</v>
      </c>
      <c r="I26" t="s">
        <v>19</v>
      </c>
      <c r="J26" s="3" t="s">
        <v>8159</v>
      </c>
      <c r="K26" t="s">
        <v>8160</v>
      </c>
      <c r="L26" t="s">
        <v>32135</v>
      </c>
      <c r="M26" t="s">
        <v>1775</v>
      </c>
    </row>
    <row r="27" spans="1:13" x14ac:dyDescent="0.25">
      <c r="A27" t="s">
        <v>15590</v>
      </c>
      <c r="B27" t="s">
        <v>13</v>
      </c>
      <c r="C27" s="1">
        <v>43748</v>
      </c>
      <c r="D27" t="s">
        <v>15591</v>
      </c>
      <c r="E27" s="2" t="s">
        <v>31133</v>
      </c>
      <c r="F27" t="s">
        <v>2036</v>
      </c>
      <c r="G27" t="s">
        <v>3896</v>
      </c>
      <c r="H27" t="s">
        <v>141</v>
      </c>
      <c r="I27" t="s">
        <v>19</v>
      </c>
      <c r="J27" s="3">
        <f>55-82-33156809</f>
        <v>-33156836</v>
      </c>
      <c r="K27" t="s">
        <v>3897</v>
      </c>
      <c r="L27" t="s">
        <v>3898</v>
      </c>
      <c r="M27" t="s">
        <v>57</v>
      </c>
    </row>
    <row r="28" spans="1:13" x14ac:dyDescent="0.25">
      <c r="A28" t="s">
        <v>16848</v>
      </c>
      <c r="B28" t="s">
        <v>13</v>
      </c>
      <c r="C28" s="1">
        <v>43592</v>
      </c>
      <c r="D28" t="s">
        <v>16849</v>
      </c>
      <c r="E28" s="2" t="s">
        <v>31163</v>
      </c>
      <c r="F28" t="s">
        <v>2036</v>
      </c>
      <c r="G28" t="s">
        <v>622</v>
      </c>
      <c r="H28" t="s">
        <v>489</v>
      </c>
      <c r="I28" t="s">
        <v>19</v>
      </c>
      <c r="J28" s="3" t="s">
        <v>16850</v>
      </c>
      <c r="K28" t="s">
        <v>16851</v>
      </c>
      <c r="L28" t="s">
        <v>625</v>
      </c>
      <c r="M28" t="s">
        <v>57</v>
      </c>
    </row>
    <row r="29" spans="1:13" x14ac:dyDescent="0.25">
      <c r="A29" t="s">
        <v>10041</v>
      </c>
      <c r="B29" t="s">
        <v>13</v>
      </c>
      <c r="C29" t="s">
        <v>10042</v>
      </c>
      <c r="D29" t="s">
        <v>10043</v>
      </c>
      <c r="E29" t="s">
        <v>10044</v>
      </c>
      <c r="F29" t="s">
        <v>117</v>
      </c>
      <c r="G29" t="s">
        <v>10045</v>
      </c>
      <c r="H29" t="s">
        <v>36</v>
      </c>
      <c r="I29" t="s">
        <v>19</v>
      </c>
      <c r="J29" s="3" t="s">
        <v>10046</v>
      </c>
      <c r="K29" t="s">
        <v>10047</v>
      </c>
      <c r="L29" t="s">
        <v>223</v>
      </c>
      <c r="M29" t="s">
        <v>32145</v>
      </c>
    </row>
    <row r="30" spans="1:13" x14ac:dyDescent="0.25">
      <c r="A30" t="s">
        <v>7727</v>
      </c>
      <c r="B30" t="s">
        <v>13</v>
      </c>
      <c r="C30" s="1">
        <v>44352</v>
      </c>
      <c r="D30" t="s">
        <v>7728</v>
      </c>
      <c r="E30" t="s">
        <v>7729</v>
      </c>
      <c r="F30" t="s">
        <v>7730</v>
      </c>
      <c r="G30" t="s">
        <v>7731</v>
      </c>
      <c r="H30" t="s">
        <v>36</v>
      </c>
      <c r="I30" t="s">
        <v>19</v>
      </c>
      <c r="J30" s="3">
        <v>5501126616467</v>
      </c>
      <c r="K30" t="s">
        <v>7732</v>
      </c>
      <c r="L30" t="s">
        <v>32135</v>
      </c>
      <c r="M30" t="s">
        <v>57</v>
      </c>
    </row>
    <row r="31" spans="1:13" x14ac:dyDescent="0.25">
      <c r="A31" t="s">
        <v>700</v>
      </c>
      <c r="B31" t="s">
        <v>13</v>
      </c>
      <c r="C31" t="s">
        <v>701</v>
      </c>
      <c r="D31" t="s">
        <v>702</v>
      </c>
      <c r="E31" t="s">
        <v>703</v>
      </c>
      <c r="F31" t="s">
        <v>704</v>
      </c>
      <c r="G31" t="s">
        <v>705</v>
      </c>
      <c r="H31" t="s">
        <v>706</v>
      </c>
      <c r="I31" t="s">
        <v>19</v>
      </c>
      <c r="J31" s="3" t="s">
        <v>707</v>
      </c>
      <c r="K31" t="s">
        <v>708</v>
      </c>
      <c r="L31" t="s">
        <v>565</v>
      </c>
      <c r="M31" t="s">
        <v>57</v>
      </c>
    </row>
    <row r="32" spans="1:13" x14ac:dyDescent="0.25">
      <c r="A32" t="s">
        <v>17756</v>
      </c>
      <c r="B32" t="s">
        <v>13</v>
      </c>
      <c r="C32" t="s">
        <v>17757</v>
      </c>
      <c r="D32" t="s">
        <v>17758</v>
      </c>
      <c r="E32" t="s">
        <v>17759</v>
      </c>
      <c r="F32" t="s">
        <v>57</v>
      </c>
      <c r="G32" t="s">
        <v>17760</v>
      </c>
      <c r="H32" t="s">
        <v>36</v>
      </c>
      <c r="I32" t="s">
        <v>19</v>
      </c>
      <c r="J32" s="3" t="s">
        <v>17761</v>
      </c>
      <c r="K32" t="s">
        <v>17762</v>
      </c>
      <c r="L32" t="s">
        <v>4225</v>
      </c>
      <c r="M32" t="s">
        <v>57</v>
      </c>
    </row>
    <row r="33" spans="1:13" x14ac:dyDescent="0.25">
      <c r="A33" t="s">
        <v>6030</v>
      </c>
      <c r="B33" t="s">
        <v>13</v>
      </c>
      <c r="C33" s="1">
        <v>44479</v>
      </c>
      <c r="D33" t="s">
        <v>32135</v>
      </c>
      <c r="E33" t="s">
        <v>6031</v>
      </c>
      <c r="F33" t="s">
        <v>6032</v>
      </c>
      <c r="G33" t="s">
        <v>6033</v>
      </c>
      <c r="H33" t="s">
        <v>4092</v>
      </c>
      <c r="I33" t="s">
        <v>19</v>
      </c>
      <c r="J33" s="3">
        <v>5514981560985</v>
      </c>
      <c r="K33" t="s">
        <v>6034</v>
      </c>
      <c r="L33" t="s">
        <v>32135</v>
      </c>
      <c r="M33" t="s">
        <v>785</v>
      </c>
    </row>
    <row r="34" spans="1:13" x14ac:dyDescent="0.25">
      <c r="A34" t="s">
        <v>29473</v>
      </c>
      <c r="B34" t="s">
        <v>13</v>
      </c>
      <c r="C34" t="s">
        <v>29467</v>
      </c>
      <c r="D34" t="s">
        <v>29474</v>
      </c>
      <c r="E34" t="s">
        <v>6031</v>
      </c>
      <c r="F34" t="s">
        <v>785</v>
      </c>
      <c r="G34" t="s">
        <v>29475</v>
      </c>
      <c r="H34" t="s">
        <v>36</v>
      </c>
      <c r="I34" t="s">
        <v>19</v>
      </c>
      <c r="J34" s="3">
        <v>37265652</v>
      </c>
      <c r="K34" t="s">
        <v>29476</v>
      </c>
      <c r="L34" t="s">
        <v>29477</v>
      </c>
      <c r="M34" t="s">
        <v>785</v>
      </c>
    </row>
    <row r="35" spans="1:13" x14ac:dyDescent="0.25">
      <c r="A35" t="s">
        <v>1992</v>
      </c>
      <c r="B35" t="s">
        <v>13</v>
      </c>
      <c r="C35" t="s">
        <v>1980</v>
      </c>
      <c r="D35" t="s">
        <v>1993</v>
      </c>
      <c r="E35" t="s">
        <v>1994</v>
      </c>
      <c r="F35" t="s">
        <v>1995</v>
      </c>
      <c r="G35" t="s">
        <v>1996</v>
      </c>
      <c r="H35" t="s">
        <v>36</v>
      </c>
      <c r="I35" t="s">
        <v>19</v>
      </c>
      <c r="J35" s="3" t="s">
        <v>1997</v>
      </c>
      <c r="K35" t="s">
        <v>1998</v>
      </c>
      <c r="L35" t="s">
        <v>1999</v>
      </c>
      <c r="M35" t="s">
        <v>785</v>
      </c>
    </row>
    <row r="36" spans="1:13" x14ac:dyDescent="0.25">
      <c r="A36" t="s">
        <v>23898</v>
      </c>
      <c r="B36" t="s">
        <v>13</v>
      </c>
      <c r="C36" t="s">
        <v>23899</v>
      </c>
      <c r="D36" t="s">
        <v>23900</v>
      </c>
      <c r="E36" t="s">
        <v>32212</v>
      </c>
      <c r="F36" t="s">
        <v>4639</v>
      </c>
      <c r="G36" t="s">
        <v>8468</v>
      </c>
      <c r="H36" t="s">
        <v>753</v>
      </c>
      <c r="I36" t="s">
        <v>19</v>
      </c>
      <c r="J36" s="3" t="s">
        <v>8469</v>
      </c>
      <c r="K36" t="s">
        <v>8470</v>
      </c>
      <c r="L36" t="s">
        <v>2762</v>
      </c>
      <c r="M36" t="s">
        <v>785</v>
      </c>
    </row>
    <row r="37" spans="1:13" x14ac:dyDescent="0.25">
      <c r="A37" t="s">
        <v>18334</v>
      </c>
      <c r="B37" t="s">
        <v>13</v>
      </c>
      <c r="C37" t="s">
        <v>18324</v>
      </c>
      <c r="D37" t="s">
        <v>18335</v>
      </c>
      <c r="E37" s="2" t="s">
        <v>31199</v>
      </c>
      <c r="F37" t="s">
        <v>4639</v>
      </c>
      <c r="G37" t="s">
        <v>18336</v>
      </c>
      <c r="H37" t="s">
        <v>352</v>
      </c>
      <c r="I37" t="s">
        <v>19</v>
      </c>
      <c r="J37" s="3">
        <f>55-21-983219286</f>
        <v>-983219252</v>
      </c>
      <c r="K37" t="s">
        <v>18337</v>
      </c>
      <c r="L37" t="s">
        <v>1232</v>
      </c>
      <c r="M37" t="s">
        <v>785</v>
      </c>
    </row>
    <row r="38" spans="1:13" x14ac:dyDescent="0.25">
      <c r="A38" t="s">
        <v>3306</v>
      </c>
      <c r="B38" t="s">
        <v>13</v>
      </c>
      <c r="C38" t="s">
        <v>3307</v>
      </c>
      <c r="D38" t="s">
        <v>32135</v>
      </c>
      <c r="E38" t="s">
        <v>3308</v>
      </c>
      <c r="F38" t="s">
        <v>537</v>
      </c>
      <c r="G38" t="s">
        <v>3309</v>
      </c>
      <c r="H38" t="s">
        <v>753</v>
      </c>
      <c r="I38" t="s">
        <v>19</v>
      </c>
      <c r="J38" s="3" t="s">
        <v>3310</v>
      </c>
      <c r="K38" t="s">
        <v>3311</v>
      </c>
      <c r="L38" t="s">
        <v>3312</v>
      </c>
      <c r="M38" t="s">
        <v>32149</v>
      </c>
    </row>
    <row r="39" spans="1:13" x14ac:dyDescent="0.25">
      <c r="A39" t="s">
        <v>5753</v>
      </c>
      <c r="B39" t="s">
        <v>13</v>
      </c>
      <c r="C39" s="1">
        <v>44419</v>
      </c>
      <c r="D39" t="s">
        <v>32135</v>
      </c>
      <c r="E39" s="2" t="s">
        <v>32213</v>
      </c>
      <c r="F39" t="s">
        <v>5754</v>
      </c>
      <c r="G39" t="s">
        <v>4862</v>
      </c>
      <c r="H39" t="s">
        <v>540</v>
      </c>
      <c r="I39" t="s">
        <v>19</v>
      </c>
      <c r="J39" s="3" t="s">
        <v>5756</v>
      </c>
      <c r="K39" t="s">
        <v>5757</v>
      </c>
      <c r="L39" t="s">
        <v>32135</v>
      </c>
      <c r="M39" t="s">
        <v>57</v>
      </c>
    </row>
    <row r="40" spans="1:13" x14ac:dyDescent="0.25">
      <c r="A40" t="s">
        <v>28272</v>
      </c>
      <c r="B40" t="s">
        <v>13</v>
      </c>
      <c r="C40" t="s">
        <v>28267</v>
      </c>
      <c r="D40" t="s">
        <v>28273</v>
      </c>
      <c r="E40" t="s">
        <v>28274</v>
      </c>
      <c r="F40" t="s">
        <v>306</v>
      </c>
      <c r="G40" t="s">
        <v>28275</v>
      </c>
      <c r="H40" t="s">
        <v>88</v>
      </c>
      <c r="I40" t="s">
        <v>19</v>
      </c>
      <c r="J40" s="3">
        <v>558432153416</v>
      </c>
      <c r="K40" t="s">
        <v>28276</v>
      </c>
      <c r="L40" t="s">
        <v>91</v>
      </c>
      <c r="M40" t="s">
        <v>32145</v>
      </c>
    </row>
    <row r="41" spans="1:13" x14ac:dyDescent="0.25">
      <c r="A41" t="s">
        <v>8434</v>
      </c>
      <c r="B41" t="s">
        <v>13</v>
      </c>
      <c r="C41" t="s">
        <v>8435</v>
      </c>
      <c r="D41" t="s">
        <v>32135</v>
      </c>
      <c r="E41" t="s">
        <v>4409</v>
      </c>
      <c r="F41" t="s">
        <v>4408</v>
      </c>
      <c r="G41" t="s">
        <v>8436</v>
      </c>
      <c r="H41" t="s">
        <v>299</v>
      </c>
      <c r="I41" t="s">
        <v>19</v>
      </c>
      <c r="J41" s="3">
        <f>55-14-38801710</f>
        <v>-38801669</v>
      </c>
      <c r="K41" t="s">
        <v>8437</v>
      </c>
      <c r="L41" t="s">
        <v>32135</v>
      </c>
      <c r="M41" t="s">
        <v>741</v>
      </c>
    </row>
    <row r="42" spans="1:13" x14ac:dyDescent="0.25">
      <c r="A42" t="s">
        <v>24022</v>
      </c>
      <c r="B42" t="s">
        <v>13</v>
      </c>
      <c r="C42" s="1">
        <v>43015</v>
      </c>
      <c r="D42" t="s">
        <v>24023</v>
      </c>
      <c r="E42" t="s">
        <v>24024</v>
      </c>
      <c r="F42" t="s">
        <v>5940</v>
      </c>
      <c r="G42" t="s">
        <v>24025</v>
      </c>
      <c r="H42" t="s">
        <v>45</v>
      </c>
      <c r="I42" t="s">
        <v>19</v>
      </c>
      <c r="J42" s="3" t="s">
        <v>24026</v>
      </c>
      <c r="K42" t="s">
        <v>24027</v>
      </c>
      <c r="L42" t="s">
        <v>1369</v>
      </c>
      <c r="M42" t="s">
        <v>741</v>
      </c>
    </row>
    <row r="43" spans="1:13" x14ac:dyDescent="0.25">
      <c r="A43" t="s">
        <v>26485</v>
      </c>
      <c r="B43" t="s">
        <v>13</v>
      </c>
      <c r="C43" t="s">
        <v>13644</v>
      </c>
      <c r="D43" t="s">
        <v>26486</v>
      </c>
      <c r="E43" t="s">
        <v>26487</v>
      </c>
      <c r="F43" t="s">
        <v>117</v>
      </c>
      <c r="G43" t="s">
        <v>26488</v>
      </c>
      <c r="H43" t="s">
        <v>352</v>
      </c>
      <c r="I43" t="s">
        <v>19</v>
      </c>
      <c r="J43" s="3" t="s">
        <v>26489</v>
      </c>
      <c r="K43" t="s">
        <v>26490</v>
      </c>
      <c r="L43" t="s">
        <v>19730</v>
      </c>
      <c r="M43" t="s">
        <v>32145</v>
      </c>
    </row>
    <row r="44" spans="1:13" x14ac:dyDescent="0.25">
      <c r="A44" t="s">
        <v>19406</v>
      </c>
      <c r="B44" t="s">
        <v>13</v>
      </c>
      <c r="C44" s="1">
        <v>43110</v>
      </c>
      <c r="D44" t="s">
        <v>19407</v>
      </c>
      <c r="E44" t="s">
        <v>32214</v>
      </c>
      <c r="F44" t="s">
        <v>9519</v>
      </c>
      <c r="G44" t="s">
        <v>19408</v>
      </c>
      <c r="H44" t="s">
        <v>798</v>
      </c>
      <c r="I44" t="s">
        <v>19</v>
      </c>
      <c r="J44" s="3" t="s">
        <v>19409</v>
      </c>
      <c r="K44" t="s">
        <v>19410</v>
      </c>
      <c r="L44" t="s">
        <v>19411</v>
      </c>
      <c r="M44" t="s">
        <v>32145</v>
      </c>
    </row>
    <row r="45" spans="1:13" x14ac:dyDescent="0.25">
      <c r="A45" t="s">
        <v>13208</v>
      </c>
      <c r="B45" t="s">
        <v>13</v>
      </c>
      <c r="C45" s="1">
        <v>43924</v>
      </c>
      <c r="D45" t="s">
        <v>13209</v>
      </c>
      <c r="E45" t="s">
        <v>13210</v>
      </c>
      <c r="F45" t="s">
        <v>9519</v>
      </c>
      <c r="G45" t="s">
        <v>13211</v>
      </c>
      <c r="H45" t="s">
        <v>352</v>
      </c>
      <c r="I45" t="s">
        <v>19</v>
      </c>
      <c r="J45" s="3">
        <v>552139382323</v>
      </c>
      <c r="K45" t="s">
        <v>13212</v>
      </c>
      <c r="L45" t="s">
        <v>1232</v>
      </c>
      <c r="M45" t="s">
        <v>1349</v>
      </c>
    </row>
    <row r="46" spans="1:13" x14ac:dyDescent="0.25">
      <c r="A46" t="s">
        <v>18596</v>
      </c>
      <c r="B46" t="s">
        <v>13</v>
      </c>
      <c r="C46" s="1">
        <v>43556</v>
      </c>
      <c r="D46" t="s">
        <v>18597</v>
      </c>
      <c r="E46" s="2" t="s">
        <v>32215</v>
      </c>
      <c r="F46" t="s">
        <v>332</v>
      </c>
      <c r="G46" t="s">
        <v>18598</v>
      </c>
      <c r="H46" t="s">
        <v>255</v>
      </c>
      <c r="I46" t="s">
        <v>19</v>
      </c>
      <c r="J46" s="3">
        <f>55-6232096418</f>
        <v>-6232096363</v>
      </c>
      <c r="K46" t="s">
        <v>18599</v>
      </c>
      <c r="L46" t="s">
        <v>18600</v>
      </c>
      <c r="M46" t="s">
        <v>337</v>
      </c>
    </row>
    <row r="47" spans="1:13" x14ac:dyDescent="0.25">
      <c r="A47" t="s">
        <v>17228</v>
      </c>
      <c r="B47" t="s">
        <v>13</v>
      </c>
      <c r="C47" s="1">
        <v>43652</v>
      </c>
      <c r="D47" t="s">
        <v>17229</v>
      </c>
      <c r="E47" t="s">
        <v>17230</v>
      </c>
      <c r="F47" t="s">
        <v>785</v>
      </c>
      <c r="G47" t="s">
        <v>17231</v>
      </c>
      <c r="H47" t="s">
        <v>428</v>
      </c>
      <c r="I47" t="s">
        <v>19</v>
      </c>
      <c r="J47" s="3">
        <f>+ 55-51-33598571</f>
        <v>-33598567</v>
      </c>
      <c r="K47" t="s">
        <v>17232</v>
      </c>
      <c r="L47" t="s">
        <v>1295</v>
      </c>
      <c r="M47" t="s">
        <v>785</v>
      </c>
    </row>
    <row r="48" spans="1:13" x14ac:dyDescent="0.25">
      <c r="A48" t="s">
        <v>25109</v>
      </c>
      <c r="B48" t="s">
        <v>13</v>
      </c>
      <c r="C48" t="s">
        <v>25103</v>
      </c>
      <c r="D48" t="s">
        <v>25110</v>
      </c>
      <c r="E48" t="s">
        <v>7779</v>
      </c>
      <c r="F48" t="s">
        <v>785</v>
      </c>
      <c r="G48" t="s">
        <v>25111</v>
      </c>
      <c r="H48" t="s">
        <v>299</v>
      </c>
      <c r="I48" t="s">
        <v>19</v>
      </c>
      <c r="J48" s="3" t="s">
        <v>25112</v>
      </c>
      <c r="K48" t="s">
        <v>25113</v>
      </c>
      <c r="L48" t="s">
        <v>13988</v>
      </c>
      <c r="M48" t="s">
        <v>785</v>
      </c>
    </row>
    <row r="49" spans="1:13" x14ac:dyDescent="0.25">
      <c r="A49" t="s">
        <v>13229</v>
      </c>
      <c r="B49" t="s">
        <v>13</v>
      </c>
      <c r="C49" s="1">
        <v>43893</v>
      </c>
      <c r="D49" t="s">
        <v>13230</v>
      </c>
      <c r="E49" t="s">
        <v>7779</v>
      </c>
      <c r="F49" t="s">
        <v>785</v>
      </c>
      <c r="G49" t="s">
        <v>13231</v>
      </c>
      <c r="H49" t="s">
        <v>1802</v>
      </c>
      <c r="I49" t="s">
        <v>19</v>
      </c>
      <c r="J49" s="3">
        <f>55-14-991476497</f>
        <v>-991476456</v>
      </c>
      <c r="K49" t="s">
        <v>13232</v>
      </c>
      <c r="L49" t="s">
        <v>13233</v>
      </c>
      <c r="M49" t="s">
        <v>785</v>
      </c>
    </row>
    <row r="50" spans="1:13" x14ac:dyDescent="0.25">
      <c r="A50" t="s">
        <v>17187</v>
      </c>
      <c r="B50" t="s">
        <v>13</v>
      </c>
      <c r="C50" s="1">
        <v>43652</v>
      </c>
      <c r="D50" t="s">
        <v>17188</v>
      </c>
      <c r="E50" t="s">
        <v>7779</v>
      </c>
      <c r="F50" t="s">
        <v>1464</v>
      </c>
      <c r="G50" t="s">
        <v>17189</v>
      </c>
      <c r="H50" t="s">
        <v>17190</v>
      </c>
      <c r="I50" t="s">
        <v>19</v>
      </c>
      <c r="J50" s="3">
        <v>551436021374</v>
      </c>
      <c r="K50" t="s">
        <v>17191</v>
      </c>
      <c r="L50" t="s">
        <v>17192</v>
      </c>
      <c r="M50" t="s">
        <v>785</v>
      </c>
    </row>
    <row r="51" spans="1:13" x14ac:dyDescent="0.25">
      <c r="A51" t="s">
        <v>294</v>
      </c>
      <c r="B51" t="s">
        <v>13</v>
      </c>
      <c r="C51" t="s">
        <v>278</v>
      </c>
      <c r="D51" t="s">
        <v>295</v>
      </c>
      <c r="E51" t="s">
        <v>296</v>
      </c>
      <c r="F51" t="s">
        <v>297</v>
      </c>
      <c r="G51" t="s">
        <v>298</v>
      </c>
      <c r="H51" t="s">
        <v>299</v>
      </c>
      <c r="I51" t="s">
        <v>19</v>
      </c>
      <c r="J51" s="3">
        <f>55143811-6167</f>
        <v>55137644</v>
      </c>
      <c r="K51" t="s">
        <v>300</v>
      </c>
      <c r="L51" t="s">
        <v>301</v>
      </c>
      <c r="M51" t="s">
        <v>785</v>
      </c>
    </row>
    <row r="52" spans="1:13" x14ac:dyDescent="0.25">
      <c r="A52" t="s">
        <v>13982</v>
      </c>
      <c r="B52" t="s">
        <v>13</v>
      </c>
      <c r="C52" t="s">
        <v>6128</v>
      </c>
      <c r="D52" t="s">
        <v>13983</v>
      </c>
      <c r="E52" t="s">
        <v>13984</v>
      </c>
      <c r="F52" t="s">
        <v>4639</v>
      </c>
      <c r="G52" t="s">
        <v>13985</v>
      </c>
      <c r="H52" t="s">
        <v>299</v>
      </c>
      <c r="I52" t="s">
        <v>19</v>
      </c>
      <c r="J52" s="3" t="s">
        <v>13986</v>
      </c>
      <c r="K52" t="s">
        <v>13987</v>
      </c>
      <c r="L52" t="s">
        <v>13988</v>
      </c>
      <c r="M52" t="s">
        <v>785</v>
      </c>
    </row>
    <row r="53" spans="1:13" x14ac:dyDescent="0.25">
      <c r="A53" t="s">
        <v>26164</v>
      </c>
      <c r="B53" t="s">
        <v>13</v>
      </c>
      <c r="C53" s="1">
        <v>42461</v>
      </c>
      <c r="D53" t="s">
        <v>26165</v>
      </c>
      <c r="E53" t="s">
        <v>26166</v>
      </c>
      <c r="F53" t="s">
        <v>785</v>
      </c>
      <c r="G53" t="s">
        <v>26167</v>
      </c>
      <c r="H53" t="s">
        <v>36</v>
      </c>
      <c r="I53" t="s">
        <v>19</v>
      </c>
      <c r="J53" s="3" t="s">
        <v>26168</v>
      </c>
      <c r="K53" t="s">
        <v>20995</v>
      </c>
      <c r="L53" t="s">
        <v>439</v>
      </c>
      <c r="M53" t="s">
        <v>785</v>
      </c>
    </row>
    <row r="54" spans="1:13" x14ac:dyDescent="0.25">
      <c r="A54" t="s">
        <v>26047</v>
      </c>
      <c r="B54" t="s">
        <v>13</v>
      </c>
      <c r="C54" t="s">
        <v>15010</v>
      </c>
      <c r="D54" t="s">
        <v>26048</v>
      </c>
      <c r="E54" t="s">
        <v>26049</v>
      </c>
      <c r="F54" t="s">
        <v>785</v>
      </c>
      <c r="G54" t="s">
        <v>4640</v>
      </c>
      <c r="H54" t="s">
        <v>20022</v>
      </c>
      <c r="I54" t="s">
        <v>19</v>
      </c>
      <c r="J54" s="3" t="s">
        <v>20023</v>
      </c>
      <c r="K54" t="s">
        <v>5714</v>
      </c>
      <c r="L54" t="s">
        <v>20024</v>
      </c>
      <c r="M54" t="s">
        <v>785</v>
      </c>
    </row>
    <row r="55" spans="1:13" x14ac:dyDescent="0.25">
      <c r="A55" t="s">
        <v>20018</v>
      </c>
      <c r="B55" t="s">
        <v>13</v>
      </c>
      <c r="C55" t="s">
        <v>20019</v>
      </c>
      <c r="D55" t="s">
        <v>20020</v>
      </c>
      <c r="E55" t="s">
        <v>20021</v>
      </c>
      <c r="F55" t="s">
        <v>1349</v>
      </c>
      <c r="G55" t="s">
        <v>4640</v>
      </c>
      <c r="H55" t="s">
        <v>20022</v>
      </c>
      <c r="I55" t="s">
        <v>19</v>
      </c>
      <c r="J55" s="3" t="s">
        <v>20023</v>
      </c>
      <c r="K55" t="s">
        <v>5714</v>
      </c>
      <c r="L55" t="s">
        <v>20024</v>
      </c>
      <c r="M55" t="s">
        <v>1349</v>
      </c>
    </row>
    <row r="56" spans="1:13" x14ac:dyDescent="0.25">
      <c r="A56" t="s">
        <v>18967</v>
      </c>
      <c r="B56" t="s">
        <v>13</v>
      </c>
      <c r="C56" t="s">
        <v>18958</v>
      </c>
      <c r="D56" t="s">
        <v>18968</v>
      </c>
      <c r="E56" s="2" t="s">
        <v>31521</v>
      </c>
      <c r="F56" t="s">
        <v>4639</v>
      </c>
      <c r="G56" t="s">
        <v>3483</v>
      </c>
      <c r="H56" t="s">
        <v>1949</v>
      </c>
      <c r="I56" t="s">
        <v>19</v>
      </c>
      <c r="J56" s="3">
        <f>55-55-999224402</f>
        <v>-999224402</v>
      </c>
      <c r="K56" t="s">
        <v>3484</v>
      </c>
      <c r="L56" t="s">
        <v>3485</v>
      </c>
      <c r="M56" t="s">
        <v>785</v>
      </c>
    </row>
    <row r="57" spans="1:13" x14ac:dyDescent="0.25">
      <c r="A57" t="s">
        <v>13272</v>
      </c>
      <c r="B57" t="s">
        <v>13</v>
      </c>
      <c r="C57" s="1">
        <v>43864</v>
      </c>
      <c r="D57" t="s">
        <v>13273</v>
      </c>
      <c r="E57" s="2" t="s">
        <v>31980</v>
      </c>
      <c r="F57" t="s">
        <v>1464</v>
      </c>
      <c r="G57" t="s">
        <v>13274</v>
      </c>
      <c r="H57" t="s">
        <v>5844</v>
      </c>
      <c r="I57" t="s">
        <v>19</v>
      </c>
      <c r="J57" s="3">
        <f>55-19-35431400</f>
        <v>-35431364</v>
      </c>
      <c r="K57" t="s">
        <v>13275</v>
      </c>
      <c r="L57" t="s">
        <v>13276</v>
      </c>
      <c r="M57" t="s">
        <v>1775</v>
      </c>
    </row>
    <row r="58" spans="1:13" x14ac:dyDescent="0.25">
      <c r="A58" t="s">
        <v>26663</v>
      </c>
      <c r="B58" t="s">
        <v>13</v>
      </c>
      <c r="C58" t="s">
        <v>26659</v>
      </c>
      <c r="D58" t="s">
        <v>26664</v>
      </c>
      <c r="E58" s="2" t="s">
        <v>31730</v>
      </c>
      <c r="F58" t="s">
        <v>2036</v>
      </c>
      <c r="G58" t="s">
        <v>26340</v>
      </c>
      <c r="H58" t="s">
        <v>150</v>
      </c>
      <c r="I58" t="s">
        <v>19</v>
      </c>
      <c r="J58" s="3" t="s">
        <v>26341</v>
      </c>
      <c r="K58" t="s">
        <v>26342</v>
      </c>
      <c r="L58" t="s">
        <v>26343</v>
      </c>
      <c r="M58" t="s">
        <v>57</v>
      </c>
    </row>
    <row r="59" spans="1:13" x14ac:dyDescent="0.25">
      <c r="A59" t="s">
        <v>26678</v>
      </c>
      <c r="B59" t="s">
        <v>13</v>
      </c>
      <c r="C59" t="s">
        <v>26679</v>
      </c>
      <c r="D59" t="s">
        <v>26680</v>
      </c>
      <c r="E59" s="2" t="s">
        <v>31731</v>
      </c>
      <c r="F59" t="s">
        <v>2036</v>
      </c>
      <c r="G59" t="s">
        <v>26340</v>
      </c>
      <c r="H59" t="s">
        <v>150</v>
      </c>
      <c r="I59" t="s">
        <v>19</v>
      </c>
      <c r="J59" s="3" t="s">
        <v>26341</v>
      </c>
      <c r="K59" t="s">
        <v>26342</v>
      </c>
      <c r="L59" t="s">
        <v>26343</v>
      </c>
      <c r="M59" t="s">
        <v>57</v>
      </c>
    </row>
    <row r="60" spans="1:13" x14ac:dyDescent="0.25">
      <c r="A60" t="s">
        <v>26227</v>
      </c>
      <c r="B60" t="s">
        <v>13</v>
      </c>
      <c r="C60" t="s">
        <v>26222</v>
      </c>
      <c r="D60" t="s">
        <v>26228</v>
      </c>
      <c r="E60" t="s">
        <v>26229</v>
      </c>
      <c r="F60" t="s">
        <v>9327</v>
      </c>
      <c r="G60" t="s">
        <v>26230</v>
      </c>
      <c r="H60" t="s">
        <v>352</v>
      </c>
      <c r="I60" t="s">
        <v>19</v>
      </c>
      <c r="J60" s="3" t="s">
        <v>25282</v>
      </c>
      <c r="K60" t="s">
        <v>26231</v>
      </c>
      <c r="L60" t="s">
        <v>25284</v>
      </c>
      <c r="M60" t="s">
        <v>1304</v>
      </c>
    </row>
    <row r="61" spans="1:13" x14ac:dyDescent="0.25">
      <c r="A61" t="s">
        <v>6200</v>
      </c>
      <c r="B61" t="s">
        <v>13</v>
      </c>
      <c r="C61" t="s">
        <v>5601</v>
      </c>
      <c r="D61" t="s">
        <v>6201</v>
      </c>
      <c r="E61" s="2" t="s">
        <v>31858</v>
      </c>
      <c r="F61" t="s">
        <v>5650</v>
      </c>
      <c r="G61" t="s">
        <v>82</v>
      </c>
      <c r="H61" t="s">
        <v>3490</v>
      </c>
      <c r="I61" t="s">
        <v>19</v>
      </c>
      <c r="J61" s="3">
        <f>55-79-36317195</f>
        <v>-36317219</v>
      </c>
      <c r="K61" t="s">
        <v>6202</v>
      </c>
      <c r="L61" t="s">
        <v>32135</v>
      </c>
      <c r="M61" t="s">
        <v>1775</v>
      </c>
    </row>
    <row r="62" spans="1:13" x14ac:dyDescent="0.25">
      <c r="A62" t="s">
        <v>5649</v>
      </c>
      <c r="B62" t="s">
        <v>13</v>
      </c>
      <c r="C62" s="1">
        <v>44541</v>
      </c>
      <c r="D62" t="s">
        <v>32135</v>
      </c>
      <c r="E62" s="2" t="s">
        <v>30852</v>
      </c>
      <c r="F62" t="s">
        <v>5650</v>
      </c>
      <c r="G62" t="s">
        <v>5651</v>
      </c>
      <c r="H62" t="s">
        <v>372</v>
      </c>
      <c r="I62" t="s">
        <v>19</v>
      </c>
      <c r="J62" s="3" t="s">
        <v>5652</v>
      </c>
      <c r="K62" t="s">
        <v>5653</v>
      </c>
      <c r="L62" t="s">
        <v>32135</v>
      </c>
      <c r="M62" t="s">
        <v>1775</v>
      </c>
    </row>
    <row r="63" spans="1:13" x14ac:dyDescent="0.25">
      <c r="A63" t="s">
        <v>23885</v>
      </c>
      <c r="B63" t="s">
        <v>13</v>
      </c>
      <c r="C63" s="1">
        <v>42774</v>
      </c>
      <c r="D63" t="s">
        <v>23886</v>
      </c>
      <c r="E63" t="s">
        <v>23887</v>
      </c>
      <c r="F63" t="s">
        <v>337</v>
      </c>
      <c r="G63" t="s">
        <v>23888</v>
      </c>
      <c r="H63" t="s">
        <v>141</v>
      </c>
      <c r="I63" t="s">
        <v>19</v>
      </c>
      <c r="J63" s="3">
        <v>558299832054</v>
      </c>
      <c r="K63" t="s">
        <v>23889</v>
      </c>
      <c r="L63" t="s">
        <v>23890</v>
      </c>
      <c r="M63" t="s">
        <v>337</v>
      </c>
    </row>
    <row r="64" spans="1:13" x14ac:dyDescent="0.25">
      <c r="A64" t="s">
        <v>15275</v>
      </c>
      <c r="B64" t="s">
        <v>13</v>
      </c>
      <c r="C64" t="s">
        <v>9910</v>
      </c>
      <c r="D64" t="s">
        <v>15276</v>
      </c>
      <c r="E64" t="s">
        <v>15277</v>
      </c>
      <c r="F64" t="s">
        <v>15278</v>
      </c>
      <c r="G64" t="s">
        <v>15279</v>
      </c>
      <c r="H64" t="s">
        <v>893</v>
      </c>
      <c r="I64" t="s">
        <v>19</v>
      </c>
      <c r="J64" s="3">
        <v>559840207545</v>
      </c>
      <c r="K64" t="s">
        <v>15280</v>
      </c>
      <c r="L64" t="s">
        <v>7453</v>
      </c>
      <c r="M64" t="s">
        <v>337</v>
      </c>
    </row>
    <row r="65" spans="1:13" x14ac:dyDescent="0.25">
      <c r="A65" t="s">
        <v>11202</v>
      </c>
      <c r="B65" t="s">
        <v>101</v>
      </c>
      <c r="C65" s="1">
        <v>43868</v>
      </c>
      <c r="D65" t="s">
        <v>11203</v>
      </c>
      <c r="E65" t="s">
        <v>11204</v>
      </c>
      <c r="F65" t="s">
        <v>337</v>
      </c>
      <c r="G65" t="s">
        <v>11205</v>
      </c>
      <c r="H65" t="s">
        <v>428</v>
      </c>
      <c r="I65" t="s">
        <v>19</v>
      </c>
      <c r="J65" s="3" t="s">
        <v>11206</v>
      </c>
      <c r="K65" t="s">
        <v>11207</v>
      </c>
      <c r="L65" t="s">
        <v>1295</v>
      </c>
      <c r="M65" t="s">
        <v>337</v>
      </c>
    </row>
    <row r="66" spans="1:13" x14ac:dyDescent="0.25">
      <c r="A66" t="s">
        <v>3928</v>
      </c>
      <c r="B66" t="s">
        <v>13</v>
      </c>
      <c r="C66" s="1">
        <v>44745</v>
      </c>
      <c r="D66" t="s">
        <v>32135</v>
      </c>
      <c r="E66" s="2" t="s">
        <v>30794</v>
      </c>
      <c r="F66" t="s">
        <v>211</v>
      </c>
      <c r="G66" t="s">
        <v>3929</v>
      </c>
      <c r="H66" t="s">
        <v>114</v>
      </c>
      <c r="I66" t="s">
        <v>19</v>
      </c>
      <c r="J66" s="3">
        <v>5579999076844</v>
      </c>
      <c r="K66" t="s">
        <v>3930</v>
      </c>
      <c r="L66" t="s">
        <v>2606</v>
      </c>
      <c r="M66" t="s">
        <v>32162</v>
      </c>
    </row>
    <row r="67" spans="1:13" x14ac:dyDescent="0.25">
      <c r="A67" t="s">
        <v>10643</v>
      </c>
      <c r="B67" t="s">
        <v>13</v>
      </c>
      <c r="C67" t="s">
        <v>1931</v>
      </c>
      <c r="D67" t="s">
        <v>10644</v>
      </c>
      <c r="E67" t="s">
        <v>10645</v>
      </c>
      <c r="F67" t="s">
        <v>2947</v>
      </c>
      <c r="G67" t="s">
        <v>10646</v>
      </c>
      <c r="H67" t="s">
        <v>36</v>
      </c>
      <c r="I67" t="s">
        <v>19</v>
      </c>
      <c r="J67" s="3">
        <v>551135490395</v>
      </c>
      <c r="K67" t="s">
        <v>10647</v>
      </c>
      <c r="L67" t="s">
        <v>10410</v>
      </c>
      <c r="M67" t="s">
        <v>771</v>
      </c>
    </row>
    <row r="68" spans="1:13" x14ac:dyDescent="0.25">
      <c r="A68" t="s">
        <v>11402</v>
      </c>
      <c r="B68" t="s">
        <v>101</v>
      </c>
      <c r="C68" t="s">
        <v>11383</v>
      </c>
      <c r="D68" t="s">
        <v>11403</v>
      </c>
      <c r="E68" t="s">
        <v>10645</v>
      </c>
      <c r="F68" t="s">
        <v>2947</v>
      </c>
      <c r="G68" t="s">
        <v>11404</v>
      </c>
      <c r="H68" t="s">
        <v>36</v>
      </c>
      <c r="I68" t="s">
        <v>19</v>
      </c>
      <c r="J68" s="3">
        <f>55-11-21510434</f>
        <v>-21510390</v>
      </c>
      <c r="K68" t="s">
        <v>11405</v>
      </c>
      <c r="L68" t="s">
        <v>2768</v>
      </c>
      <c r="M68" t="s">
        <v>771</v>
      </c>
    </row>
    <row r="69" spans="1:13" x14ac:dyDescent="0.25">
      <c r="A69" t="s">
        <v>11035</v>
      </c>
      <c r="B69" t="s">
        <v>13</v>
      </c>
      <c r="C69" t="s">
        <v>11014</v>
      </c>
      <c r="D69" t="s">
        <v>11036</v>
      </c>
      <c r="E69" t="s">
        <v>11037</v>
      </c>
      <c r="F69" t="s">
        <v>1464</v>
      </c>
      <c r="G69" t="s">
        <v>11038</v>
      </c>
      <c r="H69" t="s">
        <v>36</v>
      </c>
      <c r="I69" t="s">
        <v>19</v>
      </c>
      <c r="J69" s="3">
        <v>5511945428122</v>
      </c>
      <c r="K69" t="s">
        <v>11039</v>
      </c>
      <c r="L69" t="s">
        <v>11040</v>
      </c>
      <c r="M69" t="s">
        <v>129</v>
      </c>
    </row>
    <row r="70" spans="1:13" x14ac:dyDescent="0.25">
      <c r="A70" t="s">
        <v>25585</v>
      </c>
      <c r="B70" t="s">
        <v>13</v>
      </c>
      <c r="C70" s="1">
        <v>42530</v>
      </c>
      <c r="D70" t="s">
        <v>25586</v>
      </c>
      <c r="E70" t="s">
        <v>25587</v>
      </c>
      <c r="F70" t="s">
        <v>57</v>
      </c>
      <c r="G70" t="s">
        <v>25588</v>
      </c>
      <c r="H70" t="s">
        <v>409</v>
      </c>
      <c r="I70" t="s">
        <v>19</v>
      </c>
      <c r="J70" s="3" t="s">
        <v>25589</v>
      </c>
      <c r="K70" t="s">
        <v>25590</v>
      </c>
      <c r="L70" t="s">
        <v>412</v>
      </c>
      <c r="M70" t="s">
        <v>57</v>
      </c>
    </row>
    <row r="71" spans="1:13" x14ac:dyDescent="0.25">
      <c r="A71" t="s">
        <v>23478</v>
      </c>
      <c r="B71" t="s">
        <v>13</v>
      </c>
      <c r="C71" t="s">
        <v>23479</v>
      </c>
      <c r="D71" t="s">
        <v>23480</v>
      </c>
      <c r="E71" t="s">
        <v>23481</v>
      </c>
      <c r="F71" t="s">
        <v>9327</v>
      </c>
      <c r="G71" t="s">
        <v>23482</v>
      </c>
      <c r="H71" t="s">
        <v>352</v>
      </c>
      <c r="I71" t="s">
        <v>19</v>
      </c>
      <c r="J71" s="3" t="s">
        <v>23483</v>
      </c>
      <c r="K71" t="s">
        <v>23484</v>
      </c>
      <c r="L71" t="s">
        <v>23485</v>
      </c>
      <c r="M71" t="s">
        <v>1304</v>
      </c>
    </row>
    <row r="72" spans="1:13" x14ac:dyDescent="0.25">
      <c r="A72" t="s">
        <v>1289</v>
      </c>
      <c r="B72" t="s">
        <v>13</v>
      </c>
      <c r="C72" t="s">
        <v>1278</v>
      </c>
      <c r="D72" t="s">
        <v>1290</v>
      </c>
      <c r="E72" t="s">
        <v>1291</v>
      </c>
      <c r="F72" t="s">
        <v>1292</v>
      </c>
      <c r="G72" t="s">
        <v>1293</v>
      </c>
      <c r="H72" t="s">
        <v>428</v>
      </c>
      <c r="I72" t="s">
        <v>19</v>
      </c>
      <c r="J72" s="3">
        <v>55051995259385</v>
      </c>
      <c r="K72" t="s">
        <v>1294</v>
      </c>
      <c r="L72" t="s">
        <v>1295</v>
      </c>
      <c r="M72" t="s">
        <v>1349</v>
      </c>
    </row>
    <row r="73" spans="1:13" x14ac:dyDescent="0.25">
      <c r="A73" t="s">
        <v>1263</v>
      </c>
      <c r="B73" t="s">
        <v>13</v>
      </c>
      <c r="C73" t="s">
        <v>1220</v>
      </c>
      <c r="D73" t="s">
        <v>1264</v>
      </c>
      <c r="E73" t="s">
        <v>1265</v>
      </c>
      <c r="F73" t="s">
        <v>1266</v>
      </c>
      <c r="G73" t="s">
        <v>1267</v>
      </c>
      <c r="H73" t="s">
        <v>428</v>
      </c>
      <c r="I73" t="s">
        <v>19</v>
      </c>
      <c r="J73" s="3">
        <v>555132148000</v>
      </c>
      <c r="K73" t="s">
        <v>1268</v>
      </c>
      <c r="L73" t="s">
        <v>1269</v>
      </c>
      <c r="M73" t="s">
        <v>1349</v>
      </c>
    </row>
    <row r="74" spans="1:13" x14ac:dyDescent="0.25">
      <c r="A74" t="s">
        <v>26787</v>
      </c>
      <c r="B74" t="s">
        <v>13</v>
      </c>
      <c r="C74" s="1">
        <v>42677</v>
      </c>
      <c r="D74" t="s">
        <v>26788</v>
      </c>
      <c r="E74" t="s">
        <v>32216</v>
      </c>
      <c r="F74" t="s">
        <v>9327</v>
      </c>
      <c r="G74" t="s">
        <v>24969</v>
      </c>
      <c r="H74" t="s">
        <v>18</v>
      </c>
      <c r="I74" t="s">
        <v>19</v>
      </c>
      <c r="J74" s="3" t="s">
        <v>24970</v>
      </c>
      <c r="K74" t="s">
        <v>20986</v>
      </c>
      <c r="L74" t="s">
        <v>20987</v>
      </c>
      <c r="M74" t="s">
        <v>1304</v>
      </c>
    </row>
    <row r="75" spans="1:13" x14ac:dyDescent="0.25">
      <c r="A75" t="s">
        <v>12186</v>
      </c>
      <c r="B75" t="s">
        <v>13</v>
      </c>
      <c r="C75" t="s">
        <v>5305</v>
      </c>
      <c r="D75" t="s">
        <v>12187</v>
      </c>
      <c r="E75" t="s">
        <v>12188</v>
      </c>
      <c r="F75" t="s">
        <v>1349</v>
      </c>
      <c r="G75" t="s">
        <v>2766</v>
      </c>
      <c r="H75" t="s">
        <v>36</v>
      </c>
      <c r="I75" t="s">
        <v>19</v>
      </c>
      <c r="J75" s="3">
        <f>55-11-2151-3452</f>
        <v>-5559</v>
      </c>
      <c r="K75" t="s">
        <v>2767</v>
      </c>
      <c r="L75" t="s">
        <v>2768</v>
      </c>
      <c r="M75" t="s">
        <v>1349</v>
      </c>
    </row>
    <row r="76" spans="1:13" x14ac:dyDescent="0.25">
      <c r="A76" t="s">
        <v>17709</v>
      </c>
      <c r="B76" t="s">
        <v>13</v>
      </c>
      <c r="C76" t="s">
        <v>17669</v>
      </c>
      <c r="D76" t="s">
        <v>17710</v>
      </c>
      <c r="E76" t="s">
        <v>17711</v>
      </c>
      <c r="F76" t="s">
        <v>1349</v>
      </c>
      <c r="G76" t="s">
        <v>17712</v>
      </c>
      <c r="H76" t="s">
        <v>36</v>
      </c>
      <c r="I76" t="s">
        <v>19</v>
      </c>
      <c r="J76" s="3" t="s">
        <v>17713</v>
      </c>
      <c r="K76" t="s">
        <v>17714</v>
      </c>
      <c r="L76" t="s">
        <v>17715</v>
      </c>
      <c r="M76" t="s">
        <v>1349</v>
      </c>
    </row>
    <row r="77" spans="1:13" x14ac:dyDescent="0.25">
      <c r="A77" t="s">
        <v>6412</v>
      </c>
      <c r="B77" t="s">
        <v>13</v>
      </c>
      <c r="C77" t="s">
        <v>6401</v>
      </c>
      <c r="D77" t="s">
        <v>32135</v>
      </c>
      <c r="E77" t="s">
        <v>6413</v>
      </c>
      <c r="F77" t="s">
        <v>6414</v>
      </c>
      <c r="G77" t="s">
        <v>6415</v>
      </c>
      <c r="H77" t="s">
        <v>18</v>
      </c>
      <c r="I77" t="s">
        <v>19</v>
      </c>
      <c r="J77" s="3" t="s">
        <v>6416</v>
      </c>
      <c r="K77" t="s">
        <v>6417</v>
      </c>
      <c r="L77" t="s">
        <v>32135</v>
      </c>
      <c r="M77" t="s">
        <v>1349</v>
      </c>
    </row>
    <row r="78" spans="1:13" x14ac:dyDescent="0.25">
      <c r="A78" t="s">
        <v>14351</v>
      </c>
      <c r="B78" t="s">
        <v>13</v>
      </c>
      <c r="C78" s="1">
        <v>43983</v>
      </c>
      <c r="D78" t="s">
        <v>14352</v>
      </c>
      <c r="E78" t="s">
        <v>14353</v>
      </c>
      <c r="F78" t="s">
        <v>2947</v>
      </c>
      <c r="G78" t="s">
        <v>14354</v>
      </c>
      <c r="H78" t="s">
        <v>517</v>
      </c>
      <c r="I78" t="s">
        <v>19</v>
      </c>
      <c r="J78" s="3" t="s">
        <v>14355</v>
      </c>
      <c r="K78" t="s">
        <v>14356</v>
      </c>
      <c r="L78" t="s">
        <v>4246</v>
      </c>
      <c r="M78" t="s">
        <v>771</v>
      </c>
    </row>
    <row r="79" spans="1:13" x14ac:dyDescent="0.25">
      <c r="A79" t="s">
        <v>25357</v>
      </c>
      <c r="B79" t="s">
        <v>13</v>
      </c>
      <c r="C79" s="1">
        <v>42531</v>
      </c>
      <c r="D79" t="s">
        <v>25358</v>
      </c>
      <c r="E79" t="s">
        <v>25359</v>
      </c>
      <c r="F79" t="s">
        <v>2947</v>
      </c>
      <c r="G79" t="s">
        <v>25360</v>
      </c>
      <c r="H79" t="s">
        <v>10605</v>
      </c>
      <c r="I79" t="s">
        <v>19</v>
      </c>
      <c r="J79" s="3" t="s">
        <v>25361</v>
      </c>
      <c r="K79" t="s">
        <v>25362</v>
      </c>
      <c r="L79" t="s">
        <v>108</v>
      </c>
      <c r="M79" t="s">
        <v>771</v>
      </c>
    </row>
    <row r="80" spans="1:13" x14ac:dyDescent="0.25">
      <c r="A80" t="s">
        <v>8924</v>
      </c>
      <c r="B80" t="s">
        <v>101</v>
      </c>
      <c r="C80" s="1">
        <v>44024</v>
      </c>
      <c r="D80" t="s">
        <v>8925</v>
      </c>
      <c r="E80" t="s">
        <v>8926</v>
      </c>
      <c r="F80" t="s">
        <v>8822</v>
      </c>
      <c r="G80" t="s">
        <v>8927</v>
      </c>
      <c r="H80" t="s">
        <v>608</v>
      </c>
      <c r="I80" t="s">
        <v>19</v>
      </c>
      <c r="J80" s="3">
        <v>5554991737916</v>
      </c>
      <c r="K80" t="s">
        <v>8928</v>
      </c>
      <c r="L80" t="s">
        <v>8929</v>
      </c>
      <c r="M80" t="s">
        <v>771</v>
      </c>
    </row>
    <row r="81" spans="1:13" x14ac:dyDescent="0.25">
      <c r="A81" t="s">
        <v>24837</v>
      </c>
      <c r="B81" t="s">
        <v>13</v>
      </c>
      <c r="C81" t="s">
        <v>23427</v>
      </c>
      <c r="D81" t="s">
        <v>24838</v>
      </c>
      <c r="E81" t="s">
        <v>24839</v>
      </c>
      <c r="F81" t="s">
        <v>771</v>
      </c>
      <c r="G81" t="s">
        <v>24840</v>
      </c>
      <c r="H81" t="s">
        <v>428</v>
      </c>
      <c r="I81" t="s">
        <v>19</v>
      </c>
      <c r="J81" s="3">
        <v>552132303600</v>
      </c>
      <c r="K81" t="s">
        <v>24841</v>
      </c>
      <c r="L81" t="s">
        <v>24842</v>
      </c>
      <c r="M81" t="s">
        <v>771</v>
      </c>
    </row>
    <row r="82" spans="1:13" x14ac:dyDescent="0.25">
      <c r="A82" t="s">
        <v>29063</v>
      </c>
      <c r="B82" t="s">
        <v>13</v>
      </c>
      <c r="C82" s="1">
        <v>41918</v>
      </c>
      <c r="D82" t="s">
        <v>29064</v>
      </c>
      <c r="E82" t="s">
        <v>29065</v>
      </c>
      <c r="F82" t="s">
        <v>771</v>
      </c>
      <c r="G82" t="s">
        <v>29066</v>
      </c>
      <c r="H82" t="s">
        <v>18280</v>
      </c>
      <c r="I82" t="s">
        <v>19</v>
      </c>
      <c r="J82" s="3">
        <v>551633066704</v>
      </c>
      <c r="K82" t="s">
        <v>23343</v>
      </c>
      <c r="L82" t="s">
        <v>197</v>
      </c>
      <c r="M82" t="s">
        <v>771</v>
      </c>
    </row>
    <row r="83" spans="1:13" x14ac:dyDescent="0.25">
      <c r="A83" t="s">
        <v>20913</v>
      </c>
      <c r="B83" t="s">
        <v>13</v>
      </c>
      <c r="C83" t="s">
        <v>2033</v>
      </c>
      <c r="D83" t="s">
        <v>20914</v>
      </c>
      <c r="E83" t="s">
        <v>20915</v>
      </c>
      <c r="F83" t="s">
        <v>771</v>
      </c>
      <c r="G83" t="s">
        <v>20916</v>
      </c>
      <c r="H83" t="s">
        <v>1486</v>
      </c>
      <c r="I83" t="s">
        <v>19</v>
      </c>
      <c r="J83" s="3" t="s">
        <v>20917</v>
      </c>
      <c r="K83" t="s">
        <v>20918</v>
      </c>
      <c r="L83" t="s">
        <v>20919</v>
      </c>
      <c r="M83" t="s">
        <v>771</v>
      </c>
    </row>
    <row r="84" spans="1:13" x14ac:dyDescent="0.25">
      <c r="A84" t="s">
        <v>15306</v>
      </c>
      <c r="B84" t="s">
        <v>13</v>
      </c>
      <c r="C84" t="s">
        <v>15293</v>
      </c>
      <c r="D84" t="s">
        <v>15307</v>
      </c>
      <c r="E84" s="2" t="s">
        <v>31946</v>
      </c>
      <c r="F84" t="s">
        <v>2947</v>
      </c>
      <c r="G84" t="s">
        <v>15308</v>
      </c>
      <c r="H84" t="s">
        <v>36</v>
      </c>
      <c r="I84" t="s">
        <v>19</v>
      </c>
      <c r="J84" s="3" t="s">
        <v>15309</v>
      </c>
      <c r="K84" t="s">
        <v>15310</v>
      </c>
      <c r="L84" t="s">
        <v>15311</v>
      </c>
      <c r="M84" t="s">
        <v>771</v>
      </c>
    </row>
    <row r="85" spans="1:13" x14ac:dyDescent="0.25">
      <c r="A85" t="s">
        <v>16582</v>
      </c>
      <c r="B85" t="s">
        <v>13</v>
      </c>
      <c r="C85" s="1">
        <v>43593</v>
      </c>
      <c r="D85" t="s">
        <v>16583</v>
      </c>
      <c r="E85" t="s">
        <v>16584</v>
      </c>
      <c r="F85" t="s">
        <v>1464</v>
      </c>
      <c r="G85" t="s">
        <v>16585</v>
      </c>
      <c r="H85" t="s">
        <v>409</v>
      </c>
      <c r="I85" t="s">
        <v>19</v>
      </c>
      <c r="J85" s="3">
        <f>55-48-37219000</f>
        <v>-37218993</v>
      </c>
      <c r="K85" t="s">
        <v>16586</v>
      </c>
      <c r="L85" t="s">
        <v>412</v>
      </c>
      <c r="M85" t="s">
        <v>32147</v>
      </c>
    </row>
    <row r="86" spans="1:13" x14ac:dyDescent="0.25">
      <c r="A86" t="s">
        <v>29912</v>
      </c>
      <c r="B86" t="s">
        <v>13</v>
      </c>
      <c r="C86" t="s">
        <v>14184</v>
      </c>
      <c r="D86" t="s">
        <v>29913</v>
      </c>
      <c r="E86" t="s">
        <v>5849</v>
      </c>
      <c r="F86" t="s">
        <v>1464</v>
      </c>
      <c r="G86" t="s">
        <v>29914</v>
      </c>
      <c r="H86" t="s">
        <v>428</v>
      </c>
      <c r="I86" t="s">
        <v>19</v>
      </c>
      <c r="J86" s="3">
        <v>33598000</v>
      </c>
      <c r="K86" t="s">
        <v>29915</v>
      </c>
      <c r="L86" t="s">
        <v>1269</v>
      </c>
      <c r="M86" t="s">
        <v>224</v>
      </c>
    </row>
    <row r="87" spans="1:13" x14ac:dyDescent="0.25">
      <c r="A87" t="s">
        <v>5847</v>
      </c>
      <c r="B87" t="s">
        <v>13</v>
      </c>
      <c r="C87" t="s">
        <v>2028</v>
      </c>
      <c r="D87" t="s">
        <v>5848</v>
      </c>
      <c r="E87" s="2" t="s">
        <v>30863</v>
      </c>
      <c r="F87" t="s">
        <v>5850</v>
      </c>
      <c r="G87" t="s">
        <v>5851</v>
      </c>
      <c r="H87" t="s">
        <v>3490</v>
      </c>
      <c r="I87" t="s">
        <v>19</v>
      </c>
      <c r="J87" s="3" t="s">
        <v>5852</v>
      </c>
      <c r="K87" t="s">
        <v>5853</v>
      </c>
      <c r="L87" t="s">
        <v>32135</v>
      </c>
      <c r="M87" t="s">
        <v>1775</v>
      </c>
    </row>
    <row r="88" spans="1:13" x14ac:dyDescent="0.25">
      <c r="A88" t="s">
        <v>16668</v>
      </c>
      <c r="B88" t="s">
        <v>13</v>
      </c>
      <c r="C88" t="s">
        <v>16644</v>
      </c>
      <c r="D88" t="s">
        <v>16669</v>
      </c>
      <c r="E88" t="s">
        <v>16670</v>
      </c>
      <c r="F88" t="s">
        <v>332</v>
      </c>
      <c r="G88" t="s">
        <v>16671</v>
      </c>
      <c r="H88" t="s">
        <v>3618</v>
      </c>
      <c r="I88" t="s">
        <v>19</v>
      </c>
      <c r="J88" s="3" t="s">
        <v>16672</v>
      </c>
      <c r="K88" t="s">
        <v>16673</v>
      </c>
      <c r="L88" t="s">
        <v>82</v>
      </c>
      <c r="M88" t="s">
        <v>337</v>
      </c>
    </row>
    <row r="89" spans="1:13" x14ac:dyDescent="0.25">
      <c r="A89" t="s">
        <v>22410</v>
      </c>
      <c r="B89" t="s">
        <v>13</v>
      </c>
      <c r="C89" t="s">
        <v>22396</v>
      </c>
      <c r="D89" t="s">
        <v>22411</v>
      </c>
      <c r="E89" t="s">
        <v>22412</v>
      </c>
      <c r="F89" t="s">
        <v>6686</v>
      </c>
      <c r="G89" t="s">
        <v>307</v>
      </c>
      <c r="H89" t="s">
        <v>308</v>
      </c>
      <c r="I89" t="s">
        <v>309</v>
      </c>
      <c r="J89" s="3" t="s">
        <v>310</v>
      </c>
      <c r="K89" t="s">
        <v>311</v>
      </c>
      <c r="L89" t="s">
        <v>312</v>
      </c>
      <c r="M89" t="s">
        <v>337</v>
      </c>
    </row>
    <row r="90" spans="1:13" x14ac:dyDescent="0.25">
      <c r="A90" t="s">
        <v>27199</v>
      </c>
      <c r="B90" t="s">
        <v>13</v>
      </c>
      <c r="C90" t="s">
        <v>27200</v>
      </c>
      <c r="D90" t="s">
        <v>27201</v>
      </c>
      <c r="E90" t="s">
        <v>22412</v>
      </c>
      <c r="F90" t="s">
        <v>337</v>
      </c>
      <c r="G90" t="s">
        <v>27202</v>
      </c>
      <c r="H90" t="s">
        <v>428</v>
      </c>
      <c r="I90" t="s">
        <v>19</v>
      </c>
      <c r="J90" s="3" t="s">
        <v>27203</v>
      </c>
      <c r="K90" t="s">
        <v>27204</v>
      </c>
      <c r="L90" t="s">
        <v>1113</v>
      </c>
      <c r="M90" t="s">
        <v>337</v>
      </c>
    </row>
    <row r="91" spans="1:13" x14ac:dyDescent="0.25">
      <c r="A91" t="s">
        <v>12609</v>
      </c>
      <c r="B91" t="s">
        <v>13</v>
      </c>
      <c r="C91" t="s">
        <v>11616</v>
      </c>
      <c r="D91" t="s">
        <v>12610</v>
      </c>
      <c r="E91" t="s">
        <v>32217</v>
      </c>
      <c r="F91" t="s">
        <v>224</v>
      </c>
      <c r="G91" t="s">
        <v>12611</v>
      </c>
      <c r="H91" t="s">
        <v>7612</v>
      </c>
      <c r="I91" t="s">
        <v>19</v>
      </c>
      <c r="J91" s="3">
        <v>553438144994</v>
      </c>
      <c r="K91" t="s">
        <v>12612</v>
      </c>
      <c r="L91" t="s">
        <v>3305</v>
      </c>
      <c r="M91" t="s">
        <v>224</v>
      </c>
    </row>
    <row r="92" spans="1:13" x14ac:dyDescent="0.25">
      <c r="A92" t="s">
        <v>3985</v>
      </c>
      <c r="B92" t="s">
        <v>101</v>
      </c>
      <c r="C92" s="1">
        <v>44869</v>
      </c>
      <c r="D92" t="s">
        <v>32135</v>
      </c>
      <c r="E92" t="s">
        <v>3986</v>
      </c>
      <c r="F92" t="s">
        <v>1055</v>
      </c>
      <c r="G92" t="s">
        <v>3987</v>
      </c>
      <c r="H92" t="s">
        <v>352</v>
      </c>
      <c r="I92" t="s">
        <v>19</v>
      </c>
      <c r="J92" s="3">
        <v>5524992764872</v>
      </c>
      <c r="K92" t="s">
        <v>3988</v>
      </c>
      <c r="L92" t="s">
        <v>3989</v>
      </c>
      <c r="M92" t="s">
        <v>1304</v>
      </c>
    </row>
    <row r="93" spans="1:13" x14ac:dyDescent="0.25">
      <c r="A93" t="s">
        <v>24367</v>
      </c>
      <c r="B93" t="s">
        <v>13</v>
      </c>
      <c r="C93" t="s">
        <v>14223</v>
      </c>
      <c r="D93" t="s">
        <v>24368</v>
      </c>
      <c r="E93" t="s">
        <v>20193</v>
      </c>
      <c r="F93" t="s">
        <v>9519</v>
      </c>
      <c r="G93" t="s">
        <v>24369</v>
      </c>
      <c r="H93" t="s">
        <v>299</v>
      </c>
      <c r="I93" t="s">
        <v>19</v>
      </c>
      <c r="J93" s="3" t="s">
        <v>24370</v>
      </c>
      <c r="K93" t="s">
        <v>24371</v>
      </c>
      <c r="L93" t="s">
        <v>17285</v>
      </c>
      <c r="M93" t="s">
        <v>32145</v>
      </c>
    </row>
    <row r="94" spans="1:13" x14ac:dyDescent="0.25">
      <c r="A94" t="s">
        <v>14629</v>
      </c>
      <c r="B94" t="s">
        <v>13</v>
      </c>
      <c r="C94" s="1">
        <v>43750</v>
      </c>
      <c r="D94" t="s">
        <v>14630</v>
      </c>
      <c r="E94" s="2" t="s">
        <v>31846</v>
      </c>
      <c r="F94" t="s">
        <v>1464</v>
      </c>
      <c r="G94" t="s">
        <v>14631</v>
      </c>
      <c r="H94" t="s">
        <v>2829</v>
      </c>
      <c r="I94" t="s">
        <v>19</v>
      </c>
      <c r="J94" s="3">
        <v>5531991835325</v>
      </c>
      <c r="K94" t="s">
        <v>14632</v>
      </c>
      <c r="L94" t="s">
        <v>565</v>
      </c>
      <c r="M94" t="s">
        <v>32144</v>
      </c>
    </row>
    <row r="95" spans="1:13" x14ac:dyDescent="0.25">
      <c r="A95" t="s">
        <v>21609</v>
      </c>
      <c r="B95" t="s">
        <v>13</v>
      </c>
      <c r="C95" s="1">
        <v>43317</v>
      </c>
      <c r="D95" t="s">
        <v>21610</v>
      </c>
      <c r="E95" t="s">
        <v>10277</v>
      </c>
      <c r="F95" t="s">
        <v>129</v>
      </c>
      <c r="G95" t="s">
        <v>21611</v>
      </c>
      <c r="H95" t="s">
        <v>428</v>
      </c>
      <c r="I95" t="s">
        <v>19</v>
      </c>
      <c r="J95" s="3">
        <f>55-51-98110401</f>
        <v>-98110397</v>
      </c>
      <c r="K95" t="s">
        <v>21612</v>
      </c>
      <c r="L95" t="s">
        <v>21613</v>
      </c>
      <c r="M95" t="s">
        <v>129</v>
      </c>
    </row>
    <row r="96" spans="1:13" x14ac:dyDescent="0.25">
      <c r="A96" t="s">
        <v>11833</v>
      </c>
      <c r="B96" t="s">
        <v>101</v>
      </c>
      <c r="C96" t="s">
        <v>11834</v>
      </c>
      <c r="D96" t="s">
        <v>11835</v>
      </c>
      <c r="E96" s="2" t="s">
        <v>31027</v>
      </c>
      <c r="F96" t="s">
        <v>1464</v>
      </c>
      <c r="G96" t="s">
        <v>10278</v>
      </c>
      <c r="H96" t="s">
        <v>299</v>
      </c>
      <c r="I96" t="s">
        <v>19</v>
      </c>
      <c r="J96" s="3" t="s">
        <v>10279</v>
      </c>
      <c r="K96" t="s">
        <v>10280</v>
      </c>
      <c r="L96" t="s">
        <v>10281</v>
      </c>
      <c r="M96" t="s">
        <v>741</v>
      </c>
    </row>
    <row r="97" spans="1:13" x14ac:dyDescent="0.25">
      <c r="A97" t="s">
        <v>28949</v>
      </c>
      <c r="B97" t="s">
        <v>13</v>
      </c>
      <c r="C97" t="s">
        <v>28950</v>
      </c>
      <c r="D97" t="s">
        <v>28951</v>
      </c>
      <c r="E97" t="s">
        <v>28952</v>
      </c>
      <c r="F97" t="s">
        <v>129</v>
      </c>
      <c r="G97" t="s">
        <v>15384</v>
      </c>
      <c r="H97" t="s">
        <v>299</v>
      </c>
      <c r="I97" t="s">
        <v>19</v>
      </c>
      <c r="J97" s="3" t="s">
        <v>28001</v>
      </c>
      <c r="K97" t="s">
        <v>28953</v>
      </c>
      <c r="L97" t="s">
        <v>28954</v>
      </c>
      <c r="M97" t="s">
        <v>129</v>
      </c>
    </row>
    <row r="98" spans="1:13" x14ac:dyDescent="0.25">
      <c r="A98" t="s">
        <v>27541</v>
      </c>
      <c r="B98" t="s">
        <v>13</v>
      </c>
      <c r="C98" t="s">
        <v>27542</v>
      </c>
      <c r="D98" t="s">
        <v>27543</v>
      </c>
      <c r="E98" s="2" t="s">
        <v>32095</v>
      </c>
      <c r="F98" t="s">
        <v>1190</v>
      </c>
      <c r="G98" t="s">
        <v>27544</v>
      </c>
      <c r="H98" t="s">
        <v>3518</v>
      </c>
      <c r="I98" t="s">
        <v>19</v>
      </c>
      <c r="J98" s="3" t="s">
        <v>27545</v>
      </c>
      <c r="K98" t="s">
        <v>27546</v>
      </c>
      <c r="L98" t="s">
        <v>12159</v>
      </c>
      <c r="M98" t="s">
        <v>32162</v>
      </c>
    </row>
    <row r="99" spans="1:13" x14ac:dyDescent="0.25">
      <c r="A99" t="s">
        <v>16926</v>
      </c>
      <c r="B99" t="s">
        <v>101</v>
      </c>
      <c r="C99" t="s">
        <v>16919</v>
      </c>
      <c r="D99" t="s">
        <v>16927</v>
      </c>
      <c r="E99" t="s">
        <v>16928</v>
      </c>
      <c r="F99" t="s">
        <v>432</v>
      </c>
      <c r="G99" t="s">
        <v>16929</v>
      </c>
      <c r="H99" t="s">
        <v>428</v>
      </c>
      <c r="I99" t="s">
        <v>19</v>
      </c>
      <c r="J99" s="3">
        <f>55-51-984394584</f>
        <v>-984394580</v>
      </c>
      <c r="K99" t="s">
        <v>16930</v>
      </c>
      <c r="L99" t="s">
        <v>1269</v>
      </c>
      <c r="M99" t="s">
        <v>432</v>
      </c>
    </row>
    <row r="100" spans="1:13" x14ac:dyDescent="0.25">
      <c r="A100" t="s">
        <v>26828</v>
      </c>
      <c r="B100" t="s">
        <v>13</v>
      </c>
      <c r="C100" s="1">
        <v>42432</v>
      </c>
      <c r="D100" t="s">
        <v>26829</v>
      </c>
      <c r="E100" t="s">
        <v>16928</v>
      </c>
      <c r="F100" t="s">
        <v>1190</v>
      </c>
      <c r="G100" t="s">
        <v>26830</v>
      </c>
      <c r="H100" t="s">
        <v>428</v>
      </c>
      <c r="I100" t="s">
        <v>19</v>
      </c>
      <c r="J100" s="3" t="s">
        <v>26831</v>
      </c>
      <c r="K100" t="s">
        <v>26832</v>
      </c>
      <c r="L100" t="s">
        <v>26833</v>
      </c>
      <c r="M100" t="s">
        <v>432</v>
      </c>
    </row>
    <row r="101" spans="1:13" x14ac:dyDescent="0.25">
      <c r="A101" t="s">
        <v>7782</v>
      </c>
      <c r="B101" t="s">
        <v>13</v>
      </c>
      <c r="C101" t="s">
        <v>7783</v>
      </c>
      <c r="D101" t="s">
        <v>32135</v>
      </c>
      <c r="E101" s="2" t="s">
        <v>30941</v>
      </c>
      <c r="F101" t="s">
        <v>7784</v>
      </c>
      <c r="G101" t="s">
        <v>7785</v>
      </c>
      <c r="H101" t="s">
        <v>2479</v>
      </c>
      <c r="I101" t="s">
        <v>19</v>
      </c>
      <c r="J101" s="3">
        <f>55-51-37177387</f>
        <v>-37177383</v>
      </c>
      <c r="K101" t="s">
        <v>4944</v>
      </c>
      <c r="L101" t="s">
        <v>32135</v>
      </c>
      <c r="M101" t="s">
        <v>432</v>
      </c>
    </row>
    <row r="102" spans="1:13" x14ac:dyDescent="0.25">
      <c r="A102" t="s">
        <v>23098</v>
      </c>
      <c r="B102" t="s">
        <v>13</v>
      </c>
      <c r="C102" s="1">
        <v>42746</v>
      </c>
      <c r="D102" t="s">
        <v>23099</v>
      </c>
      <c r="E102" t="s">
        <v>23100</v>
      </c>
      <c r="F102" t="s">
        <v>432</v>
      </c>
      <c r="G102" t="s">
        <v>8605</v>
      </c>
      <c r="H102" t="s">
        <v>428</v>
      </c>
      <c r="I102" t="s">
        <v>19</v>
      </c>
      <c r="J102" s="3" t="s">
        <v>8606</v>
      </c>
      <c r="K102" t="s">
        <v>8607</v>
      </c>
      <c r="L102" t="s">
        <v>8608</v>
      </c>
      <c r="M102" t="s">
        <v>432</v>
      </c>
    </row>
    <row r="103" spans="1:13" x14ac:dyDescent="0.25">
      <c r="A103" t="s">
        <v>1645</v>
      </c>
      <c r="B103" t="s">
        <v>13</v>
      </c>
      <c r="C103" t="s">
        <v>1627</v>
      </c>
      <c r="D103" t="s">
        <v>1646</v>
      </c>
      <c r="E103" t="s">
        <v>1647</v>
      </c>
      <c r="F103" t="s">
        <v>1648</v>
      </c>
      <c r="G103" t="s">
        <v>1649</v>
      </c>
      <c r="H103" t="s">
        <v>409</v>
      </c>
      <c r="I103" t="s">
        <v>19</v>
      </c>
      <c r="J103" s="3">
        <f>55-48-996430202</f>
        <v>-996430195</v>
      </c>
      <c r="K103" t="s">
        <v>1650</v>
      </c>
      <c r="L103" t="s">
        <v>412</v>
      </c>
      <c r="M103" t="s">
        <v>32144</v>
      </c>
    </row>
    <row r="104" spans="1:13" x14ac:dyDescent="0.25">
      <c r="A104" t="s">
        <v>10755</v>
      </c>
      <c r="B104" t="s">
        <v>13</v>
      </c>
      <c r="C104" t="s">
        <v>10729</v>
      </c>
      <c r="D104" t="s">
        <v>10756</v>
      </c>
      <c r="E104" t="s">
        <v>10757</v>
      </c>
      <c r="F104" t="s">
        <v>129</v>
      </c>
      <c r="G104" t="s">
        <v>8400</v>
      </c>
      <c r="H104" t="s">
        <v>36</v>
      </c>
      <c r="I104" t="s">
        <v>19</v>
      </c>
      <c r="J104" s="3">
        <f>55-11-997923100</f>
        <v>-997923056</v>
      </c>
      <c r="K104" t="s">
        <v>8401</v>
      </c>
      <c r="L104" t="s">
        <v>8402</v>
      </c>
      <c r="M104" t="s">
        <v>129</v>
      </c>
    </row>
    <row r="105" spans="1:13" x14ac:dyDescent="0.25">
      <c r="A105" t="s">
        <v>20886</v>
      </c>
      <c r="B105" t="s">
        <v>13</v>
      </c>
      <c r="C105" t="s">
        <v>2033</v>
      </c>
      <c r="D105" t="s">
        <v>20887</v>
      </c>
      <c r="E105" t="s">
        <v>20888</v>
      </c>
      <c r="F105" t="s">
        <v>332</v>
      </c>
      <c r="G105" t="s">
        <v>5651</v>
      </c>
      <c r="H105" t="s">
        <v>372</v>
      </c>
      <c r="I105" t="s">
        <v>19</v>
      </c>
      <c r="J105" s="3">
        <f>55-19-2106-5209</f>
        <v>-7279</v>
      </c>
      <c r="K105" t="s">
        <v>16679</v>
      </c>
      <c r="L105" t="s">
        <v>16680</v>
      </c>
      <c r="M105" t="s">
        <v>337</v>
      </c>
    </row>
    <row r="106" spans="1:13" x14ac:dyDescent="0.25">
      <c r="A106" t="s">
        <v>11082</v>
      </c>
      <c r="B106" t="s">
        <v>13</v>
      </c>
      <c r="C106" s="1">
        <v>44081</v>
      </c>
      <c r="D106" t="s">
        <v>11083</v>
      </c>
      <c r="E106" t="s">
        <v>32218</v>
      </c>
      <c r="F106" t="s">
        <v>1190</v>
      </c>
      <c r="G106" t="s">
        <v>11084</v>
      </c>
      <c r="H106" t="s">
        <v>141</v>
      </c>
      <c r="I106" t="s">
        <v>19</v>
      </c>
      <c r="J106" s="3" t="s">
        <v>11085</v>
      </c>
      <c r="K106" t="s">
        <v>11086</v>
      </c>
      <c r="L106" t="s">
        <v>11087</v>
      </c>
      <c r="M106" t="s">
        <v>432</v>
      </c>
    </row>
    <row r="107" spans="1:13" x14ac:dyDescent="0.25">
      <c r="A107" t="s">
        <v>30469</v>
      </c>
      <c r="B107" t="s">
        <v>13</v>
      </c>
      <c r="C107" s="1">
        <v>41000</v>
      </c>
      <c r="D107" t="s">
        <v>30470</v>
      </c>
      <c r="E107" t="s">
        <v>30471</v>
      </c>
      <c r="F107" t="s">
        <v>432</v>
      </c>
      <c r="G107" t="s">
        <v>8605</v>
      </c>
      <c r="H107" t="s">
        <v>428</v>
      </c>
      <c r="I107" t="s">
        <v>19</v>
      </c>
      <c r="J107" s="3" t="s">
        <v>30472</v>
      </c>
      <c r="K107" t="s">
        <v>8607</v>
      </c>
      <c r="L107" t="s">
        <v>7007</v>
      </c>
      <c r="M107" t="s">
        <v>432</v>
      </c>
    </row>
    <row r="108" spans="1:13" x14ac:dyDescent="0.25">
      <c r="A108" t="s">
        <v>29842</v>
      </c>
      <c r="B108" t="s">
        <v>13</v>
      </c>
      <c r="C108" s="1">
        <v>41306</v>
      </c>
      <c r="D108" t="s">
        <v>29843</v>
      </c>
      <c r="E108" t="s">
        <v>29844</v>
      </c>
      <c r="F108" t="s">
        <v>1349</v>
      </c>
      <c r="G108" t="s">
        <v>29845</v>
      </c>
      <c r="H108" t="s">
        <v>36</v>
      </c>
      <c r="I108" t="s">
        <v>19</v>
      </c>
      <c r="J108" s="3" t="s">
        <v>29846</v>
      </c>
      <c r="K108" t="s">
        <v>29847</v>
      </c>
      <c r="L108" t="s">
        <v>29848</v>
      </c>
      <c r="M108" t="s">
        <v>1349</v>
      </c>
    </row>
    <row r="109" spans="1:13" x14ac:dyDescent="0.25">
      <c r="A109" t="s">
        <v>25141</v>
      </c>
      <c r="B109" t="s">
        <v>13</v>
      </c>
      <c r="C109" t="s">
        <v>25142</v>
      </c>
      <c r="D109" t="s">
        <v>25143</v>
      </c>
      <c r="E109" t="s">
        <v>32198</v>
      </c>
      <c r="F109" t="s">
        <v>1464</v>
      </c>
      <c r="G109" t="s">
        <v>20684</v>
      </c>
      <c r="H109" t="s">
        <v>299</v>
      </c>
      <c r="I109" t="s">
        <v>19</v>
      </c>
      <c r="J109" s="3" t="s">
        <v>7937</v>
      </c>
      <c r="K109" t="s">
        <v>20685</v>
      </c>
      <c r="L109" t="s">
        <v>7939</v>
      </c>
      <c r="M109" t="s">
        <v>432</v>
      </c>
    </row>
    <row r="110" spans="1:13" x14ac:dyDescent="0.25">
      <c r="A110" t="s">
        <v>2377</v>
      </c>
      <c r="B110" t="s">
        <v>13</v>
      </c>
      <c r="C110" t="s">
        <v>2366</v>
      </c>
      <c r="D110" t="s">
        <v>32135</v>
      </c>
      <c r="E110" s="2" t="s">
        <v>31817</v>
      </c>
      <c r="F110" t="s">
        <v>2379</v>
      </c>
      <c r="G110" t="s">
        <v>2380</v>
      </c>
      <c r="H110" t="s">
        <v>18</v>
      </c>
      <c r="I110" t="s">
        <v>19</v>
      </c>
      <c r="J110" s="3" t="s">
        <v>2381</v>
      </c>
      <c r="K110" t="s">
        <v>2382</v>
      </c>
      <c r="L110" t="s">
        <v>285</v>
      </c>
      <c r="M110" t="s">
        <v>1349</v>
      </c>
    </row>
    <row r="111" spans="1:13" x14ac:dyDescent="0.25">
      <c r="A111" t="s">
        <v>20285</v>
      </c>
      <c r="B111" t="s">
        <v>13</v>
      </c>
      <c r="C111" t="s">
        <v>20252</v>
      </c>
      <c r="D111" t="s">
        <v>20286</v>
      </c>
      <c r="E111" t="s">
        <v>32219</v>
      </c>
      <c r="F111" t="s">
        <v>306</v>
      </c>
      <c r="G111" t="s">
        <v>17389</v>
      </c>
      <c r="H111" t="s">
        <v>265</v>
      </c>
      <c r="I111" t="s">
        <v>19</v>
      </c>
      <c r="J111" s="3">
        <f>55-16-36022712</f>
        <v>-36022673</v>
      </c>
      <c r="K111" t="s">
        <v>17390</v>
      </c>
      <c r="L111" t="s">
        <v>3558</v>
      </c>
      <c r="M111" t="s">
        <v>32183</v>
      </c>
    </row>
    <row r="112" spans="1:13" x14ac:dyDescent="0.25">
      <c r="A112" t="s">
        <v>30190</v>
      </c>
      <c r="B112" t="s">
        <v>13</v>
      </c>
      <c r="C112" t="s">
        <v>30191</v>
      </c>
      <c r="D112" t="s">
        <v>30192</v>
      </c>
      <c r="E112" t="s">
        <v>32220</v>
      </c>
      <c r="F112" t="s">
        <v>224</v>
      </c>
      <c r="G112" t="s">
        <v>30193</v>
      </c>
      <c r="H112" t="s">
        <v>3618</v>
      </c>
      <c r="I112" t="s">
        <v>19</v>
      </c>
      <c r="J112" s="3" t="s">
        <v>30194</v>
      </c>
      <c r="K112" t="s">
        <v>30195</v>
      </c>
      <c r="L112" t="s">
        <v>82</v>
      </c>
      <c r="M112" t="s">
        <v>224</v>
      </c>
    </row>
    <row r="113" spans="1:13" x14ac:dyDescent="0.25">
      <c r="A113" t="s">
        <v>30486</v>
      </c>
      <c r="B113" t="s">
        <v>13</v>
      </c>
      <c r="C113" t="s">
        <v>30124</v>
      </c>
      <c r="D113" t="s">
        <v>30487</v>
      </c>
      <c r="E113" t="s">
        <v>32221</v>
      </c>
      <c r="F113" t="s">
        <v>2947</v>
      </c>
      <c r="G113" t="s">
        <v>30488</v>
      </c>
      <c r="H113" t="s">
        <v>10509</v>
      </c>
      <c r="I113" t="s">
        <v>19</v>
      </c>
      <c r="J113" s="3">
        <v>91497720</v>
      </c>
      <c r="K113" t="s">
        <v>30489</v>
      </c>
      <c r="L113" t="s">
        <v>30490</v>
      </c>
      <c r="M113" t="s">
        <v>771</v>
      </c>
    </row>
    <row r="114" spans="1:13" x14ac:dyDescent="0.25">
      <c r="A114" t="s">
        <v>29507</v>
      </c>
      <c r="B114" t="s">
        <v>13</v>
      </c>
      <c r="C114" s="1">
        <v>41463</v>
      </c>
      <c r="D114" t="s">
        <v>29508</v>
      </c>
      <c r="E114" t="s">
        <v>29509</v>
      </c>
      <c r="F114" t="s">
        <v>129</v>
      </c>
      <c r="G114" t="s">
        <v>16026</v>
      </c>
      <c r="H114" t="s">
        <v>642</v>
      </c>
      <c r="I114" t="s">
        <v>19</v>
      </c>
      <c r="J114" s="3">
        <v>4899688381</v>
      </c>
      <c r="K114" t="s">
        <v>16027</v>
      </c>
      <c r="L114" t="s">
        <v>1823</v>
      </c>
      <c r="M114" t="s">
        <v>129</v>
      </c>
    </row>
    <row r="115" spans="1:13" x14ac:dyDescent="0.25">
      <c r="A115" t="s">
        <v>692</v>
      </c>
      <c r="B115" t="s">
        <v>13</v>
      </c>
      <c r="C115" s="1">
        <v>44958</v>
      </c>
      <c r="D115" t="s">
        <v>693</v>
      </c>
      <c r="E115" t="s">
        <v>694</v>
      </c>
      <c r="F115" t="s">
        <v>695</v>
      </c>
      <c r="G115" t="s">
        <v>696</v>
      </c>
      <c r="H115" t="s">
        <v>88</v>
      </c>
      <c r="I115" t="s">
        <v>19</v>
      </c>
      <c r="J115" s="3" t="s">
        <v>697</v>
      </c>
      <c r="K115" t="s">
        <v>698</v>
      </c>
      <c r="L115" t="s">
        <v>699</v>
      </c>
      <c r="M115" t="s">
        <v>57</v>
      </c>
    </row>
    <row r="116" spans="1:13" x14ac:dyDescent="0.25">
      <c r="A116" t="s">
        <v>6198</v>
      </c>
      <c r="B116" t="s">
        <v>13</v>
      </c>
      <c r="C116" t="s">
        <v>5601</v>
      </c>
      <c r="D116" t="s">
        <v>32135</v>
      </c>
      <c r="E116" t="s">
        <v>6199</v>
      </c>
      <c r="F116" t="s">
        <v>6199</v>
      </c>
      <c r="G116" t="s">
        <v>6113</v>
      </c>
      <c r="H116" t="s">
        <v>6114</v>
      </c>
      <c r="I116" t="s">
        <v>19</v>
      </c>
      <c r="J116" s="3" t="s">
        <v>6115</v>
      </c>
      <c r="K116" t="s">
        <v>6116</v>
      </c>
      <c r="L116" t="s">
        <v>32135</v>
      </c>
      <c r="M116" t="s">
        <v>32145</v>
      </c>
    </row>
    <row r="117" spans="1:13" x14ac:dyDescent="0.25">
      <c r="A117" t="s">
        <v>12308</v>
      </c>
      <c r="B117" t="s">
        <v>13</v>
      </c>
      <c r="C117" t="s">
        <v>12302</v>
      </c>
      <c r="D117" t="s">
        <v>12309</v>
      </c>
      <c r="E117" t="s">
        <v>12310</v>
      </c>
      <c r="F117" t="s">
        <v>1464</v>
      </c>
      <c r="G117" t="s">
        <v>12311</v>
      </c>
      <c r="H117" t="s">
        <v>36</v>
      </c>
      <c r="I117" t="s">
        <v>19</v>
      </c>
      <c r="J117" s="3">
        <f>55-11-21490155</f>
        <v>-21490111</v>
      </c>
      <c r="K117" t="s">
        <v>12312</v>
      </c>
      <c r="L117" t="s">
        <v>439</v>
      </c>
      <c r="M117" t="s">
        <v>32144</v>
      </c>
    </row>
    <row r="118" spans="1:13" x14ac:dyDescent="0.25">
      <c r="A118" t="s">
        <v>10392</v>
      </c>
      <c r="B118" t="s">
        <v>13</v>
      </c>
      <c r="C118" t="s">
        <v>10393</v>
      </c>
      <c r="D118" t="s">
        <v>10394</v>
      </c>
      <c r="E118" t="s">
        <v>10395</v>
      </c>
      <c r="F118" t="s">
        <v>2036</v>
      </c>
      <c r="G118" t="s">
        <v>10396</v>
      </c>
      <c r="H118" t="s">
        <v>18</v>
      </c>
      <c r="I118" t="s">
        <v>19</v>
      </c>
      <c r="J118" s="3" t="s">
        <v>10397</v>
      </c>
      <c r="K118" t="s">
        <v>10398</v>
      </c>
      <c r="L118" t="s">
        <v>285</v>
      </c>
      <c r="M118" t="s">
        <v>57</v>
      </c>
    </row>
    <row r="119" spans="1:13" x14ac:dyDescent="0.25">
      <c r="A119" t="s">
        <v>11536</v>
      </c>
      <c r="B119" t="s">
        <v>101</v>
      </c>
      <c r="C119" s="1">
        <v>43896</v>
      </c>
      <c r="D119" t="s">
        <v>11537</v>
      </c>
      <c r="E119" t="s">
        <v>10696</v>
      </c>
      <c r="F119" t="s">
        <v>8193</v>
      </c>
      <c r="G119" t="s">
        <v>1621</v>
      </c>
      <c r="H119" t="s">
        <v>1622</v>
      </c>
      <c r="I119" t="s">
        <v>19</v>
      </c>
      <c r="J119" s="3" t="s">
        <v>1623</v>
      </c>
      <c r="K119" t="s">
        <v>1624</v>
      </c>
      <c r="L119" t="s">
        <v>10697</v>
      </c>
      <c r="M119" t="s">
        <v>129</v>
      </c>
    </row>
    <row r="120" spans="1:13" x14ac:dyDescent="0.25">
      <c r="A120" t="s">
        <v>10694</v>
      </c>
      <c r="B120" t="s">
        <v>101</v>
      </c>
      <c r="C120" t="s">
        <v>1703</v>
      </c>
      <c r="D120" t="s">
        <v>10695</v>
      </c>
      <c r="E120" t="s">
        <v>10696</v>
      </c>
      <c r="F120" t="s">
        <v>8193</v>
      </c>
      <c r="G120" t="s">
        <v>1621</v>
      </c>
      <c r="H120" t="s">
        <v>1622</v>
      </c>
      <c r="I120" t="s">
        <v>19</v>
      </c>
      <c r="J120" s="3" t="s">
        <v>1623</v>
      </c>
      <c r="K120" t="s">
        <v>1624</v>
      </c>
      <c r="L120" t="s">
        <v>10697</v>
      </c>
      <c r="M120" t="s">
        <v>129</v>
      </c>
    </row>
    <row r="121" spans="1:13" x14ac:dyDescent="0.25">
      <c r="A121" t="s">
        <v>15149</v>
      </c>
      <c r="B121" t="s">
        <v>101</v>
      </c>
      <c r="C121" s="1">
        <v>43476</v>
      </c>
      <c r="D121" t="s">
        <v>15150</v>
      </c>
      <c r="E121" s="2" t="s">
        <v>31118</v>
      </c>
      <c r="F121" t="s">
        <v>8193</v>
      </c>
      <c r="G121" t="s">
        <v>1621</v>
      </c>
      <c r="H121" t="s">
        <v>1622</v>
      </c>
      <c r="I121" t="s">
        <v>19</v>
      </c>
      <c r="J121" s="3" t="s">
        <v>1623</v>
      </c>
      <c r="K121" t="s">
        <v>1624</v>
      </c>
      <c r="L121" t="s">
        <v>10697</v>
      </c>
      <c r="M121" t="s">
        <v>129</v>
      </c>
    </row>
    <row r="122" spans="1:13" x14ac:dyDescent="0.25">
      <c r="A122" t="s">
        <v>14462</v>
      </c>
      <c r="B122" t="s">
        <v>101</v>
      </c>
      <c r="C122" s="1">
        <v>43597</v>
      </c>
      <c r="D122" t="s">
        <v>14463</v>
      </c>
      <c r="E122" t="s">
        <v>14464</v>
      </c>
      <c r="F122" t="s">
        <v>8193</v>
      </c>
      <c r="G122" t="s">
        <v>1621</v>
      </c>
      <c r="H122" t="s">
        <v>1622</v>
      </c>
      <c r="I122" t="s">
        <v>19</v>
      </c>
      <c r="J122" s="3" t="s">
        <v>1623</v>
      </c>
      <c r="K122" t="s">
        <v>1624</v>
      </c>
      <c r="L122" t="s">
        <v>10697</v>
      </c>
      <c r="M122" t="s">
        <v>129</v>
      </c>
    </row>
    <row r="123" spans="1:13" x14ac:dyDescent="0.25">
      <c r="A123" t="s">
        <v>30103</v>
      </c>
      <c r="B123" t="s">
        <v>13</v>
      </c>
      <c r="C123" t="s">
        <v>14184</v>
      </c>
      <c r="D123" t="s">
        <v>30104</v>
      </c>
      <c r="E123" t="s">
        <v>30105</v>
      </c>
      <c r="F123" t="s">
        <v>1464</v>
      </c>
      <c r="G123" t="s">
        <v>30106</v>
      </c>
      <c r="H123" t="s">
        <v>489</v>
      </c>
      <c r="I123" t="s">
        <v>19</v>
      </c>
      <c r="J123" s="3" t="s">
        <v>30107</v>
      </c>
      <c r="K123" t="s">
        <v>30108</v>
      </c>
      <c r="L123" t="s">
        <v>30106</v>
      </c>
      <c r="M123" t="s">
        <v>57</v>
      </c>
    </row>
    <row r="124" spans="1:13" x14ac:dyDescent="0.25">
      <c r="A124" t="s">
        <v>10468</v>
      </c>
      <c r="B124" t="s">
        <v>13</v>
      </c>
      <c r="C124" s="1">
        <v>44143</v>
      </c>
      <c r="D124" t="s">
        <v>10469</v>
      </c>
      <c r="E124" t="s">
        <v>10470</v>
      </c>
      <c r="F124" t="s">
        <v>1129</v>
      </c>
      <c r="G124" t="s">
        <v>10471</v>
      </c>
      <c r="H124" t="s">
        <v>4039</v>
      </c>
      <c r="I124" t="s">
        <v>3017</v>
      </c>
      <c r="J124" s="3" t="s">
        <v>10472</v>
      </c>
      <c r="K124" t="s">
        <v>10473</v>
      </c>
      <c r="L124" t="s">
        <v>10474</v>
      </c>
      <c r="M124" t="s">
        <v>224</v>
      </c>
    </row>
    <row r="125" spans="1:13" x14ac:dyDescent="0.25">
      <c r="A125" t="s">
        <v>5902</v>
      </c>
      <c r="B125" t="s">
        <v>13</v>
      </c>
      <c r="C125" t="s">
        <v>1660</v>
      </c>
      <c r="D125" t="s">
        <v>32135</v>
      </c>
      <c r="E125" t="s">
        <v>5903</v>
      </c>
      <c r="F125" t="s">
        <v>5657</v>
      </c>
      <c r="G125" t="s">
        <v>5904</v>
      </c>
      <c r="H125" t="s">
        <v>18</v>
      </c>
      <c r="I125" t="s">
        <v>19</v>
      </c>
      <c r="J125" s="3">
        <f>55-19-32892856</f>
        <v>-32892820</v>
      </c>
      <c r="K125" t="s">
        <v>5905</v>
      </c>
      <c r="L125" t="s">
        <v>32135</v>
      </c>
      <c r="M125" t="s">
        <v>1775</v>
      </c>
    </row>
    <row r="126" spans="1:13" x14ac:dyDescent="0.25">
      <c r="A126" t="s">
        <v>17739</v>
      </c>
      <c r="B126" t="s">
        <v>13</v>
      </c>
      <c r="C126" s="1">
        <v>43649</v>
      </c>
      <c r="D126" t="s">
        <v>17740</v>
      </c>
      <c r="E126" s="2" t="s">
        <v>32222</v>
      </c>
      <c r="F126" t="s">
        <v>6485</v>
      </c>
      <c r="G126" t="s">
        <v>17741</v>
      </c>
      <c r="H126" t="s">
        <v>472</v>
      </c>
      <c r="I126" t="s">
        <v>19</v>
      </c>
      <c r="J126" s="3" t="s">
        <v>17742</v>
      </c>
      <c r="K126" t="s">
        <v>17743</v>
      </c>
      <c r="L126" t="s">
        <v>1193</v>
      </c>
      <c r="M126" t="s">
        <v>741</v>
      </c>
    </row>
    <row r="127" spans="1:13" x14ac:dyDescent="0.25">
      <c r="A127" t="s">
        <v>15598</v>
      </c>
      <c r="B127" t="s">
        <v>13</v>
      </c>
      <c r="C127" s="1">
        <v>43748</v>
      </c>
      <c r="D127" t="s">
        <v>15599</v>
      </c>
      <c r="E127" s="2" t="s">
        <v>31754</v>
      </c>
      <c r="F127" t="s">
        <v>306</v>
      </c>
      <c r="G127" t="s">
        <v>15600</v>
      </c>
      <c r="H127" t="s">
        <v>15601</v>
      </c>
      <c r="I127" t="s">
        <v>19</v>
      </c>
      <c r="J127" s="3">
        <f>55-82-21266500</f>
        <v>-21266527</v>
      </c>
      <c r="K127" t="s">
        <v>15602</v>
      </c>
      <c r="L127" t="s">
        <v>15603</v>
      </c>
      <c r="M127" t="s">
        <v>32145</v>
      </c>
    </row>
    <row r="128" spans="1:13" x14ac:dyDescent="0.25">
      <c r="A128" t="s">
        <v>7045</v>
      </c>
      <c r="B128" t="s">
        <v>13</v>
      </c>
      <c r="C128" t="s">
        <v>7046</v>
      </c>
      <c r="D128" t="s">
        <v>7047</v>
      </c>
      <c r="E128" s="2" t="s">
        <v>31491</v>
      </c>
      <c r="F128" t="s">
        <v>2530</v>
      </c>
      <c r="G128" t="s">
        <v>7048</v>
      </c>
      <c r="H128" t="s">
        <v>45</v>
      </c>
      <c r="I128" t="s">
        <v>19</v>
      </c>
      <c r="J128" s="3">
        <f>55-85-999873484</f>
        <v>-999873514</v>
      </c>
      <c r="K128" t="s">
        <v>7049</v>
      </c>
      <c r="L128" t="s">
        <v>32135</v>
      </c>
      <c r="M128" t="s">
        <v>741</v>
      </c>
    </row>
    <row r="129" spans="1:13" x14ac:dyDescent="0.25">
      <c r="A129" t="s">
        <v>28962</v>
      </c>
      <c r="B129" t="s">
        <v>13</v>
      </c>
      <c r="C129" s="1">
        <v>41737</v>
      </c>
      <c r="D129" t="s">
        <v>28963</v>
      </c>
      <c r="E129" t="s">
        <v>32223</v>
      </c>
      <c r="G129" t="s">
        <v>28964</v>
      </c>
      <c r="H129" t="s">
        <v>1215</v>
      </c>
      <c r="I129" t="s">
        <v>19</v>
      </c>
      <c r="J129" s="3" t="s">
        <v>28965</v>
      </c>
      <c r="K129" t="s">
        <v>28966</v>
      </c>
      <c r="L129" t="s">
        <v>2548</v>
      </c>
      <c r="M129" t="s">
        <v>57</v>
      </c>
    </row>
    <row r="130" spans="1:13" x14ac:dyDescent="0.25">
      <c r="A130" t="s">
        <v>5157</v>
      </c>
      <c r="B130" t="s">
        <v>13</v>
      </c>
      <c r="C130" s="1">
        <v>44621</v>
      </c>
      <c r="D130" t="s">
        <v>5158</v>
      </c>
      <c r="E130" t="s">
        <v>5159</v>
      </c>
      <c r="F130" t="s">
        <v>1182</v>
      </c>
      <c r="G130" t="s">
        <v>5160</v>
      </c>
      <c r="H130" t="s">
        <v>462</v>
      </c>
      <c r="I130" t="s">
        <v>19</v>
      </c>
      <c r="J130" s="3">
        <f>55-44-30276360</f>
        <v>-30276349</v>
      </c>
      <c r="K130" t="s">
        <v>5161</v>
      </c>
      <c r="L130" t="s">
        <v>32135</v>
      </c>
      <c r="M130" t="s">
        <v>32145</v>
      </c>
    </row>
    <row r="131" spans="1:13" x14ac:dyDescent="0.25">
      <c r="A131" t="s">
        <v>15187</v>
      </c>
      <c r="B131" t="s">
        <v>13</v>
      </c>
      <c r="C131" t="s">
        <v>15171</v>
      </c>
      <c r="D131" t="s">
        <v>15188</v>
      </c>
      <c r="E131" t="s">
        <v>15189</v>
      </c>
      <c r="F131" t="s">
        <v>1464</v>
      </c>
      <c r="G131" t="s">
        <v>15190</v>
      </c>
      <c r="H131" t="s">
        <v>462</v>
      </c>
      <c r="I131" t="s">
        <v>19</v>
      </c>
      <c r="J131" s="3">
        <f>55-44-30113895</f>
        <v>-30113884</v>
      </c>
      <c r="K131" t="s">
        <v>15191</v>
      </c>
      <c r="L131" t="s">
        <v>904</v>
      </c>
      <c r="M131" t="s">
        <v>741</v>
      </c>
    </row>
    <row r="132" spans="1:13" x14ac:dyDescent="0.25">
      <c r="A132" t="s">
        <v>16905</v>
      </c>
      <c r="B132" t="s">
        <v>13</v>
      </c>
      <c r="C132" t="s">
        <v>16899</v>
      </c>
      <c r="D132" t="s">
        <v>16906</v>
      </c>
      <c r="E132" s="2" t="s">
        <v>31745</v>
      </c>
      <c r="F132" t="s">
        <v>9519</v>
      </c>
      <c r="G132" t="s">
        <v>16907</v>
      </c>
      <c r="H132" t="s">
        <v>36</v>
      </c>
      <c r="I132" t="s">
        <v>19</v>
      </c>
      <c r="J132" s="3" t="s">
        <v>16908</v>
      </c>
      <c r="K132" t="s">
        <v>16909</v>
      </c>
      <c r="L132" t="s">
        <v>16910</v>
      </c>
      <c r="M132" t="s">
        <v>32145</v>
      </c>
    </row>
    <row r="133" spans="1:13" x14ac:dyDescent="0.25">
      <c r="A133" t="s">
        <v>23606</v>
      </c>
      <c r="B133" t="s">
        <v>13</v>
      </c>
      <c r="C133" s="1">
        <v>42864</v>
      </c>
      <c r="D133" t="s">
        <v>23607</v>
      </c>
      <c r="E133" s="2" t="s">
        <v>32737</v>
      </c>
      <c r="F133" t="s">
        <v>1464</v>
      </c>
      <c r="G133" t="s">
        <v>23608</v>
      </c>
      <c r="H133" t="s">
        <v>409</v>
      </c>
      <c r="I133" t="s">
        <v>19</v>
      </c>
      <c r="J133" s="3" t="s">
        <v>23609</v>
      </c>
      <c r="K133" t="s">
        <v>23610</v>
      </c>
      <c r="L133" t="s">
        <v>1823</v>
      </c>
      <c r="M133" t="s">
        <v>1775</v>
      </c>
    </row>
    <row r="134" spans="1:13" x14ac:dyDescent="0.25">
      <c r="A134" t="s">
        <v>25615</v>
      </c>
      <c r="B134" t="s">
        <v>13</v>
      </c>
      <c r="C134" s="1">
        <v>42378</v>
      </c>
      <c r="D134" t="s">
        <v>25616</v>
      </c>
      <c r="E134" t="s">
        <v>32738</v>
      </c>
      <c r="F134" t="s">
        <v>1464</v>
      </c>
      <c r="G134" t="s">
        <v>20716</v>
      </c>
      <c r="H134" t="s">
        <v>255</v>
      </c>
      <c r="I134" t="s">
        <v>19</v>
      </c>
      <c r="J134" s="3" t="s">
        <v>25617</v>
      </c>
      <c r="K134" t="s">
        <v>20717</v>
      </c>
      <c r="L134" t="s">
        <v>2467</v>
      </c>
      <c r="M134" t="s">
        <v>32145</v>
      </c>
    </row>
    <row r="135" spans="1:13" x14ac:dyDescent="0.25">
      <c r="A135" t="s">
        <v>3655</v>
      </c>
      <c r="B135" t="s">
        <v>13</v>
      </c>
      <c r="C135" s="1">
        <v>44839</v>
      </c>
      <c r="D135" t="s">
        <v>3656</v>
      </c>
      <c r="E135" t="s">
        <v>3657</v>
      </c>
      <c r="F135" t="s">
        <v>3658</v>
      </c>
      <c r="G135" t="s">
        <v>3659</v>
      </c>
      <c r="H135" t="s">
        <v>3660</v>
      </c>
      <c r="I135" t="s">
        <v>19</v>
      </c>
      <c r="J135" s="3" t="s">
        <v>3661</v>
      </c>
      <c r="K135" t="s">
        <v>3662</v>
      </c>
      <c r="L135" t="s">
        <v>3663</v>
      </c>
      <c r="M135" t="s">
        <v>1775</v>
      </c>
    </row>
    <row r="136" spans="1:13" x14ac:dyDescent="0.25">
      <c r="A136" t="s">
        <v>27288</v>
      </c>
      <c r="B136" t="s">
        <v>13</v>
      </c>
      <c r="C136" s="1">
        <v>42105</v>
      </c>
      <c r="D136" t="s">
        <v>27289</v>
      </c>
      <c r="E136" t="s">
        <v>27290</v>
      </c>
      <c r="F136" t="s">
        <v>1190</v>
      </c>
      <c r="G136" t="s">
        <v>27291</v>
      </c>
      <c r="H136" t="s">
        <v>352</v>
      </c>
      <c r="I136" t="s">
        <v>19</v>
      </c>
      <c r="J136" s="3">
        <v>5521988224889</v>
      </c>
      <c r="K136" t="s">
        <v>27292</v>
      </c>
      <c r="L136" t="s">
        <v>1232</v>
      </c>
      <c r="M136" t="s">
        <v>432</v>
      </c>
    </row>
    <row r="137" spans="1:13" x14ac:dyDescent="0.25">
      <c r="A137" t="s">
        <v>17255</v>
      </c>
      <c r="B137" t="s">
        <v>13</v>
      </c>
      <c r="C137" s="1">
        <v>43622</v>
      </c>
      <c r="D137" t="s">
        <v>17256</v>
      </c>
      <c r="E137" t="s">
        <v>17257</v>
      </c>
      <c r="F137" t="s">
        <v>2947</v>
      </c>
      <c r="G137" t="s">
        <v>17258</v>
      </c>
      <c r="H137" t="s">
        <v>36</v>
      </c>
      <c r="I137" t="s">
        <v>19</v>
      </c>
      <c r="J137" s="3">
        <v>5511975423970</v>
      </c>
      <c r="K137" t="s">
        <v>17259</v>
      </c>
      <c r="L137" t="s">
        <v>17260</v>
      </c>
      <c r="M137" t="s">
        <v>771</v>
      </c>
    </row>
    <row r="138" spans="1:13" x14ac:dyDescent="0.25">
      <c r="A138" t="s">
        <v>17083</v>
      </c>
      <c r="B138" t="s">
        <v>13</v>
      </c>
      <c r="C138" s="1">
        <v>43622</v>
      </c>
      <c r="D138" t="s">
        <v>17084</v>
      </c>
      <c r="E138" s="2" t="s">
        <v>32000</v>
      </c>
      <c r="F138" t="s">
        <v>337</v>
      </c>
      <c r="G138" t="s">
        <v>17085</v>
      </c>
      <c r="H138" t="s">
        <v>409</v>
      </c>
      <c r="I138" t="s">
        <v>19</v>
      </c>
      <c r="J138" s="3">
        <v>554832235323</v>
      </c>
      <c r="K138" t="s">
        <v>17086</v>
      </c>
      <c r="L138" t="s">
        <v>17082</v>
      </c>
      <c r="M138" t="s">
        <v>337</v>
      </c>
    </row>
    <row r="139" spans="1:13" x14ac:dyDescent="0.25">
      <c r="A139" t="s">
        <v>4985</v>
      </c>
      <c r="B139" t="s">
        <v>101</v>
      </c>
      <c r="C139" t="s">
        <v>4986</v>
      </c>
      <c r="D139" t="s">
        <v>32135</v>
      </c>
      <c r="E139" s="2" t="s">
        <v>31958</v>
      </c>
      <c r="F139" t="s">
        <v>4988</v>
      </c>
      <c r="G139" t="s">
        <v>4989</v>
      </c>
      <c r="H139" t="s">
        <v>36</v>
      </c>
      <c r="I139" t="s">
        <v>19</v>
      </c>
      <c r="J139" s="3">
        <f>55-11-983542815</f>
        <v>-983542771</v>
      </c>
      <c r="K139" t="s">
        <v>4990</v>
      </c>
      <c r="L139" t="s">
        <v>32135</v>
      </c>
      <c r="M139" t="s">
        <v>792</v>
      </c>
    </row>
    <row r="140" spans="1:13" x14ac:dyDescent="0.25">
      <c r="A140" t="s">
        <v>28977</v>
      </c>
      <c r="B140" t="s">
        <v>13</v>
      </c>
      <c r="C140" t="s">
        <v>28978</v>
      </c>
      <c r="D140" t="s">
        <v>28979</v>
      </c>
      <c r="E140" t="s">
        <v>28980</v>
      </c>
      <c r="F140" t="s">
        <v>3084</v>
      </c>
      <c r="G140" t="s">
        <v>28981</v>
      </c>
      <c r="H140" t="s">
        <v>36</v>
      </c>
      <c r="I140" t="s">
        <v>19</v>
      </c>
      <c r="J140" s="3" t="s">
        <v>28982</v>
      </c>
      <c r="K140" t="s">
        <v>28983</v>
      </c>
      <c r="L140" t="s">
        <v>439</v>
      </c>
      <c r="M140" t="s">
        <v>32144</v>
      </c>
    </row>
    <row r="141" spans="1:13" x14ac:dyDescent="0.25">
      <c r="A141" t="s">
        <v>8570</v>
      </c>
      <c r="B141" t="s">
        <v>13</v>
      </c>
      <c r="C141" s="1">
        <v>44378</v>
      </c>
      <c r="D141" t="s">
        <v>8571</v>
      </c>
      <c r="E141" s="2" t="s">
        <v>31862</v>
      </c>
      <c r="F141" t="s">
        <v>1181</v>
      </c>
      <c r="G141" t="s">
        <v>8572</v>
      </c>
      <c r="H141" t="s">
        <v>1335</v>
      </c>
      <c r="I141" t="s">
        <v>19</v>
      </c>
      <c r="J141" s="3" t="s">
        <v>8573</v>
      </c>
      <c r="K141" t="s">
        <v>8574</v>
      </c>
      <c r="L141" t="s">
        <v>32135</v>
      </c>
      <c r="M141" t="s">
        <v>57</v>
      </c>
    </row>
    <row r="142" spans="1:13" x14ac:dyDescent="0.25">
      <c r="A142" t="s">
        <v>7907</v>
      </c>
      <c r="B142" t="s">
        <v>13</v>
      </c>
      <c r="C142" t="s">
        <v>7900</v>
      </c>
      <c r="D142" t="s">
        <v>7908</v>
      </c>
      <c r="E142" t="s">
        <v>7909</v>
      </c>
      <c r="F142" t="s">
        <v>7909</v>
      </c>
      <c r="G142" t="s">
        <v>7910</v>
      </c>
      <c r="H142" t="s">
        <v>472</v>
      </c>
      <c r="I142" t="s">
        <v>19</v>
      </c>
      <c r="J142" s="3" t="s">
        <v>7911</v>
      </c>
      <c r="K142" t="s">
        <v>7912</v>
      </c>
      <c r="L142" t="s">
        <v>32135</v>
      </c>
      <c r="M142" t="s">
        <v>1775</v>
      </c>
    </row>
    <row r="143" spans="1:13" x14ac:dyDescent="0.25">
      <c r="A143" t="s">
        <v>30661</v>
      </c>
      <c r="B143" t="s">
        <v>13</v>
      </c>
      <c r="C143" t="s">
        <v>29703</v>
      </c>
      <c r="D143" t="s">
        <v>30662</v>
      </c>
      <c r="E143" t="s">
        <v>30663</v>
      </c>
      <c r="F143" t="s">
        <v>1349</v>
      </c>
      <c r="G143" t="s">
        <v>30653</v>
      </c>
      <c r="H143" t="s">
        <v>36</v>
      </c>
      <c r="I143" t="s">
        <v>19</v>
      </c>
      <c r="J143" s="3" t="s">
        <v>30654</v>
      </c>
      <c r="K143" t="s">
        <v>30655</v>
      </c>
      <c r="L143" t="s">
        <v>29493</v>
      </c>
      <c r="M143" t="s">
        <v>1349</v>
      </c>
    </row>
    <row r="144" spans="1:13" x14ac:dyDescent="0.25">
      <c r="A144" t="s">
        <v>30659</v>
      </c>
      <c r="B144" t="s">
        <v>13</v>
      </c>
      <c r="C144" t="s">
        <v>29686</v>
      </c>
      <c r="D144" t="s">
        <v>30660</v>
      </c>
      <c r="E144" t="s">
        <v>30652</v>
      </c>
      <c r="F144" t="s">
        <v>1349</v>
      </c>
      <c r="G144" t="s">
        <v>30653</v>
      </c>
      <c r="H144" t="s">
        <v>36</v>
      </c>
      <c r="I144" t="s">
        <v>19</v>
      </c>
      <c r="J144" s="3" t="s">
        <v>30654</v>
      </c>
      <c r="K144" t="s">
        <v>30655</v>
      </c>
      <c r="L144" t="s">
        <v>29493</v>
      </c>
      <c r="M144" t="s">
        <v>1349</v>
      </c>
    </row>
    <row r="145" spans="1:13" x14ac:dyDescent="0.25">
      <c r="A145" t="s">
        <v>30650</v>
      </c>
      <c r="B145" t="s">
        <v>13</v>
      </c>
      <c r="C145" t="s">
        <v>29686</v>
      </c>
      <c r="D145" t="s">
        <v>30651</v>
      </c>
      <c r="E145" t="s">
        <v>30652</v>
      </c>
      <c r="F145" t="s">
        <v>1349</v>
      </c>
      <c r="G145" t="s">
        <v>30653</v>
      </c>
      <c r="H145" t="s">
        <v>36</v>
      </c>
      <c r="I145" t="s">
        <v>19</v>
      </c>
      <c r="J145" s="3" t="s">
        <v>30654</v>
      </c>
      <c r="K145" t="s">
        <v>30655</v>
      </c>
      <c r="L145" t="s">
        <v>29493</v>
      </c>
      <c r="M145" t="s">
        <v>1349</v>
      </c>
    </row>
    <row r="146" spans="1:13" x14ac:dyDescent="0.25">
      <c r="A146" t="s">
        <v>26661</v>
      </c>
      <c r="B146" t="s">
        <v>13</v>
      </c>
      <c r="C146" t="s">
        <v>26659</v>
      </c>
      <c r="D146" t="s">
        <v>26662</v>
      </c>
      <c r="E146" s="2" t="s">
        <v>31729</v>
      </c>
      <c r="F146" t="s">
        <v>10546</v>
      </c>
      <c r="G146" t="s">
        <v>26340</v>
      </c>
      <c r="H146" t="s">
        <v>150</v>
      </c>
      <c r="I146" t="s">
        <v>19</v>
      </c>
      <c r="J146" s="3" t="s">
        <v>26341</v>
      </c>
      <c r="K146" t="s">
        <v>26342</v>
      </c>
      <c r="L146" t="s">
        <v>26343</v>
      </c>
      <c r="M146" t="s">
        <v>1349</v>
      </c>
    </row>
    <row r="147" spans="1:13" x14ac:dyDescent="0.25">
      <c r="A147" t="s">
        <v>1405</v>
      </c>
      <c r="B147" t="s">
        <v>13</v>
      </c>
      <c r="C147" s="1">
        <v>44753</v>
      </c>
      <c r="D147" t="s">
        <v>1406</v>
      </c>
      <c r="E147" t="s">
        <v>1407</v>
      </c>
      <c r="F147" t="s">
        <v>1408</v>
      </c>
      <c r="G147" t="s">
        <v>1409</v>
      </c>
      <c r="H147" t="s">
        <v>36</v>
      </c>
      <c r="I147" t="s">
        <v>19</v>
      </c>
      <c r="J147" s="3" t="s">
        <v>1410</v>
      </c>
      <c r="K147" t="s">
        <v>1411</v>
      </c>
      <c r="L147" t="s">
        <v>439</v>
      </c>
      <c r="M147" t="s">
        <v>1349</v>
      </c>
    </row>
    <row r="148" spans="1:13" x14ac:dyDescent="0.25">
      <c r="A148" t="s">
        <v>3805</v>
      </c>
      <c r="B148" t="s">
        <v>13</v>
      </c>
      <c r="C148" s="1">
        <v>44836</v>
      </c>
      <c r="D148" t="s">
        <v>3806</v>
      </c>
      <c r="E148" s="2" t="s">
        <v>31826</v>
      </c>
      <c r="F148" t="s">
        <v>531</v>
      </c>
      <c r="G148" t="s">
        <v>3807</v>
      </c>
      <c r="H148" t="s">
        <v>2842</v>
      </c>
      <c r="I148" t="s">
        <v>19</v>
      </c>
      <c r="J148" s="3" t="s">
        <v>3808</v>
      </c>
      <c r="K148" t="s">
        <v>3809</v>
      </c>
      <c r="L148" t="s">
        <v>3810</v>
      </c>
      <c r="M148" t="s">
        <v>32144</v>
      </c>
    </row>
    <row r="149" spans="1:13" x14ac:dyDescent="0.25">
      <c r="A149" t="s">
        <v>9658</v>
      </c>
      <c r="B149" t="s">
        <v>13</v>
      </c>
      <c r="C149" t="s">
        <v>9659</v>
      </c>
      <c r="D149" t="s">
        <v>9660</v>
      </c>
      <c r="E149" t="s">
        <v>9661</v>
      </c>
      <c r="F149" t="s">
        <v>6075</v>
      </c>
      <c r="G149" t="s">
        <v>9662</v>
      </c>
      <c r="H149" t="s">
        <v>88</v>
      </c>
      <c r="I149" t="s">
        <v>19</v>
      </c>
      <c r="J149" s="3">
        <v>5583988801357</v>
      </c>
      <c r="K149" t="s">
        <v>9663</v>
      </c>
      <c r="L149" t="s">
        <v>91</v>
      </c>
      <c r="M149" t="s">
        <v>1775</v>
      </c>
    </row>
    <row r="150" spans="1:13" x14ac:dyDescent="0.25">
      <c r="A150" t="s">
        <v>20814</v>
      </c>
      <c r="B150" t="s">
        <v>13</v>
      </c>
      <c r="C150" t="s">
        <v>20808</v>
      </c>
      <c r="D150" t="s">
        <v>20815</v>
      </c>
      <c r="E150" t="s">
        <v>20816</v>
      </c>
      <c r="F150" t="s">
        <v>1464</v>
      </c>
      <c r="G150" t="s">
        <v>20817</v>
      </c>
      <c r="H150" t="s">
        <v>578</v>
      </c>
      <c r="I150" t="s">
        <v>19</v>
      </c>
      <c r="J150" s="3">
        <f>55-92-988162021</f>
        <v>-988162058</v>
      </c>
      <c r="K150" t="s">
        <v>20818</v>
      </c>
      <c r="L150" t="s">
        <v>678</v>
      </c>
      <c r="M150" t="s">
        <v>337</v>
      </c>
    </row>
    <row r="151" spans="1:13" x14ac:dyDescent="0.25">
      <c r="A151" t="s">
        <v>20802</v>
      </c>
      <c r="B151" t="s">
        <v>13</v>
      </c>
      <c r="C151" s="1">
        <v>43138</v>
      </c>
      <c r="D151" t="s">
        <v>20803</v>
      </c>
      <c r="E151" s="2" t="s">
        <v>31406</v>
      </c>
      <c r="F151" t="s">
        <v>1775</v>
      </c>
      <c r="G151" t="s">
        <v>20804</v>
      </c>
      <c r="H151" t="s">
        <v>706</v>
      </c>
      <c r="I151" t="s">
        <v>19</v>
      </c>
      <c r="J151" s="3">
        <v>5531971858660</v>
      </c>
      <c r="K151" t="s">
        <v>20805</v>
      </c>
      <c r="L151" t="s">
        <v>20806</v>
      </c>
      <c r="M151" t="s">
        <v>1775</v>
      </c>
    </row>
    <row r="152" spans="1:13" x14ac:dyDescent="0.25">
      <c r="A152" t="s">
        <v>190</v>
      </c>
      <c r="B152" t="s">
        <v>13</v>
      </c>
      <c r="C152" t="s">
        <v>191</v>
      </c>
      <c r="D152" t="s">
        <v>192</v>
      </c>
      <c r="E152" t="s">
        <v>32739</v>
      </c>
      <c r="F152" t="s">
        <v>193</v>
      </c>
      <c r="G152" t="s">
        <v>194</v>
      </c>
      <c r="H152" t="s">
        <v>195</v>
      </c>
      <c r="I152" t="s">
        <v>19</v>
      </c>
      <c r="J152" s="3">
        <v>551633066745</v>
      </c>
      <c r="K152" t="s">
        <v>196</v>
      </c>
      <c r="L152" t="s">
        <v>197</v>
      </c>
      <c r="M152" t="s">
        <v>1775</v>
      </c>
    </row>
    <row r="153" spans="1:13" x14ac:dyDescent="0.25">
      <c r="A153" t="s">
        <v>29665</v>
      </c>
      <c r="B153" t="s">
        <v>13</v>
      </c>
      <c r="C153" s="1">
        <v>41522</v>
      </c>
      <c r="D153" t="s">
        <v>29666</v>
      </c>
      <c r="E153" t="s">
        <v>32740</v>
      </c>
      <c r="F153" t="s">
        <v>1464</v>
      </c>
      <c r="G153" t="s">
        <v>11413</v>
      </c>
      <c r="H153" t="s">
        <v>29667</v>
      </c>
      <c r="I153" t="s">
        <v>19</v>
      </c>
      <c r="J153" s="3" t="s">
        <v>29668</v>
      </c>
      <c r="K153" t="s">
        <v>11415</v>
      </c>
      <c r="L153" t="s">
        <v>197</v>
      </c>
      <c r="M153" t="s">
        <v>1775</v>
      </c>
    </row>
    <row r="154" spans="1:13" x14ac:dyDescent="0.25">
      <c r="A154" t="s">
        <v>19515</v>
      </c>
      <c r="B154" t="s">
        <v>13</v>
      </c>
      <c r="C154" t="s">
        <v>13535</v>
      </c>
      <c r="D154" t="s">
        <v>19516</v>
      </c>
      <c r="E154" s="2" t="s">
        <v>32741</v>
      </c>
      <c r="F154" t="s">
        <v>1464</v>
      </c>
      <c r="G154" t="s">
        <v>19517</v>
      </c>
      <c r="H154" t="s">
        <v>19518</v>
      </c>
      <c r="I154" t="s">
        <v>19</v>
      </c>
      <c r="J154" s="3">
        <f>55-62-99118-9225</f>
        <v>-108350</v>
      </c>
      <c r="K154" t="s">
        <v>19519</v>
      </c>
      <c r="L154" t="s">
        <v>1767</v>
      </c>
      <c r="M154" t="s">
        <v>337</v>
      </c>
    </row>
    <row r="155" spans="1:13" x14ac:dyDescent="0.25">
      <c r="A155" t="s">
        <v>22806</v>
      </c>
      <c r="B155" t="s">
        <v>13</v>
      </c>
      <c r="C155" t="s">
        <v>22753</v>
      </c>
      <c r="D155" t="s">
        <v>22807</v>
      </c>
      <c r="E155" t="s">
        <v>32742</v>
      </c>
      <c r="F155" t="s">
        <v>2036</v>
      </c>
      <c r="G155" t="s">
        <v>22808</v>
      </c>
      <c r="H155" t="s">
        <v>2829</v>
      </c>
      <c r="I155" t="s">
        <v>19</v>
      </c>
      <c r="J155" s="3" t="s">
        <v>22809</v>
      </c>
      <c r="K155" t="s">
        <v>22810</v>
      </c>
      <c r="L155" t="s">
        <v>22811</v>
      </c>
      <c r="M155" t="s">
        <v>57</v>
      </c>
    </row>
    <row r="156" spans="1:13" x14ac:dyDescent="0.25">
      <c r="A156" t="s">
        <v>14546</v>
      </c>
      <c r="B156" t="s">
        <v>13</v>
      </c>
      <c r="C156" t="s">
        <v>7069</v>
      </c>
      <c r="D156" t="s">
        <v>14547</v>
      </c>
      <c r="E156" s="2" t="s">
        <v>32743</v>
      </c>
      <c r="F156" t="s">
        <v>1464</v>
      </c>
      <c r="G156" t="s">
        <v>14548</v>
      </c>
      <c r="H156" t="s">
        <v>2564</v>
      </c>
      <c r="I156" t="s">
        <v>19</v>
      </c>
      <c r="J156" s="3" t="s">
        <v>14549</v>
      </c>
      <c r="K156" t="s">
        <v>14550</v>
      </c>
      <c r="L156" t="s">
        <v>2026</v>
      </c>
      <c r="M156" t="s">
        <v>337</v>
      </c>
    </row>
    <row r="157" spans="1:13" x14ac:dyDescent="0.25">
      <c r="A157" t="s">
        <v>2427</v>
      </c>
      <c r="B157" t="s">
        <v>13</v>
      </c>
      <c r="C157" t="s">
        <v>2428</v>
      </c>
      <c r="D157" t="s">
        <v>2429</v>
      </c>
      <c r="E157" s="2" t="s">
        <v>32744</v>
      </c>
      <c r="F157" t="s">
        <v>2430</v>
      </c>
      <c r="G157" t="s">
        <v>2431</v>
      </c>
      <c r="H157" t="s">
        <v>798</v>
      </c>
      <c r="I157" t="s">
        <v>19</v>
      </c>
      <c r="J157" s="3" t="s">
        <v>2432</v>
      </c>
      <c r="K157" t="s">
        <v>2433</v>
      </c>
      <c r="L157" t="s">
        <v>2434</v>
      </c>
      <c r="M157" t="s">
        <v>1775</v>
      </c>
    </row>
    <row r="158" spans="1:13" x14ac:dyDescent="0.25">
      <c r="A158" t="s">
        <v>4435</v>
      </c>
      <c r="B158" t="s">
        <v>13</v>
      </c>
      <c r="C158" s="1">
        <v>44776</v>
      </c>
      <c r="D158" t="s">
        <v>4436</v>
      </c>
      <c r="E158" s="2" t="s">
        <v>32745</v>
      </c>
      <c r="F158" t="s">
        <v>34</v>
      </c>
      <c r="G158" t="s">
        <v>3896</v>
      </c>
      <c r="H158" t="s">
        <v>141</v>
      </c>
      <c r="I158" t="s">
        <v>19</v>
      </c>
      <c r="J158" s="3" t="s">
        <v>4437</v>
      </c>
      <c r="K158" t="s">
        <v>3897</v>
      </c>
      <c r="L158" t="s">
        <v>4438</v>
      </c>
      <c r="M158" t="s">
        <v>1775</v>
      </c>
    </row>
    <row r="159" spans="1:13" x14ac:dyDescent="0.25">
      <c r="A159" t="s">
        <v>786</v>
      </c>
      <c r="B159" t="s">
        <v>13</v>
      </c>
      <c r="C159" t="s">
        <v>777</v>
      </c>
      <c r="D159" t="s">
        <v>787</v>
      </c>
      <c r="E159" t="s">
        <v>32746</v>
      </c>
      <c r="F159" t="s">
        <v>788</v>
      </c>
      <c r="G159" t="s">
        <v>789</v>
      </c>
      <c r="H159" t="s">
        <v>195</v>
      </c>
      <c r="I159" t="s">
        <v>19</v>
      </c>
      <c r="J159" s="3" t="s">
        <v>790</v>
      </c>
      <c r="K159" t="s">
        <v>791</v>
      </c>
      <c r="L159" t="s">
        <v>197</v>
      </c>
      <c r="M159" t="s">
        <v>32144</v>
      </c>
    </row>
    <row r="160" spans="1:13" x14ac:dyDescent="0.25">
      <c r="A160" t="s">
        <v>21473</v>
      </c>
      <c r="B160" t="s">
        <v>13</v>
      </c>
      <c r="C160" t="s">
        <v>9807</v>
      </c>
      <c r="D160" t="s">
        <v>21474</v>
      </c>
      <c r="E160" s="2" t="s">
        <v>32747</v>
      </c>
      <c r="F160" t="s">
        <v>1464</v>
      </c>
      <c r="G160" t="s">
        <v>11413</v>
      </c>
      <c r="H160" t="s">
        <v>753</v>
      </c>
      <c r="I160" t="s">
        <v>19</v>
      </c>
      <c r="J160" s="3" t="s">
        <v>11414</v>
      </c>
      <c r="K160" t="s">
        <v>11415</v>
      </c>
      <c r="L160" t="s">
        <v>2762</v>
      </c>
      <c r="M160" t="s">
        <v>1775</v>
      </c>
    </row>
    <row r="161" spans="1:13" x14ac:dyDescent="0.25">
      <c r="A161" t="s">
        <v>10085</v>
      </c>
      <c r="B161" t="s">
        <v>13</v>
      </c>
      <c r="C161" t="s">
        <v>10074</v>
      </c>
      <c r="D161" t="s">
        <v>10086</v>
      </c>
      <c r="E161" t="s">
        <v>32748</v>
      </c>
      <c r="F161" t="s">
        <v>1464</v>
      </c>
      <c r="G161" t="s">
        <v>10087</v>
      </c>
      <c r="H161" t="s">
        <v>2395</v>
      </c>
      <c r="I161" t="s">
        <v>19</v>
      </c>
      <c r="J161" s="3">
        <f>55-84-996669866</f>
        <v>-996669895</v>
      </c>
      <c r="K161" t="s">
        <v>10088</v>
      </c>
      <c r="L161" t="s">
        <v>1880</v>
      </c>
      <c r="M161" t="s">
        <v>32145</v>
      </c>
    </row>
    <row r="162" spans="1:13" x14ac:dyDescent="0.25">
      <c r="A162" t="s">
        <v>3457</v>
      </c>
      <c r="B162" t="s">
        <v>101</v>
      </c>
      <c r="C162" s="1">
        <v>44626</v>
      </c>
      <c r="D162" t="s">
        <v>3458</v>
      </c>
      <c r="E162" s="2" t="s">
        <v>32749</v>
      </c>
      <c r="F162" t="s">
        <v>819</v>
      </c>
      <c r="G162" t="s">
        <v>3221</v>
      </c>
      <c r="H162" t="s">
        <v>3222</v>
      </c>
      <c r="I162" t="s">
        <v>19</v>
      </c>
      <c r="J162" s="3" t="s">
        <v>3223</v>
      </c>
      <c r="K162" t="s">
        <v>3224</v>
      </c>
      <c r="L162" t="s">
        <v>3225</v>
      </c>
      <c r="M162" t="s">
        <v>224</v>
      </c>
    </row>
    <row r="163" spans="1:13" x14ac:dyDescent="0.25">
      <c r="A163" t="s">
        <v>5661</v>
      </c>
      <c r="B163" t="s">
        <v>13</v>
      </c>
      <c r="C163" s="1">
        <v>44541</v>
      </c>
      <c r="D163" t="s">
        <v>5662</v>
      </c>
      <c r="E163" s="2" t="s">
        <v>32750</v>
      </c>
      <c r="F163" t="s">
        <v>34</v>
      </c>
      <c r="G163" t="s">
        <v>5663</v>
      </c>
      <c r="H163" t="s">
        <v>428</v>
      </c>
      <c r="I163" t="s">
        <v>19</v>
      </c>
      <c r="J163" s="3">
        <f>55-51-991092122</f>
        <v>-991092118</v>
      </c>
      <c r="K163" t="s">
        <v>5664</v>
      </c>
      <c r="L163" t="s">
        <v>32135</v>
      </c>
      <c r="M163" t="s">
        <v>1775</v>
      </c>
    </row>
    <row r="164" spans="1:13" x14ac:dyDescent="0.25">
      <c r="A164" t="s">
        <v>13006</v>
      </c>
      <c r="B164" t="s">
        <v>13</v>
      </c>
      <c r="C164" s="1">
        <v>44138</v>
      </c>
      <c r="D164" t="s">
        <v>13007</v>
      </c>
      <c r="E164" t="s">
        <v>32751</v>
      </c>
      <c r="F164" t="s">
        <v>1464</v>
      </c>
      <c r="G164" t="s">
        <v>13008</v>
      </c>
      <c r="H164" t="s">
        <v>5543</v>
      </c>
      <c r="I164" t="s">
        <v>19</v>
      </c>
      <c r="J164" s="3" t="s">
        <v>13009</v>
      </c>
      <c r="K164" t="s">
        <v>13010</v>
      </c>
      <c r="L164" t="s">
        <v>13011</v>
      </c>
      <c r="M164" t="s">
        <v>1775</v>
      </c>
    </row>
    <row r="165" spans="1:13" x14ac:dyDescent="0.25">
      <c r="A165" t="s">
        <v>23548</v>
      </c>
      <c r="B165" t="s">
        <v>13</v>
      </c>
      <c r="C165" t="s">
        <v>23537</v>
      </c>
      <c r="D165" t="s">
        <v>23549</v>
      </c>
      <c r="E165" s="2" t="s">
        <v>32752</v>
      </c>
      <c r="F165" t="s">
        <v>1464</v>
      </c>
      <c r="G165" t="s">
        <v>23550</v>
      </c>
      <c r="H165" t="s">
        <v>798</v>
      </c>
      <c r="I165" t="s">
        <v>19</v>
      </c>
      <c r="J165" s="3" t="s">
        <v>23551</v>
      </c>
      <c r="K165" t="s">
        <v>23552</v>
      </c>
      <c r="L165" t="s">
        <v>23553</v>
      </c>
      <c r="M165" t="s">
        <v>337</v>
      </c>
    </row>
    <row r="166" spans="1:13" x14ac:dyDescent="0.25">
      <c r="A166" t="s">
        <v>1546</v>
      </c>
      <c r="B166" t="s">
        <v>13</v>
      </c>
      <c r="C166" t="s">
        <v>1547</v>
      </c>
      <c r="D166" t="s">
        <v>1548</v>
      </c>
      <c r="E166" s="2" t="s">
        <v>32753</v>
      </c>
      <c r="F166" t="s">
        <v>34</v>
      </c>
      <c r="G166" t="s">
        <v>1549</v>
      </c>
      <c r="H166" t="s">
        <v>36</v>
      </c>
      <c r="I166" t="s">
        <v>19</v>
      </c>
      <c r="J166" s="3">
        <f>55115571-1062</f>
        <v>55114509</v>
      </c>
      <c r="K166" t="s">
        <v>1550</v>
      </c>
      <c r="L166" t="s">
        <v>439</v>
      </c>
      <c r="M166" t="s">
        <v>1775</v>
      </c>
    </row>
    <row r="167" spans="1:13" x14ac:dyDescent="0.25">
      <c r="A167" t="s">
        <v>5072</v>
      </c>
      <c r="B167" t="s">
        <v>13</v>
      </c>
      <c r="C167" t="s">
        <v>5073</v>
      </c>
      <c r="D167" t="s">
        <v>5074</v>
      </c>
      <c r="E167" s="2" t="s">
        <v>32754</v>
      </c>
      <c r="F167" t="s">
        <v>2233</v>
      </c>
      <c r="G167" t="s">
        <v>5076</v>
      </c>
      <c r="H167" t="s">
        <v>5077</v>
      </c>
      <c r="I167" t="s">
        <v>19</v>
      </c>
      <c r="J167" s="3">
        <f>55-13-991262325</f>
        <v>-991262283</v>
      </c>
      <c r="K167" t="s">
        <v>5078</v>
      </c>
      <c r="L167" t="s">
        <v>32135</v>
      </c>
      <c r="M167" t="s">
        <v>1775</v>
      </c>
    </row>
    <row r="168" spans="1:13" x14ac:dyDescent="0.25">
      <c r="A168" t="s">
        <v>23604</v>
      </c>
      <c r="B168" t="s">
        <v>13</v>
      </c>
      <c r="C168" s="1">
        <v>42864</v>
      </c>
      <c r="D168" t="s">
        <v>23605</v>
      </c>
      <c r="E168" t="s">
        <v>32755</v>
      </c>
      <c r="F168" t="s">
        <v>306</v>
      </c>
      <c r="G168" t="s">
        <v>15695</v>
      </c>
      <c r="H168" t="s">
        <v>3618</v>
      </c>
      <c r="I168" t="s">
        <v>19</v>
      </c>
      <c r="J168" s="3" t="s">
        <v>15696</v>
      </c>
      <c r="K168" t="s">
        <v>15697</v>
      </c>
      <c r="L168" t="s">
        <v>15698</v>
      </c>
      <c r="M168" t="s">
        <v>32145</v>
      </c>
    </row>
    <row r="169" spans="1:13" x14ac:dyDescent="0.25">
      <c r="A169" t="s">
        <v>19448</v>
      </c>
      <c r="B169" t="s">
        <v>13</v>
      </c>
      <c r="C169" t="s">
        <v>15388</v>
      </c>
      <c r="D169" t="s">
        <v>19449</v>
      </c>
      <c r="E169" t="s">
        <v>32756</v>
      </c>
      <c r="F169" t="s">
        <v>1464</v>
      </c>
      <c r="G169" t="s">
        <v>19450</v>
      </c>
      <c r="H169" t="s">
        <v>36</v>
      </c>
      <c r="I169" t="s">
        <v>19</v>
      </c>
      <c r="J169" s="3">
        <v>5511972080354</v>
      </c>
      <c r="K169" t="s">
        <v>19451</v>
      </c>
      <c r="L169" t="s">
        <v>321</v>
      </c>
      <c r="M169" t="s">
        <v>1775</v>
      </c>
    </row>
    <row r="170" spans="1:13" x14ac:dyDescent="0.25">
      <c r="A170" t="s">
        <v>21501</v>
      </c>
      <c r="B170" t="s">
        <v>13</v>
      </c>
      <c r="C170" t="s">
        <v>16205</v>
      </c>
      <c r="D170" t="s">
        <v>21502</v>
      </c>
      <c r="E170" t="s">
        <v>32757</v>
      </c>
      <c r="F170" t="s">
        <v>1464</v>
      </c>
      <c r="G170" t="s">
        <v>21503</v>
      </c>
      <c r="H170" t="s">
        <v>36</v>
      </c>
      <c r="I170" t="s">
        <v>19</v>
      </c>
      <c r="J170" s="3" t="s">
        <v>21504</v>
      </c>
      <c r="K170" t="s">
        <v>19451</v>
      </c>
      <c r="L170" t="s">
        <v>321</v>
      </c>
      <c r="M170" t="s">
        <v>1775</v>
      </c>
    </row>
    <row r="171" spans="1:13" x14ac:dyDescent="0.25">
      <c r="A171" t="s">
        <v>23957</v>
      </c>
      <c r="B171" t="s">
        <v>13</v>
      </c>
      <c r="C171" s="1">
        <v>42708</v>
      </c>
      <c r="D171" t="s">
        <v>23958</v>
      </c>
      <c r="E171" t="s">
        <v>32758</v>
      </c>
      <c r="F171" t="s">
        <v>1464</v>
      </c>
      <c r="G171" t="s">
        <v>23959</v>
      </c>
      <c r="H171" t="s">
        <v>36</v>
      </c>
      <c r="I171" t="s">
        <v>19</v>
      </c>
      <c r="J171" s="3" t="s">
        <v>23960</v>
      </c>
      <c r="K171" t="s">
        <v>23961</v>
      </c>
      <c r="L171" t="s">
        <v>328</v>
      </c>
      <c r="M171" t="s">
        <v>1775</v>
      </c>
    </row>
    <row r="172" spans="1:13" x14ac:dyDescent="0.25">
      <c r="A172" t="s">
        <v>24032</v>
      </c>
      <c r="B172" t="s">
        <v>13</v>
      </c>
      <c r="C172" s="1">
        <v>42983</v>
      </c>
      <c r="D172" t="s">
        <v>24033</v>
      </c>
      <c r="E172" t="s">
        <v>32759</v>
      </c>
      <c r="F172" t="s">
        <v>1775</v>
      </c>
      <c r="G172" t="s">
        <v>24034</v>
      </c>
      <c r="H172" t="s">
        <v>18</v>
      </c>
      <c r="I172" t="s">
        <v>19</v>
      </c>
      <c r="J172" s="3" t="s">
        <v>24035</v>
      </c>
      <c r="K172" t="s">
        <v>24036</v>
      </c>
      <c r="L172" t="s">
        <v>10273</v>
      </c>
      <c r="M172" t="s">
        <v>1775</v>
      </c>
    </row>
    <row r="173" spans="1:13" x14ac:dyDescent="0.25">
      <c r="A173" t="s">
        <v>6139</v>
      </c>
      <c r="B173" t="s">
        <v>13</v>
      </c>
      <c r="C173" s="1">
        <v>43775</v>
      </c>
      <c r="D173" t="s">
        <v>6140</v>
      </c>
      <c r="E173" s="2" t="s">
        <v>32760</v>
      </c>
      <c r="F173" t="s">
        <v>1464</v>
      </c>
      <c r="G173" t="s">
        <v>6141</v>
      </c>
      <c r="H173" t="s">
        <v>6142</v>
      </c>
      <c r="I173" t="s">
        <v>19</v>
      </c>
      <c r="J173" s="3" t="s">
        <v>6143</v>
      </c>
      <c r="K173" t="s">
        <v>6144</v>
      </c>
      <c r="L173" t="s">
        <v>6145</v>
      </c>
      <c r="M173" t="s">
        <v>1775</v>
      </c>
    </row>
    <row r="174" spans="1:13" x14ac:dyDescent="0.25">
      <c r="A174" t="s">
        <v>21557</v>
      </c>
      <c r="B174" t="s">
        <v>13</v>
      </c>
      <c r="C174" s="1">
        <v>43409</v>
      </c>
      <c r="D174" t="s">
        <v>21558</v>
      </c>
      <c r="E174" t="s">
        <v>32761</v>
      </c>
      <c r="F174" t="s">
        <v>2036</v>
      </c>
      <c r="G174" t="s">
        <v>21559</v>
      </c>
      <c r="H174" t="s">
        <v>706</v>
      </c>
      <c r="I174" t="s">
        <v>19</v>
      </c>
      <c r="J174" s="3">
        <v>553134097395</v>
      </c>
      <c r="K174" t="s">
        <v>21560</v>
      </c>
      <c r="L174" t="s">
        <v>21561</v>
      </c>
      <c r="M174" t="s">
        <v>57</v>
      </c>
    </row>
    <row r="175" spans="1:13" x14ac:dyDescent="0.25">
      <c r="A175" t="s">
        <v>11411</v>
      </c>
      <c r="B175" t="s">
        <v>13</v>
      </c>
      <c r="C175" s="1">
        <v>43531</v>
      </c>
      <c r="D175" t="s">
        <v>11412</v>
      </c>
      <c r="E175" s="2" t="s">
        <v>32762</v>
      </c>
      <c r="F175" t="s">
        <v>1464</v>
      </c>
      <c r="G175" t="s">
        <v>11413</v>
      </c>
      <c r="H175" t="s">
        <v>753</v>
      </c>
      <c r="I175" t="s">
        <v>19</v>
      </c>
      <c r="J175" s="3" t="s">
        <v>11414</v>
      </c>
      <c r="K175" t="s">
        <v>11415</v>
      </c>
      <c r="L175" t="s">
        <v>2762</v>
      </c>
      <c r="M175" t="s">
        <v>1775</v>
      </c>
    </row>
    <row r="176" spans="1:13" x14ac:dyDescent="0.25">
      <c r="A176" t="s">
        <v>8225</v>
      </c>
      <c r="B176" t="s">
        <v>13</v>
      </c>
      <c r="C176" s="1">
        <v>44441</v>
      </c>
      <c r="D176" t="s">
        <v>32135</v>
      </c>
      <c r="E176" t="s">
        <v>32763</v>
      </c>
      <c r="F176" t="s">
        <v>8226</v>
      </c>
      <c r="G176" t="s">
        <v>8227</v>
      </c>
      <c r="H176" t="s">
        <v>8228</v>
      </c>
      <c r="I176" t="s">
        <v>19</v>
      </c>
      <c r="J176" s="3">
        <v>5565999040039</v>
      </c>
      <c r="K176" t="s">
        <v>8229</v>
      </c>
      <c r="L176" t="s">
        <v>32135</v>
      </c>
      <c r="M176" t="s">
        <v>1775</v>
      </c>
    </row>
    <row r="177" spans="1:13" x14ac:dyDescent="0.25">
      <c r="A177" t="s">
        <v>8340</v>
      </c>
      <c r="B177" t="s">
        <v>13</v>
      </c>
      <c r="C177" s="1">
        <v>43257</v>
      </c>
      <c r="D177" t="s">
        <v>8341</v>
      </c>
      <c r="E177" t="s">
        <v>8342</v>
      </c>
      <c r="F177" t="s">
        <v>3084</v>
      </c>
      <c r="G177" t="s">
        <v>8343</v>
      </c>
      <c r="H177" t="s">
        <v>2678</v>
      </c>
      <c r="I177" t="s">
        <v>19</v>
      </c>
      <c r="J177" s="3" t="s">
        <v>8344</v>
      </c>
      <c r="K177" t="s">
        <v>8345</v>
      </c>
      <c r="L177" t="s">
        <v>32135</v>
      </c>
      <c r="M177" t="s">
        <v>32144</v>
      </c>
    </row>
    <row r="178" spans="1:13" x14ac:dyDescent="0.25">
      <c r="A178" t="s">
        <v>8881</v>
      </c>
      <c r="B178" t="s">
        <v>13</v>
      </c>
      <c r="C178" s="1">
        <v>44116</v>
      </c>
      <c r="D178" t="s">
        <v>8882</v>
      </c>
      <c r="E178" t="s">
        <v>8883</v>
      </c>
      <c r="F178" t="s">
        <v>1464</v>
      </c>
      <c r="G178" t="s">
        <v>8884</v>
      </c>
      <c r="H178" t="s">
        <v>88</v>
      </c>
      <c r="I178" t="s">
        <v>19</v>
      </c>
      <c r="J178" s="3">
        <v>558432154100</v>
      </c>
      <c r="K178" t="s">
        <v>8885</v>
      </c>
      <c r="L178" t="s">
        <v>32135</v>
      </c>
      <c r="M178" t="s">
        <v>337</v>
      </c>
    </row>
    <row r="179" spans="1:13" x14ac:dyDescent="0.25">
      <c r="A179" t="s">
        <v>5715</v>
      </c>
      <c r="B179" t="s">
        <v>13</v>
      </c>
      <c r="C179" s="1">
        <v>44480</v>
      </c>
      <c r="D179" t="s">
        <v>32135</v>
      </c>
      <c r="E179" t="s">
        <v>659</v>
      </c>
      <c r="F179" t="s">
        <v>34</v>
      </c>
      <c r="G179" t="s">
        <v>5716</v>
      </c>
      <c r="H179" t="s">
        <v>798</v>
      </c>
      <c r="I179" t="s">
        <v>19</v>
      </c>
      <c r="J179" s="3" t="s">
        <v>5717</v>
      </c>
      <c r="K179" t="s">
        <v>5718</v>
      </c>
      <c r="L179" t="s">
        <v>32135</v>
      </c>
      <c r="M179" t="s">
        <v>1775</v>
      </c>
    </row>
    <row r="180" spans="1:13" x14ac:dyDescent="0.25">
      <c r="A180" t="s">
        <v>25904</v>
      </c>
      <c r="B180" t="s">
        <v>13</v>
      </c>
      <c r="C180" t="s">
        <v>25896</v>
      </c>
      <c r="D180" t="s">
        <v>25905</v>
      </c>
      <c r="E180" t="s">
        <v>659</v>
      </c>
      <c r="F180" t="s">
        <v>2036</v>
      </c>
      <c r="G180" t="s">
        <v>14209</v>
      </c>
      <c r="H180" t="s">
        <v>1802</v>
      </c>
      <c r="I180" t="s">
        <v>19</v>
      </c>
      <c r="J180" s="3" t="s">
        <v>14210</v>
      </c>
      <c r="K180" t="s">
        <v>14211</v>
      </c>
      <c r="L180" t="s">
        <v>14212</v>
      </c>
      <c r="M180" t="s">
        <v>57</v>
      </c>
    </row>
    <row r="181" spans="1:13" x14ac:dyDescent="0.25">
      <c r="A181" t="s">
        <v>28955</v>
      </c>
      <c r="B181" t="s">
        <v>13</v>
      </c>
      <c r="C181" t="s">
        <v>28950</v>
      </c>
      <c r="D181" t="s">
        <v>28956</v>
      </c>
      <c r="E181" t="s">
        <v>659</v>
      </c>
      <c r="F181" t="s">
        <v>2036</v>
      </c>
      <c r="G181" t="s">
        <v>25295</v>
      </c>
      <c r="H181" t="s">
        <v>22872</v>
      </c>
      <c r="I181" t="s">
        <v>19</v>
      </c>
      <c r="J181" s="3" t="s">
        <v>25296</v>
      </c>
      <c r="K181" t="s">
        <v>25297</v>
      </c>
      <c r="L181" t="s">
        <v>25298</v>
      </c>
      <c r="M181" t="s">
        <v>57</v>
      </c>
    </row>
    <row r="182" spans="1:13" x14ac:dyDescent="0.25">
      <c r="A182" t="s">
        <v>30047</v>
      </c>
      <c r="B182" t="s">
        <v>13</v>
      </c>
      <c r="C182" t="s">
        <v>14184</v>
      </c>
      <c r="D182" t="s">
        <v>30048</v>
      </c>
      <c r="E182" t="s">
        <v>659</v>
      </c>
      <c r="F182" t="s">
        <v>1464</v>
      </c>
      <c r="G182" t="s">
        <v>23550</v>
      </c>
      <c r="H182" t="s">
        <v>7504</v>
      </c>
      <c r="I182" t="s">
        <v>19</v>
      </c>
      <c r="J182" s="3">
        <v>31072543</v>
      </c>
      <c r="K182" t="s">
        <v>23552</v>
      </c>
      <c r="L182" t="s">
        <v>30049</v>
      </c>
      <c r="M182" t="s">
        <v>1775</v>
      </c>
    </row>
    <row r="183" spans="1:13" x14ac:dyDescent="0.25">
      <c r="A183" t="s">
        <v>29876</v>
      </c>
      <c r="B183" t="s">
        <v>13</v>
      </c>
      <c r="C183" t="s">
        <v>14184</v>
      </c>
      <c r="D183" t="s">
        <v>29877</v>
      </c>
      <c r="E183" t="s">
        <v>29878</v>
      </c>
      <c r="F183" t="s">
        <v>1464</v>
      </c>
      <c r="G183" t="s">
        <v>29879</v>
      </c>
      <c r="H183" t="s">
        <v>2545</v>
      </c>
      <c r="I183" t="s">
        <v>19</v>
      </c>
      <c r="J183" s="3" t="s">
        <v>29880</v>
      </c>
      <c r="K183" t="s">
        <v>29881</v>
      </c>
      <c r="L183" t="s">
        <v>29882</v>
      </c>
      <c r="M183" t="s">
        <v>224</v>
      </c>
    </row>
    <row r="184" spans="1:13" x14ac:dyDescent="0.25">
      <c r="A184" t="s">
        <v>29890</v>
      </c>
      <c r="B184" t="s">
        <v>13</v>
      </c>
      <c r="C184" t="s">
        <v>14184</v>
      </c>
      <c r="D184" t="s">
        <v>29891</v>
      </c>
      <c r="E184" t="s">
        <v>29892</v>
      </c>
      <c r="F184" t="s">
        <v>2036</v>
      </c>
      <c r="G184" t="s">
        <v>28593</v>
      </c>
      <c r="H184" t="s">
        <v>88</v>
      </c>
      <c r="I184" t="s">
        <v>19</v>
      </c>
      <c r="J184" s="3" t="s">
        <v>29893</v>
      </c>
      <c r="K184" t="s">
        <v>28595</v>
      </c>
      <c r="L184" t="s">
        <v>29894</v>
      </c>
      <c r="M184" t="s">
        <v>57</v>
      </c>
    </row>
    <row r="185" spans="1:13" x14ac:dyDescent="0.25">
      <c r="A185" t="s">
        <v>17747</v>
      </c>
      <c r="B185" t="s">
        <v>13</v>
      </c>
      <c r="C185" s="1">
        <v>43137</v>
      </c>
      <c r="D185" t="s">
        <v>17748</v>
      </c>
      <c r="E185" s="2" t="s">
        <v>31569</v>
      </c>
      <c r="F185" t="s">
        <v>1464</v>
      </c>
      <c r="G185" t="s">
        <v>17749</v>
      </c>
      <c r="H185" t="s">
        <v>88</v>
      </c>
      <c r="I185" t="s">
        <v>19</v>
      </c>
      <c r="J185" s="3">
        <f>55-84-98989800</f>
        <v>-98989829</v>
      </c>
      <c r="K185" t="s">
        <v>17750</v>
      </c>
      <c r="L185" t="s">
        <v>764</v>
      </c>
      <c r="M185" t="s">
        <v>1775</v>
      </c>
    </row>
    <row r="186" spans="1:13" x14ac:dyDescent="0.25">
      <c r="A186" t="s">
        <v>13287</v>
      </c>
      <c r="B186" t="s">
        <v>13</v>
      </c>
      <c r="C186" s="1">
        <v>43864</v>
      </c>
      <c r="D186" t="s">
        <v>13288</v>
      </c>
      <c r="E186" t="s">
        <v>13289</v>
      </c>
      <c r="F186" t="s">
        <v>1464</v>
      </c>
      <c r="G186" t="s">
        <v>13290</v>
      </c>
      <c r="H186" t="s">
        <v>540</v>
      </c>
      <c r="I186" t="s">
        <v>19</v>
      </c>
      <c r="J186" s="3">
        <v>55091988430454</v>
      </c>
      <c r="K186" t="s">
        <v>13291</v>
      </c>
      <c r="L186" t="s">
        <v>1531</v>
      </c>
      <c r="M186" t="s">
        <v>1775</v>
      </c>
    </row>
    <row r="187" spans="1:13" x14ac:dyDescent="0.25">
      <c r="A187" t="s">
        <v>21497</v>
      </c>
      <c r="B187" t="s">
        <v>13</v>
      </c>
      <c r="C187" t="s">
        <v>21479</v>
      </c>
      <c r="D187" t="s">
        <v>21498</v>
      </c>
      <c r="E187" s="2" t="s">
        <v>31661</v>
      </c>
      <c r="F187" t="s">
        <v>1464</v>
      </c>
      <c r="G187" t="s">
        <v>19060</v>
      </c>
      <c r="H187" t="s">
        <v>265</v>
      </c>
      <c r="I187" t="s">
        <v>19</v>
      </c>
      <c r="J187" s="3">
        <v>5516981757737</v>
      </c>
      <c r="K187" t="s">
        <v>12038</v>
      </c>
      <c r="L187" t="s">
        <v>19061</v>
      </c>
      <c r="M187" t="s">
        <v>1775</v>
      </c>
    </row>
    <row r="188" spans="1:13" x14ac:dyDescent="0.25">
      <c r="A188" t="s">
        <v>3719</v>
      </c>
      <c r="B188" t="s">
        <v>13</v>
      </c>
      <c r="C188" s="1">
        <v>44656</v>
      </c>
      <c r="D188" t="s">
        <v>3720</v>
      </c>
      <c r="E188" s="2" t="s">
        <v>30789</v>
      </c>
      <c r="F188" t="s">
        <v>3721</v>
      </c>
      <c r="G188" t="s">
        <v>3722</v>
      </c>
      <c r="H188" t="s">
        <v>3723</v>
      </c>
      <c r="I188" t="s">
        <v>19</v>
      </c>
      <c r="J188" s="3">
        <f>55-55-999171986</f>
        <v>-999171986</v>
      </c>
      <c r="K188" t="s">
        <v>3724</v>
      </c>
      <c r="L188" t="s">
        <v>3725</v>
      </c>
      <c r="M188" t="s">
        <v>1775</v>
      </c>
    </row>
    <row r="189" spans="1:13" x14ac:dyDescent="0.25">
      <c r="A189" t="s">
        <v>18588</v>
      </c>
      <c r="B189" t="s">
        <v>13</v>
      </c>
      <c r="C189" s="1">
        <v>43647</v>
      </c>
      <c r="D189" t="s">
        <v>18589</v>
      </c>
      <c r="E189" s="2" t="s">
        <v>31206</v>
      </c>
      <c r="F189" t="s">
        <v>2036</v>
      </c>
      <c r="G189" t="s">
        <v>13056</v>
      </c>
      <c r="H189" t="s">
        <v>114</v>
      </c>
      <c r="I189" t="s">
        <v>19</v>
      </c>
      <c r="J189" s="3" t="s">
        <v>18399</v>
      </c>
      <c r="K189" t="s">
        <v>18400</v>
      </c>
      <c r="L189" t="s">
        <v>82</v>
      </c>
      <c r="M189" t="s">
        <v>57</v>
      </c>
    </row>
    <row r="190" spans="1:13" x14ac:dyDescent="0.25">
      <c r="A190" t="s">
        <v>18808</v>
      </c>
      <c r="B190" t="s">
        <v>13</v>
      </c>
      <c r="C190" s="1">
        <v>43416</v>
      </c>
      <c r="D190" t="s">
        <v>18809</v>
      </c>
      <c r="E190" s="2" t="s">
        <v>31211</v>
      </c>
      <c r="F190" t="s">
        <v>2947</v>
      </c>
      <c r="G190" t="s">
        <v>18810</v>
      </c>
      <c r="H190" t="s">
        <v>1090</v>
      </c>
      <c r="I190" t="s">
        <v>19</v>
      </c>
      <c r="J190" s="3">
        <v>5588988042439</v>
      </c>
      <c r="K190" t="s">
        <v>18811</v>
      </c>
      <c r="L190" t="s">
        <v>18812</v>
      </c>
      <c r="M190" t="s">
        <v>771</v>
      </c>
    </row>
    <row r="191" spans="1:13" x14ac:dyDescent="0.25">
      <c r="A191" t="s">
        <v>13053</v>
      </c>
      <c r="B191" t="s">
        <v>13</v>
      </c>
      <c r="C191" s="1">
        <v>44107</v>
      </c>
      <c r="D191" t="s">
        <v>13054</v>
      </c>
      <c r="E191" t="s">
        <v>13055</v>
      </c>
      <c r="F191" t="s">
        <v>2947</v>
      </c>
      <c r="G191" t="s">
        <v>13056</v>
      </c>
      <c r="H191" t="s">
        <v>3618</v>
      </c>
      <c r="I191" t="s">
        <v>19</v>
      </c>
      <c r="J191" s="3" t="s">
        <v>10107</v>
      </c>
      <c r="K191" t="s">
        <v>13057</v>
      </c>
      <c r="L191" t="s">
        <v>82</v>
      </c>
      <c r="M191" t="s">
        <v>771</v>
      </c>
    </row>
    <row r="192" spans="1:13" x14ac:dyDescent="0.25">
      <c r="A192" t="s">
        <v>30385</v>
      </c>
      <c r="B192" t="s">
        <v>13</v>
      </c>
      <c r="C192" s="1">
        <v>41153</v>
      </c>
      <c r="D192" t="s">
        <v>30386</v>
      </c>
      <c r="E192" t="s">
        <v>30387</v>
      </c>
      <c r="F192" t="s">
        <v>1464</v>
      </c>
      <c r="G192" t="s">
        <v>307</v>
      </c>
      <c r="H192" t="s">
        <v>308</v>
      </c>
      <c r="I192" t="s">
        <v>309</v>
      </c>
      <c r="J192" s="3" t="s">
        <v>310</v>
      </c>
      <c r="K192" t="s">
        <v>311</v>
      </c>
      <c r="L192" t="s">
        <v>312</v>
      </c>
      <c r="M192" t="s">
        <v>1775</v>
      </c>
    </row>
    <row r="193" spans="1:13" x14ac:dyDescent="0.25">
      <c r="A193" t="s">
        <v>10089</v>
      </c>
      <c r="B193" t="s">
        <v>13</v>
      </c>
      <c r="C193" t="s">
        <v>8861</v>
      </c>
      <c r="D193" t="s">
        <v>10090</v>
      </c>
      <c r="E193" s="2" t="s">
        <v>30982</v>
      </c>
      <c r="F193" t="s">
        <v>2036</v>
      </c>
      <c r="G193" t="s">
        <v>10091</v>
      </c>
      <c r="H193" t="s">
        <v>428</v>
      </c>
      <c r="I193" t="s">
        <v>19</v>
      </c>
      <c r="J193" s="3">
        <v>5551998651500</v>
      </c>
      <c r="K193" t="s">
        <v>10092</v>
      </c>
      <c r="L193" t="s">
        <v>10093</v>
      </c>
      <c r="M193" t="s">
        <v>57</v>
      </c>
    </row>
    <row r="194" spans="1:13" x14ac:dyDescent="0.25">
      <c r="A194" t="s">
        <v>17977</v>
      </c>
      <c r="B194" t="s">
        <v>13</v>
      </c>
      <c r="C194" t="s">
        <v>16588</v>
      </c>
      <c r="D194" t="s">
        <v>17978</v>
      </c>
      <c r="E194" s="2" t="s">
        <v>31186</v>
      </c>
      <c r="F194" t="s">
        <v>5940</v>
      </c>
      <c r="G194" t="s">
        <v>17979</v>
      </c>
      <c r="H194" t="s">
        <v>472</v>
      </c>
      <c r="I194" t="s">
        <v>19</v>
      </c>
      <c r="J194" s="3">
        <v>5581998416695</v>
      </c>
      <c r="K194" t="s">
        <v>17980</v>
      </c>
      <c r="L194" t="s">
        <v>2101</v>
      </c>
      <c r="M194" t="s">
        <v>1304</v>
      </c>
    </row>
    <row r="195" spans="1:13" x14ac:dyDescent="0.25">
      <c r="A195" t="s">
        <v>15568</v>
      </c>
      <c r="B195" t="s">
        <v>13</v>
      </c>
      <c r="C195" s="1">
        <v>43748</v>
      </c>
      <c r="D195" t="s">
        <v>15569</v>
      </c>
      <c r="E195" t="s">
        <v>15570</v>
      </c>
      <c r="F195" t="s">
        <v>1129</v>
      </c>
      <c r="G195" t="s">
        <v>15571</v>
      </c>
      <c r="H195" t="s">
        <v>7904</v>
      </c>
      <c r="I195" t="s">
        <v>19</v>
      </c>
      <c r="J195" s="3" t="s">
        <v>15572</v>
      </c>
      <c r="K195" t="s">
        <v>15573</v>
      </c>
      <c r="L195" t="s">
        <v>108</v>
      </c>
      <c r="M195" t="s">
        <v>224</v>
      </c>
    </row>
    <row r="196" spans="1:13" x14ac:dyDescent="0.25">
      <c r="A196" t="s">
        <v>27831</v>
      </c>
      <c r="B196" t="s">
        <v>13</v>
      </c>
      <c r="C196" s="1">
        <v>40910</v>
      </c>
      <c r="D196" t="s">
        <v>27832</v>
      </c>
      <c r="E196" t="s">
        <v>27833</v>
      </c>
      <c r="F196" t="s">
        <v>1464</v>
      </c>
      <c r="G196" t="s">
        <v>27834</v>
      </c>
      <c r="H196" t="s">
        <v>706</v>
      </c>
      <c r="I196" t="s">
        <v>19</v>
      </c>
      <c r="J196" s="3" t="s">
        <v>27835</v>
      </c>
      <c r="K196" t="s">
        <v>27836</v>
      </c>
      <c r="L196" t="s">
        <v>565</v>
      </c>
      <c r="M196" t="s">
        <v>32145</v>
      </c>
    </row>
    <row r="197" spans="1:13" x14ac:dyDescent="0.25">
      <c r="A197" t="s">
        <v>15574</v>
      </c>
      <c r="B197" t="s">
        <v>13</v>
      </c>
      <c r="C197" s="1">
        <v>43525</v>
      </c>
      <c r="D197" t="s">
        <v>15575</v>
      </c>
      <c r="E197" s="2" t="s">
        <v>31810</v>
      </c>
      <c r="F197" t="s">
        <v>2036</v>
      </c>
      <c r="G197" t="s">
        <v>15576</v>
      </c>
      <c r="H197" t="s">
        <v>15577</v>
      </c>
      <c r="I197" t="s">
        <v>19</v>
      </c>
      <c r="J197" s="3">
        <v>55014997999964</v>
      </c>
      <c r="K197" t="s">
        <v>15578</v>
      </c>
      <c r="L197" t="s">
        <v>197</v>
      </c>
      <c r="M197" t="s">
        <v>57</v>
      </c>
    </row>
    <row r="198" spans="1:13" x14ac:dyDescent="0.25">
      <c r="A198" t="s">
        <v>27571</v>
      </c>
      <c r="B198" t="s">
        <v>13</v>
      </c>
      <c r="C198" t="s">
        <v>27572</v>
      </c>
      <c r="D198" t="s">
        <v>27573</v>
      </c>
      <c r="E198" t="s">
        <v>27574</v>
      </c>
      <c r="F198" t="s">
        <v>57</v>
      </c>
      <c r="G198" t="s">
        <v>27575</v>
      </c>
      <c r="H198" t="s">
        <v>8158</v>
      </c>
      <c r="I198" t="s">
        <v>19</v>
      </c>
      <c r="J198" s="3" t="s">
        <v>27576</v>
      </c>
      <c r="K198" t="s">
        <v>27577</v>
      </c>
      <c r="L198" t="s">
        <v>27578</v>
      </c>
      <c r="M198" t="s">
        <v>57</v>
      </c>
    </row>
    <row r="199" spans="1:13" x14ac:dyDescent="0.25">
      <c r="A199" t="s">
        <v>13366</v>
      </c>
      <c r="B199" t="s">
        <v>13</v>
      </c>
      <c r="C199" t="s">
        <v>13349</v>
      </c>
      <c r="D199" t="s">
        <v>13367</v>
      </c>
      <c r="E199" t="s">
        <v>13368</v>
      </c>
      <c r="F199" t="s">
        <v>1464</v>
      </c>
      <c r="G199" t="s">
        <v>13369</v>
      </c>
      <c r="H199" t="s">
        <v>7612</v>
      </c>
      <c r="I199" t="s">
        <v>19</v>
      </c>
      <c r="J199" s="3">
        <f>55-34-996659771</f>
        <v>-996659750</v>
      </c>
      <c r="K199" t="s">
        <v>13370</v>
      </c>
      <c r="L199" t="s">
        <v>7614</v>
      </c>
      <c r="M199" t="s">
        <v>1775</v>
      </c>
    </row>
    <row r="200" spans="1:13" x14ac:dyDescent="0.25">
      <c r="A200" t="s">
        <v>10698</v>
      </c>
      <c r="B200" t="s">
        <v>101</v>
      </c>
      <c r="C200" t="s">
        <v>1703</v>
      </c>
      <c r="D200" t="s">
        <v>10699</v>
      </c>
      <c r="E200" t="s">
        <v>10700</v>
      </c>
      <c r="F200" t="s">
        <v>1464</v>
      </c>
      <c r="G200" t="s">
        <v>10701</v>
      </c>
      <c r="H200" t="s">
        <v>265</v>
      </c>
      <c r="I200" t="s">
        <v>19</v>
      </c>
      <c r="J200" s="3" t="s">
        <v>10702</v>
      </c>
      <c r="K200" t="s">
        <v>10703</v>
      </c>
      <c r="L200" t="s">
        <v>10704</v>
      </c>
      <c r="M200" t="s">
        <v>1775</v>
      </c>
    </row>
    <row r="201" spans="1:13" x14ac:dyDescent="0.25">
      <c r="A201" t="s">
        <v>13248</v>
      </c>
      <c r="B201" t="s">
        <v>13</v>
      </c>
      <c r="C201" s="1">
        <v>43893</v>
      </c>
      <c r="D201" t="s">
        <v>13249</v>
      </c>
      <c r="E201" t="s">
        <v>13250</v>
      </c>
      <c r="F201" t="s">
        <v>2036</v>
      </c>
      <c r="G201" t="s">
        <v>10091</v>
      </c>
      <c r="H201" t="s">
        <v>428</v>
      </c>
      <c r="I201" t="s">
        <v>19</v>
      </c>
      <c r="J201" s="3" t="s">
        <v>13251</v>
      </c>
      <c r="K201" t="s">
        <v>10092</v>
      </c>
      <c r="L201" t="s">
        <v>13252</v>
      </c>
      <c r="M201" t="s">
        <v>57</v>
      </c>
    </row>
    <row r="202" spans="1:13" x14ac:dyDescent="0.25">
      <c r="A202" t="s">
        <v>30008</v>
      </c>
      <c r="B202" t="s">
        <v>13</v>
      </c>
      <c r="C202" t="s">
        <v>14184</v>
      </c>
      <c r="D202" t="s">
        <v>30009</v>
      </c>
      <c r="E202" t="s">
        <v>30010</v>
      </c>
      <c r="F202" t="s">
        <v>2036</v>
      </c>
      <c r="G202" t="s">
        <v>15128</v>
      </c>
      <c r="H202" t="s">
        <v>372</v>
      </c>
      <c r="I202" t="s">
        <v>19</v>
      </c>
      <c r="J202" s="3" t="s">
        <v>30011</v>
      </c>
      <c r="K202" t="s">
        <v>29576</v>
      </c>
      <c r="L202" t="s">
        <v>11426</v>
      </c>
      <c r="M202" t="s">
        <v>57</v>
      </c>
    </row>
    <row r="203" spans="1:13" x14ac:dyDescent="0.25">
      <c r="A203" t="s">
        <v>25265</v>
      </c>
      <c r="B203" t="s">
        <v>13</v>
      </c>
      <c r="C203" t="s">
        <v>25256</v>
      </c>
      <c r="D203" t="s">
        <v>25266</v>
      </c>
      <c r="E203" t="s">
        <v>25267</v>
      </c>
      <c r="F203" t="s">
        <v>2036</v>
      </c>
      <c r="G203" t="s">
        <v>25268</v>
      </c>
      <c r="H203" t="s">
        <v>88</v>
      </c>
      <c r="I203" t="s">
        <v>19</v>
      </c>
      <c r="J203" s="3" t="s">
        <v>25269</v>
      </c>
      <c r="K203" t="s">
        <v>11972</v>
      </c>
      <c r="L203" t="s">
        <v>25270</v>
      </c>
      <c r="M203" t="s">
        <v>57</v>
      </c>
    </row>
    <row r="204" spans="1:13" x14ac:dyDescent="0.25">
      <c r="A204" t="s">
        <v>18603</v>
      </c>
      <c r="B204" t="s">
        <v>13</v>
      </c>
      <c r="C204" s="1">
        <v>43525</v>
      </c>
      <c r="D204" t="s">
        <v>18604</v>
      </c>
      <c r="E204" s="2" t="s">
        <v>31371</v>
      </c>
      <c r="F204" t="s">
        <v>2036</v>
      </c>
      <c r="G204" t="s">
        <v>13056</v>
      </c>
      <c r="H204" t="s">
        <v>114</v>
      </c>
      <c r="I204" t="s">
        <v>19</v>
      </c>
      <c r="J204" s="3" t="s">
        <v>18399</v>
      </c>
      <c r="K204" t="s">
        <v>18400</v>
      </c>
      <c r="L204" t="s">
        <v>82</v>
      </c>
      <c r="M204" t="s">
        <v>57</v>
      </c>
    </row>
    <row r="205" spans="1:13" x14ac:dyDescent="0.25">
      <c r="A205" t="s">
        <v>18396</v>
      </c>
      <c r="B205" t="s">
        <v>13</v>
      </c>
      <c r="C205" s="1">
        <v>43587</v>
      </c>
      <c r="D205" t="s">
        <v>18397</v>
      </c>
      <c r="E205" s="2" t="s">
        <v>31371</v>
      </c>
      <c r="F205" t="s">
        <v>2036</v>
      </c>
      <c r="G205" t="s">
        <v>18398</v>
      </c>
      <c r="H205" t="s">
        <v>114</v>
      </c>
      <c r="I205" t="s">
        <v>19</v>
      </c>
      <c r="J205" s="3" t="s">
        <v>18399</v>
      </c>
      <c r="K205" t="s">
        <v>18400</v>
      </c>
      <c r="L205" t="s">
        <v>82</v>
      </c>
      <c r="M205" t="s">
        <v>57</v>
      </c>
    </row>
    <row r="206" spans="1:13" x14ac:dyDescent="0.25">
      <c r="A206" t="s">
        <v>24356</v>
      </c>
      <c r="B206" t="s">
        <v>13</v>
      </c>
      <c r="C206" t="s">
        <v>24357</v>
      </c>
      <c r="D206" t="s">
        <v>24358</v>
      </c>
      <c r="E206" t="s">
        <v>24359</v>
      </c>
      <c r="F206" t="s">
        <v>4639</v>
      </c>
      <c r="G206" t="s">
        <v>1438</v>
      </c>
      <c r="H206" t="s">
        <v>1090</v>
      </c>
      <c r="I206" t="s">
        <v>19</v>
      </c>
      <c r="J206" s="3" t="s">
        <v>9545</v>
      </c>
      <c r="K206" t="s">
        <v>1440</v>
      </c>
      <c r="L206" t="s">
        <v>1092</v>
      </c>
      <c r="M206" t="s">
        <v>785</v>
      </c>
    </row>
    <row r="207" spans="1:13" x14ac:dyDescent="0.25">
      <c r="A207" t="s">
        <v>18891</v>
      </c>
      <c r="B207" t="s">
        <v>13</v>
      </c>
      <c r="C207" s="1">
        <v>43171</v>
      </c>
      <c r="D207" t="s">
        <v>18892</v>
      </c>
      <c r="E207" s="2" t="s">
        <v>31620</v>
      </c>
      <c r="F207" t="s">
        <v>2036</v>
      </c>
      <c r="G207" t="s">
        <v>18893</v>
      </c>
      <c r="H207" t="s">
        <v>428</v>
      </c>
      <c r="I207" t="s">
        <v>19</v>
      </c>
      <c r="J207" s="3">
        <v>5551992264281</v>
      </c>
      <c r="K207" t="s">
        <v>18894</v>
      </c>
      <c r="L207" t="s">
        <v>18895</v>
      </c>
      <c r="M207" t="s">
        <v>57</v>
      </c>
    </row>
    <row r="208" spans="1:13" x14ac:dyDescent="0.25">
      <c r="A208" t="s">
        <v>24595</v>
      </c>
      <c r="B208" t="s">
        <v>101</v>
      </c>
      <c r="C208" t="s">
        <v>24596</v>
      </c>
      <c r="D208" t="s">
        <v>24597</v>
      </c>
      <c r="E208" t="s">
        <v>24598</v>
      </c>
      <c r="F208" t="s">
        <v>2104</v>
      </c>
      <c r="G208" t="s">
        <v>18105</v>
      </c>
      <c r="H208" t="s">
        <v>11044</v>
      </c>
      <c r="I208" t="s">
        <v>19</v>
      </c>
      <c r="J208" s="3" t="s">
        <v>18106</v>
      </c>
      <c r="K208" t="s">
        <v>18107</v>
      </c>
      <c r="L208" t="s">
        <v>18108</v>
      </c>
      <c r="M208" t="s">
        <v>57</v>
      </c>
    </row>
    <row r="209" spans="1:13" x14ac:dyDescent="0.25">
      <c r="A209" t="s">
        <v>4273</v>
      </c>
      <c r="B209" t="s">
        <v>13</v>
      </c>
      <c r="C209" t="s">
        <v>4274</v>
      </c>
      <c r="D209" t="s">
        <v>4275</v>
      </c>
      <c r="E209" s="2" t="s">
        <v>31927</v>
      </c>
      <c r="G209" t="s">
        <v>4277</v>
      </c>
      <c r="H209" t="s">
        <v>4005</v>
      </c>
      <c r="I209" t="s">
        <v>19</v>
      </c>
      <c r="J209" s="3">
        <f>55-53-981422616</f>
        <v>-981422614</v>
      </c>
      <c r="K209" t="s">
        <v>4278</v>
      </c>
      <c r="L209" t="s">
        <v>4007</v>
      </c>
      <c r="M209" t="s">
        <v>337</v>
      </c>
    </row>
    <row r="210" spans="1:13" x14ac:dyDescent="0.25">
      <c r="A210" t="s">
        <v>19196</v>
      </c>
      <c r="B210" t="s">
        <v>13</v>
      </c>
      <c r="C210" t="s">
        <v>19197</v>
      </c>
      <c r="D210" t="s">
        <v>19198</v>
      </c>
      <c r="E210" t="s">
        <v>19199</v>
      </c>
      <c r="F210" t="s">
        <v>2758</v>
      </c>
      <c r="G210" t="s">
        <v>2135</v>
      </c>
      <c r="H210" t="s">
        <v>1486</v>
      </c>
      <c r="I210" t="s">
        <v>19</v>
      </c>
      <c r="J210" s="3" t="s">
        <v>19200</v>
      </c>
      <c r="K210" t="s">
        <v>2137</v>
      </c>
      <c r="L210" t="s">
        <v>1489</v>
      </c>
      <c r="M210" t="s">
        <v>32149</v>
      </c>
    </row>
    <row r="211" spans="1:13" x14ac:dyDescent="0.25">
      <c r="A211" t="s">
        <v>27191</v>
      </c>
      <c r="B211" t="s">
        <v>13</v>
      </c>
      <c r="C211" t="s">
        <v>26112</v>
      </c>
      <c r="D211" t="s">
        <v>27192</v>
      </c>
      <c r="E211" t="s">
        <v>27193</v>
      </c>
      <c r="F211" t="s">
        <v>1464</v>
      </c>
      <c r="G211" t="s">
        <v>27194</v>
      </c>
      <c r="H211" t="s">
        <v>28</v>
      </c>
      <c r="I211" t="s">
        <v>19</v>
      </c>
      <c r="J211" s="3" t="s">
        <v>27195</v>
      </c>
      <c r="K211" t="s">
        <v>27196</v>
      </c>
      <c r="L211" t="s">
        <v>923</v>
      </c>
      <c r="M211" t="s">
        <v>32144</v>
      </c>
    </row>
    <row r="212" spans="1:13" x14ac:dyDescent="0.25">
      <c r="A212" t="s">
        <v>19412</v>
      </c>
      <c r="B212" t="s">
        <v>13</v>
      </c>
      <c r="C212" t="s">
        <v>19413</v>
      </c>
      <c r="D212" t="s">
        <v>19414</v>
      </c>
      <c r="E212" t="s">
        <v>19415</v>
      </c>
      <c r="F212" t="s">
        <v>3084</v>
      </c>
      <c r="G212" t="s">
        <v>19416</v>
      </c>
      <c r="H212" t="s">
        <v>265</v>
      </c>
      <c r="I212" t="s">
        <v>19</v>
      </c>
      <c r="J212" s="3">
        <f>55-16-31012151</f>
        <v>-31012112</v>
      </c>
      <c r="K212" t="s">
        <v>19417</v>
      </c>
      <c r="L212" t="s">
        <v>18306</v>
      </c>
      <c r="M212" t="s">
        <v>32144</v>
      </c>
    </row>
    <row r="213" spans="1:13" x14ac:dyDescent="0.25">
      <c r="A213" t="s">
        <v>24118</v>
      </c>
      <c r="B213" t="s">
        <v>13</v>
      </c>
      <c r="C213" t="s">
        <v>24119</v>
      </c>
      <c r="D213" t="s">
        <v>24120</v>
      </c>
      <c r="E213" t="s">
        <v>24121</v>
      </c>
      <c r="F213" t="s">
        <v>1464</v>
      </c>
      <c r="G213" t="s">
        <v>24122</v>
      </c>
      <c r="H213" t="s">
        <v>36</v>
      </c>
      <c r="I213" t="s">
        <v>19</v>
      </c>
      <c r="J213" s="3" t="s">
        <v>24123</v>
      </c>
      <c r="K213" t="s">
        <v>24124</v>
      </c>
      <c r="L213" t="s">
        <v>9723</v>
      </c>
      <c r="M213" t="s">
        <v>32144</v>
      </c>
    </row>
    <row r="214" spans="1:13" x14ac:dyDescent="0.25">
      <c r="A214" t="s">
        <v>27339</v>
      </c>
      <c r="B214" t="s">
        <v>13</v>
      </c>
      <c r="C214" t="s">
        <v>27326</v>
      </c>
      <c r="D214" t="s">
        <v>27340</v>
      </c>
      <c r="E214" t="s">
        <v>27341</v>
      </c>
      <c r="F214" t="s">
        <v>1464</v>
      </c>
      <c r="G214" t="s">
        <v>27342</v>
      </c>
      <c r="H214" t="s">
        <v>428</v>
      </c>
      <c r="I214" t="s">
        <v>19</v>
      </c>
      <c r="J214" s="3" t="s">
        <v>27343</v>
      </c>
      <c r="K214" t="s">
        <v>27344</v>
      </c>
      <c r="L214" t="s">
        <v>27345</v>
      </c>
      <c r="M214" t="s">
        <v>32144</v>
      </c>
    </row>
    <row r="215" spans="1:13" x14ac:dyDescent="0.25">
      <c r="A215" t="s">
        <v>13095</v>
      </c>
      <c r="B215" t="s">
        <v>13</v>
      </c>
      <c r="C215" s="1">
        <v>44077</v>
      </c>
      <c r="D215" t="s">
        <v>13096</v>
      </c>
      <c r="E215" s="2" t="s">
        <v>31681</v>
      </c>
      <c r="F215" t="s">
        <v>3084</v>
      </c>
      <c r="G215" t="s">
        <v>4857</v>
      </c>
      <c r="H215" t="s">
        <v>352</v>
      </c>
      <c r="I215" t="s">
        <v>19</v>
      </c>
      <c r="J215" s="3">
        <f>55-21-998704195</f>
        <v>-998704161</v>
      </c>
      <c r="K215" t="s">
        <v>4858</v>
      </c>
      <c r="L215" t="s">
        <v>6181</v>
      </c>
      <c r="M215" t="s">
        <v>32144</v>
      </c>
    </row>
    <row r="216" spans="1:13" x14ac:dyDescent="0.25">
      <c r="A216" t="s">
        <v>29303</v>
      </c>
      <c r="B216" t="s">
        <v>13</v>
      </c>
      <c r="C216" t="s">
        <v>29304</v>
      </c>
      <c r="D216" t="s">
        <v>29305</v>
      </c>
      <c r="E216" t="s">
        <v>29306</v>
      </c>
      <c r="F216" t="s">
        <v>29254</v>
      </c>
      <c r="G216" t="s">
        <v>29307</v>
      </c>
      <c r="H216" t="s">
        <v>36</v>
      </c>
      <c r="I216" t="s">
        <v>19</v>
      </c>
      <c r="J216" s="3" t="s">
        <v>29308</v>
      </c>
      <c r="K216" t="s">
        <v>29309</v>
      </c>
      <c r="L216" t="s">
        <v>439</v>
      </c>
      <c r="M216" t="s">
        <v>32144</v>
      </c>
    </row>
    <row r="217" spans="1:13" x14ac:dyDescent="0.25">
      <c r="A217" t="s">
        <v>16142</v>
      </c>
      <c r="B217" t="s">
        <v>13</v>
      </c>
      <c r="C217" t="s">
        <v>15792</v>
      </c>
      <c r="D217" t="s">
        <v>16143</v>
      </c>
      <c r="E217" s="2" t="s">
        <v>31508</v>
      </c>
      <c r="F217" t="s">
        <v>1464</v>
      </c>
      <c r="G217" t="s">
        <v>16144</v>
      </c>
      <c r="H217" t="s">
        <v>255</v>
      </c>
      <c r="I217" t="s">
        <v>19</v>
      </c>
      <c r="J217" s="3" t="s">
        <v>16145</v>
      </c>
      <c r="K217" t="s">
        <v>16146</v>
      </c>
      <c r="L217" t="s">
        <v>9587</v>
      </c>
      <c r="M217" t="s">
        <v>57</v>
      </c>
    </row>
    <row r="218" spans="1:13" x14ac:dyDescent="0.25">
      <c r="A218" t="s">
        <v>22913</v>
      </c>
      <c r="B218" t="s">
        <v>13</v>
      </c>
      <c r="C218" t="s">
        <v>17176</v>
      </c>
      <c r="D218" t="s">
        <v>22914</v>
      </c>
      <c r="E218" t="s">
        <v>22915</v>
      </c>
      <c r="F218" t="s">
        <v>432</v>
      </c>
      <c r="G218" t="s">
        <v>22916</v>
      </c>
      <c r="H218" t="s">
        <v>36</v>
      </c>
      <c r="I218" t="s">
        <v>19</v>
      </c>
      <c r="J218" s="3" t="s">
        <v>22917</v>
      </c>
      <c r="K218" t="s">
        <v>22918</v>
      </c>
      <c r="L218" t="s">
        <v>22919</v>
      </c>
      <c r="M218" t="s">
        <v>432</v>
      </c>
    </row>
    <row r="219" spans="1:13" x14ac:dyDescent="0.25">
      <c r="A219" t="s">
        <v>10893</v>
      </c>
      <c r="B219" t="s">
        <v>13</v>
      </c>
      <c r="C219" t="s">
        <v>10579</v>
      </c>
      <c r="D219" t="s">
        <v>10894</v>
      </c>
      <c r="E219" t="s">
        <v>10895</v>
      </c>
      <c r="F219" t="s">
        <v>6308</v>
      </c>
      <c r="G219" t="s">
        <v>8847</v>
      </c>
      <c r="H219" t="s">
        <v>1335</v>
      </c>
      <c r="I219" t="s">
        <v>19</v>
      </c>
      <c r="J219" s="3">
        <v>554330291436</v>
      </c>
      <c r="K219" t="s">
        <v>8848</v>
      </c>
      <c r="L219" t="s">
        <v>8849</v>
      </c>
      <c r="M219" t="s">
        <v>432</v>
      </c>
    </row>
    <row r="220" spans="1:13" x14ac:dyDescent="0.25">
      <c r="A220" t="s">
        <v>11708</v>
      </c>
      <c r="B220" t="s">
        <v>13</v>
      </c>
      <c r="C220" t="s">
        <v>2310</v>
      </c>
      <c r="D220" t="s">
        <v>11709</v>
      </c>
      <c r="E220" t="s">
        <v>11710</v>
      </c>
      <c r="F220" t="s">
        <v>785</v>
      </c>
      <c r="G220" t="s">
        <v>11711</v>
      </c>
      <c r="H220" t="s">
        <v>11712</v>
      </c>
      <c r="I220" t="s">
        <v>19</v>
      </c>
      <c r="J220" s="3">
        <f>55-88-36954701</f>
        <v>-36954734</v>
      </c>
      <c r="K220" t="s">
        <v>11713</v>
      </c>
      <c r="L220" t="s">
        <v>11714</v>
      </c>
      <c r="M220" t="s">
        <v>785</v>
      </c>
    </row>
    <row r="221" spans="1:13" x14ac:dyDescent="0.25">
      <c r="A221" t="s">
        <v>22780</v>
      </c>
      <c r="B221" t="s">
        <v>13</v>
      </c>
      <c r="C221" t="s">
        <v>22753</v>
      </c>
      <c r="D221" t="s">
        <v>22781</v>
      </c>
      <c r="E221" t="s">
        <v>22782</v>
      </c>
      <c r="F221" t="s">
        <v>785</v>
      </c>
      <c r="G221" t="s">
        <v>22783</v>
      </c>
      <c r="H221" t="s">
        <v>798</v>
      </c>
      <c r="I221" t="s">
        <v>19</v>
      </c>
      <c r="J221" s="3">
        <f>55-61-3326-9300</f>
        <v>-12632</v>
      </c>
      <c r="K221" t="s">
        <v>15180</v>
      </c>
      <c r="L221" t="s">
        <v>22784</v>
      </c>
      <c r="M221" t="s">
        <v>785</v>
      </c>
    </row>
    <row r="222" spans="1:13" x14ac:dyDescent="0.25">
      <c r="A222" t="s">
        <v>21231</v>
      </c>
      <c r="B222" t="s">
        <v>13</v>
      </c>
      <c r="C222" t="s">
        <v>21222</v>
      </c>
      <c r="D222" t="s">
        <v>21232</v>
      </c>
      <c r="E222" s="2" t="s">
        <v>31686</v>
      </c>
      <c r="F222" t="s">
        <v>3084</v>
      </c>
      <c r="G222" t="s">
        <v>21233</v>
      </c>
      <c r="H222" t="s">
        <v>352</v>
      </c>
      <c r="I222" t="s">
        <v>19</v>
      </c>
      <c r="J222" s="3" t="s">
        <v>21234</v>
      </c>
      <c r="K222" t="s">
        <v>21235</v>
      </c>
      <c r="L222" t="s">
        <v>21236</v>
      </c>
      <c r="M222" t="s">
        <v>32144</v>
      </c>
    </row>
    <row r="223" spans="1:13" x14ac:dyDescent="0.25">
      <c r="A223" t="s">
        <v>21832</v>
      </c>
      <c r="B223" t="s">
        <v>13</v>
      </c>
      <c r="C223" t="s">
        <v>21825</v>
      </c>
      <c r="D223" t="s">
        <v>21833</v>
      </c>
      <c r="E223" t="s">
        <v>21834</v>
      </c>
      <c r="F223" t="s">
        <v>2036</v>
      </c>
      <c r="G223" t="s">
        <v>11829</v>
      </c>
      <c r="H223" t="s">
        <v>3416</v>
      </c>
      <c r="I223" t="s">
        <v>19</v>
      </c>
      <c r="J223" s="3" t="s">
        <v>11830</v>
      </c>
      <c r="K223" t="s">
        <v>11831</v>
      </c>
      <c r="L223" t="s">
        <v>11832</v>
      </c>
      <c r="M223" t="s">
        <v>57</v>
      </c>
    </row>
    <row r="224" spans="1:13" x14ac:dyDescent="0.25">
      <c r="A224" t="s">
        <v>23105</v>
      </c>
      <c r="B224" t="s">
        <v>13</v>
      </c>
      <c r="C224" t="s">
        <v>22833</v>
      </c>
      <c r="D224" t="s">
        <v>23106</v>
      </c>
      <c r="E224" t="s">
        <v>11913</v>
      </c>
      <c r="F224" t="s">
        <v>332</v>
      </c>
      <c r="G224" t="s">
        <v>23107</v>
      </c>
      <c r="H224" t="s">
        <v>3416</v>
      </c>
      <c r="I224" t="s">
        <v>19</v>
      </c>
      <c r="J224" s="3" t="s">
        <v>23108</v>
      </c>
      <c r="K224" t="s">
        <v>23109</v>
      </c>
      <c r="L224" t="s">
        <v>23110</v>
      </c>
      <c r="M224" t="s">
        <v>337</v>
      </c>
    </row>
    <row r="225" spans="1:13" x14ac:dyDescent="0.25">
      <c r="A225" t="s">
        <v>25161</v>
      </c>
      <c r="B225" t="s">
        <v>13</v>
      </c>
      <c r="C225" s="1">
        <v>42685</v>
      </c>
      <c r="D225" t="s">
        <v>25162</v>
      </c>
      <c r="E225" t="s">
        <v>11913</v>
      </c>
      <c r="F225" t="s">
        <v>332</v>
      </c>
      <c r="G225" t="s">
        <v>11829</v>
      </c>
      <c r="H225" t="s">
        <v>3416</v>
      </c>
      <c r="I225" t="s">
        <v>19</v>
      </c>
      <c r="J225" s="3" t="s">
        <v>11830</v>
      </c>
      <c r="K225" t="s">
        <v>11831</v>
      </c>
      <c r="L225" t="s">
        <v>11832</v>
      </c>
      <c r="M225" t="s">
        <v>337</v>
      </c>
    </row>
    <row r="226" spans="1:13" x14ac:dyDescent="0.25">
      <c r="A226" t="s">
        <v>25391</v>
      </c>
      <c r="B226" t="s">
        <v>13</v>
      </c>
      <c r="C226" t="s">
        <v>24579</v>
      </c>
      <c r="D226" t="s">
        <v>25392</v>
      </c>
      <c r="E226" t="s">
        <v>11913</v>
      </c>
      <c r="F226" t="s">
        <v>332</v>
      </c>
      <c r="G226" t="s">
        <v>11829</v>
      </c>
      <c r="H226" t="s">
        <v>3416</v>
      </c>
      <c r="I226" t="s">
        <v>19</v>
      </c>
      <c r="J226" s="3" t="s">
        <v>11830</v>
      </c>
      <c r="K226" t="s">
        <v>11831</v>
      </c>
      <c r="L226" t="s">
        <v>11832</v>
      </c>
      <c r="M226" t="s">
        <v>337</v>
      </c>
    </row>
    <row r="227" spans="1:13" x14ac:dyDescent="0.25">
      <c r="A227" t="s">
        <v>11910</v>
      </c>
      <c r="B227" t="s">
        <v>13</v>
      </c>
      <c r="C227" t="s">
        <v>11911</v>
      </c>
      <c r="D227" t="s">
        <v>11912</v>
      </c>
      <c r="E227" t="s">
        <v>11913</v>
      </c>
      <c r="F227" t="s">
        <v>332</v>
      </c>
      <c r="G227" t="s">
        <v>11829</v>
      </c>
      <c r="H227" t="s">
        <v>3416</v>
      </c>
      <c r="I227" t="s">
        <v>19</v>
      </c>
      <c r="J227" s="3" t="s">
        <v>11830</v>
      </c>
      <c r="K227" t="s">
        <v>11831</v>
      </c>
      <c r="L227" t="s">
        <v>11832</v>
      </c>
      <c r="M227" t="s">
        <v>337</v>
      </c>
    </row>
    <row r="228" spans="1:13" x14ac:dyDescent="0.25">
      <c r="A228" t="s">
        <v>8795</v>
      </c>
      <c r="B228" t="s">
        <v>13</v>
      </c>
      <c r="C228" t="s">
        <v>8781</v>
      </c>
      <c r="D228" t="s">
        <v>8796</v>
      </c>
      <c r="E228" t="s">
        <v>32126</v>
      </c>
      <c r="F228" t="s">
        <v>2048</v>
      </c>
      <c r="G228" t="s">
        <v>8797</v>
      </c>
      <c r="H228" t="s">
        <v>8798</v>
      </c>
      <c r="I228" t="s">
        <v>2059</v>
      </c>
      <c r="J228" s="3">
        <f>34-654691012</f>
        <v>-654690978</v>
      </c>
      <c r="K228" t="s">
        <v>8799</v>
      </c>
      <c r="L228" t="s">
        <v>8800</v>
      </c>
      <c r="M228" t="s">
        <v>337</v>
      </c>
    </row>
    <row r="229" spans="1:13" x14ac:dyDescent="0.25">
      <c r="A229" t="s">
        <v>15103</v>
      </c>
      <c r="B229" t="s">
        <v>13</v>
      </c>
      <c r="C229" s="1">
        <v>43627</v>
      </c>
      <c r="D229" t="s">
        <v>15104</v>
      </c>
      <c r="E229" s="2" t="s">
        <v>31116</v>
      </c>
      <c r="F229" t="s">
        <v>332</v>
      </c>
      <c r="G229" t="s">
        <v>15105</v>
      </c>
      <c r="H229" t="s">
        <v>489</v>
      </c>
      <c r="I229" t="s">
        <v>19</v>
      </c>
      <c r="J229" s="3">
        <f>55-41-33173000</f>
        <v>-33172986</v>
      </c>
      <c r="K229" t="s">
        <v>15106</v>
      </c>
      <c r="L229" t="s">
        <v>809</v>
      </c>
      <c r="M229" t="s">
        <v>337</v>
      </c>
    </row>
    <row r="230" spans="1:13" x14ac:dyDescent="0.25">
      <c r="A230" t="s">
        <v>4212</v>
      </c>
      <c r="B230" t="s">
        <v>13</v>
      </c>
      <c r="C230" t="s">
        <v>4206</v>
      </c>
      <c r="D230" t="s">
        <v>4213</v>
      </c>
      <c r="E230" t="s">
        <v>4214</v>
      </c>
      <c r="F230" t="s">
        <v>4215</v>
      </c>
      <c r="G230" t="s">
        <v>4216</v>
      </c>
      <c r="H230" t="s">
        <v>18</v>
      </c>
      <c r="I230" t="s">
        <v>19</v>
      </c>
      <c r="J230" s="3">
        <f>55-19-981116661</f>
        <v>-981116625</v>
      </c>
      <c r="K230" t="s">
        <v>4217</v>
      </c>
      <c r="L230" t="s">
        <v>4218</v>
      </c>
      <c r="M230" t="s">
        <v>57</v>
      </c>
    </row>
    <row r="231" spans="1:13" x14ac:dyDescent="0.25">
      <c r="A231" t="s">
        <v>11119</v>
      </c>
      <c r="B231" t="s">
        <v>13</v>
      </c>
      <c r="C231" s="1">
        <v>44050</v>
      </c>
      <c r="D231" t="s">
        <v>11120</v>
      </c>
      <c r="E231" t="s">
        <v>11121</v>
      </c>
      <c r="F231" t="s">
        <v>332</v>
      </c>
      <c r="G231" t="s">
        <v>11122</v>
      </c>
      <c r="H231" t="s">
        <v>11123</v>
      </c>
      <c r="I231" t="s">
        <v>19</v>
      </c>
      <c r="J231" s="3">
        <f>55-69-992515372</f>
        <v>-992515386</v>
      </c>
      <c r="K231" t="s">
        <v>11124</v>
      </c>
      <c r="L231" t="s">
        <v>11125</v>
      </c>
      <c r="M231" t="s">
        <v>337</v>
      </c>
    </row>
    <row r="232" spans="1:13" x14ac:dyDescent="0.25">
      <c r="A232" t="s">
        <v>5169</v>
      </c>
      <c r="B232" t="s">
        <v>13</v>
      </c>
      <c r="C232" t="s">
        <v>5170</v>
      </c>
      <c r="D232" t="s">
        <v>5171</v>
      </c>
      <c r="E232" t="s">
        <v>1973</v>
      </c>
      <c r="F232" t="s">
        <v>1974</v>
      </c>
      <c r="G232" t="s">
        <v>5172</v>
      </c>
      <c r="H232" t="s">
        <v>1622</v>
      </c>
      <c r="I232" t="s">
        <v>19</v>
      </c>
      <c r="J232" s="3">
        <f>55-19-31099040</f>
        <v>-31099004</v>
      </c>
      <c r="K232" t="s">
        <v>5173</v>
      </c>
      <c r="L232" t="s">
        <v>32135</v>
      </c>
      <c r="M232" t="s">
        <v>337</v>
      </c>
    </row>
    <row r="233" spans="1:13" x14ac:dyDescent="0.25">
      <c r="A233" t="s">
        <v>1971</v>
      </c>
      <c r="B233" t="s">
        <v>13</v>
      </c>
      <c r="C233" t="s">
        <v>1283</v>
      </c>
      <c r="D233" t="s">
        <v>1972</v>
      </c>
      <c r="E233" t="s">
        <v>1973</v>
      </c>
      <c r="F233" t="s">
        <v>1974</v>
      </c>
      <c r="G233" t="s">
        <v>1975</v>
      </c>
      <c r="H233" t="s">
        <v>45</v>
      </c>
      <c r="I233" t="s">
        <v>19</v>
      </c>
      <c r="J233" s="3" t="s">
        <v>1976</v>
      </c>
      <c r="K233" t="s">
        <v>1977</v>
      </c>
      <c r="L233" t="s">
        <v>1978</v>
      </c>
      <c r="M233" t="s">
        <v>337</v>
      </c>
    </row>
    <row r="234" spans="1:13" x14ac:dyDescent="0.25">
      <c r="A234" t="s">
        <v>8973</v>
      </c>
      <c r="B234" t="s">
        <v>13</v>
      </c>
      <c r="C234" t="s">
        <v>8974</v>
      </c>
      <c r="D234" t="s">
        <v>8975</v>
      </c>
      <c r="E234" t="s">
        <v>8976</v>
      </c>
      <c r="F234" t="s">
        <v>337</v>
      </c>
      <c r="G234" t="s">
        <v>8977</v>
      </c>
      <c r="H234" t="s">
        <v>3416</v>
      </c>
      <c r="I234" t="s">
        <v>19</v>
      </c>
      <c r="J234" s="3">
        <f>55-16-33016386</f>
        <v>-33016347</v>
      </c>
      <c r="K234" t="s">
        <v>8978</v>
      </c>
      <c r="L234" t="s">
        <v>8979</v>
      </c>
      <c r="M234" t="s">
        <v>337</v>
      </c>
    </row>
    <row r="235" spans="1:13" x14ac:dyDescent="0.25">
      <c r="A235" t="s">
        <v>11076</v>
      </c>
      <c r="B235" t="s">
        <v>13</v>
      </c>
      <c r="C235" s="1">
        <v>44081</v>
      </c>
      <c r="D235" t="s">
        <v>11077</v>
      </c>
      <c r="E235" s="2" t="s">
        <v>31563</v>
      </c>
      <c r="F235" t="s">
        <v>57</v>
      </c>
      <c r="G235" t="s">
        <v>11078</v>
      </c>
      <c r="H235" t="s">
        <v>2395</v>
      </c>
      <c r="I235" t="s">
        <v>19</v>
      </c>
      <c r="J235" s="3">
        <v>558433152248</v>
      </c>
      <c r="K235" t="s">
        <v>11079</v>
      </c>
      <c r="L235" t="s">
        <v>1880</v>
      </c>
      <c r="M235" t="s">
        <v>57</v>
      </c>
    </row>
    <row r="236" spans="1:13" x14ac:dyDescent="0.25">
      <c r="A236" t="s">
        <v>21736</v>
      </c>
      <c r="B236" t="s">
        <v>13</v>
      </c>
      <c r="C236" t="s">
        <v>9776</v>
      </c>
      <c r="D236" t="s">
        <v>21737</v>
      </c>
      <c r="E236" s="2" t="s">
        <v>32764</v>
      </c>
      <c r="F236" t="s">
        <v>1464</v>
      </c>
      <c r="G236" t="s">
        <v>21738</v>
      </c>
      <c r="H236" t="s">
        <v>1486</v>
      </c>
      <c r="I236" t="s">
        <v>19</v>
      </c>
      <c r="J236" s="3">
        <v>553437006154</v>
      </c>
      <c r="K236" t="s">
        <v>21739</v>
      </c>
      <c r="L236" t="s">
        <v>21740</v>
      </c>
      <c r="M236" t="s">
        <v>224</v>
      </c>
    </row>
    <row r="237" spans="1:13" x14ac:dyDescent="0.25">
      <c r="A237" t="s">
        <v>29803</v>
      </c>
      <c r="B237" t="s">
        <v>13</v>
      </c>
      <c r="C237" t="s">
        <v>29804</v>
      </c>
      <c r="D237" t="s">
        <v>29805</v>
      </c>
      <c r="E237" t="s">
        <v>29806</v>
      </c>
      <c r="F237" t="s">
        <v>3084</v>
      </c>
      <c r="G237" t="s">
        <v>29807</v>
      </c>
      <c r="H237" t="s">
        <v>2545</v>
      </c>
      <c r="I237" t="s">
        <v>19</v>
      </c>
      <c r="J237" s="3" t="s">
        <v>29808</v>
      </c>
      <c r="K237" t="s">
        <v>29809</v>
      </c>
      <c r="L237" t="s">
        <v>2548</v>
      </c>
      <c r="M237" t="s">
        <v>32144</v>
      </c>
    </row>
    <row r="238" spans="1:13" x14ac:dyDescent="0.25">
      <c r="A238" t="s">
        <v>27945</v>
      </c>
      <c r="B238" t="s">
        <v>13</v>
      </c>
      <c r="C238" t="s">
        <v>27932</v>
      </c>
      <c r="D238" t="s">
        <v>27946</v>
      </c>
      <c r="E238" t="s">
        <v>7710</v>
      </c>
      <c r="F238" t="s">
        <v>224</v>
      </c>
      <c r="G238" t="s">
        <v>13916</v>
      </c>
      <c r="H238" t="s">
        <v>36</v>
      </c>
      <c r="I238" t="s">
        <v>19</v>
      </c>
      <c r="J238" s="3" t="s">
        <v>27947</v>
      </c>
      <c r="K238" t="s">
        <v>27948</v>
      </c>
      <c r="L238" t="s">
        <v>13918</v>
      </c>
      <c r="M238" t="s">
        <v>224</v>
      </c>
    </row>
    <row r="239" spans="1:13" x14ac:dyDescent="0.25">
      <c r="A239" t="s">
        <v>12617</v>
      </c>
      <c r="B239" t="s">
        <v>13</v>
      </c>
      <c r="C239" t="s">
        <v>7461</v>
      </c>
      <c r="D239" t="s">
        <v>12618</v>
      </c>
      <c r="E239" t="s">
        <v>7710</v>
      </c>
      <c r="F239" t="s">
        <v>224</v>
      </c>
      <c r="G239" t="s">
        <v>12619</v>
      </c>
      <c r="H239" t="s">
        <v>2645</v>
      </c>
      <c r="I239" t="s">
        <v>19</v>
      </c>
      <c r="J239" s="3">
        <f>55-41-987547424</f>
        <v>-987547410</v>
      </c>
      <c r="K239" t="s">
        <v>12620</v>
      </c>
      <c r="L239" t="s">
        <v>12621</v>
      </c>
      <c r="M239" t="s">
        <v>224</v>
      </c>
    </row>
    <row r="240" spans="1:13" x14ac:dyDescent="0.25">
      <c r="A240" t="s">
        <v>7708</v>
      </c>
      <c r="B240" t="s">
        <v>13</v>
      </c>
      <c r="C240" s="1">
        <v>44382</v>
      </c>
      <c r="D240" t="s">
        <v>7709</v>
      </c>
      <c r="E240" t="s">
        <v>7710</v>
      </c>
      <c r="F240" t="s">
        <v>224</v>
      </c>
      <c r="G240" t="s">
        <v>7711</v>
      </c>
      <c r="H240" t="s">
        <v>4039</v>
      </c>
      <c r="I240" t="s">
        <v>19</v>
      </c>
      <c r="J240" s="3">
        <v>5545999333479</v>
      </c>
      <c r="K240" t="s">
        <v>7712</v>
      </c>
      <c r="L240" t="s">
        <v>7713</v>
      </c>
      <c r="M240" t="s">
        <v>224</v>
      </c>
    </row>
    <row r="241" spans="1:13" x14ac:dyDescent="0.25">
      <c r="A241" t="s">
        <v>20639</v>
      </c>
      <c r="B241" t="s">
        <v>101</v>
      </c>
      <c r="C241" s="1">
        <v>43380</v>
      </c>
      <c r="D241" t="s">
        <v>20640</v>
      </c>
      <c r="E241" t="s">
        <v>7710</v>
      </c>
      <c r="F241" t="s">
        <v>3084</v>
      </c>
      <c r="G241" t="s">
        <v>20641</v>
      </c>
      <c r="H241" t="s">
        <v>195</v>
      </c>
      <c r="I241" t="s">
        <v>19</v>
      </c>
      <c r="J241" s="3">
        <f>55-19-991688575</f>
        <v>-991688539</v>
      </c>
      <c r="K241" t="s">
        <v>20642</v>
      </c>
      <c r="L241" t="s">
        <v>197</v>
      </c>
      <c r="M241" t="s">
        <v>32144</v>
      </c>
    </row>
    <row r="242" spans="1:13" x14ac:dyDescent="0.25">
      <c r="A242" t="s">
        <v>27279</v>
      </c>
      <c r="B242" t="s">
        <v>101</v>
      </c>
      <c r="C242" s="1">
        <v>42258</v>
      </c>
      <c r="D242" t="s">
        <v>27280</v>
      </c>
      <c r="E242" t="s">
        <v>27281</v>
      </c>
      <c r="F242" t="s">
        <v>3084</v>
      </c>
      <c r="G242" t="s">
        <v>27282</v>
      </c>
      <c r="H242" t="s">
        <v>372</v>
      </c>
      <c r="I242" t="s">
        <v>19</v>
      </c>
      <c r="J242" s="3" t="s">
        <v>27283</v>
      </c>
      <c r="K242" t="s">
        <v>27284</v>
      </c>
      <c r="L242" t="s">
        <v>8263</v>
      </c>
      <c r="M242" t="s">
        <v>32144</v>
      </c>
    </row>
    <row r="243" spans="1:13" x14ac:dyDescent="0.25">
      <c r="A243" t="s">
        <v>22041</v>
      </c>
      <c r="B243" t="s">
        <v>13</v>
      </c>
      <c r="C243" s="1">
        <v>43315</v>
      </c>
      <c r="D243" t="s">
        <v>22042</v>
      </c>
      <c r="E243" t="s">
        <v>22043</v>
      </c>
      <c r="F243" t="s">
        <v>11031</v>
      </c>
      <c r="G243" t="s">
        <v>22044</v>
      </c>
      <c r="H243" t="s">
        <v>22045</v>
      </c>
      <c r="I243" t="s">
        <v>19</v>
      </c>
      <c r="J243" s="3" t="s">
        <v>22046</v>
      </c>
      <c r="K243" t="s">
        <v>22047</v>
      </c>
      <c r="L243" t="s">
        <v>22048</v>
      </c>
      <c r="M243" t="s">
        <v>741</v>
      </c>
    </row>
    <row r="244" spans="1:13" x14ac:dyDescent="0.25">
      <c r="A244" t="s">
        <v>13027</v>
      </c>
      <c r="B244" t="s">
        <v>13</v>
      </c>
      <c r="C244" s="1">
        <v>44107</v>
      </c>
      <c r="D244" t="s">
        <v>13028</v>
      </c>
      <c r="E244" t="s">
        <v>13029</v>
      </c>
      <c r="F244" t="s">
        <v>1464</v>
      </c>
      <c r="G244" t="s">
        <v>13030</v>
      </c>
      <c r="H244" t="s">
        <v>36</v>
      </c>
      <c r="I244" t="s">
        <v>19</v>
      </c>
      <c r="J244" s="3">
        <f>55-11-55760925</f>
        <v>-55760881</v>
      </c>
      <c r="K244" t="s">
        <v>13031</v>
      </c>
      <c r="L244" t="s">
        <v>13032</v>
      </c>
      <c r="M244" t="s">
        <v>771</v>
      </c>
    </row>
    <row r="245" spans="1:13" x14ac:dyDescent="0.25">
      <c r="A245" t="s">
        <v>3356</v>
      </c>
      <c r="B245" t="s">
        <v>13</v>
      </c>
      <c r="C245" t="s">
        <v>3357</v>
      </c>
      <c r="D245" t="s">
        <v>3358</v>
      </c>
      <c r="E245" s="2" t="s">
        <v>30776</v>
      </c>
      <c r="F245" t="s">
        <v>2733</v>
      </c>
      <c r="G245" t="s">
        <v>3359</v>
      </c>
      <c r="H245" t="s">
        <v>409</v>
      </c>
      <c r="I245" t="s">
        <v>19</v>
      </c>
      <c r="J245" s="3">
        <v>554833218670</v>
      </c>
      <c r="K245" t="s">
        <v>3360</v>
      </c>
      <c r="L245" t="s">
        <v>1823</v>
      </c>
      <c r="M245" t="s">
        <v>771</v>
      </c>
    </row>
    <row r="246" spans="1:13" x14ac:dyDescent="0.25">
      <c r="A246" t="s">
        <v>5600</v>
      </c>
      <c r="B246" t="s">
        <v>101</v>
      </c>
      <c r="C246" t="s">
        <v>5601</v>
      </c>
      <c r="D246" t="s">
        <v>32135</v>
      </c>
      <c r="E246" t="s">
        <v>5602</v>
      </c>
      <c r="F246" t="s">
        <v>5603</v>
      </c>
      <c r="G246" t="s">
        <v>5604</v>
      </c>
      <c r="H246" t="s">
        <v>299</v>
      </c>
      <c r="I246" t="s">
        <v>19</v>
      </c>
      <c r="J246" s="3">
        <f>55-14-38801650</f>
        <v>-38801609</v>
      </c>
      <c r="K246" t="s">
        <v>5605</v>
      </c>
      <c r="L246" t="s">
        <v>32135</v>
      </c>
      <c r="M246" t="s">
        <v>224</v>
      </c>
    </row>
    <row r="247" spans="1:13" x14ac:dyDescent="0.25">
      <c r="A247" t="s">
        <v>27716</v>
      </c>
      <c r="B247" t="s">
        <v>13</v>
      </c>
      <c r="C247" t="s">
        <v>27710</v>
      </c>
      <c r="D247" t="s">
        <v>27717</v>
      </c>
      <c r="E247" t="s">
        <v>27718</v>
      </c>
      <c r="F247" t="s">
        <v>224</v>
      </c>
      <c r="G247" t="s">
        <v>27719</v>
      </c>
      <c r="H247" t="s">
        <v>7504</v>
      </c>
      <c r="I247" t="s">
        <v>19</v>
      </c>
      <c r="J247" s="3" t="s">
        <v>27720</v>
      </c>
      <c r="K247" t="s">
        <v>27721</v>
      </c>
      <c r="L247" t="s">
        <v>27722</v>
      </c>
      <c r="M247" t="s">
        <v>224</v>
      </c>
    </row>
    <row r="248" spans="1:13" x14ac:dyDescent="0.25">
      <c r="A248" t="s">
        <v>4288</v>
      </c>
      <c r="B248" t="s">
        <v>13</v>
      </c>
      <c r="C248" s="1">
        <v>44318</v>
      </c>
      <c r="D248" t="s">
        <v>4289</v>
      </c>
      <c r="E248" t="s">
        <v>4290</v>
      </c>
      <c r="F248" t="s">
        <v>1129</v>
      </c>
      <c r="G248" t="s">
        <v>4291</v>
      </c>
      <c r="H248" t="s">
        <v>88</v>
      </c>
      <c r="I248" t="s">
        <v>19</v>
      </c>
      <c r="J248" s="3" t="s">
        <v>4292</v>
      </c>
      <c r="K248" t="s">
        <v>4293</v>
      </c>
      <c r="L248" t="s">
        <v>91</v>
      </c>
      <c r="M248" t="s">
        <v>224</v>
      </c>
    </row>
    <row r="249" spans="1:13" x14ac:dyDescent="0.25">
      <c r="A249" t="s">
        <v>8382</v>
      </c>
      <c r="B249" t="s">
        <v>13</v>
      </c>
      <c r="C249" t="s">
        <v>7069</v>
      </c>
      <c r="D249" t="s">
        <v>8383</v>
      </c>
      <c r="E249" t="s">
        <v>8384</v>
      </c>
      <c r="F249" t="s">
        <v>224</v>
      </c>
      <c r="G249" t="s">
        <v>8385</v>
      </c>
      <c r="H249" t="s">
        <v>88</v>
      </c>
      <c r="I249" t="s">
        <v>19</v>
      </c>
      <c r="J249" s="3" t="s">
        <v>8386</v>
      </c>
      <c r="K249" t="s">
        <v>8387</v>
      </c>
      <c r="L249" t="s">
        <v>91</v>
      </c>
      <c r="M249" t="s">
        <v>224</v>
      </c>
    </row>
    <row r="250" spans="1:13" x14ac:dyDescent="0.25">
      <c r="A250" t="s">
        <v>26180</v>
      </c>
      <c r="B250" t="s">
        <v>13</v>
      </c>
      <c r="C250" t="s">
        <v>16637</v>
      </c>
      <c r="D250" t="s">
        <v>26181</v>
      </c>
      <c r="E250" t="s">
        <v>32224</v>
      </c>
      <c r="F250" t="s">
        <v>741</v>
      </c>
      <c r="G250" t="s">
        <v>26182</v>
      </c>
      <c r="H250" t="s">
        <v>706</v>
      </c>
      <c r="I250" t="s">
        <v>19</v>
      </c>
      <c r="J250" s="3" t="s">
        <v>26183</v>
      </c>
      <c r="K250" t="s">
        <v>26184</v>
      </c>
      <c r="L250" t="s">
        <v>24739</v>
      </c>
      <c r="M250" t="s">
        <v>741</v>
      </c>
    </row>
    <row r="251" spans="1:13" x14ac:dyDescent="0.25">
      <c r="A251" t="s">
        <v>16998</v>
      </c>
      <c r="B251" t="s">
        <v>13</v>
      </c>
      <c r="C251" t="s">
        <v>16999</v>
      </c>
      <c r="D251" t="s">
        <v>17000</v>
      </c>
      <c r="E251" t="s">
        <v>17001</v>
      </c>
      <c r="F251" t="s">
        <v>1129</v>
      </c>
      <c r="G251" t="s">
        <v>17002</v>
      </c>
      <c r="H251" t="s">
        <v>1206</v>
      </c>
      <c r="I251" t="s">
        <v>19</v>
      </c>
      <c r="J251" s="3">
        <f>55-83-999997539</f>
        <v>-999997567</v>
      </c>
      <c r="K251" t="s">
        <v>17003</v>
      </c>
      <c r="L251" t="s">
        <v>2548</v>
      </c>
      <c r="M251" t="s">
        <v>224</v>
      </c>
    </row>
    <row r="252" spans="1:13" x14ac:dyDescent="0.25">
      <c r="A252" t="s">
        <v>21829</v>
      </c>
      <c r="B252" t="s">
        <v>13</v>
      </c>
      <c r="C252" t="s">
        <v>21825</v>
      </c>
      <c r="D252" t="s">
        <v>21830</v>
      </c>
      <c r="E252" t="s">
        <v>21831</v>
      </c>
      <c r="F252" t="s">
        <v>1129</v>
      </c>
      <c r="G252" t="s">
        <v>17002</v>
      </c>
      <c r="H252" t="s">
        <v>1206</v>
      </c>
      <c r="I252" t="s">
        <v>19</v>
      </c>
      <c r="J252" s="3">
        <f>55-83-999997539</f>
        <v>-999997567</v>
      </c>
      <c r="K252" t="s">
        <v>17003</v>
      </c>
      <c r="L252" t="s">
        <v>2548</v>
      </c>
      <c r="M252" t="s">
        <v>224</v>
      </c>
    </row>
    <row r="253" spans="1:13" x14ac:dyDescent="0.25">
      <c r="A253" t="s">
        <v>2700</v>
      </c>
      <c r="B253" t="s">
        <v>13</v>
      </c>
      <c r="C253" s="1">
        <v>44628</v>
      </c>
      <c r="D253" t="s">
        <v>32135</v>
      </c>
      <c r="E253" t="s">
        <v>2701</v>
      </c>
      <c r="F253" t="s">
        <v>2702</v>
      </c>
      <c r="G253" t="s">
        <v>2703</v>
      </c>
      <c r="H253" t="s">
        <v>299</v>
      </c>
      <c r="I253" t="s">
        <v>19</v>
      </c>
      <c r="J253" s="3" t="s">
        <v>2704</v>
      </c>
      <c r="K253" t="s">
        <v>2705</v>
      </c>
      <c r="L253" t="s">
        <v>2621</v>
      </c>
      <c r="M253" t="s">
        <v>785</v>
      </c>
    </row>
    <row r="254" spans="1:13" x14ac:dyDescent="0.25">
      <c r="A254" t="s">
        <v>11670</v>
      </c>
      <c r="B254" t="s">
        <v>13</v>
      </c>
      <c r="C254" t="s">
        <v>2611</v>
      </c>
      <c r="D254" t="s">
        <v>11671</v>
      </c>
      <c r="E254" t="s">
        <v>2701</v>
      </c>
      <c r="F254" t="s">
        <v>4639</v>
      </c>
      <c r="G254" t="s">
        <v>11672</v>
      </c>
      <c r="H254" t="s">
        <v>36</v>
      </c>
      <c r="I254" t="s">
        <v>19</v>
      </c>
      <c r="J254" s="3">
        <f>55-67-999639593</f>
        <v>-999639605</v>
      </c>
      <c r="K254" t="s">
        <v>11673</v>
      </c>
      <c r="L254" t="s">
        <v>11674</v>
      </c>
      <c r="M254" t="s">
        <v>785</v>
      </c>
    </row>
    <row r="255" spans="1:13" x14ac:dyDescent="0.25">
      <c r="A255" t="s">
        <v>16858</v>
      </c>
      <c r="B255" t="s">
        <v>13</v>
      </c>
      <c r="C255" s="1">
        <v>43562</v>
      </c>
      <c r="D255" t="s">
        <v>16859</v>
      </c>
      <c r="E255" t="s">
        <v>2701</v>
      </c>
      <c r="F255" t="s">
        <v>4639</v>
      </c>
      <c r="G255" t="s">
        <v>16860</v>
      </c>
      <c r="H255" t="s">
        <v>798</v>
      </c>
      <c r="I255" t="s">
        <v>19</v>
      </c>
      <c r="J255" s="3" t="s">
        <v>16861</v>
      </c>
      <c r="K255" t="s">
        <v>16862</v>
      </c>
      <c r="L255" t="s">
        <v>1593</v>
      </c>
      <c r="M255" t="s">
        <v>785</v>
      </c>
    </row>
    <row r="256" spans="1:13" x14ac:dyDescent="0.25">
      <c r="A256" t="s">
        <v>18700</v>
      </c>
      <c r="B256" t="s">
        <v>13</v>
      </c>
      <c r="C256" t="s">
        <v>7914</v>
      </c>
      <c r="D256" t="s">
        <v>18701</v>
      </c>
      <c r="E256" s="2" t="s">
        <v>31209</v>
      </c>
      <c r="F256" t="s">
        <v>1464</v>
      </c>
      <c r="G256" t="s">
        <v>18702</v>
      </c>
      <c r="H256" t="s">
        <v>4705</v>
      </c>
      <c r="I256" t="s">
        <v>19</v>
      </c>
      <c r="J256" s="3">
        <f>55-11-980764465</f>
        <v>-980764421</v>
      </c>
      <c r="K256" t="s">
        <v>18703</v>
      </c>
      <c r="L256" t="s">
        <v>223</v>
      </c>
      <c r="M256" t="s">
        <v>785</v>
      </c>
    </row>
    <row r="257" spans="1:13" x14ac:dyDescent="0.25">
      <c r="A257" t="s">
        <v>29837</v>
      </c>
      <c r="B257" t="s">
        <v>13</v>
      </c>
      <c r="C257" s="1">
        <v>41334</v>
      </c>
      <c r="D257" t="s">
        <v>29838</v>
      </c>
      <c r="E257" t="s">
        <v>1055</v>
      </c>
      <c r="F257" t="s">
        <v>2765</v>
      </c>
      <c r="G257" t="s">
        <v>29839</v>
      </c>
      <c r="H257" t="s">
        <v>472</v>
      </c>
      <c r="I257" t="s">
        <v>19</v>
      </c>
      <c r="J257" s="3" t="s">
        <v>29840</v>
      </c>
      <c r="K257" t="s">
        <v>29841</v>
      </c>
      <c r="L257" t="s">
        <v>15215</v>
      </c>
      <c r="M257" t="s">
        <v>771</v>
      </c>
    </row>
    <row r="258" spans="1:13" x14ac:dyDescent="0.25">
      <c r="A258" t="s">
        <v>15192</v>
      </c>
      <c r="B258" t="s">
        <v>13</v>
      </c>
      <c r="C258" t="s">
        <v>15171</v>
      </c>
      <c r="D258" t="s">
        <v>15193</v>
      </c>
      <c r="E258" t="s">
        <v>1055</v>
      </c>
      <c r="F258" t="s">
        <v>2765</v>
      </c>
      <c r="G258" t="s">
        <v>15194</v>
      </c>
      <c r="H258" t="s">
        <v>18</v>
      </c>
      <c r="I258" t="s">
        <v>19</v>
      </c>
      <c r="J258" s="3">
        <f>55-19-37566877</f>
        <v>-37566841</v>
      </c>
      <c r="K258" t="s">
        <v>7925</v>
      </c>
      <c r="L258" t="s">
        <v>7926</v>
      </c>
      <c r="M258" t="s">
        <v>771</v>
      </c>
    </row>
    <row r="259" spans="1:13" x14ac:dyDescent="0.25">
      <c r="A259" t="s">
        <v>19609</v>
      </c>
      <c r="B259" t="s">
        <v>13</v>
      </c>
      <c r="C259" s="1">
        <v>43283</v>
      </c>
      <c r="D259" t="s">
        <v>19610</v>
      </c>
      <c r="E259" s="2" t="s">
        <v>31230</v>
      </c>
      <c r="F259" t="s">
        <v>741</v>
      </c>
      <c r="G259" t="s">
        <v>19611</v>
      </c>
      <c r="H259" t="s">
        <v>578</v>
      </c>
      <c r="I259" t="s">
        <v>19</v>
      </c>
      <c r="J259" s="3" t="s">
        <v>19612</v>
      </c>
      <c r="K259" t="s">
        <v>19613</v>
      </c>
      <c r="L259" t="s">
        <v>19614</v>
      </c>
      <c r="M259" t="s">
        <v>741</v>
      </c>
    </row>
    <row r="260" spans="1:13" x14ac:dyDescent="0.25">
      <c r="A260" t="s">
        <v>10268</v>
      </c>
      <c r="B260" t="s">
        <v>13</v>
      </c>
      <c r="C260" t="s">
        <v>9229</v>
      </c>
      <c r="D260" t="s">
        <v>10269</v>
      </c>
      <c r="E260" s="2" t="s">
        <v>31811</v>
      </c>
      <c r="F260" t="s">
        <v>306</v>
      </c>
      <c r="G260" t="s">
        <v>10270</v>
      </c>
      <c r="H260" t="s">
        <v>10271</v>
      </c>
      <c r="I260" t="s">
        <v>19</v>
      </c>
      <c r="J260" s="3">
        <f>55-84-998172226</f>
        <v>-998172255</v>
      </c>
      <c r="K260" t="s">
        <v>10272</v>
      </c>
      <c r="L260" t="s">
        <v>10273</v>
      </c>
      <c r="M260" t="s">
        <v>129</v>
      </c>
    </row>
    <row r="261" spans="1:13" x14ac:dyDescent="0.25">
      <c r="A261" t="s">
        <v>29395</v>
      </c>
      <c r="B261" t="s">
        <v>13</v>
      </c>
      <c r="C261" s="1">
        <v>41587</v>
      </c>
      <c r="D261" t="s">
        <v>29396</v>
      </c>
      <c r="E261" t="s">
        <v>29397</v>
      </c>
      <c r="F261" t="s">
        <v>306</v>
      </c>
      <c r="G261" t="s">
        <v>29398</v>
      </c>
      <c r="H261" t="s">
        <v>36</v>
      </c>
      <c r="I261" t="s">
        <v>19</v>
      </c>
      <c r="J261" s="3">
        <f>5-5-11--30617705</f>
        <v>30617694</v>
      </c>
      <c r="K261" t="s">
        <v>29399</v>
      </c>
      <c r="L261" t="s">
        <v>4562</v>
      </c>
      <c r="M261" t="s">
        <v>32145</v>
      </c>
    </row>
    <row r="262" spans="1:13" x14ac:dyDescent="0.25">
      <c r="A262" t="s">
        <v>22597</v>
      </c>
      <c r="B262" t="s">
        <v>101</v>
      </c>
      <c r="C262" s="1">
        <v>43405</v>
      </c>
      <c r="D262" t="s">
        <v>22598</v>
      </c>
      <c r="E262" t="s">
        <v>22599</v>
      </c>
      <c r="F262" t="s">
        <v>306</v>
      </c>
      <c r="G262" t="s">
        <v>22600</v>
      </c>
      <c r="H262" t="s">
        <v>22601</v>
      </c>
      <c r="I262" t="s">
        <v>19</v>
      </c>
      <c r="J262" s="3">
        <v>5561981098696</v>
      </c>
      <c r="K262" t="s">
        <v>22602</v>
      </c>
      <c r="L262" t="s">
        <v>22603</v>
      </c>
      <c r="M262" t="s">
        <v>32145</v>
      </c>
    </row>
    <row r="263" spans="1:13" x14ac:dyDescent="0.25">
      <c r="A263" t="s">
        <v>27513</v>
      </c>
      <c r="B263" t="s">
        <v>13</v>
      </c>
      <c r="C263" t="s">
        <v>22654</v>
      </c>
      <c r="D263" t="s">
        <v>27514</v>
      </c>
      <c r="E263" t="s">
        <v>27515</v>
      </c>
      <c r="F263" t="s">
        <v>9327</v>
      </c>
      <c r="G263" t="s">
        <v>27516</v>
      </c>
      <c r="H263" t="s">
        <v>352</v>
      </c>
      <c r="I263" t="s">
        <v>19</v>
      </c>
      <c r="J263" s="3">
        <v>5521982152468</v>
      </c>
      <c r="K263" t="s">
        <v>27517</v>
      </c>
      <c r="L263" t="s">
        <v>27518</v>
      </c>
      <c r="M263" t="s">
        <v>1304</v>
      </c>
    </row>
    <row r="264" spans="1:13" x14ac:dyDescent="0.25">
      <c r="A264" t="s">
        <v>6790</v>
      </c>
      <c r="B264" t="s">
        <v>13</v>
      </c>
      <c r="C264" s="1">
        <v>43901</v>
      </c>
      <c r="D264" t="s">
        <v>6791</v>
      </c>
      <c r="E264" t="s">
        <v>6792</v>
      </c>
      <c r="F264" t="s">
        <v>2947</v>
      </c>
      <c r="G264" t="s">
        <v>6793</v>
      </c>
      <c r="H264" t="s">
        <v>706</v>
      </c>
      <c r="I264" t="s">
        <v>19</v>
      </c>
      <c r="J264" s="3">
        <v>5531992171956</v>
      </c>
      <c r="K264" t="s">
        <v>6794</v>
      </c>
      <c r="L264" t="s">
        <v>32135</v>
      </c>
      <c r="M264" t="s">
        <v>771</v>
      </c>
    </row>
    <row r="265" spans="1:13" x14ac:dyDescent="0.25">
      <c r="A265" t="s">
        <v>5921</v>
      </c>
      <c r="B265" t="s">
        <v>13</v>
      </c>
      <c r="C265" t="s">
        <v>5910</v>
      </c>
      <c r="D265" t="s">
        <v>32135</v>
      </c>
      <c r="E265" t="s">
        <v>5922</v>
      </c>
      <c r="F265" t="s">
        <v>568</v>
      </c>
      <c r="G265" t="s">
        <v>5923</v>
      </c>
      <c r="H265" t="s">
        <v>36</v>
      </c>
      <c r="I265" t="s">
        <v>19</v>
      </c>
      <c r="J265" s="3">
        <f>55-11-55764069</f>
        <v>-55764025</v>
      </c>
      <c r="K265" t="s">
        <v>5924</v>
      </c>
      <c r="L265" t="s">
        <v>32135</v>
      </c>
      <c r="M265" t="s">
        <v>1775</v>
      </c>
    </row>
    <row r="266" spans="1:13" x14ac:dyDescent="0.25">
      <c r="A266" t="s">
        <v>24995</v>
      </c>
      <c r="B266" t="s">
        <v>13</v>
      </c>
      <c r="C266" s="1">
        <v>42716</v>
      </c>
      <c r="D266" t="s">
        <v>24996</v>
      </c>
      <c r="E266" t="s">
        <v>32225</v>
      </c>
      <c r="F266" t="s">
        <v>1464</v>
      </c>
      <c r="G266" t="s">
        <v>24997</v>
      </c>
      <c r="H266" t="s">
        <v>18</v>
      </c>
      <c r="I266" t="s">
        <v>19</v>
      </c>
      <c r="J266" s="3">
        <v>551937895386</v>
      </c>
      <c r="K266" t="s">
        <v>24998</v>
      </c>
      <c r="L266" t="s">
        <v>24999</v>
      </c>
      <c r="M266" t="s">
        <v>1775</v>
      </c>
    </row>
    <row r="267" spans="1:13" x14ac:dyDescent="0.25">
      <c r="A267" t="s">
        <v>7258</v>
      </c>
      <c r="B267" t="s">
        <v>13</v>
      </c>
      <c r="C267" s="1">
        <v>44233</v>
      </c>
      <c r="D267" t="s">
        <v>32135</v>
      </c>
      <c r="E267" t="s">
        <v>7259</v>
      </c>
      <c r="F267" t="s">
        <v>3147</v>
      </c>
      <c r="G267" t="s">
        <v>7260</v>
      </c>
      <c r="H267" t="s">
        <v>255</v>
      </c>
      <c r="I267" t="s">
        <v>19</v>
      </c>
      <c r="J267" s="3">
        <f>55-64-981428455</f>
        <v>-981428464</v>
      </c>
      <c r="K267" t="s">
        <v>7261</v>
      </c>
      <c r="L267" t="s">
        <v>32135</v>
      </c>
      <c r="M267" t="s">
        <v>32144</v>
      </c>
    </row>
    <row r="268" spans="1:13" x14ac:dyDescent="0.25">
      <c r="A268" t="s">
        <v>17024</v>
      </c>
      <c r="B268" t="s">
        <v>13</v>
      </c>
      <c r="C268" t="s">
        <v>11863</v>
      </c>
      <c r="D268" t="s">
        <v>17025</v>
      </c>
      <c r="E268" s="2" t="s">
        <v>31972</v>
      </c>
      <c r="F268" t="s">
        <v>2947</v>
      </c>
      <c r="G268" t="s">
        <v>17026</v>
      </c>
      <c r="H268" t="s">
        <v>1486</v>
      </c>
      <c r="I268" t="s">
        <v>19</v>
      </c>
      <c r="J268" s="3">
        <f>55-34-33387177</f>
        <v>-33387156</v>
      </c>
      <c r="K268" t="s">
        <v>17027</v>
      </c>
      <c r="L268" t="s">
        <v>3681</v>
      </c>
      <c r="M268" t="s">
        <v>771</v>
      </c>
    </row>
    <row r="269" spans="1:13" x14ac:dyDescent="0.25">
      <c r="A269" t="s">
        <v>2648</v>
      </c>
      <c r="B269" t="s">
        <v>13</v>
      </c>
      <c r="C269" s="1">
        <v>44781</v>
      </c>
      <c r="D269" t="s">
        <v>2649</v>
      </c>
      <c r="E269" t="s">
        <v>2650</v>
      </c>
      <c r="F269" t="s">
        <v>2651</v>
      </c>
      <c r="G269" t="s">
        <v>2652</v>
      </c>
      <c r="H269" t="s">
        <v>936</v>
      </c>
      <c r="I269" t="s">
        <v>19</v>
      </c>
      <c r="J269" s="3">
        <v>557131171800</v>
      </c>
      <c r="K269" t="s">
        <v>2653</v>
      </c>
      <c r="L269" t="s">
        <v>2654</v>
      </c>
      <c r="M269" t="s">
        <v>771</v>
      </c>
    </row>
    <row r="270" spans="1:13" x14ac:dyDescent="0.25">
      <c r="A270" t="s">
        <v>26722</v>
      </c>
      <c r="B270" t="s">
        <v>13</v>
      </c>
      <c r="C270" t="s">
        <v>14864</v>
      </c>
      <c r="D270" t="s">
        <v>26723</v>
      </c>
      <c r="E270" t="s">
        <v>26724</v>
      </c>
      <c r="F270" t="s">
        <v>2947</v>
      </c>
      <c r="G270" t="s">
        <v>26725</v>
      </c>
      <c r="H270" t="s">
        <v>26726</v>
      </c>
      <c r="I270" t="s">
        <v>19</v>
      </c>
      <c r="J270" s="3" t="s">
        <v>26727</v>
      </c>
      <c r="K270" t="s">
        <v>26728</v>
      </c>
      <c r="L270" t="s">
        <v>1469</v>
      </c>
      <c r="M270" t="s">
        <v>771</v>
      </c>
    </row>
    <row r="271" spans="1:13" x14ac:dyDescent="0.25">
      <c r="A271" t="s">
        <v>21289</v>
      </c>
      <c r="B271" t="s">
        <v>13</v>
      </c>
      <c r="C271" t="s">
        <v>21271</v>
      </c>
      <c r="D271" t="s">
        <v>21290</v>
      </c>
      <c r="E271" s="2" t="s">
        <v>31595</v>
      </c>
      <c r="F271" t="s">
        <v>1464</v>
      </c>
      <c r="G271" t="s">
        <v>21291</v>
      </c>
      <c r="H271" t="s">
        <v>372</v>
      </c>
      <c r="I271" t="s">
        <v>19</v>
      </c>
      <c r="J271" s="3" t="s">
        <v>21292</v>
      </c>
      <c r="K271" t="s">
        <v>21293</v>
      </c>
      <c r="L271" t="s">
        <v>21294</v>
      </c>
      <c r="M271" t="s">
        <v>32144</v>
      </c>
    </row>
    <row r="272" spans="1:13" x14ac:dyDescent="0.25">
      <c r="A272" t="s">
        <v>6902</v>
      </c>
      <c r="B272" t="s">
        <v>13</v>
      </c>
      <c r="C272" t="s">
        <v>6898</v>
      </c>
      <c r="D272" t="s">
        <v>6903</v>
      </c>
      <c r="E272" t="s">
        <v>6904</v>
      </c>
      <c r="F272" t="s">
        <v>3316</v>
      </c>
      <c r="G272" t="s">
        <v>6905</v>
      </c>
      <c r="H272" t="s">
        <v>1335</v>
      </c>
      <c r="I272" t="s">
        <v>19</v>
      </c>
      <c r="J272" s="3">
        <v>554399559165</v>
      </c>
      <c r="K272" t="s">
        <v>6906</v>
      </c>
      <c r="L272" t="s">
        <v>32135</v>
      </c>
      <c r="M272" t="s">
        <v>337</v>
      </c>
    </row>
    <row r="273" spans="1:13" x14ac:dyDescent="0.25">
      <c r="A273" t="s">
        <v>28286</v>
      </c>
      <c r="B273" t="s">
        <v>13</v>
      </c>
      <c r="C273" t="s">
        <v>28284</v>
      </c>
      <c r="D273" t="s">
        <v>28287</v>
      </c>
      <c r="E273" t="s">
        <v>28288</v>
      </c>
      <c r="F273" t="s">
        <v>2036</v>
      </c>
      <c r="G273" t="s">
        <v>27361</v>
      </c>
      <c r="H273" t="s">
        <v>372</v>
      </c>
      <c r="I273" t="s">
        <v>19</v>
      </c>
      <c r="J273" s="3" t="s">
        <v>27362</v>
      </c>
      <c r="K273" t="s">
        <v>27363</v>
      </c>
      <c r="L273" t="s">
        <v>11426</v>
      </c>
      <c r="M273" t="s">
        <v>57</v>
      </c>
    </row>
    <row r="274" spans="1:13" x14ac:dyDescent="0.25">
      <c r="A274" t="s">
        <v>11188</v>
      </c>
      <c r="B274" t="s">
        <v>101</v>
      </c>
      <c r="C274" s="1">
        <v>43897</v>
      </c>
      <c r="D274" t="s">
        <v>11189</v>
      </c>
      <c r="E274" s="2" t="s">
        <v>32226</v>
      </c>
      <c r="F274" t="s">
        <v>1464</v>
      </c>
      <c r="G274" t="s">
        <v>11191</v>
      </c>
      <c r="H274" t="s">
        <v>11192</v>
      </c>
      <c r="I274" t="s">
        <v>19</v>
      </c>
      <c r="J274" s="3" t="s">
        <v>11193</v>
      </c>
      <c r="K274" t="s">
        <v>11194</v>
      </c>
      <c r="L274" t="s">
        <v>11195</v>
      </c>
      <c r="M274" t="s">
        <v>57</v>
      </c>
    </row>
    <row r="275" spans="1:13" x14ac:dyDescent="0.25">
      <c r="A275" t="s">
        <v>17631</v>
      </c>
      <c r="B275" t="s">
        <v>101</v>
      </c>
      <c r="C275" t="s">
        <v>14786</v>
      </c>
      <c r="D275" t="s">
        <v>17632</v>
      </c>
      <c r="E275" t="s">
        <v>17633</v>
      </c>
      <c r="F275" t="s">
        <v>57</v>
      </c>
      <c r="G275" t="s">
        <v>14802</v>
      </c>
      <c r="H275" t="s">
        <v>409</v>
      </c>
      <c r="I275" t="s">
        <v>19</v>
      </c>
      <c r="J275" s="3" t="s">
        <v>14803</v>
      </c>
      <c r="K275" t="s">
        <v>14804</v>
      </c>
      <c r="L275" t="s">
        <v>14805</v>
      </c>
      <c r="M275" t="s">
        <v>57</v>
      </c>
    </row>
    <row r="276" spans="1:13" x14ac:dyDescent="0.25">
      <c r="A276" t="s">
        <v>15139</v>
      </c>
      <c r="B276" t="s">
        <v>13</v>
      </c>
      <c r="C276" s="1">
        <v>43476</v>
      </c>
      <c r="D276" t="s">
        <v>15140</v>
      </c>
      <c r="E276" t="s">
        <v>15141</v>
      </c>
      <c r="F276" t="s">
        <v>12383</v>
      </c>
      <c r="G276" t="s">
        <v>15142</v>
      </c>
      <c r="H276" t="s">
        <v>3630</v>
      </c>
      <c r="I276" t="s">
        <v>19</v>
      </c>
      <c r="J276" s="3">
        <v>5548991371447</v>
      </c>
      <c r="K276" t="s">
        <v>15143</v>
      </c>
      <c r="L276" t="s">
        <v>15144</v>
      </c>
      <c r="M276" t="s">
        <v>32155</v>
      </c>
    </row>
    <row r="277" spans="1:13" x14ac:dyDescent="0.25">
      <c r="A277" t="s">
        <v>25820</v>
      </c>
      <c r="B277" t="s">
        <v>13</v>
      </c>
      <c r="C277" t="s">
        <v>25821</v>
      </c>
      <c r="D277" t="s">
        <v>25822</v>
      </c>
      <c r="E277" s="2" t="s">
        <v>31341</v>
      </c>
      <c r="F277" t="s">
        <v>2036</v>
      </c>
      <c r="G277" t="s">
        <v>25823</v>
      </c>
      <c r="H277" t="s">
        <v>472</v>
      </c>
      <c r="I277" t="s">
        <v>19</v>
      </c>
      <c r="J277" s="3" t="s">
        <v>25824</v>
      </c>
      <c r="K277" t="s">
        <v>11333</v>
      </c>
      <c r="L277" t="s">
        <v>4370</v>
      </c>
      <c r="M277" t="s">
        <v>57</v>
      </c>
    </row>
    <row r="278" spans="1:13" x14ac:dyDescent="0.25">
      <c r="A278" t="s">
        <v>19325</v>
      </c>
      <c r="B278" t="s">
        <v>13</v>
      </c>
      <c r="C278" s="1">
        <v>43353</v>
      </c>
      <c r="D278" t="s">
        <v>19326</v>
      </c>
      <c r="E278" t="s">
        <v>19327</v>
      </c>
      <c r="F278" t="s">
        <v>2036</v>
      </c>
      <c r="G278" t="s">
        <v>19328</v>
      </c>
      <c r="H278" t="s">
        <v>753</v>
      </c>
      <c r="I278" t="s">
        <v>19</v>
      </c>
      <c r="J278" s="3">
        <f>55-67-33457967</f>
        <v>-33457979</v>
      </c>
      <c r="K278" t="s">
        <v>19329</v>
      </c>
      <c r="L278" t="s">
        <v>2762</v>
      </c>
      <c r="M278" t="s">
        <v>57</v>
      </c>
    </row>
    <row r="279" spans="1:13" x14ac:dyDescent="0.25">
      <c r="A279" t="s">
        <v>3313</v>
      </c>
      <c r="B279" t="s">
        <v>13</v>
      </c>
      <c r="C279" t="s">
        <v>3307</v>
      </c>
      <c r="D279" t="s">
        <v>3314</v>
      </c>
      <c r="E279" t="s">
        <v>3315</v>
      </c>
      <c r="F279" t="s">
        <v>3316</v>
      </c>
      <c r="G279" t="s">
        <v>3317</v>
      </c>
      <c r="H279" t="s">
        <v>36</v>
      </c>
      <c r="I279" t="s">
        <v>19</v>
      </c>
      <c r="J279" s="3" t="s">
        <v>3318</v>
      </c>
      <c r="K279" t="s">
        <v>3319</v>
      </c>
      <c r="L279" t="s">
        <v>439</v>
      </c>
      <c r="M279" t="s">
        <v>337</v>
      </c>
    </row>
    <row r="280" spans="1:13" x14ac:dyDescent="0.25">
      <c r="A280" t="s">
        <v>7529</v>
      </c>
      <c r="B280" t="s">
        <v>13</v>
      </c>
      <c r="C280" t="s">
        <v>7530</v>
      </c>
      <c r="D280" t="s">
        <v>32135</v>
      </c>
      <c r="E280" t="s">
        <v>7531</v>
      </c>
      <c r="F280" t="s">
        <v>337</v>
      </c>
      <c r="G280" t="s">
        <v>7532</v>
      </c>
      <c r="H280" t="s">
        <v>45</v>
      </c>
      <c r="I280" t="s">
        <v>19</v>
      </c>
      <c r="J280" s="3">
        <f>55-85-99699687</f>
        <v>-99699717</v>
      </c>
      <c r="K280" t="s">
        <v>7533</v>
      </c>
      <c r="L280" t="s">
        <v>32135</v>
      </c>
      <c r="M280" t="s">
        <v>337</v>
      </c>
    </row>
    <row r="281" spans="1:13" x14ac:dyDescent="0.25">
      <c r="A281" t="s">
        <v>16273</v>
      </c>
      <c r="B281" t="s">
        <v>13</v>
      </c>
      <c r="C281" s="1">
        <v>43564</v>
      </c>
      <c r="D281" t="s">
        <v>16274</v>
      </c>
      <c r="E281" t="s">
        <v>7531</v>
      </c>
      <c r="F281" t="s">
        <v>337</v>
      </c>
      <c r="G281" t="s">
        <v>3653</v>
      </c>
      <c r="H281" t="s">
        <v>45</v>
      </c>
      <c r="I281" t="s">
        <v>19</v>
      </c>
      <c r="J281" s="3">
        <v>5585997219653</v>
      </c>
      <c r="K281" t="s">
        <v>3654</v>
      </c>
      <c r="L281" t="s">
        <v>1909</v>
      </c>
      <c r="M281" t="s">
        <v>337</v>
      </c>
    </row>
    <row r="282" spans="1:13" x14ac:dyDescent="0.25">
      <c r="A282" t="s">
        <v>11924</v>
      </c>
      <c r="B282" t="s">
        <v>13</v>
      </c>
      <c r="C282" s="1">
        <v>44048</v>
      </c>
      <c r="D282" t="s">
        <v>11925</v>
      </c>
      <c r="E282" t="s">
        <v>11926</v>
      </c>
      <c r="F282" t="s">
        <v>1775</v>
      </c>
      <c r="G282" t="s">
        <v>11927</v>
      </c>
      <c r="H282" t="s">
        <v>936</v>
      </c>
      <c r="I282" t="s">
        <v>19</v>
      </c>
      <c r="J282" s="3">
        <f>55-71-33366973</f>
        <v>-33366989</v>
      </c>
      <c r="K282" t="s">
        <v>11928</v>
      </c>
      <c r="L282" t="s">
        <v>11929</v>
      </c>
      <c r="M282" t="s">
        <v>337</v>
      </c>
    </row>
    <row r="283" spans="1:13" x14ac:dyDescent="0.25">
      <c r="A283" t="s">
        <v>23019</v>
      </c>
      <c r="B283" t="s">
        <v>13</v>
      </c>
      <c r="C283" t="s">
        <v>23008</v>
      </c>
      <c r="D283" t="s">
        <v>23020</v>
      </c>
      <c r="E283" t="s">
        <v>9091</v>
      </c>
      <c r="F283" t="s">
        <v>3084</v>
      </c>
      <c r="G283" t="s">
        <v>23021</v>
      </c>
      <c r="H283" t="s">
        <v>36</v>
      </c>
      <c r="I283" t="s">
        <v>19</v>
      </c>
      <c r="J283" s="3" t="s">
        <v>23022</v>
      </c>
      <c r="K283" t="s">
        <v>23023</v>
      </c>
      <c r="L283" t="s">
        <v>16910</v>
      </c>
      <c r="M283" t="s">
        <v>32144</v>
      </c>
    </row>
    <row r="284" spans="1:13" x14ac:dyDescent="0.25">
      <c r="A284" t="s">
        <v>9089</v>
      </c>
      <c r="B284" t="s">
        <v>13</v>
      </c>
      <c r="C284" s="1">
        <v>44146</v>
      </c>
      <c r="D284" t="s">
        <v>9090</v>
      </c>
      <c r="E284" s="2" t="s">
        <v>32227</v>
      </c>
      <c r="F284" t="s">
        <v>9092</v>
      </c>
      <c r="G284" t="s">
        <v>9005</v>
      </c>
      <c r="H284" t="s">
        <v>36</v>
      </c>
      <c r="I284" t="s">
        <v>19</v>
      </c>
      <c r="J284" s="3">
        <f>55-11-973550245</f>
        <v>-973550201</v>
      </c>
      <c r="K284" t="s">
        <v>9006</v>
      </c>
      <c r="L284" t="s">
        <v>9093</v>
      </c>
      <c r="M284" t="s">
        <v>32144</v>
      </c>
    </row>
    <row r="285" spans="1:13" x14ac:dyDescent="0.25">
      <c r="A285" t="s">
        <v>5020</v>
      </c>
      <c r="B285" t="s">
        <v>13</v>
      </c>
      <c r="C285" t="s">
        <v>5021</v>
      </c>
      <c r="D285" t="s">
        <v>32135</v>
      </c>
      <c r="E285" s="2" t="s">
        <v>30832</v>
      </c>
      <c r="F285" t="s">
        <v>5022</v>
      </c>
      <c r="G285" t="s">
        <v>5023</v>
      </c>
      <c r="H285" t="s">
        <v>489</v>
      </c>
      <c r="I285" t="s">
        <v>19</v>
      </c>
      <c r="J285" s="3">
        <v>5541991846369</v>
      </c>
      <c r="K285" t="s">
        <v>5024</v>
      </c>
      <c r="L285" t="s">
        <v>32135</v>
      </c>
      <c r="M285" t="s">
        <v>32147</v>
      </c>
    </row>
    <row r="286" spans="1:13" x14ac:dyDescent="0.25">
      <c r="A286" t="s">
        <v>17548</v>
      </c>
      <c r="B286" t="s">
        <v>13</v>
      </c>
      <c r="C286" s="1">
        <v>43529</v>
      </c>
      <c r="D286" t="s">
        <v>17549</v>
      </c>
      <c r="E286" t="s">
        <v>17550</v>
      </c>
      <c r="F286" t="s">
        <v>1464</v>
      </c>
      <c r="G286" t="s">
        <v>17551</v>
      </c>
      <c r="H286" t="s">
        <v>17552</v>
      </c>
      <c r="I286" t="s">
        <v>19</v>
      </c>
      <c r="J286" s="3">
        <v>55081997120325</v>
      </c>
      <c r="K286" t="s">
        <v>5034</v>
      </c>
      <c r="L286" t="s">
        <v>9723</v>
      </c>
      <c r="M286" t="s">
        <v>32144</v>
      </c>
    </row>
    <row r="287" spans="1:13" x14ac:dyDescent="0.25">
      <c r="A287" t="s">
        <v>19268</v>
      </c>
      <c r="B287" t="s">
        <v>13</v>
      </c>
      <c r="C287" t="s">
        <v>7867</v>
      </c>
      <c r="D287" t="s">
        <v>19269</v>
      </c>
      <c r="E287" t="s">
        <v>1017</v>
      </c>
      <c r="F287" t="s">
        <v>57</v>
      </c>
      <c r="G287" t="s">
        <v>19270</v>
      </c>
      <c r="H287" t="s">
        <v>798</v>
      </c>
      <c r="I287" t="s">
        <v>19</v>
      </c>
      <c r="J287" s="3">
        <f>55-61-983456262</f>
        <v>-983456268</v>
      </c>
      <c r="K287" t="s">
        <v>19271</v>
      </c>
      <c r="L287" t="s">
        <v>19272</v>
      </c>
      <c r="M287" t="s">
        <v>57</v>
      </c>
    </row>
    <row r="288" spans="1:13" x14ac:dyDescent="0.25">
      <c r="A288" t="s">
        <v>21945</v>
      </c>
      <c r="B288" t="s">
        <v>13</v>
      </c>
      <c r="C288" s="1">
        <v>43377</v>
      </c>
      <c r="D288" t="s">
        <v>21946</v>
      </c>
      <c r="E288" t="s">
        <v>1017</v>
      </c>
      <c r="F288" t="s">
        <v>2036</v>
      </c>
      <c r="G288" t="s">
        <v>19270</v>
      </c>
      <c r="H288" t="s">
        <v>798</v>
      </c>
      <c r="I288" t="s">
        <v>19</v>
      </c>
      <c r="J288" s="3">
        <f>55-61-983456262</f>
        <v>-983456268</v>
      </c>
      <c r="K288" t="s">
        <v>19271</v>
      </c>
      <c r="L288" t="s">
        <v>19272</v>
      </c>
      <c r="M288" t="s">
        <v>57</v>
      </c>
    </row>
    <row r="289" spans="1:13" x14ac:dyDescent="0.25">
      <c r="A289" t="s">
        <v>13919</v>
      </c>
      <c r="B289" t="s">
        <v>13</v>
      </c>
      <c r="C289" t="s">
        <v>12548</v>
      </c>
      <c r="D289" t="s">
        <v>13920</v>
      </c>
      <c r="E289" t="s">
        <v>1017</v>
      </c>
      <c r="F289" t="s">
        <v>2758</v>
      </c>
      <c r="G289" t="s">
        <v>13921</v>
      </c>
      <c r="H289" t="s">
        <v>36</v>
      </c>
      <c r="I289" t="s">
        <v>19</v>
      </c>
      <c r="J289" s="3">
        <v>5511985866569</v>
      </c>
      <c r="K289" t="s">
        <v>13922</v>
      </c>
      <c r="L289" t="s">
        <v>439</v>
      </c>
      <c r="M289" t="s">
        <v>32149</v>
      </c>
    </row>
    <row r="290" spans="1:13" x14ac:dyDescent="0.25">
      <c r="A290" t="s">
        <v>25943</v>
      </c>
      <c r="B290" t="s">
        <v>13</v>
      </c>
      <c r="C290" t="s">
        <v>23624</v>
      </c>
      <c r="D290" t="s">
        <v>25944</v>
      </c>
      <c r="E290" t="s">
        <v>25945</v>
      </c>
      <c r="F290" t="s">
        <v>2036</v>
      </c>
      <c r="G290" t="s">
        <v>25946</v>
      </c>
      <c r="H290" t="s">
        <v>9434</v>
      </c>
      <c r="I290" t="s">
        <v>19</v>
      </c>
      <c r="J290" s="3" t="s">
        <v>25947</v>
      </c>
      <c r="K290" t="s">
        <v>16711</v>
      </c>
      <c r="L290" t="s">
        <v>1092</v>
      </c>
      <c r="M290" t="s">
        <v>57</v>
      </c>
    </row>
    <row r="291" spans="1:13" x14ac:dyDescent="0.25">
      <c r="A291" t="s">
        <v>16528</v>
      </c>
      <c r="B291" t="s">
        <v>13</v>
      </c>
      <c r="C291" t="s">
        <v>16520</v>
      </c>
      <c r="D291" t="s">
        <v>16529</v>
      </c>
      <c r="E291" t="s">
        <v>16530</v>
      </c>
      <c r="F291" t="s">
        <v>57</v>
      </c>
      <c r="G291" t="s">
        <v>16531</v>
      </c>
      <c r="H291" t="s">
        <v>409</v>
      </c>
      <c r="I291" t="s">
        <v>19</v>
      </c>
      <c r="J291" s="3">
        <v>5504832235323</v>
      </c>
      <c r="K291" t="s">
        <v>16532</v>
      </c>
      <c r="L291" t="s">
        <v>16533</v>
      </c>
      <c r="M291" t="s">
        <v>57</v>
      </c>
    </row>
    <row r="292" spans="1:13" x14ac:dyDescent="0.25">
      <c r="A292" t="s">
        <v>21583</v>
      </c>
      <c r="B292" t="s">
        <v>13</v>
      </c>
      <c r="C292" s="1">
        <v>43378</v>
      </c>
      <c r="D292" t="s">
        <v>21584</v>
      </c>
      <c r="E292" t="s">
        <v>7277</v>
      </c>
      <c r="F292" t="s">
        <v>57</v>
      </c>
      <c r="G292" t="s">
        <v>21585</v>
      </c>
      <c r="H292" t="s">
        <v>1466</v>
      </c>
      <c r="I292" t="s">
        <v>19</v>
      </c>
      <c r="J292" s="3">
        <f>55-35-3701-1900</f>
        <v>-5581</v>
      </c>
      <c r="K292" t="s">
        <v>21586</v>
      </c>
      <c r="L292" t="s">
        <v>1469</v>
      </c>
      <c r="M292" t="s">
        <v>57</v>
      </c>
    </row>
    <row r="293" spans="1:13" x14ac:dyDescent="0.25">
      <c r="A293" t="s">
        <v>15368</v>
      </c>
      <c r="B293" t="s">
        <v>13</v>
      </c>
      <c r="C293" t="s">
        <v>7240</v>
      </c>
      <c r="D293" t="s">
        <v>15369</v>
      </c>
      <c r="E293" s="2" t="s">
        <v>31553</v>
      </c>
      <c r="F293" t="s">
        <v>1775</v>
      </c>
      <c r="G293" t="s">
        <v>15370</v>
      </c>
      <c r="H293" t="s">
        <v>578</v>
      </c>
      <c r="I293" t="s">
        <v>19</v>
      </c>
      <c r="J293" s="3">
        <f>55-92-981286708</f>
        <v>-981286745</v>
      </c>
      <c r="K293" t="s">
        <v>15371</v>
      </c>
      <c r="L293" t="s">
        <v>15372</v>
      </c>
      <c r="M293" t="s">
        <v>57</v>
      </c>
    </row>
    <row r="294" spans="1:13" x14ac:dyDescent="0.25">
      <c r="A294" t="s">
        <v>29519</v>
      </c>
      <c r="B294" t="s">
        <v>13</v>
      </c>
      <c r="C294" s="1">
        <v>41402</v>
      </c>
      <c r="D294" t="s">
        <v>29520</v>
      </c>
      <c r="E294" t="s">
        <v>29521</v>
      </c>
      <c r="F294" t="s">
        <v>2036</v>
      </c>
      <c r="G294" t="s">
        <v>29522</v>
      </c>
      <c r="H294" t="s">
        <v>265</v>
      </c>
      <c r="I294" t="s">
        <v>19</v>
      </c>
      <c r="J294" s="3" t="s">
        <v>29523</v>
      </c>
      <c r="K294" t="s">
        <v>29524</v>
      </c>
      <c r="L294" t="s">
        <v>321</v>
      </c>
      <c r="M294" t="s">
        <v>57</v>
      </c>
    </row>
    <row r="295" spans="1:13" x14ac:dyDescent="0.25">
      <c r="A295" t="s">
        <v>4692</v>
      </c>
      <c r="B295" t="s">
        <v>13</v>
      </c>
      <c r="C295" t="s">
        <v>119</v>
      </c>
      <c r="D295" t="s">
        <v>4693</v>
      </c>
      <c r="E295" s="2" t="s">
        <v>30819</v>
      </c>
      <c r="F295" t="s">
        <v>4694</v>
      </c>
      <c r="G295" t="s">
        <v>3250</v>
      </c>
      <c r="H295" t="s">
        <v>1949</v>
      </c>
      <c r="I295" t="s">
        <v>19</v>
      </c>
      <c r="J295" s="3" t="s">
        <v>4695</v>
      </c>
      <c r="K295" t="s">
        <v>4696</v>
      </c>
      <c r="L295" t="s">
        <v>3250</v>
      </c>
      <c r="M295" t="s">
        <v>1775</v>
      </c>
    </row>
    <row r="296" spans="1:13" x14ac:dyDescent="0.25">
      <c r="A296" t="s">
        <v>4071</v>
      </c>
      <c r="B296" t="s">
        <v>13</v>
      </c>
      <c r="C296" t="s">
        <v>4066</v>
      </c>
      <c r="D296" t="s">
        <v>32135</v>
      </c>
      <c r="E296" t="s">
        <v>530</v>
      </c>
      <c r="F296" t="s">
        <v>530</v>
      </c>
      <c r="G296" t="s">
        <v>4072</v>
      </c>
      <c r="H296" t="s">
        <v>1037</v>
      </c>
      <c r="I296" t="s">
        <v>19</v>
      </c>
      <c r="J296" s="3" t="s">
        <v>4073</v>
      </c>
      <c r="K296" t="s">
        <v>4074</v>
      </c>
      <c r="L296" t="s">
        <v>1040</v>
      </c>
      <c r="M296" t="s">
        <v>32144</v>
      </c>
    </row>
    <row r="297" spans="1:13" x14ac:dyDescent="0.25">
      <c r="A297" t="s">
        <v>3524</v>
      </c>
      <c r="B297" t="s">
        <v>13</v>
      </c>
      <c r="C297" t="s">
        <v>3522</v>
      </c>
      <c r="D297" t="s">
        <v>3525</v>
      </c>
      <c r="E297" t="s">
        <v>530</v>
      </c>
      <c r="F297" t="s">
        <v>26</v>
      </c>
      <c r="G297" t="s">
        <v>3526</v>
      </c>
      <c r="H297" t="s">
        <v>3527</v>
      </c>
      <c r="I297" t="s">
        <v>19</v>
      </c>
      <c r="J297" s="3" t="s">
        <v>3528</v>
      </c>
      <c r="K297" t="s">
        <v>3529</v>
      </c>
      <c r="L297" t="s">
        <v>82</v>
      </c>
      <c r="M297" t="s">
        <v>32144</v>
      </c>
    </row>
    <row r="298" spans="1:13" x14ac:dyDescent="0.25">
      <c r="A298" t="s">
        <v>5431</v>
      </c>
      <c r="B298" t="s">
        <v>13</v>
      </c>
      <c r="C298" s="1">
        <v>44389</v>
      </c>
      <c r="D298" t="s">
        <v>32135</v>
      </c>
      <c r="E298" t="s">
        <v>530</v>
      </c>
      <c r="F298" t="s">
        <v>5432</v>
      </c>
      <c r="G298" t="s">
        <v>5330</v>
      </c>
      <c r="H298" t="s">
        <v>1027</v>
      </c>
      <c r="I298" t="s">
        <v>19</v>
      </c>
      <c r="J298" s="3" t="s">
        <v>5331</v>
      </c>
      <c r="K298" t="s">
        <v>5332</v>
      </c>
      <c r="L298" t="s">
        <v>32135</v>
      </c>
      <c r="M298" t="s">
        <v>32144</v>
      </c>
    </row>
    <row r="299" spans="1:13" x14ac:dyDescent="0.25">
      <c r="A299" t="s">
        <v>14577</v>
      </c>
      <c r="B299" t="s">
        <v>13</v>
      </c>
      <c r="C299" s="1">
        <v>43811</v>
      </c>
      <c r="D299" t="s">
        <v>14578</v>
      </c>
      <c r="E299" t="s">
        <v>530</v>
      </c>
      <c r="F299" t="s">
        <v>1775</v>
      </c>
      <c r="G299" t="s">
        <v>14579</v>
      </c>
      <c r="H299" t="s">
        <v>7612</v>
      </c>
      <c r="I299" t="s">
        <v>19</v>
      </c>
      <c r="J299" s="3" t="s">
        <v>14580</v>
      </c>
      <c r="K299" t="s">
        <v>14581</v>
      </c>
      <c r="L299" t="s">
        <v>7614</v>
      </c>
      <c r="M299" t="s">
        <v>32144</v>
      </c>
    </row>
    <row r="300" spans="1:13" x14ac:dyDescent="0.25">
      <c r="A300" t="s">
        <v>16677</v>
      </c>
      <c r="B300" t="s">
        <v>13</v>
      </c>
      <c r="C300" t="s">
        <v>16675</v>
      </c>
      <c r="D300" t="s">
        <v>16678</v>
      </c>
      <c r="E300" t="s">
        <v>530</v>
      </c>
      <c r="F300" t="s">
        <v>3084</v>
      </c>
      <c r="G300" t="s">
        <v>5651</v>
      </c>
      <c r="H300" t="s">
        <v>372</v>
      </c>
      <c r="I300" t="s">
        <v>19</v>
      </c>
      <c r="J300" s="3">
        <f>55-19-2106-5209</f>
        <v>-7279</v>
      </c>
      <c r="K300" t="s">
        <v>16679</v>
      </c>
      <c r="L300" t="s">
        <v>16680</v>
      </c>
      <c r="M300" t="s">
        <v>32144</v>
      </c>
    </row>
    <row r="301" spans="1:13" x14ac:dyDescent="0.25">
      <c r="A301" t="s">
        <v>28253</v>
      </c>
      <c r="B301" t="s">
        <v>13</v>
      </c>
      <c r="C301" s="1">
        <v>42129</v>
      </c>
      <c r="D301" t="s">
        <v>28254</v>
      </c>
      <c r="E301" t="s">
        <v>530</v>
      </c>
      <c r="F301" t="s">
        <v>3084</v>
      </c>
      <c r="G301" t="s">
        <v>28255</v>
      </c>
      <c r="H301" t="s">
        <v>1090</v>
      </c>
      <c r="I301" t="s">
        <v>19</v>
      </c>
      <c r="J301" s="3">
        <v>558387806723</v>
      </c>
      <c r="K301" t="s">
        <v>28256</v>
      </c>
      <c r="L301" t="s">
        <v>1092</v>
      </c>
      <c r="M301" t="s">
        <v>32144</v>
      </c>
    </row>
    <row r="302" spans="1:13" x14ac:dyDescent="0.25">
      <c r="A302" t="s">
        <v>27197</v>
      </c>
      <c r="B302" t="s">
        <v>13</v>
      </c>
      <c r="C302" t="s">
        <v>26112</v>
      </c>
      <c r="D302" t="s">
        <v>27198</v>
      </c>
      <c r="E302" t="s">
        <v>530</v>
      </c>
      <c r="F302" t="s">
        <v>3084</v>
      </c>
      <c r="G302" t="s">
        <v>16496</v>
      </c>
      <c r="H302" t="s">
        <v>36</v>
      </c>
      <c r="I302" t="s">
        <v>19</v>
      </c>
      <c r="J302" s="3">
        <v>1155754251</v>
      </c>
      <c r="K302" t="s">
        <v>16497</v>
      </c>
      <c r="L302" t="s">
        <v>16498</v>
      </c>
      <c r="M302" t="s">
        <v>32144</v>
      </c>
    </row>
    <row r="303" spans="1:13" x14ac:dyDescent="0.25">
      <c r="A303" t="s">
        <v>14132</v>
      </c>
      <c r="B303" t="s">
        <v>13</v>
      </c>
      <c r="C303" t="s">
        <v>14133</v>
      </c>
      <c r="D303" t="s">
        <v>14134</v>
      </c>
      <c r="E303" t="s">
        <v>530</v>
      </c>
      <c r="F303" t="s">
        <v>3084</v>
      </c>
      <c r="G303" t="s">
        <v>9131</v>
      </c>
      <c r="H303" t="s">
        <v>1486</v>
      </c>
      <c r="I303" t="s">
        <v>19</v>
      </c>
      <c r="J303" s="3">
        <f>55-34-3700-6606</f>
        <v>-10285</v>
      </c>
      <c r="K303" t="s">
        <v>2137</v>
      </c>
      <c r="L303" t="s">
        <v>1489</v>
      </c>
      <c r="M303" t="s">
        <v>32144</v>
      </c>
    </row>
    <row r="304" spans="1:13" x14ac:dyDescent="0.25">
      <c r="A304" t="s">
        <v>22181</v>
      </c>
      <c r="B304" t="s">
        <v>13</v>
      </c>
      <c r="C304" t="s">
        <v>22182</v>
      </c>
      <c r="D304" t="s">
        <v>22183</v>
      </c>
      <c r="E304" t="s">
        <v>530</v>
      </c>
      <c r="F304" t="s">
        <v>3084</v>
      </c>
      <c r="G304" t="s">
        <v>17474</v>
      </c>
      <c r="H304" t="s">
        <v>141</v>
      </c>
      <c r="I304" t="s">
        <v>19</v>
      </c>
      <c r="J304" s="3">
        <f>55-82-999947781</f>
        <v>-999947808</v>
      </c>
      <c r="K304" t="s">
        <v>17475</v>
      </c>
      <c r="L304" t="s">
        <v>1058</v>
      </c>
      <c r="M304" t="s">
        <v>32144</v>
      </c>
    </row>
    <row r="305" spans="1:13" x14ac:dyDescent="0.25">
      <c r="A305" t="s">
        <v>17472</v>
      </c>
      <c r="B305" t="s">
        <v>13</v>
      </c>
      <c r="C305" s="1">
        <v>43169</v>
      </c>
      <c r="D305" t="s">
        <v>17473</v>
      </c>
      <c r="E305" t="s">
        <v>530</v>
      </c>
      <c r="F305" t="s">
        <v>3084</v>
      </c>
      <c r="G305" t="s">
        <v>17474</v>
      </c>
      <c r="H305" t="s">
        <v>141</v>
      </c>
      <c r="I305" t="s">
        <v>19</v>
      </c>
      <c r="J305" s="3">
        <f>55-82-999947781</f>
        <v>-999947808</v>
      </c>
      <c r="K305" t="s">
        <v>17475</v>
      </c>
      <c r="L305" t="s">
        <v>1058</v>
      </c>
      <c r="M305" t="s">
        <v>32144</v>
      </c>
    </row>
    <row r="306" spans="1:13" x14ac:dyDescent="0.25">
      <c r="A306" t="s">
        <v>26246</v>
      </c>
      <c r="B306" t="s">
        <v>13</v>
      </c>
      <c r="C306" t="s">
        <v>26247</v>
      </c>
      <c r="D306" t="s">
        <v>26248</v>
      </c>
      <c r="E306" t="s">
        <v>530</v>
      </c>
      <c r="F306" t="s">
        <v>1129</v>
      </c>
      <c r="G306" t="s">
        <v>26249</v>
      </c>
      <c r="H306" t="s">
        <v>36</v>
      </c>
      <c r="I306" t="s">
        <v>19</v>
      </c>
      <c r="J306" s="3">
        <v>551136225937</v>
      </c>
      <c r="K306" t="s">
        <v>26250</v>
      </c>
      <c r="L306" t="s">
        <v>26251</v>
      </c>
      <c r="M306" t="s">
        <v>224</v>
      </c>
    </row>
    <row r="307" spans="1:13" x14ac:dyDescent="0.25">
      <c r="A307" t="s">
        <v>26703</v>
      </c>
      <c r="B307" t="s">
        <v>13</v>
      </c>
      <c r="C307" t="s">
        <v>14864</v>
      </c>
      <c r="D307" t="s">
        <v>26704</v>
      </c>
      <c r="E307" t="s">
        <v>530</v>
      </c>
      <c r="F307" t="s">
        <v>2104</v>
      </c>
      <c r="G307" t="s">
        <v>16496</v>
      </c>
      <c r="H307" t="s">
        <v>36</v>
      </c>
      <c r="I307" t="s">
        <v>19</v>
      </c>
      <c r="J307" s="3">
        <v>551155754251</v>
      </c>
      <c r="K307" t="s">
        <v>16497</v>
      </c>
      <c r="L307" t="s">
        <v>9723</v>
      </c>
      <c r="M307" t="s">
        <v>32144</v>
      </c>
    </row>
    <row r="308" spans="1:13" x14ac:dyDescent="0.25">
      <c r="A308" t="s">
        <v>23039</v>
      </c>
      <c r="B308" t="s">
        <v>13</v>
      </c>
      <c r="C308" t="s">
        <v>12029</v>
      </c>
      <c r="D308" t="s">
        <v>23040</v>
      </c>
      <c r="E308" t="s">
        <v>530</v>
      </c>
      <c r="F308" t="s">
        <v>2104</v>
      </c>
      <c r="G308" t="s">
        <v>23041</v>
      </c>
      <c r="H308" t="s">
        <v>299</v>
      </c>
      <c r="I308" t="s">
        <v>19</v>
      </c>
      <c r="J308" s="3">
        <f>55-14-38801001</f>
        <v>-38800960</v>
      </c>
      <c r="K308" t="s">
        <v>23042</v>
      </c>
      <c r="L308" t="s">
        <v>23043</v>
      </c>
      <c r="M308" t="s">
        <v>32144</v>
      </c>
    </row>
    <row r="309" spans="1:13" x14ac:dyDescent="0.25">
      <c r="A309" t="s">
        <v>2675</v>
      </c>
      <c r="B309" t="s">
        <v>13</v>
      </c>
      <c r="C309" s="1">
        <v>44689</v>
      </c>
      <c r="D309" t="s">
        <v>32135</v>
      </c>
      <c r="E309" t="s">
        <v>530</v>
      </c>
      <c r="F309" t="s">
        <v>2676</v>
      </c>
      <c r="G309" t="s">
        <v>2677</v>
      </c>
      <c r="H309" t="s">
        <v>2678</v>
      </c>
      <c r="I309" t="s">
        <v>19</v>
      </c>
      <c r="J309" s="3" t="s">
        <v>2679</v>
      </c>
      <c r="K309" t="s">
        <v>2680</v>
      </c>
      <c r="L309" t="s">
        <v>2677</v>
      </c>
      <c r="M309" t="s">
        <v>337</v>
      </c>
    </row>
    <row r="310" spans="1:13" x14ac:dyDescent="0.25">
      <c r="A310" t="s">
        <v>25136</v>
      </c>
      <c r="B310" t="s">
        <v>13</v>
      </c>
      <c r="C310" t="s">
        <v>25125</v>
      </c>
      <c r="D310" t="s">
        <v>25137</v>
      </c>
      <c r="E310" t="s">
        <v>530</v>
      </c>
      <c r="F310" t="s">
        <v>1464</v>
      </c>
      <c r="G310" t="s">
        <v>25138</v>
      </c>
      <c r="H310" t="s">
        <v>114</v>
      </c>
      <c r="I310" t="s">
        <v>19</v>
      </c>
      <c r="J310" s="3" t="s">
        <v>25139</v>
      </c>
      <c r="K310" t="s">
        <v>25140</v>
      </c>
      <c r="L310" t="s">
        <v>15698</v>
      </c>
      <c r="M310" t="s">
        <v>32144</v>
      </c>
    </row>
    <row r="311" spans="1:13" x14ac:dyDescent="0.25">
      <c r="A311" t="s">
        <v>27507</v>
      </c>
      <c r="B311" t="s">
        <v>13</v>
      </c>
      <c r="C311" t="s">
        <v>27508</v>
      </c>
      <c r="D311" t="s">
        <v>27509</v>
      </c>
      <c r="E311" t="s">
        <v>530</v>
      </c>
      <c r="F311" t="s">
        <v>1464</v>
      </c>
      <c r="G311" t="s">
        <v>27510</v>
      </c>
      <c r="H311" t="s">
        <v>1656</v>
      </c>
      <c r="I311" t="s">
        <v>19</v>
      </c>
      <c r="J311" s="3">
        <v>555532268938</v>
      </c>
      <c r="K311" t="s">
        <v>27511</v>
      </c>
      <c r="L311" t="s">
        <v>27512</v>
      </c>
      <c r="M311" t="s">
        <v>32144</v>
      </c>
    </row>
    <row r="312" spans="1:13" x14ac:dyDescent="0.25">
      <c r="A312" t="s">
        <v>16494</v>
      </c>
      <c r="B312" t="s">
        <v>13</v>
      </c>
      <c r="C312" t="s">
        <v>16488</v>
      </c>
      <c r="D312" t="s">
        <v>16495</v>
      </c>
      <c r="E312" t="s">
        <v>530</v>
      </c>
      <c r="F312" t="s">
        <v>1464</v>
      </c>
      <c r="G312" t="s">
        <v>16496</v>
      </c>
      <c r="H312" t="s">
        <v>36</v>
      </c>
      <c r="I312" t="s">
        <v>19</v>
      </c>
      <c r="J312" s="3">
        <v>5511991126023</v>
      </c>
      <c r="K312" t="s">
        <v>16497</v>
      </c>
      <c r="L312" t="s">
        <v>16498</v>
      </c>
      <c r="M312" t="s">
        <v>32144</v>
      </c>
    </row>
    <row r="313" spans="1:13" x14ac:dyDescent="0.25">
      <c r="A313" t="s">
        <v>16615</v>
      </c>
      <c r="B313" t="s">
        <v>13</v>
      </c>
      <c r="C313" t="s">
        <v>16616</v>
      </c>
      <c r="D313" t="s">
        <v>16617</v>
      </c>
      <c r="E313" t="s">
        <v>530</v>
      </c>
      <c r="F313" t="s">
        <v>1464</v>
      </c>
      <c r="G313" t="s">
        <v>16618</v>
      </c>
      <c r="H313" t="s">
        <v>1466</v>
      </c>
      <c r="I313" t="s">
        <v>19</v>
      </c>
      <c r="J313" s="3" t="s">
        <v>16619</v>
      </c>
      <c r="K313" t="s">
        <v>16620</v>
      </c>
      <c r="L313" t="s">
        <v>1469</v>
      </c>
      <c r="M313" t="s">
        <v>32144</v>
      </c>
    </row>
    <row r="314" spans="1:13" x14ac:dyDescent="0.25">
      <c r="A314" t="s">
        <v>8185</v>
      </c>
      <c r="B314" t="s">
        <v>13</v>
      </c>
      <c r="C314" s="1">
        <v>44471</v>
      </c>
      <c r="D314" t="s">
        <v>8186</v>
      </c>
      <c r="E314" t="s">
        <v>1087</v>
      </c>
      <c r="F314" t="s">
        <v>8187</v>
      </c>
      <c r="G314" t="s">
        <v>8188</v>
      </c>
      <c r="H314" t="s">
        <v>489</v>
      </c>
      <c r="I314" t="s">
        <v>19</v>
      </c>
      <c r="J314" s="3" t="s">
        <v>8189</v>
      </c>
      <c r="K314" t="s">
        <v>8190</v>
      </c>
      <c r="L314" t="s">
        <v>32135</v>
      </c>
      <c r="M314" t="s">
        <v>32144</v>
      </c>
    </row>
    <row r="315" spans="1:13" x14ac:dyDescent="0.25">
      <c r="A315" t="s">
        <v>8438</v>
      </c>
      <c r="B315" t="s">
        <v>13</v>
      </c>
      <c r="C315" t="s">
        <v>8439</v>
      </c>
      <c r="D315" t="s">
        <v>8440</v>
      </c>
      <c r="E315" t="s">
        <v>32228</v>
      </c>
      <c r="F315" t="s">
        <v>1464</v>
      </c>
      <c r="G315" t="s">
        <v>8441</v>
      </c>
      <c r="H315" t="s">
        <v>540</v>
      </c>
      <c r="I315" t="s">
        <v>19</v>
      </c>
      <c r="J315" s="3" t="s">
        <v>8442</v>
      </c>
      <c r="K315" t="s">
        <v>8443</v>
      </c>
      <c r="L315" t="s">
        <v>1531</v>
      </c>
      <c r="M315" t="s">
        <v>32144</v>
      </c>
    </row>
    <row r="316" spans="1:13" x14ac:dyDescent="0.25">
      <c r="A316" t="s">
        <v>25512</v>
      </c>
      <c r="B316" t="s">
        <v>13</v>
      </c>
      <c r="C316" s="1">
        <v>42713</v>
      </c>
      <c r="D316" t="s">
        <v>25513</v>
      </c>
      <c r="E316" t="s">
        <v>32229</v>
      </c>
      <c r="F316" t="s">
        <v>6130</v>
      </c>
      <c r="G316" t="s">
        <v>25514</v>
      </c>
      <c r="H316" t="s">
        <v>352</v>
      </c>
      <c r="I316" t="s">
        <v>19</v>
      </c>
      <c r="J316" s="3">
        <v>5521981813330</v>
      </c>
      <c r="K316" t="s">
        <v>25515</v>
      </c>
      <c r="L316" t="s">
        <v>25516</v>
      </c>
      <c r="M316" t="s">
        <v>32144</v>
      </c>
    </row>
    <row r="317" spans="1:13" x14ac:dyDescent="0.25">
      <c r="A317" t="s">
        <v>28747</v>
      </c>
      <c r="B317" t="s">
        <v>13</v>
      </c>
      <c r="C317" s="1">
        <v>41894</v>
      </c>
      <c r="D317" t="s">
        <v>28748</v>
      </c>
      <c r="E317" t="s">
        <v>32230</v>
      </c>
      <c r="F317" t="s">
        <v>1464</v>
      </c>
      <c r="G317" t="s">
        <v>28749</v>
      </c>
      <c r="H317" t="s">
        <v>1466</v>
      </c>
      <c r="I317" t="s">
        <v>19</v>
      </c>
      <c r="J317" s="3" t="s">
        <v>28750</v>
      </c>
      <c r="K317" t="s">
        <v>28751</v>
      </c>
      <c r="L317" t="s">
        <v>28752</v>
      </c>
      <c r="M317" t="s">
        <v>32144</v>
      </c>
    </row>
    <row r="318" spans="1:13" x14ac:dyDescent="0.25">
      <c r="A318" t="s">
        <v>12324</v>
      </c>
      <c r="B318" t="s">
        <v>13</v>
      </c>
      <c r="C318" t="s">
        <v>12316</v>
      </c>
      <c r="D318" t="s">
        <v>12325</v>
      </c>
      <c r="E318" t="s">
        <v>12326</v>
      </c>
      <c r="F318" t="s">
        <v>3084</v>
      </c>
      <c r="G318" t="s">
        <v>326</v>
      </c>
      <c r="H318" t="s">
        <v>36</v>
      </c>
      <c r="I318" t="s">
        <v>19</v>
      </c>
      <c r="J318" s="3" t="s">
        <v>12327</v>
      </c>
      <c r="K318" t="s">
        <v>327</v>
      </c>
      <c r="L318" t="s">
        <v>12328</v>
      </c>
      <c r="M318" t="s">
        <v>32144</v>
      </c>
    </row>
    <row r="319" spans="1:13" x14ac:dyDescent="0.25">
      <c r="A319" t="s">
        <v>18963</v>
      </c>
      <c r="B319" t="s">
        <v>13</v>
      </c>
      <c r="C319" t="s">
        <v>18958</v>
      </c>
      <c r="D319" t="s">
        <v>18964</v>
      </c>
      <c r="E319" t="s">
        <v>12326</v>
      </c>
      <c r="F319" t="s">
        <v>1464</v>
      </c>
      <c r="G319" t="s">
        <v>18965</v>
      </c>
      <c r="H319" t="s">
        <v>2112</v>
      </c>
      <c r="I319" t="s">
        <v>19</v>
      </c>
      <c r="J319" s="3">
        <v>554432203157</v>
      </c>
      <c r="K319" t="s">
        <v>18966</v>
      </c>
      <c r="L319" t="s">
        <v>2115</v>
      </c>
      <c r="M319" t="s">
        <v>32144</v>
      </c>
    </row>
    <row r="320" spans="1:13" x14ac:dyDescent="0.25">
      <c r="A320" t="s">
        <v>11806</v>
      </c>
      <c r="B320" t="s">
        <v>13</v>
      </c>
      <c r="C320" t="s">
        <v>11807</v>
      </c>
      <c r="D320" t="s">
        <v>11808</v>
      </c>
      <c r="E320" t="s">
        <v>11809</v>
      </c>
      <c r="F320" t="s">
        <v>3084</v>
      </c>
      <c r="G320" t="s">
        <v>11810</v>
      </c>
      <c r="H320" t="s">
        <v>255</v>
      </c>
      <c r="I320" t="s">
        <v>19</v>
      </c>
      <c r="J320" s="3">
        <v>5562982944500</v>
      </c>
      <c r="K320" t="s">
        <v>11811</v>
      </c>
      <c r="L320" t="s">
        <v>11812</v>
      </c>
      <c r="M320" t="s">
        <v>32144</v>
      </c>
    </row>
    <row r="321" spans="1:13" x14ac:dyDescent="0.25">
      <c r="A321" t="s">
        <v>11893</v>
      </c>
      <c r="B321" t="s">
        <v>13</v>
      </c>
      <c r="C321" t="s">
        <v>11894</v>
      </c>
      <c r="D321" t="s">
        <v>11895</v>
      </c>
      <c r="E321" t="s">
        <v>11809</v>
      </c>
      <c r="F321" t="s">
        <v>332</v>
      </c>
      <c r="G321" t="s">
        <v>11896</v>
      </c>
      <c r="H321" t="s">
        <v>114</v>
      </c>
      <c r="I321" t="s">
        <v>19</v>
      </c>
      <c r="J321" s="3">
        <v>55079999777001</v>
      </c>
      <c r="K321" t="s">
        <v>11897</v>
      </c>
      <c r="L321" t="s">
        <v>82</v>
      </c>
      <c r="M321" t="s">
        <v>337</v>
      </c>
    </row>
    <row r="322" spans="1:13" x14ac:dyDescent="0.25">
      <c r="A322" t="s">
        <v>16424</v>
      </c>
      <c r="B322" t="s">
        <v>13</v>
      </c>
      <c r="C322" t="s">
        <v>6579</v>
      </c>
      <c r="D322" t="s">
        <v>16425</v>
      </c>
      <c r="E322" s="2" t="s">
        <v>31155</v>
      </c>
      <c r="F322" t="s">
        <v>2758</v>
      </c>
      <c r="G322" t="s">
        <v>15560</v>
      </c>
      <c r="H322" t="s">
        <v>472</v>
      </c>
      <c r="I322" t="s">
        <v>19</v>
      </c>
      <c r="J322" s="3" t="s">
        <v>15561</v>
      </c>
      <c r="K322" t="s">
        <v>15562</v>
      </c>
      <c r="L322" t="s">
        <v>1193</v>
      </c>
      <c r="M322" t="s">
        <v>32149</v>
      </c>
    </row>
    <row r="323" spans="1:13" x14ac:dyDescent="0.25">
      <c r="A323" t="s">
        <v>3300</v>
      </c>
      <c r="B323" t="s">
        <v>13</v>
      </c>
      <c r="C323" t="s">
        <v>3270</v>
      </c>
      <c r="D323" t="s">
        <v>3301</v>
      </c>
      <c r="E323" t="s">
        <v>3302</v>
      </c>
      <c r="F323" t="s">
        <v>530</v>
      </c>
      <c r="G323" t="s">
        <v>3303</v>
      </c>
      <c r="H323" t="s">
        <v>2626</v>
      </c>
      <c r="I323" t="s">
        <v>19</v>
      </c>
      <c r="J323" s="3">
        <v>551637118904</v>
      </c>
      <c r="K323" t="s">
        <v>3304</v>
      </c>
      <c r="L323" t="s">
        <v>3305</v>
      </c>
      <c r="M323" t="s">
        <v>32144</v>
      </c>
    </row>
    <row r="324" spans="1:13" x14ac:dyDescent="0.25">
      <c r="A324" t="s">
        <v>16706</v>
      </c>
      <c r="B324" t="s">
        <v>13</v>
      </c>
      <c r="C324" t="s">
        <v>16675</v>
      </c>
      <c r="D324" t="s">
        <v>16707</v>
      </c>
      <c r="E324" t="s">
        <v>3246</v>
      </c>
      <c r="F324" t="s">
        <v>1129</v>
      </c>
      <c r="G324" t="s">
        <v>11215</v>
      </c>
      <c r="H324" t="s">
        <v>372</v>
      </c>
      <c r="I324" t="s">
        <v>19</v>
      </c>
      <c r="J324" s="3">
        <v>557998479236</v>
      </c>
      <c r="K324" t="s">
        <v>11216</v>
      </c>
      <c r="L324" t="s">
        <v>285</v>
      </c>
      <c r="M324" t="s">
        <v>32144</v>
      </c>
    </row>
    <row r="325" spans="1:13" x14ac:dyDescent="0.25">
      <c r="A325" t="s">
        <v>11213</v>
      </c>
      <c r="B325" t="s">
        <v>13</v>
      </c>
      <c r="C325" s="1">
        <v>43868</v>
      </c>
      <c r="D325" t="s">
        <v>11214</v>
      </c>
      <c r="E325" t="s">
        <v>3246</v>
      </c>
      <c r="F325" t="s">
        <v>1129</v>
      </c>
      <c r="G325" t="s">
        <v>11215</v>
      </c>
      <c r="H325" t="s">
        <v>372</v>
      </c>
      <c r="I325" t="s">
        <v>19</v>
      </c>
      <c r="J325" s="3">
        <v>7998479236</v>
      </c>
      <c r="K325" t="s">
        <v>11216</v>
      </c>
      <c r="L325" t="s">
        <v>285</v>
      </c>
      <c r="M325" t="s">
        <v>32144</v>
      </c>
    </row>
    <row r="326" spans="1:13" x14ac:dyDescent="0.25">
      <c r="A326" t="s">
        <v>6946</v>
      </c>
      <c r="B326" t="s">
        <v>13</v>
      </c>
      <c r="C326" s="1">
        <v>44384</v>
      </c>
      <c r="D326" t="s">
        <v>6947</v>
      </c>
      <c r="E326" t="s">
        <v>3246</v>
      </c>
      <c r="F326" t="s">
        <v>1129</v>
      </c>
      <c r="G326" t="s">
        <v>6948</v>
      </c>
      <c r="H326" t="s">
        <v>372</v>
      </c>
      <c r="I326" t="s">
        <v>19</v>
      </c>
      <c r="J326" s="3" t="s">
        <v>6949</v>
      </c>
      <c r="K326" t="s">
        <v>6950</v>
      </c>
      <c r="L326" t="s">
        <v>32135</v>
      </c>
      <c r="M326" t="s">
        <v>32144</v>
      </c>
    </row>
    <row r="327" spans="1:13" x14ac:dyDescent="0.25">
      <c r="A327" t="s">
        <v>20686</v>
      </c>
      <c r="B327" t="s">
        <v>13</v>
      </c>
      <c r="C327" s="1">
        <v>43350</v>
      </c>
      <c r="D327" t="s">
        <v>20687</v>
      </c>
      <c r="E327" t="s">
        <v>20688</v>
      </c>
      <c r="F327" t="s">
        <v>3084</v>
      </c>
      <c r="G327" t="s">
        <v>20689</v>
      </c>
      <c r="H327" t="s">
        <v>255</v>
      </c>
      <c r="I327" t="s">
        <v>19</v>
      </c>
      <c r="J327" s="3">
        <f>55-62-35211791</f>
        <v>-35211798</v>
      </c>
      <c r="K327" t="s">
        <v>20690</v>
      </c>
      <c r="L327" t="s">
        <v>20691</v>
      </c>
      <c r="M327" t="s">
        <v>32144</v>
      </c>
    </row>
    <row r="328" spans="1:13" x14ac:dyDescent="0.25">
      <c r="A328" t="s">
        <v>26201</v>
      </c>
      <c r="B328" t="s">
        <v>13</v>
      </c>
      <c r="C328" t="s">
        <v>26202</v>
      </c>
      <c r="D328" t="s">
        <v>26203</v>
      </c>
      <c r="E328" t="s">
        <v>26204</v>
      </c>
      <c r="F328" t="s">
        <v>1464</v>
      </c>
      <c r="G328" t="s">
        <v>26205</v>
      </c>
      <c r="H328" t="s">
        <v>1622</v>
      </c>
      <c r="I328" t="s">
        <v>19</v>
      </c>
      <c r="J328" s="3" t="s">
        <v>26206</v>
      </c>
      <c r="K328" t="s">
        <v>26207</v>
      </c>
      <c r="L328" t="s">
        <v>8972</v>
      </c>
      <c r="M328" t="s">
        <v>32144</v>
      </c>
    </row>
    <row r="329" spans="1:13" x14ac:dyDescent="0.25">
      <c r="A329" t="s">
        <v>14156</v>
      </c>
      <c r="B329" t="s">
        <v>13</v>
      </c>
      <c r="C329" t="s">
        <v>14157</v>
      </c>
      <c r="D329" t="s">
        <v>14158</v>
      </c>
      <c r="E329" t="s">
        <v>14159</v>
      </c>
      <c r="F329" t="s">
        <v>1464</v>
      </c>
      <c r="G329" t="s">
        <v>14160</v>
      </c>
      <c r="H329" t="s">
        <v>299</v>
      </c>
      <c r="I329" t="s">
        <v>19</v>
      </c>
      <c r="J329" s="3">
        <f>55-14-38801001</f>
        <v>-38800960</v>
      </c>
      <c r="K329" t="s">
        <v>14161</v>
      </c>
      <c r="L329" t="s">
        <v>13988</v>
      </c>
      <c r="M329" t="s">
        <v>32145</v>
      </c>
    </row>
    <row r="330" spans="1:13" x14ac:dyDescent="0.25">
      <c r="A330" t="s">
        <v>30418</v>
      </c>
      <c r="B330" t="s">
        <v>13</v>
      </c>
      <c r="C330" s="1">
        <v>41000</v>
      </c>
      <c r="D330" t="s">
        <v>30419</v>
      </c>
      <c r="E330" t="s">
        <v>30420</v>
      </c>
      <c r="F330" t="s">
        <v>129</v>
      </c>
      <c r="G330" t="s">
        <v>30421</v>
      </c>
      <c r="H330" t="s">
        <v>229</v>
      </c>
      <c r="I330" t="s">
        <v>19</v>
      </c>
      <c r="J330" s="3" t="s">
        <v>30422</v>
      </c>
      <c r="K330" t="s">
        <v>30423</v>
      </c>
      <c r="L330" t="s">
        <v>30424</v>
      </c>
      <c r="M330" t="s">
        <v>129</v>
      </c>
    </row>
    <row r="331" spans="1:13" x14ac:dyDescent="0.25">
      <c r="A331" t="s">
        <v>21851</v>
      </c>
      <c r="B331" t="s">
        <v>13</v>
      </c>
      <c r="C331" t="s">
        <v>21849</v>
      </c>
      <c r="D331" t="s">
        <v>21852</v>
      </c>
      <c r="E331" t="s">
        <v>21853</v>
      </c>
      <c r="F331" t="s">
        <v>1464</v>
      </c>
      <c r="G331" t="s">
        <v>21854</v>
      </c>
      <c r="H331" t="s">
        <v>1301</v>
      </c>
      <c r="I331" t="s">
        <v>19</v>
      </c>
      <c r="J331" s="3" t="s">
        <v>21855</v>
      </c>
      <c r="K331" t="s">
        <v>21856</v>
      </c>
      <c r="L331" t="s">
        <v>439</v>
      </c>
      <c r="M331" t="s">
        <v>32144</v>
      </c>
    </row>
    <row r="332" spans="1:13" x14ac:dyDescent="0.25">
      <c r="A332" t="s">
        <v>18435</v>
      </c>
      <c r="B332" t="s">
        <v>13</v>
      </c>
      <c r="C332" t="s">
        <v>8487</v>
      </c>
      <c r="D332" t="s">
        <v>18436</v>
      </c>
      <c r="E332" t="s">
        <v>18437</v>
      </c>
      <c r="F332" t="s">
        <v>1129</v>
      </c>
      <c r="G332" t="s">
        <v>768</v>
      </c>
      <c r="H332" t="s">
        <v>265</v>
      </c>
      <c r="I332" t="s">
        <v>19</v>
      </c>
      <c r="J332" s="3">
        <v>551636022477</v>
      </c>
      <c r="K332" t="s">
        <v>769</v>
      </c>
      <c r="L332" t="s">
        <v>770</v>
      </c>
      <c r="M332" t="s">
        <v>32144</v>
      </c>
    </row>
    <row r="333" spans="1:13" x14ac:dyDescent="0.25">
      <c r="A333" t="s">
        <v>16403</v>
      </c>
      <c r="B333" t="s">
        <v>13</v>
      </c>
      <c r="C333" t="s">
        <v>16385</v>
      </c>
      <c r="D333" t="s">
        <v>16404</v>
      </c>
      <c r="E333" s="2" t="s">
        <v>31443</v>
      </c>
      <c r="F333" t="s">
        <v>1464</v>
      </c>
      <c r="G333" t="s">
        <v>16405</v>
      </c>
      <c r="H333" t="s">
        <v>2112</v>
      </c>
      <c r="I333" t="s">
        <v>19</v>
      </c>
      <c r="J333" s="3">
        <f>55-45-32203000</f>
        <v>-32202990</v>
      </c>
      <c r="K333" t="s">
        <v>16406</v>
      </c>
      <c r="L333" t="s">
        <v>2115</v>
      </c>
      <c r="M333" t="s">
        <v>32144</v>
      </c>
    </row>
    <row r="334" spans="1:13" x14ac:dyDescent="0.25">
      <c r="A334" t="s">
        <v>6762</v>
      </c>
      <c r="B334" t="s">
        <v>13</v>
      </c>
      <c r="C334" s="1">
        <v>44324</v>
      </c>
      <c r="D334" t="s">
        <v>32135</v>
      </c>
      <c r="E334" s="2" t="s">
        <v>31806</v>
      </c>
      <c r="F334" t="s">
        <v>1087</v>
      </c>
      <c r="G334" t="s">
        <v>6763</v>
      </c>
      <c r="H334" t="s">
        <v>299</v>
      </c>
      <c r="I334" t="s">
        <v>19</v>
      </c>
      <c r="J334" s="3">
        <v>5514998851443</v>
      </c>
      <c r="K334" t="s">
        <v>6764</v>
      </c>
      <c r="L334" t="s">
        <v>2621</v>
      </c>
      <c r="M334" t="s">
        <v>32144</v>
      </c>
    </row>
    <row r="335" spans="1:13" x14ac:dyDescent="0.25">
      <c r="A335" t="s">
        <v>2013</v>
      </c>
      <c r="B335" t="s">
        <v>13</v>
      </c>
      <c r="C335" t="s">
        <v>1980</v>
      </c>
      <c r="D335" t="s">
        <v>2014</v>
      </c>
      <c r="E335" s="2" t="s">
        <v>30721</v>
      </c>
      <c r="F335" t="s">
        <v>2016</v>
      </c>
      <c r="G335" t="s">
        <v>2017</v>
      </c>
      <c r="H335" t="s">
        <v>1027</v>
      </c>
      <c r="I335" t="s">
        <v>19</v>
      </c>
      <c r="J335" s="3">
        <f>55-48-32791057</f>
        <v>-32791050</v>
      </c>
      <c r="K335" t="s">
        <v>2018</v>
      </c>
      <c r="L335" t="s">
        <v>1030</v>
      </c>
      <c r="M335" t="s">
        <v>32144</v>
      </c>
    </row>
    <row r="336" spans="1:13" x14ac:dyDescent="0.25">
      <c r="A336" t="s">
        <v>12904</v>
      </c>
      <c r="B336" t="s">
        <v>13</v>
      </c>
      <c r="C336" t="s">
        <v>6569</v>
      </c>
      <c r="D336" t="s">
        <v>12905</v>
      </c>
      <c r="E336" s="2" t="s">
        <v>31057</v>
      </c>
      <c r="F336" t="s">
        <v>1464</v>
      </c>
      <c r="G336" t="s">
        <v>6036</v>
      </c>
      <c r="H336" t="s">
        <v>18</v>
      </c>
      <c r="I336" t="s">
        <v>19</v>
      </c>
      <c r="J336" s="3" t="s">
        <v>12906</v>
      </c>
      <c r="K336" t="s">
        <v>6038</v>
      </c>
      <c r="L336" t="s">
        <v>1224</v>
      </c>
      <c r="M336" t="s">
        <v>32144</v>
      </c>
    </row>
    <row r="337" spans="1:13" x14ac:dyDescent="0.25">
      <c r="A337" t="s">
        <v>20233</v>
      </c>
      <c r="B337" t="s">
        <v>13</v>
      </c>
      <c r="C337" t="s">
        <v>20229</v>
      </c>
      <c r="D337" t="s">
        <v>20234</v>
      </c>
      <c r="E337" s="2" t="s">
        <v>31575</v>
      </c>
      <c r="F337" t="s">
        <v>10546</v>
      </c>
      <c r="G337" t="s">
        <v>20235</v>
      </c>
      <c r="H337" t="s">
        <v>88</v>
      </c>
      <c r="I337" t="s">
        <v>19</v>
      </c>
      <c r="J337" s="3">
        <f>55-84-999915077</f>
        <v>-999915106</v>
      </c>
      <c r="K337" t="s">
        <v>20236</v>
      </c>
      <c r="L337" t="s">
        <v>91</v>
      </c>
      <c r="M337" t="s">
        <v>32144</v>
      </c>
    </row>
    <row r="338" spans="1:13" x14ac:dyDescent="0.25">
      <c r="A338" t="s">
        <v>3073</v>
      </c>
      <c r="B338" t="s">
        <v>13</v>
      </c>
      <c r="C338" s="1">
        <v>44780</v>
      </c>
      <c r="D338" t="s">
        <v>3074</v>
      </c>
      <c r="E338" s="2" t="s">
        <v>30765</v>
      </c>
      <c r="F338" t="s">
        <v>3075</v>
      </c>
      <c r="G338" t="s">
        <v>3076</v>
      </c>
      <c r="H338" t="s">
        <v>578</v>
      </c>
      <c r="I338" t="s">
        <v>19</v>
      </c>
      <c r="J338" s="3" t="s">
        <v>3077</v>
      </c>
      <c r="K338" t="s">
        <v>3078</v>
      </c>
      <c r="L338" t="s">
        <v>678</v>
      </c>
      <c r="M338" t="s">
        <v>32144</v>
      </c>
    </row>
    <row r="339" spans="1:13" x14ac:dyDescent="0.25">
      <c r="A339" t="s">
        <v>17233</v>
      </c>
      <c r="B339" t="s">
        <v>13</v>
      </c>
      <c r="C339" s="1">
        <v>43652</v>
      </c>
      <c r="D339" t="s">
        <v>17234</v>
      </c>
      <c r="E339" s="2" t="s">
        <v>31644</v>
      </c>
      <c r="F339" t="s">
        <v>1129</v>
      </c>
      <c r="G339" t="s">
        <v>17235</v>
      </c>
      <c r="H339" t="s">
        <v>2186</v>
      </c>
      <c r="I339" t="s">
        <v>19</v>
      </c>
      <c r="J339" s="3" t="s">
        <v>17236</v>
      </c>
      <c r="K339" t="s">
        <v>17237</v>
      </c>
      <c r="L339" t="s">
        <v>17235</v>
      </c>
      <c r="M339" t="s">
        <v>32144</v>
      </c>
    </row>
    <row r="340" spans="1:13" x14ac:dyDescent="0.25">
      <c r="A340" t="s">
        <v>23657</v>
      </c>
      <c r="B340" t="s">
        <v>13</v>
      </c>
      <c r="C340" t="s">
        <v>8680</v>
      </c>
      <c r="D340">
        <v>11111976106</v>
      </c>
      <c r="E340" t="s">
        <v>23658</v>
      </c>
      <c r="F340" t="s">
        <v>1464</v>
      </c>
      <c r="G340" t="s">
        <v>23659</v>
      </c>
      <c r="H340" t="s">
        <v>706</v>
      </c>
      <c r="I340" t="s">
        <v>19</v>
      </c>
      <c r="J340" s="3">
        <v>5531994759606</v>
      </c>
      <c r="K340" t="s">
        <v>23660</v>
      </c>
      <c r="L340" t="s">
        <v>565</v>
      </c>
      <c r="M340" t="s">
        <v>32144</v>
      </c>
    </row>
    <row r="341" spans="1:13" x14ac:dyDescent="0.25">
      <c r="A341" t="s">
        <v>25023</v>
      </c>
      <c r="B341" t="s">
        <v>13</v>
      </c>
      <c r="C341" s="1">
        <v>42563</v>
      </c>
      <c r="D341" t="s">
        <v>25024</v>
      </c>
      <c r="E341" t="s">
        <v>25025</v>
      </c>
      <c r="F341" t="s">
        <v>3084</v>
      </c>
      <c r="G341" t="s">
        <v>25026</v>
      </c>
      <c r="H341" t="s">
        <v>1215</v>
      </c>
      <c r="I341" t="s">
        <v>19</v>
      </c>
      <c r="J341" s="3" t="s">
        <v>25027</v>
      </c>
      <c r="K341" t="s">
        <v>25028</v>
      </c>
      <c r="L341" t="s">
        <v>25029</v>
      </c>
      <c r="M341" t="s">
        <v>32144</v>
      </c>
    </row>
    <row r="342" spans="1:13" x14ac:dyDescent="0.25">
      <c r="A342" t="s">
        <v>1107</v>
      </c>
      <c r="B342" t="s">
        <v>13</v>
      </c>
      <c r="C342" t="s">
        <v>1032</v>
      </c>
      <c r="D342" t="s">
        <v>1108</v>
      </c>
      <c r="E342" s="2" t="s">
        <v>31604</v>
      </c>
      <c r="F342" t="s">
        <v>1109</v>
      </c>
      <c r="G342" t="s">
        <v>1110</v>
      </c>
      <c r="H342" t="s">
        <v>428</v>
      </c>
      <c r="I342" t="s">
        <v>19</v>
      </c>
      <c r="J342" s="3" t="s">
        <v>1111</v>
      </c>
      <c r="K342" t="s">
        <v>1112</v>
      </c>
      <c r="L342" t="s">
        <v>1113</v>
      </c>
      <c r="M342" t="s">
        <v>32144</v>
      </c>
    </row>
    <row r="343" spans="1:13" x14ac:dyDescent="0.25">
      <c r="A343" t="s">
        <v>16165</v>
      </c>
      <c r="B343" t="s">
        <v>13</v>
      </c>
      <c r="C343" t="s">
        <v>16155</v>
      </c>
      <c r="D343" t="s">
        <v>16166</v>
      </c>
      <c r="E343" s="2" t="s">
        <v>31744</v>
      </c>
      <c r="F343" t="s">
        <v>3084</v>
      </c>
      <c r="G343" t="s">
        <v>16167</v>
      </c>
      <c r="H343" t="s">
        <v>36</v>
      </c>
      <c r="I343" t="s">
        <v>19</v>
      </c>
      <c r="J343" s="3">
        <f>55-11-971317272</f>
        <v>-971317228</v>
      </c>
      <c r="K343" t="s">
        <v>16168</v>
      </c>
      <c r="L343" t="s">
        <v>1851</v>
      </c>
      <c r="M343" t="s">
        <v>32144</v>
      </c>
    </row>
    <row r="344" spans="1:13" x14ac:dyDescent="0.25">
      <c r="A344" t="s">
        <v>7406</v>
      </c>
      <c r="B344" t="s">
        <v>13</v>
      </c>
      <c r="C344" t="s">
        <v>7041</v>
      </c>
      <c r="D344" t="s">
        <v>32135</v>
      </c>
      <c r="E344" s="2" t="s">
        <v>32056</v>
      </c>
      <c r="F344" t="s">
        <v>530</v>
      </c>
      <c r="G344" t="s">
        <v>4250</v>
      </c>
      <c r="H344" t="s">
        <v>32135</v>
      </c>
      <c r="I344" t="s">
        <v>19</v>
      </c>
      <c r="J344" s="3" t="s">
        <v>7407</v>
      </c>
      <c r="K344" t="s">
        <v>4251</v>
      </c>
      <c r="L344" t="s">
        <v>32135</v>
      </c>
      <c r="M344" t="s">
        <v>32144</v>
      </c>
    </row>
    <row r="345" spans="1:13" x14ac:dyDescent="0.25">
      <c r="A345" t="s">
        <v>5906</v>
      </c>
      <c r="B345" t="s">
        <v>13</v>
      </c>
      <c r="C345" t="s">
        <v>1660</v>
      </c>
      <c r="D345" t="s">
        <v>32135</v>
      </c>
      <c r="E345" s="2" t="s">
        <v>30864</v>
      </c>
      <c r="F345" t="s">
        <v>1457</v>
      </c>
      <c r="G345" t="s">
        <v>5907</v>
      </c>
      <c r="H345" t="s">
        <v>45</v>
      </c>
      <c r="I345" t="s">
        <v>19</v>
      </c>
      <c r="J345" s="3">
        <v>558533668455</v>
      </c>
      <c r="K345" t="s">
        <v>5908</v>
      </c>
      <c r="L345" t="s">
        <v>32135</v>
      </c>
      <c r="M345" t="s">
        <v>32196</v>
      </c>
    </row>
    <row r="346" spans="1:13" x14ac:dyDescent="0.25">
      <c r="A346" t="s">
        <v>29041</v>
      </c>
      <c r="B346" t="s">
        <v>13</v>
      </c>
      <c r="C346" s="1">
        <v>41827</v>
      </c>
      <c r="D346" t="s">
        <v>29042</v>
      </c>
      <c r="E346" t="s">
        <v>29043</v>
      </c>
      <c r="F346" t="s">
        <v>29044</v>
      </c>
      <c r="G346" t="s">
        <v>21804</v>
      </c>
      <c r="H346" t="s">
        <v>936</v>
      </c>
      <c r="I346" t="s">
        <v>19</v>
      </c>
      <c r="J346" s="3" t="s">
        <v>21805</v>
      </c>
      <c r="K346" t="s">
        <v>21806</v>
      </c>
      <c r="L346" t="s">
        <v>21807</v>
      </c>
      <c r="M346" t="s">
        <v>32145</v>
      </c>
    </row>
    <row r="347" spans="1:13" x14ac:dyDescent="0.25">
      <c r="A347" t="s">
        <v>14633</v>
      </c>
      <c r="B347" t="s">
        <v>13</v>
      </c>
      <c r="C347" s="1">
        <v>43750</v>
      </c>
      <c r="D347" t="s">
        <v>14634</v>
      </c>
      <c r="E347" s="2" t="s">
        <v>31101</v>
      </c>
      <c r="F347" t="s">
        <v>3084</v>
      </c>
      <c r="G347" t="s">
        <v>9131</v>
      </c>
      <c r="H347" t="s">
        <v>1486</v>
      </c>
      <c r="I347" t="s">
        <v>19</v>
      </c>
      <c r="J347" s="3">
        <f>55-34-3700-6606</f>
        <v>-10285</v>
      </c>
      <c r="K347" t="s">
        <v>2137</v>
      </c>
      <c r="L347" t="s">
        <v>1489</v>
      </c>
      <c r="M347" t="s">
        <v>32144</v>
      </c>
    </row>
    <row r="348" spans="1:13" x14ac:dyDescent="0.25">
      <c r="A348" t="s">
        <v>11365</v>
      </c>
      <c r="B348" t="s">
        <v>13</v>
      </c>
      <c r="C348" t="s">
        <v>9573</v>
      </c>
      <c r="D348" t="s">
        <v>11366</v>
      </c>
      <c r="E348" t="s">
        <v>11367</v>
      </c>
      <c r="F348" t="s">
        <v>1464</v>
      </c>
      <c r="G348" t="s">
        <v>11368</v>
      </c>
      <c r="H348" t="s">
        <v>255</v>
      </c>
      <c r="I348" t="s">
        <v>19</v>
      </c>
      <c r="J348" s="3">
        <f>55-62-32096280</f>
        <v>-32096287</v>
      </c>
      <c r="K348" t="s">
        <v>11369</v>
      </c>
      <c r="L348" t="s">
        <v>4713</v>
      </c>
      <c r="M348" t="s">
        <v>32144</v>
      </c>
    </row>
    <row r="349" spans="1:13" x14ac:dyDescent="0.25">
      <c r="A349" t="s">
        <v>24645</v>
      </c>
      <c r="B349" t="s">
        <v>13</v>
      </c>
      <c r="C349" t="s">
        <v>24640</v>
      </c>
      <c r="D349" t="s">
        <v>24646</v>
      </c>
      <c r="E349" t="s">
        <v>32231</v>
      </c>
      <c r="F349" t="s">
        <v>1464</v>
      </c>
      <c r="G349" t="s">
        <v>24647</v>
      </c>
      <c r="H349" t="s">
        <v>3618</v>
      </c>
      <c r="I349" t="s">
        <v>19</v>
      </c>
      <c r="J349" s="3" t="s">
        <v>24648</v>
      </c>
      <c r="K349" t="s">
        <v>24649</v>
      </c>
      <c r="L349" t="s">
        <v>82</v>
      </c>
      <c r="M349" t="s">
        <v>32144</v>
      </c>
    </row>
    <row r="350" spans="1:13" x14ac:dyDescent="0.25">
      <c r="A350" t="s">
        <v>5260</v>
      </c>
      <c r="B350" t="s">
        <v>13</v>
      </c>
      <c r="C350" t="s">
        <v>5261</v>
      </c>
      <c r="D350" t="s">
        <v>32135</v>
      </c>
      <c r="E350" s="2" t="s">
        <v>31784</v>
      </c>
      <c r="F350" t="s">
        <v>5262</v>
      </c>
      <c r="G350" t="s">
        <v>5263</v>
      </c>
      <c r="H350" t="s">
        <v>32135</v>
      </c>
      <c r="I350" t="s">
        <v>19</v>
      </c>
      <c r="J350" s="3">
        <v>5585999022692</v>
      </c>
      <c r="K350" t="s">
        <v>5264</v>
      </c>
      <c r="L350" t="s">
        <v>32135</v>
      </c>
      <c r="M350" t="s">
        <v>32184</v>
      </c>
    </row>
    <row r="351" spans="1:13" x14ac:dyDescent="0.25">
      <c r="A351" t="s">
        <v>16540</v>
      </c>
      <c r="B351" t="s">
        <v>13</v>
      </c>
      <c r="C351" t="s">
        <v>1931</v>
      </c>
      <c r="D351" t="s">
        <v>16541</v>
      </c>
      <c r="E351" s="2" t="s">
        <v>31825</v>
      </c>
      <c r="F351" t="s">
        <v>6130</v>
      </c>
      <c r="G351" t="s">
        <v>16542</v>
      </c>
      <c r="H351" t="s">
        <v>16543</v>
      </c>
      <c r="I351" t="s">
        <v>19</v>
      </c>
      <c r="J351" s="3">
        <f>55-6434415330</f>
        <v>-6434415275</v>
      </c>
      <c r="K351" t="s">
        <v>16544</v>
      </c>
      <c r="L351" t="s">
        <v>16545</v>
      </c>
      <c r="M351" t="s">
        <v>32144</v>
      </c>
    </row>
    <row r="352" spans="1:13" x14ac:dyDescent="0.25">
      <c r="A352" t="s">
        <v>26321</v>
      </c>
      <c r="B352" t="s">
        <v>13</v>
      </c>
      <c r="C352" s="1">
        <v>42618</v>
      </c>
      <c r="D352" t="s">
        <v>26322</v>
      </c>
      <c r="E352" t="s">
        <v>26323</v>
      </c>
      <c r="F352" t="s">
        <v>1464</v>
      </c>
      <c r="G352" t="s">
        <v>26324</v>
      </c>
      <c r="H352" t="s">
        <v>489</v>
      </c>
      <c r="I352" t="s">
        <v>19</v>
      </c>
      <c r="J352" s="3" t="s">
        <v>26325</v>
      </c>
      <c r="K352" t="s">
        <v>26326</v>
      </c>
      <c r="L352" t="s">
        <v>625</v>
      </c>
      <c r="M352" t="s">
        <v>32144</v>
      </c>
    </row>
    <row r="353" spans="1:13" x14ac:dyDescent="0.25">
      <c r="A353" t="s">
        <v>528</v>
      </c>
      <c r="B353" t="s">
        <v>13</v>
      </c>
      <c r="C353" s="1">
        <v>45261</v>
      </c>
      <c r="D353" t="s">
        <v>529</v>
      </c>
      <c r="E353" t="s">
        <v>30681</v>
      </c>
      <c r="F353" t="s">
        <v>26</v>
      </c>
      <c r="G353" t="s">
        <v>532</v>
      </c>
      <c r="H353" t="s">
        <v>36</v>
      </c>
      <c r="I353" t="s">
        <v>19</v>
      </c>
      <c r="J353" s="3" t="s">
        <v>533</v>
      </c>
      <c r="K353" t="s">
        <v>534</v>
      </c>
      <c r="L353" t="s">
        <v>439</v>
      </c>
      <c r="M353" t="s">
        <v>32144</v>
      </c>
    </row>
    <row r="354" spans="1:13" x14ac:dyDescent="0.25">
      <c r="A354" t="s">
        <v>25838</v>
      </c>
      <c r="B354" t="s">
        <v>13</v>
      </c>
      <c r="C354" t="s">
        <v>25832</v>
      </c>
      <c r="D354" t="s">
        <v>25839</v>
      </c>
      <c r="E354" t="s">
        <v>25840</v>
      </c>
      <c r="F354" t="s">
        <v>1464</v>
      </c>
      <c r="G354" t="s">
        <v>25841</v>
      </c>
      <c r="H354" t="s">
        <v>45</v>
      </c>
      <c r="I354" t="s">
        <v>19</v>
      </c>
      <c r="J354" s="3" t="s">
        <v>25842</v>
      </c>
      <c r="K354" t="s">
        <v>25843</v>
      </c>
      <c r="L354" t="s">
        <v>25844</v>
      </c>
      <c r="M354" t="s">
        <v>32144</v>
      </c>
    </row>
    <row r="355" spans="1:13" x14ac:dyDescent="0.25">
      <c r="A355" t="s">
        <v>25948</v>
      </c>
      <c r="B355" t="s">
        <v>13</v>
      </c>
      <c r="C355" s="1">
        <v>42558</v>
      </c>
      <c r="D355" t="s">
        <v>25949</v>
      </c>
      <c r="E355" t="s">
        <v>25950</v>
      </c>
      <c r="F355" t="s">
        <v>1464</v>
      </c>
      <c r="G355" t="s">
        <v>17048</v>
      </c>
      <c r="H355" t="s">
        <v>45</v>
      </c>
      <c r="I355" t="s">
        <v>19</v>
      </c>
      <c r="J355" s="3" t="s">
        <v>25951</v>
      </c>
      <c r="K355" t="s">
        <v>17049</v>
      </c>
      <c r="L355" t="s">
        <v>1909</v>
      </c>
      <c r="M355" t="s">
        <v>32144</v>
      </c>
    </row>
    <row r="356" spans="1:13" x14ac:dyDescent="0.25">
      <c r="A356" t="s">
        <v>16460</v>
      </c>
      <c r="B356" t="s">
        <v>13</v>
      </c>
      <c r="C356" t="s">
        <v>6239</v>
      </c>
      <c r="D356" t="s">
        <v>16461</v>
      </c>
      <c r="E356" t="s">
        <v>16462</v>
      </c>
      <c r="F356" t="s">
        <v>1464</v>
      </c>
      <c r="G356" t="s">
        <v>16463</v>
      </c>
      <c r="H356" t="s">
        <v>265</v>
      </c>
      <c r="I356" t="s">
        <v>19</v>
      </c>
      <c r="J356" s="3">
        <f>55-16-981267336</f>
        <v>-981267297</v>
      </c>
      <c r="K356" t="s">
        <v>16464</v>
      </c>
      <c r="L356" t="s">
        <v>321</v>
      </c>
      <c r="M356" t="s">
        <v>32144</v>
      </c>
    </row>
    <row r="357" spans="1:13" x14ac:dyDescent="0.25">
      <c r="A357" t="s">
        <v>18317</v>
      </c>
      <c r="B357" t="s">
        <v>13</v>
      </c>
      <c r="C357" t="s">
        <v>18302</v>
      </c>
      <c r="D357" t="s">
        <v>18318</v>
      </c>
      <c r="E357" s="2" t="s">
        <v>32765</v>
      </c>
      <c r="F357" t="s">
        <v>771</v>
      </c>
      <c r="G357" t="s">
        <v>18319</v>
      </c>
      <c r="H357" t="s">
        <v>352</v>
      </c>
      <c r="I357" t="s">
        <v>19</v>
      </c>
      <c r="J357" s="3" t="s">
        <v>18320</v>
      </c>
      <c r="K357" t="s">
        <v>18321</v>
      </c>
      <c r="L357" t="s">
        <v>18322</v>
      </c>
      <c r="M357" t="s">
        <v>771</v>
      </c>
    </row>
    <row r="358" spans="1:13" x14ac:dyDescent="0.25">
      <c r="A358" t="s">
        <v>6102</v>
      </c>
      <c r="B358" t="s">
        <v>13</v>
      </c>
      <c r="C358" t="s">
        <v>6103</v>
      </c>
      <c r="D358" t="s">
        <v>6104</v>
      </c>
      <c r="E358" t="s">
        <v>6105</v>
      </c>
      <c r="F358" t="s">
        <v>2947</v>
      </c>
      <c r="G358" t="s">
        <v>6106</v>
      </c>
      <c r="H358" t="s">
        <v>4681</v>
      </c>
      <c r="I358" t="s">
        <v>19</v>
      </c>
      <c r="J358" s="3" t="s">
        <v>6107</v>
      </c>
      <c r="K358" t="s">
        <v>6108</v>
      </c>
      <c r="L358" t="s">
        <v>6109</v>
      </c>
      <c r="M358" t="s">
        <v>771</v>
      </c>
    </row>
    <row r="359" spans="1:13" x14ac:dyDescent="0.25">
      <c r="A359" t="s">
        <v>9916</v>
      </c>
      <c r="B359" t="s">
        <v>13</v>
      </c>
      <c r="C359" s="1">
        <v>43870</v>
      </c>
      <c r="D359" t="s">
        <v>9917</v>
      </c>
      <c r="E359" t="s">
        <v>9918</v>
      </c>
      <c r="F359" t="s">
        <v>1432</v>
      </c>
      <c r="G359" t="s">
        <v>9919</v>
      </c>
      <c r="H359" t="s">
        <v>265</v>
      </c>
      <c r="I359" t="s">
        <v>19</v>
      </c>
      <c r="J359" s="3" t="s">
        <v>9920</v>
      </c>
      <c r="K359" t="s">
        <v>9921</v>
      </c>
      <c r="L359" t="s">
        <v>9922</v>
      </c>
      <c r="M359" t="s">
        <v>1432</v>
      </c>
    </row>
    <row r="360" spans="1:13" x14ac:dyDescent="0.25">
      <c r="A360" t="s">
        <v>3486</v>
      </c>
      <c r="B360" t="s">
        <v>13</v>
      </c>
      <c r="C360" t="s">
        <v>3480</v>
      </c>
      <c r="D360" t="s">
        <v>3487</v>
      </c>
      <c r="E360" s="2" t="s">
        <v>30781</v>
      </c>
      <c r="F360" t="s">
        <v>1815</v>
      </c>
      <c r="G360" t="s">
        <v>3489</v>
      </c>
      <c r="H360" t="s">
        <v>3490</v>
      </c>
      <c r="I360" t="s">
        <v>19</v>
      </c>
      <c r="J360" s="3">
        <f>55-79-36322082</f>
        <v>-36322106</v>
      </c>
      <c r="K360" t="s">
        <v>3491</v>
      </c>
      <c r="L360" t="s">
        <v>82</v>
      </c>
      <c r="M360" t="s">
        <v>771</v>
      </c>
    </row>
    <row r="361" spans="1:13" x14ac:dyDescent="0.25">
      <c r="A361" t="s">
        <v>25449</v>
      </c>
      <c r="B361" t="s">
        <v>13</v>
      </c>
      <c r="C361" t="s">
        <v>25446</v>
      </c>
      <c r="D361" t="s">
        <v>25450</v>
      </c>
      <c r="E361" t="s">
        <v>25451</v>
      </c>
      <c r="F361" t="s">
        <v>1464</v>
      </c>
      <c r="G361" t="s">
        <v>25452</v>
      </c>
      <c r="H361" t="s">
        <v>114</v>
      </c>
      <c r="I361" t="s">
        <v>19</v>
      </c>
      <c r="J361" s="3" t="s">
        <v>16359</v>
      </c>
      <c r="K361" t="s">
        <v>25453</v>
      </c>
      <c r="L361" t="s">
        <v>82</v>
      </c>
      <c r="M361" t="s">
        <v>337</v>
      </c>
    </row>
    <row r="362" spans="1:13" x14ac:dyDescent="0.25">
      <c r="A362" t="s">
        <v>22029</v>
      </c>
      <c r="B362" t="s">
        <v>13</v>
      </c>
      <c r="C362" s="1">
        <v>43437</v>
      </c>
      <c r="D362" t="s">
        <v>22030</v>
      </c>
      <c r="E362" t="s">
        <v>5794</v>
      </c>
      <c r="F362" t="s">
        <v>306</v>
      </c>
      <c r="G362" t="s">
        <v>22031</v>
      </c>
      <c r="H362" t="s">
        <v>45</v>
      </c>
      <c r="I362" t="s">
        <v>19</v>
      </c>
      <c r="J362" s="3">
        <f>55-85-31019601</f>
        <v>-31019631</v>
      </c>
      <c r="K362" t="s">
        <v>22032</v>
      </c>
      <c r="L362" t="s">
        <v>22033</v>
      </c>
      <c r="M362" t="s">
        <v>32145</v>
      </c>
    </row>
    <row r="363" spans="1:13" x14ac:dyDescent="0.25">
      <c r="A363" t="s">
        <v>3002</v>
      </c>
      <c r="B363" t="s">
        <v>13</v>
      </c>
      <c r="C363" t="s">
        <v>3003</v>
      </c>
      <c r="D363" t="s">
        <v>3004</v>
      </c>
      <c r="E363" s="2" t="s">
        <v>30761</v>
      </c>
      <c r="F363" t="s">
        <v>3005</v>
      </c>
      <c r="G363" t="s">
        <v>3006</v>
      </c>
      <c r="H363" t="s">
        <v>71</v>
      </c>
      <c r="I363" t="s">
        <v>19</v>
      </c>
      <c r="J363" s="3" t="s">
        <v>3007</v>
      </c>
      <c r="K363" t="s">
        <v>3008</v>
      </c>
      <c r="L363" t="s">
        <v>74</v>
      </c>
      <c r="M363" t="s">
        <v>337</v>
      </c>
    </row>
    <row r="364" spans="1:13" x14ac:dyDescent="0.25">
      <c r="A364" t="s">
        <v>13452</v>
      </c>
      <c r="B364" t="s">
        <v>13</v>
      </c>
      <c r="C364" t="s">
        <v>4227</v>
      </c>
      <c r="D364" t="s">
        <v>13453</v>
      </c>
      <c r="E364" t="s">
        <v>13454</v>
      </c>
      <c r="F364" t="s">
        <v>3084</v>
      </c>
      <c r="G364" t="s">
        <v>13455</v>
      </c>
      <c r="H364" t="s">
        <v>13456</v>
      </c>
      <c r="I364" t="s">
        <v>19</v>
      </c>
      <c r="J364" s="3">
        <v>2733357337</v>
      </c>
      <c r="K364" t="s">
        <v>13457</v>
      </c>
      <c r="L364" t="s">
        <v>1050</v>
      </c>
      <c r="M364" t="s">
        <v>32144</v>
      </c>
    </row>
    <row r="365" spans="1:13" x14ac:dyDescent="0.25">
      <c r="A365" t="s">
        <v>15959</v>
      </c>
      <c r="B365" t="s">
        <v>13</v>
      </c>
      <c r="C365" t="s">
        <v>12286</v>
      </c>
      <c r="D365" t="s">
        <v>15960</v>
      </c>
      <c r="E365" s="2" t="s">
        <v>31462</v>
      </c>
      <c r="F365" t="s">
        <v>332</v>
      </c>
      <c r="G365" t="s">
        <v>15961</v>
      </c>
      <c r="H365" t="s">
        <v>489</v>
      </c>
      <c r="I365" t="s">
        <v>19</v>
      </c>
      <c r="J365" s="3">
        <f>55-41-3317-3000</f>
        <v>-6303</v>
      </c>
      <c r="K365" t="s">
        <v>15962</v>
      </c>
      <c r="L365" t="s">
        <v>809</v>
      </c>
      <c r="M365" t="s">
        <v>337</v>
      </c>
    </row>
    <row r="366" spans="1:13" x14ac:dyDescent="0.25">
      <c r="A366" t="s">
        <v>2348</v>
      </c>
      <c r="B366" t="s">
        <v>13</v>
      </c>
      <c r="C366" t="s">
        <v>2346</v>
      </c>
      <c r="D366" t="s">
        <v>2349</v>
      </c>
      <c r="E366" s="2" t="s">
        <v>31546</v>
      </c>
      <c r="F366" t="s">
        <v>2351</v>
      </c>
      <c r="G366" t="s">
        <v>2352</v>
      </c>
      <c r="H366" t="s">
        <v>1335</v>
      </c>
      <c r="I366" t="s">
        <v>19</v>
      </c>
      <c r="J366" s="3" t="s">
        <v>2353</v>
      </c>
      <c r="K366" t="s">
        <v>2354</v>
      </c>
      <c r="L366" t="s">
        <v>1461</v>
      </c>
      <c r="M366" t="s">
        <v>771</v>
      </c>
    </row>
    <row r="367" spans="1:13" x14ac:dyDescent="0.25">
      <c r="A367" t="s">
        <v>11227</v>
      </c>
      <c r="B367" t="s">
        <v>13</v>
      </c>
      <c r="C367" s="1">
        <v>43323</v>
      </c>
      <c r="D367" t="s">
        <v>11228</v>
      </c>
      <c r="E367" s="2" t="s">
        <v>31600</v>
      </c>
      <c r="F367" t="s">
        <v>1464</v>
      </c>
      <c r="G367" t="s">
        <v>11229</v>
      </c>
      <c r="H367" t="s">
        <v>2215</v>
      </c>
      <c r="I367" t="s">
        <v>19</v>
      </c>
      <c r="J367" s="3">
        <v>55042998020784</v>
      </c>
      <c r="K367" t="s">
        <v>11230</v>
      </c>
      <c r="L367" t="s">
        <v>2218</v>
      </c>
      <c r="M367" t="s">
        <v>771</v>
      </c>
    </row>
    <row r="368" spans="1:13" x14ac:dyDescent="0.25">
      <c r="A368" t="s">
        <v>10794</v>
      </c>
      <c r="B368" t="s">
        <v>13</v>
      </c>
      <c r="C368" t="s">
        <v>7057</v>
      </c>
      <c r="D368" t="s">
        <v>10795</v>
      </c>
      <c r="E368" t="s">
        <v>32232</v>
      </c>
      <c r="F368" t="s">
        <v>1464</v>
      </c>
      <c r="G368" t="s">
        <v>10796</v>
      </c>
      <c r="H368" t="s">
        <v>195</v>
      </c>
      <c r="I368" t="s">
        <v>19</v>
      </c>
      <c r="J368" s="3" t="s">
        <v>10797</v>
      </c>
      <c r="K368" t="s">
        <v>10798</v>
      </c>
      <c r="L368" t="s">
        <v>10799</v>
      </c>
      <c r="M368" t="s">
        <v>32171</v>
      </c>
    </row>
    <row r="369" spans="1:13" x14ac:dyDescent="0.25">
      <c r="A369" t="s">
        <v>13323</v>
      </c>
      <c r="B369" t="s">
        <v>13</v>
      </c>
      <c r="C369" t="s">
        <v>5232</v>
      </c>
      <c r="D369" t="s">
        <v>13324</v>
      </c>
      <c r="E369" t="s">
        <v>1034</v>
      </c>
      <c r="F369" t="s">
        <v>2947</v>
      </c>
      <c r="G369" t="s">
        <v>11534</v>
      </c>
      <c r="H369" t="s">
        <v>1090</v>
      </c>
      <c r="I369" t="s">
        <v>19</v>
      </c>
      <c r="J369" s="3">
        <f>55-81-998495485</f>
        <v>-998495511</v>
      </c>
      <c r="K369" t="s">
        <v>11535</v>
      </c>
      <c r="L369" t="s">
        <v>1092</v>
      </c>
      <c r="M369" t="s">
        <v>771</v>
      </c>
    </row>
    <row r="370" spans="1:13" x14ac:dyDescent="0.25">
      <c r="A370" t="s">
        <v>26096</v>
      </c>
      <c r="B370" t="s">
        <v>13</v>
      </c>
      <c r="C370" s="1">
        <v>42435</v>
      </c>
      <c r="D370" t="s">
        <v>26097</v>
      </c>
      <c r="E370" t="s">
        <v>6599</v>
      </c>
      <c r="F370" t="s">
        <v>2947</v>
      </c>
      <c r="G370" t="s">
        <v>25438</v>
      </c>
      <c r="H370" t="s">
        <v>26098</v>
      </c>
      <c r="I370" t="s">
        <v>19</v>
      </c>
      <c r="J370" s="3" t="s">
        <v>26099</v>
      </c>
      <c r="K370" t="s">
        <v>25440</v>
      </c>
      <c r="L370" t="s">
        <v>26100</v>
      </c>
      <c r="M370" t="s">
        <v>771</v>
      </c>
    </row>
    <row r="371" spans="1:13" x14ac:dyDescent="0.25">
      <c r="A371" t="s">
        <v>11991</v>
      </c>
      <c r="B371" t="s">
        <v>13</v>
      </c>
      <c r="C371" s="1">
        <v>43987</v>
      </c>
      <c r="D371" t="s">
        <v>11992</v>
      </c>
      <c r="E371" t="s">
        <v>1034</v>
      </c>
      <c r="F371" t="s">
        <v>771</v>
      </c>
      <c r="G371" t="s">
        <v>11215</v>
      </c>
      <c r="H371" t="s">
        <v>372</v>
      </c>
      <c r="I371" t="s">
        <v>19</v>
      </c>
      <c r="J371" s="3" t="s">
        <v>11993</v>
      </c>
      <c r="K371" t="s">
        <v>11216</v>
      </c>
      <c r="L371" t="s">
        <v>11994</v>
      </c>
      <c r="M371" t="s">
        <v>771</v>
      </c>
    </row>
    <row r="372" spans="1:13" x14ac:dyDescent="0.25">
      <c r="A372" t="s">
        <v>25960</v>
      </c>
      <c r="B372" t="s">
        <v>13</v>
      </c>
      <c r="C372" s="1">
        <v>42528</v>
      </c>
      <c r="D372" t="s">
        <v>25961</v>
      </c>
      <c r="E372" t="s">
        <v>32233</v>
      </c>
      <c r="F372" t="s">
        <v>2947</v>
      </c>
      <c r="G372" t="s">
        <v>25962</v>
      </c>
      <c r="H372" t="s">
        <v>1802</v>
      </c>
      <c r="I372" t="s">
        <v>19</v>
      </c>
      <c r="J372" s="3" t="s">
        <v>25963</v>
      </c>
      <c r="K372" t="s">
        <v>25964</v>
      </c>
      <c r="L372" t="s">
        <v>4094</v>
      </c>
      <c r="M372" t="s">
        <v>771</v>
      </c>
    </row>
    <row r="373" spans="1:13" x14ac:dyDescent="0.25">
      <c r="A373" t="s">
        <v>29858</v>
      </c>
      <c r="B373" t="s">
        <v>13</v>
      </c>
      <c r="C373" t="s">
        <v>14184</v>
      </c>
      <c r="D373" t="s">
        <v>29859</v>
      </c>
      <c r="E373" t="s">
        <v>29860</v>
      </c>
      <c r="F373" t="s">
        <v>771</v>
      </c>
      <c r="G373" t="s">
        <v>29861</v>
      </c>
      <c r="H373" t="s">
        <v>150</v>
      </c>
      <c r="I373" t="s">
        <v>19</v>
      </c>
      <c r="J373" s="3" t="s">
        <v>29862</v>
      </c>
      <c r="K373" t="s">
        <v>29863</v>
      </c>
      <c r="L373" t="s">
        <v>29864</v>
      </c>
      <c r="M373" t="s">
        <v>771</v>
      </c>
    </row>
    <row r="374" spans="1:13" x14ac:dyDescent="0.25">
      <c r="A374" t="s">
        <v>1031</v>
      </c>
      <c r="B374" t="s">
        <v>13</v>
      </c>
      <c r="C374" t="s">
        <v>1032</v>
      </c>
      <c r="D374" t="s">
        <v>1033</v>
      </c>
      <c r="E374" s="2" t="s">
        <v>30697</v>
      </c>
      <c r="F374" t="s">
        <v>1035</v>
      </c>
      <c r="G374" t="s">
        <v>1036</v>
      </c>
      <c r="H374" t="s">
        <v>1037</v>
      </c>
      <c r="I374" t="s">
        <v>19</v>
      </c>
      <c r="J374" s="3" t="s">
        <v>1038</v>
      </c>
      <c r="K374" t="s">
        <v>1039</v>
      </c>
      <c r="L374" t="s">
        <v>1040</v>
      </c>
      <c r="M374" t="s">
        <v>32145</v>
      </c>
    </row>
    <row r="375" spans="1:13" x14ac:dyDescent="0.25">
      <c r="A375" t="s">
        <v>24325</v>
      </c>
      <c r="B375" t="s">
        <v>13</v>
      </c>
      <c r="C375" s="1">
        <v>42891</v>
      </c>
      <c r="D375" t="s">
        <v>24326</v>
      </c>
      <c r="E375" t="s">
        <v>24327</v>
      </c>
      <c r="F375" t="s">
        <v>1464</v>
      </c>
      <c r="G375" t="s">
        <v>23796</v>
      </c>
      <c r="H375" t="s">
        <v>753</v>
      </c>
      <c r="I375" t="s">
        <v>19</v>
      </c>
      <c r="J375" s="3" t="s">
        <v>23797</v>
      </c>
      <c r="K375" t="s">
        <v>23798</v>
      </c>
      <c r="L375" t="s">
        <v>2762</v>
      </c>
      <c r="M375" t="s">
        <v>771</v>
      </c>
    </row>
    <row r="376" spans="1:13" x14ac:dyDescent="0.25">
      <c r="A376" t="s">
        <v>5503</v>
      </c>
      <c r="B376" t="s">
        <v>13</v>
      </c>
      <c r="C376" s="1">
        <v>44267</v>
      </c>
      <c r="D376" t="s">
        <v>5504</v>
      </c>
      <c r="E376" t="s">
        <v>5505</v>
      </c>
      <c r="F376" t="s">
        <v>5506</v>
      </c>
      <c r="G376" t="s">
        <v>5507</v>
      </c>
      <c r="H376" t="s">
        <v>5508</v>
      </c>
      <c r="I376" t="s">
        <v>19</v>
      </c>
      <c r="J376" s="3">
        <v>5506734320089</v>
      </c>
      <c r="K376" t="s">
        <v>5509</v>
      </c>
      <c r="L376" t="s">
        <v>32135</v>
      </c>
      <c r="M376" t="s">
        <v>771</v>
      </c>
    </row>
    <row r="377" spans="1:13" x14ac:dyDescent="0.25">
      <c r="A377" t="s">
        <v>6597</v>
      </c>
      <c r="B377" t="s">
        <v>13</v>
      </c>
      <c r="C377" t="s">
        <v>6592</v>
      </c>
      <c r="D377" t="s">
        <v>6598</v>
      </c>
      <c r="E377" s="2" t="s">
        <v>30899</v>
      </c>
      <c r="F377" t="s">
        <v>1364</v>
      </c>
      <c r="G377" t="s">
        <v>6600</v>
      </c>
      <c r="H377" t="s">
        <v>6601</v>
      </c>
      <c r="I377" t="s">
        <v>19</v>
      </c>
      <c r="J377" s="3" t="s">
        <v>6602</v>
      </c>
      <c r="K377" t="s">
        <v>6603</v>
      </c>
      <c r="L377" t="s">
        <v>32135</v>
      </c>
      <c r="M377" t="s">
        <v>771</v>
      </c>
    </row>
    <row r="378" spans="1:13" x14ac:dyDescent="0.25">
      <c r="A378" t="s">
        <v>7556</v>
      </c>
      <c r="B378" t="s">
        <v>101</v>
      </c>
      <c r="C378" t="s">
        <v>6097</v>
      </c>
      <c r="D378" t="s">
        <v>32135</v>
      </c>
      <c r="E378" s="2" t="s">
        <v>30931</v>
      </c>
      <c r="F378" t="s">
        <v>866</v>
      </c>
      <c r="G378" t="s">
        <v>7557</v>
      </c>
      <c r="H378" t="s">
        <v>36</v>
      </c>
      <c r="I378" t="s">
        <v>19</v>
      </c>
      <c r="J378" s="3">
        <f>55-11-55764848</f>
        <v>-55764804</v>
      </c>
      <c r="K378" t="s">
        <v>7558</v>
      </c>
      <c r="L378" t="s">
        <v>32135</v>
      </c>
      <c r="M378" t="s">
        <v>224</v>
      </c>
    </row>
    <row r="379" spans="1:13" x14ac:dyDescent="0.25">
      <c r="A379" t="s">
        <v>17699</v>
      </c>
      <c r="B379" t="s">
        <v>13</v>
      </c>
      <c r="C379" t="s">
        <v>10219</v>
      </c>
      <c r="D379" t="s">
        <v>17700</v>
      </c>
      <c r="E379" t="s">
        <v>17701</v>
      </c>
      <c r="F379" t="s">
        <v>1464</v>
      </c>
      <c r="G379" t="s">
        <v>17481</v>
      </c>
      <c r="H379" t="s">
        <v>7504</v>
      </c>
      <c r="I379" t="s">
        <v>19</v>
      </c>
      <c r="J379" s="3">
        <v>5561982205050</v>
      </c>
      <c r="K379" t="s">
        <v>17482</v>
      </c>
      <c r="L379" t="s">
        <v>4378</v>
      </c>
      <c r="M379" t="s">
        <v>32144</v>
      </c>
    </row>
    <row r="380" spans="1:13" x14ac:dyDescent="0.25">
      <c r="A380" t="s">
        <v>10614</v>
      </c>
      <c r="B380" t="s">
        <v>13</v>
      </c>
      <c r="C380" s="1">
        <v>43929</v>
      </c>
      <c r="D380" t="s">
        <v>10615</v>
      </c>
      <c r="E380" s="2" t="s">
        <v>31459</v>
      </c>
      <c r="F380" t="s">
        <v>2036</v>
      </c>
      <c r="G380" t="s">
        <v>10616</v>
      </c>
      <c r="H380" t="s">
        <v>489</v>
      </c>
      <c r="I380" t="s">
        <v>19</v>
      </c>
      <c r="J380" s="3">
        <f>55-41-3331-7700</f>
        <v>-11017</v>
      </c>
      <c r="K380" t="s">
        <v>10617</v>
      </c>
      <c r="L380" t="s">
        <v>10618</v>
      </c>
      <c r="M380" t="s">
        <v>57</v>
      </c>
    </row>
    <row r="381" spans="1:13" x14ac:dyDescent="0.25">
      <c r="A381" t="s">
        <v>3844</v>
      </c>
      <c r="B381" t="s">
        <v>13</v>
      </c>
      <c r="C381" t="s">
        <v>3845</v>
      </c>
      <c r="D381" t="s">
        <v>3846</v>
      </c>
      <c r="E381" t="s">
        <v>3847</v>
      </c>
      <c r="F381" t="s">
        <v>210</v>
      </c>
      <c r="G381" t="s">
        <v>3848</v>
      </c>
      <c r="H381" t="s">
        <v>578</v>
      </c>
      <c r="I381" t="s">
        <v>19</v>
      </c>
      <c r="J381" s="3" t="s">
        <v>3849</v>
      </c>
      <c r="K381" t="s">
        <v>3850</v>
      </c>
      <c r="L381" t="s">
        <v>678</v>
      </c>
      <c r="M381" t="s">
        <v>32147</v>
      </c>
    </row>
    <row r="382" spans="1:13" x14ac:dyDescent="0.25">
      <c r="A382" t="s">
        <v>4860</v>
      </c>
      <c r="B382" t="s">
        <v>13</v>
      </c>
      <c r="C382" s="1">
        <v>43561</v>
      </c>
      <c r="D382" t="s">
        <v>4861</v>
      </c>
      <c r="E382" s="2" t="s">
        <v>32234</v>
      </c>
      <c r="F382" t="s">
        <v>2036</v>
      </c>
      <c r="G382" t="s">
        <v>4862</v>
      </c>
      <c r="H382" t="s">
        <v>540</v>
      </c>
      <c r="I382" t="s">
        <v>19</v>
      </c>
      <c r="J382" s="3" t="s">
        <v>4863</v>
      </c>
      <c r="K382" t="s">
        <v>4864</v>
      </c>
      <c r="L382" t="s">
        <v>1531</v>
      </c>
      <c r="M382" t="s">
        <v>57</v>
      </c>
    </row>
    <row r="383" spans="1:13" x14ac:dyDescent="0.25">
      <c r="A383" t="s">
        <v>3011</v>
      </c>
      <c r="B383" t="s">
        <v>13</v>
      </c>
      <c r="C383" t="s">
        <v>3003</v>
      </c>
      <c r="D383" t="s">
        <v>3012</v>
      </c>
      <c r="E383" t="s">
        <v>3013</v>
      </c>
      <c r="F383" t="s">
        <v>3014</v>
      </c>
      <c r="G383" t="s">
        <v>3015</v>
      </c>
      <c r="H383" t="s">
        <v>3016</v>
      </c>
      <c r="I383" t="s">
        <v>3017</v>
      </c>
      <c r="J383" s="3">
        <v>351964449999</v>
      </c>
      <c r="K383" t="s">
        <v>3018</v>
      </c>
      <c r="L383" t="s">
        <v>3019</v>
      </c>
      <c r="M383" t="s">
        <v>57</v>
      </c>
    </row>
    <row r="384" spans="1:13" x14ac:dyDescent="0.25">
      <c r="A384" t="s">
        <v>30228</v>
      </c>
      <c r="B384" t="s">
        <v>13</v>
      </c>
      <c r="C384" t="s">
        <v>15685</v>
      </c>
      <c r="D384" t="s">
        <v>30229</v>
      </c>
      <c r="E384" t="s">
        <v>30230</v>
      </c>
      <c r="F384" t="s">
        <v>57</v>
      </c>
      <c r="G384" t="s">
        <v>15384</v>
      </c>
      <c r="H384" t="s">
        <v>299</v>
      </c>
      <c r="I384" t="s">
        <v>19</v>
      </c>
      <c r="J384" s="3" t="s">
        <v>30231</v>
      </c>
      <c r="K384" t="s">
        <v>28953</v>
      </c>
      <c r="L384" t="s">
        <v>2621</v>
      </c>
      <c r="M384" t="s">
        <v>57</v>
      </c>
    </row>
    <row r="385" spans="1:13" x14ac:dyDescent="0.25">
      <c r="A385" t="s">
        <v>28261</v>
      </c>
      <c r="B385" t="s">
        <v>13</v>
      </c>
      <c r="C385" t="s">
        <v>28258</v>
      </c>
      <c r="D385" t="s">
        <v>28262</v>
      </c>
      <c r="E385" t="s">
        <v>28263</v>
      </c>
      <c r="F385" t="s">
        <v>2036</v>
      </c>
      <c r="G385" t="s">
        <v>28264</v>
      </c>
      <c r="H385" t="s">
        <v>36</v>
      </c>
      <c r="I385" t="s">
        <v>19</v>
      </c>
      <c r="J385" s="3">
        <v>551120706433</v>
      </c>
      <c r="K385" t="s">
        <v>28265</v>
      </c>
      <c r="L385" t="s">
        <v>3867</v>
      </c>
      <c r="M385" t="s">
        <v>57</v>
      </c>
    </row>
    <row r="386" spans="1:13" x14ac:dyDescent="0.25">
      <c r="A386" t="s">
        <v>12988</v>
      </c>
      <c r="B386" t="s">
        <v>13</v>
      </c>
      <c r="C386" s="1">
        <v>44138</v>
      </c>
      <c r="D386" t="s">
        <v>12989</v>
      </c>
      <c r="E386" t="s">
        <v>12990</v>
      </c>
      <c r="F386" t="s">
        <v>57</v>
      </c>
      <c r="G386" t="s">
        <v>12991</v>
      </c>
      <c r="H386" t="s">
        <v>195</v>
      </c>
      <c r="I386" t="s">
        <v>19</v>
      </c>
      <c r="J386" s="3" t="s">
        <v>12992</v>
      </c>
      <c r="K386" t="s">
        <v>12993</v>
      </c>
      <c r="L386" t="s">
        <v>197</v>
      </c>
      <c r="M386" t="s">
        <v>57</v>
      </c>
    </row>
    <row r="387" spans="1:13" x14ac:dyDescent="0.25">
      <c r="A387" t="s">
        <v>24909</v>
      </c>
      <c r="B387" t="s">
        <v>13</v>
      </c>
      <c r="C387" s="1">
        <v>42044</v>
      </c>
      <c r="D387" t="s">
        <v>24910</v>
      </c>
      <c r="E387" t="s">
        <v>24911</v>
      </c>
      <c r="F387" t="s">
        <v>57</v>
      </c>
      <c r="G387" t="s">
        <v>24912</v>
      </c>
      <c r="H387" t="s">
        <v>36</v>
      </c>
      <c r="I387" t="s">
        <v>19</v>
      </c>
      <c r="J387" s="3" t="s">
        <v>24913</v>
      </c>
      <c r="K387" t="s">
        <v>24914</v>
      </c>
      <c r="L387" t="s">
        <v>24915</v>
      </c>
      <c r="M387" t="s">
        <v>57</v>
      </c>
    </row>
    <row r="388" spans="1:13" x14ac:dyDescent="0.25">
      <c r="A388" t="s">
        <v>17291</v>
      </c>
      <c r="B388" t="s">
        <v>13</v>
      </c>
      <c r="C388" s="1">
        <v>43591</v>
      </c>
      <c r="D388" t="s">
        <v>17292</v>
      </c>
      <c r="E388" t="s">
        <v>17293</v>
      </c>
      <c r="F388" t="s">
        <v>2036</v>
      </c>
      <c r="G388" t="s">
        <v>17294</v>
      </c>
      <c r="H388" t="s">
        <v>36</v>
      </c>
      <c r="I388" t="s">
        <v>19</v>
      </c>
      <c r="J388" s="3" t="s">
        <v>17295</v>
      </c>
      <c r="K388" t="s">
        <v>17296</v>
      </c>
      <c r="L388" t="s">
        <v>2768</v>
      </c>
      <c r="M388" t="s">
        <v>57</v>
      </c>
    </row>
    <row r="389" spans="1:13" x14ac:dyDescent="0.25">
      <c r="A389" t="s">
        <v>12362</v>
      </c>
      <c r="B389" t="s">
        <v>13</v>
      </c>
      <c r="C389" s="1">
        <v>43168</v>
      </c>
      <c r="D389" t="s">
        <v>12363</v>
      </c>
      <c r="E389" t="s">
        <v>12364</v>
      </c>
      <c r="F389" t="s">
        <v>2036</v>
      </c>
      <c r="G389" t="s">
        <v>9809</v>
      </c>
      <c r="H389" t="s">
        <v>7504</v>
      </c>
      <c r="I389" t="s">
        <v>19</v>
      </c>
      <c r="J389" s="3">
        <f>55-61-999481115</f>
        <v>-999481121</v>
      </c>
      <c r="K389" t="s">
        <v>9810</v>
      </c>
      <c r="L389" t="s">
        <v>4378</v>
      </c>
      <c r="M389" t="s">
        <v>57</v>
      </c>
    </row>
    <row r="390" spans="1:13" x14ac:dyDescent="0.25">
      <c r="A390" t="s">
        <v>20310</v>
      </c>
      <c r="B390" t="s">
        <v>13</v>
      </c>
      <c r="C390" t="s">
        <v>15757</v>
      </c>
      <c r="D390" t="s">
        <v>20311</v>
      </c>
      <c r="E390" s="2" t="s">
        <v>31246</v>
      </c>
      <c r="F390" t="s">
        <v>1190</v>
      </c>
      <c r="G390" t="s">
        <v>4524</v>
      </c>
      <c r="H390" t="s">
        <v>265</v>
      </c>
      <c r="I390" t="s">
        <v>19</v>
      </c>
      <c r="J390" s="3">
        <f>55-16-997045414</f>
        <v>-997045375</v>
      </c>
      <c r="K390" t="s">
        <v>4525</v>
      </c>
      <c r="L390" t="s">
        <v>20312</v>
      </c>
      <c r="M390" t="s">
        <v>432</v>
      </c>
    </row>
    <row r="391" spans="1:13" x14ac:dyDescent="0.25">
      <c r="A391" t="s">
        <v>17278</v>
      </c>
      <c r="B391" t="s">
        <v>13</v>
      </c>
      <c r="C391" s="1">
        <v>43591</v>
      </c>
      <c r="D391" t="s">
        <v>17279</v>
      </c>
      <c r="E391" t="s">
        <v>15663</v>
      </c>
      <c r="F391" t="s">
        <v>4639</v>
      </c>
      <c r="G391" t="s">
        <v>1621</v>
      </c>
      <c r="H391" t="s">
        <v>1622</v>
      </c>
      <c r="I391" t="s">
        <v>19</v>
      </c>
      <c r="J391" s="3" t="s">
        <v>1623</v>
      </c>
      <c r="K391" t="s">
        <v>1624</v>
      </c>
      <c r="L391" t="s">
        <v>10697</v>
      </c>
      <c r="M391" t="s">
        <v>785</v>
      </c>
    </row>
    <row r="392" spans="1:13" x14ac:dyDescent="0.25">
      <c r="A392" t="s">
        <v>15661</v>
      </c>
      <c r="B392" t="s">
        <v>101</v>
      </c>
      <c r="C392" s="1">
        <v>43687</v>
      </c>
      <c r="D392" t="s">
        <v>15662</v>
      </c>
      <c r="E392" t="s">
        <v>15663</v>
      </c>
      <c r="F392" t="s">
        <v>4639</v>
      </c>
      <c r="G392" t="s">
        <v>1621</v>
      </c>
      <c r="H392" t="s">
        <v>1622</v>
      </c>
      <c r="I392" t="s">
        <v>19</v>
      </c>
      <c r="J392" s="3" t="s">
        <v>1623</v>
      </c>
      <c r="K392" t="s">
        <v>1624</v>
      </c>
      <c r="L392" t="s">
        <v>10697</v>
      </c>
      <c r="M392" t="s">
        <v>785</v>
      </c>
    </row>
    <row r="393" spans="1:13" x14ac:dyDescent="0.25">
      <c r="A393" t="s">
        <v>25534</v>
      </c>
      <c r="B393" t="s">
        <v>13</v>
      </c>
      <c r="C393" s="1">
        <v>42622</v>
      </c>
      <c r="D393" t="s">
        <v>25535</v>
      </c>
      <c r="E393" t="s">
        <v>25536</v>
      </c>
      <c r="F393" t="s">
        <v>1190</v>
      </c>
      <c r="G393" t="s">
        <v>25537</v>
      </c>
      <c r="H393" t="s">
        <v>1047</v>
      </c>
      <c r="I393" t="s">
        <v>19</v>
      </c>
      <c r="J393" s="3" t="s">
        <v>25538</v>
      </c>
      <c r="K393" t="s">
        <v>25539</v>
      </c>
      <c r="L393" t="s">
        <v>13180</v>
      </c>
      <c r="M393" t="s">
        <v>32162</v>
      </c>
    </row>
    <row r="394" spans="1:13" x14ac:dyDescent="0.25">
      <c r="A394" t="s">
        <v>27723</v>
      </c>
      <c r="B394" t="s">
        <v>13</v>
      </c>
      <c r="C394" t="s">
        <v>27710</v>
      </c>
      <c r="D394" t="s">
        <v>27724</v>
      </c>
      <c r="E394" t="s">
        <v>4758</v>
      </c>
      <c r="F394" t="s">
        <v>432</v>
      </c>
      <c r="G394" t="s">
        <v>27725</v>
      </c>
      <c r="H394" t="s">
        <v>472</v>
      </c>
      <c r="I394" t="s">
        <v>19</v>
      </c>
      <c r="J394" s="3" t="s">
        <v>27726</v>
      </c>
      <c r="K394" t="s">
        <v>27727</v>
      </c>
      <c r="L394" t="s">
        <v>27728</v>
      </c>
      <c r="M394" t="s">
        <v>432</v>
      </c>
    </row>
    <row r="395" spans="1:13" x14ac:dyDescent="0.25">
      <c r="A395" t="s">
        <v>20339</v>
      </c>
      <c r="B395" t="s">
        <v>13</v>
      </c>
      <c r="C395" t="s">
        <v>20322</v>
      </c>
      <c r="D395" t="s">
        <v>20340</v>
      </c>
      <c r="E395" t="s">
        <v>425</v>
      </c>
      <c r="F395" t="s">
        <v>432</v>
      </c>
      <c r="G395" t="s">
        <v>20341</v>
      </c>
      <c r="H395" t="s">
        <v>472</v>
      </c>
      <c r="I395" t="s">
        <v>19</v>
      </c>
      <c r="J395" s="3">
        <f>55-81-21268000</f>
        <v>-21268026</v>
      </c>
      <c r="K395" t="s">
        <v>20342</v>
      </c>
      <c r="L395" t="s">
        <v>2101</v>
      </c>
      <c r="M395" t="s">
        <v>432</v>
      </c>
    </row>
    <row r="396" spans="1:13" x14ac:dyDescent="0.25">
      <c r="A396" t="s">
        <v>8476</v>
      </c>
      <c r="B396" t="s">
        <v>13</v>
      </c>
      <c r="C396" t="s">
        <v>8477</v>
      </c>
      <c r="D396" t="s">
        <v>8478</v>
      </c>
      <c r="E396" t="s">
        <v>425</v>
      </c>
      <c r="F396" t="s">
        <v>432</v>
      </c>
      <c r="G396" t="s">
        <v>8479</v>
      </c>
      <c r="H396" t="s">
        <v>105</v>
      </c>
      <c r="I396" t="s">
        <v>19</v>
      </c>
      <c r="J396" s="3" t="s">
        <v>8480</v>
      </c>
      <c r="K396" t="s">
        <v>8481</v>
      </c>
      <c r="L396" t="s">
        <v>8482</v>
      </c>
      <c r="M396" t="s">
        <v>432</v>
      </c>
    </row>
    <row r="397" spans="1:13" x14ac:dyDescent="0.25">
      <c r="A397" t="s">
        <v>9949</v>
      </c>
      <c r="B397" t="s">
        <v>13</v>
      </c>
      <c r="C397" s="1">
        <v>43839</v>
      </c>
      <c r="D397" t="s">
        <v>9950</v>
      </c>
      <c r="E397" t="s">
        <v>425</v>
      </c>
      <c r="F397" t="s">
        <v>432</v>
      </c>
      <c r="G397" t="s">
        <v>9951</v>
      </c>
      <c r="H397" t="s">
        <v>9952</v>
      </c>
      <c r="I397" t="s">
        <v>19</v>
      </c>
      <c r="J397" s="3">
        <f>55-85-988659940</f>
        <v>-988659970</v>
      </c>
      <c r="K397" t="s">
        <v>9953</v>
      </c>
      <c r="L397" t="s">
        <v>1909</v>
      </c>
      <c r="M397" t="s">
        <v>432</v>
      </c>
    </row>
    <row r="398" spans="1:13" x14ac:dyDescent="0.25">
      <c r="A398" t="s">
        <v>24935</v>
      </c>
      <c r="B398" t="s">
        <v>13</v>
      </c>
      <c r="C398" t="s">
        <v>24936</v>
      </c>
      <c r="D398" t="s">
        <v>24937</v>
      </c>
      <c r="E398" t="s">
        <v>425</v>
      </c>
      <c r="F398" t="s">
        <v>1190</v>
      </c>
      <c r="G398" t="s">
        <v>24938</v>
      </c>
      <c r="H398" t="s">
        <v>489</v>
      </c>
      <c r="I398" t="s">
        <v>19</v>
      </c>
      <c r="J398" s="3" t="s">
        <v>24939</v>
      </c>
      <c r="K398" t="s">
        <v>24940</v>
      </c>
      <c r="L398" t="s">
        <v>625</v>
      </c>
      <c r="M398" t="s">
        <v>432</v>
      </c>
    </row>
    <row r="399" spans="1:13" x14ac:dyDescent="0.25">
      <c r="A399" t="s">
        <v>18076</v>
      </c>
      <c r="B399" t="s">
        <v>13</v>
      </c>
      <c r="C399" t="s">
        <v>18077</v>
      </c>
      <c r="D399" t="s">
        <v>18078</v>
      </c>
      <c r="E399" t="s">
        <v>425</v>
      </c>
      <c r="F399" t="s">
        <v>1190</v>
      </c>
      <c r="G399" t="s">
        <v>18079</v>
      </c>
      <c r="H399" t="s">
        <v>4005</v>
      </c>
      <c r="I399" t="s">
        <v>19</v>
      </c>
      <c r="J399" s="3">
        <f>55-53-32374621</f>
        <v>-32374619</v>
      </c>
      <c r="K399" t="s">
        <v>18080</v>
      </c>
      <c r="L399" t="s">
        <v>18081</v>
      </c>
      <c r="M399" t="s">
        <v>432</v>
      </c>
    </row>
    <row r="400" spans="1:13" x14ac:dyDescent="0.25">
      <c r="A400" t="s">
        <v>422</v>
      </c>
      <c r="B400" t="s">
        <v>13</v>
      </c>
      <c r="C400" t="s">
        <v>423</v>
      </c>
      <c r="D400" t="s">
        <v>424</v>
      </c>
      <c r="E400" t="s">
        <v>425</v>
      </c>
      <c r="F400" t="s">
        <v>426</v>
      </c>
      <c r="G400" t="s">
        <v>427</v>
      </c>
      <c r="H400" t="s">
        <v>428</v>
      </c>
      <c r="I400" t="s">
        <v>19</v>
      </c>
      <c r="J400" s="3" t="s">
        <v>429</v>
      </c>
      <c r="K400" t="s">
        <v>430</v>
      </c>
      <c r="L400" t="s">
        <v>431</v>
      </c>
      <c r="M400" t="s">
        <v>432</v>
      </c>
    </row>
    <row r="401" spans="1:13" x14ac:dyDescent="0.25">
      <c r="A401" t="s">
        <v>9123</v>
      </c>
      <c r="B401" t="s">
        <v>13</v>
      </c>
      <c r="C401" s="1">
        <v>43962</v>
      </c>
      <c r="D401" t="s">
        <v>9124</v>
      </c>
      <c r="E401" s="2" t="s">
        <v>31861</v>
      </c>
      <c r="F401" t="s">
        <v>1190</v>
      </c>
      <c r="G401" t="s">
        <v>9125</v>
      </c>
      <c r="H401" t="s">
        <v>1335</v>
      </c>
      <c r="I401" t="s">
        <v>19</v>
      </c>
      <c r="J401" s="3">
        <v>5543999816540</v>
      </c>
      <c r="K401" t="s">
        <v>9126</v>
      </c>
      <c r="L401" t="s">
        <v>9127</v>
      </c>
      <c r="M401" t="s">
        <v>432</v>
      </c>
    </row>
    <row r="402" spans="1:13" x14ac:dyDescent="0.25">
      <c r="A402" t="s">
        <v>10948</v>
      </c>
      <c r="B402" t="s">
        <v>13</v>
      </c>
      <c r="C402" t="s">
        <v>10921</v>
      </c>
      <c r="D402" t="s">
        <v>10949</v>
      </c>
      <c r="E402" s="2" t="s">
        <v>31008</v>
      </c>
      <c r="F402" t="s">
        <v>1190</v>
      </c>
      <c r="G402" t="s">
        <v>10950</v>
      </c>
      <c r="H402" t="s">
        <v>753</v>
      </c>
      <c r="I402" t="s">
        <v>19</v>
      </c>
      <c r="J402" s="3" t="s">
        <v>10951</v>
      </c>
      <c r="K402" t="s">
        <v>10952</v>
      </c>
      <c r="L402" t="s">
        <v>10950</v>
      </c>
      <c r="M402" t="s">
        <v>432</v>
      </c>
    </row>
    <row r="403" spans="1:13" x14ac:dyDescent="0.25">
      <c r="A403" t="s">
        <v>5325</v>
      </c>
      <c r="B403" t="s">
        <v>101</v>
      </c>
      <c r="C403" t="s">
        <v>5311</v>
      </c>
      <c r="D403" t="s">
        <v>32135</v>
      </c>
      <c r="E403" s="2" t="s">
        <v>32132</v>
      </c>
      <c r="F403" t="s">
        <v>426</v>
      </c>
      <c r="G403" t="s">
        <v>307</v>
      </c>
      <c r="H403" t="s">
        <v>308</v>
      </c>
      <c r="I403" t="s">
        <v>309</v>
      </c>
      <c r="J403" s="3" t="s">
        <v>310</v>
      </c>
      <c r="K403" t="s">
        <v>311</v>
      </c>
      <c r="L403" t="s">
        <v>312</v>
      </c>
      <c r="M403" t="s">
        <v>32162</v>
      </c>
    </row>
    <row r="404" spans="1:13" x14ac:dyDescent="0.25">
      <c r="A404" t="s">
        <v>30030</v>
      </c>
      <c r="B404" t="s">
        <v>13</v>
      </c>
      <c r="C404" s="1">
        <v>41218</v>
      </c>
      <c r="D404" t="s">
        <v>30031</v>
      </c>
      <c r="E404" t="s">
        <v>30032</v>
      </c>
      <c r="F404" t="s">
        <v>1190</v>
      </c>
      <c r="G404" t="s">
        <v>30033</v>
      </c>
      <c r="H404" t="s">
        <v>5928</v>
      </c>
      <c r="I404" t="s">
        <v>19</v>
      </c>
      <c r="J404" s="3" t="s">
        <v>30034</v>
      </c>
      <c r="K404" t="s">
        <v>30035</v>
      </c>
      <c r="L404" t="s">
        <v>223</v>
      </c>
      <c r="M404" t="s">
        <v>432</v>
      </c>
    </row>
    <row r="405" spans="1:13" x14ac:dyDescent="0.25">
      <c r="A405" t="s">
        <v>10020</v>
      </c>
      <c r="B405" t="s">
        <v>13</v>
      </c>
      <c r="C405" t="s">
        <v>7112</v>
      </c>
      <c r="D405" t="s">
        <v>10021</v>
      </c>
      <c r="E405" t="s">
        <v>10022</v>
      </c>
      <c r="F405" t="s">
        <v>1190</v>
      </c>
      <c r="G405" t="s">
        <v>10023</v>
      </c>
      <c r="H405" t="s">
        <v>45</v>
      </c>
      <c r="I405" t="s">
        <v>19</v>
      </c>
      <c r="J405" s="3" t="s">
        <v>10024</v>
      </c>
      <c r="K405" t="s">
        <v>10025</v>
      </c>
      <c r="L405" t="s">
        <v>1909</v>
      </c>
      <c r="M405" t="s">
        <v>432</v>
      </c>
    </row>
    <row r="406" spans="1:13" x14ac:dyDescent="0.25">
      <c r="A406" t="s">
        <v>2613</v>
      </c>
      <c r="B406" t="s">
        <v>101</v>
      </c>
      <c r="C406" s="1">
        <v>44812</v>
      </c>
      <c r="D406" t="s">
        <v>2614</v>
      </c>
      <c r="E406" t="s">
        <v>2368</v>
      </c>
      <c r="F406" t="s">
        <v>2615</v>
      </c>
      <c r="G406" t="s">
        <v>2369</v>
      </c>
      <c r="H406" t="s">
        <v>936</v>
      </c>
      <c r="I406" t="s">
        <v>19</v>
      </c>
      <c r="J406" s="3">
        <v>55071991985948</v>
      </c>
      <c r="K406" t="s">
        <v>2370</v>
      </c>
      <c r="L406" t="s">
        <v>2371</v>
      </c>
      <c r="M406" t="s">
        <v>432</v>
      </c>
    </row>
    <row r="407" spans="1:13" x14ac:dyDescent="0.25">
      <c r="A407" t="s">
        <v>2365</v>
      </c>
      <c r="B407" t="s">
        <v>13</v>
      </c>
      <c r="C407" t="s">
        <v>2366</v>
      </c>
      <c r="D407" t="s">
        <v>2367</v>
      </c>
      <c r="E407" s="2" t="s">
        <v>30732</v>
      </c>
      <c r="F407" t="s">
        <v>425</v>
      </c>
      <c r="G407" t="s">
        <v>2369</v>
      </c>
      <c r="H407" t="s">
        <v>936</v>
      </c>
      <c r="I407" t="s">
        <v>19</v>
      </c>
      <c r="J407" s="3">
        <v>55071991985948</v>
      </c>
      <c r="K407" t="s">
        <v>2370</v>
      </c>
      <c r="L407" t="s">
        <v>2371</v>
      </c>
      <c r="M407" t="s">
        <v>432</v>
      </c>
    </row>
    <row r="408" spans="1:13" x14ac:dyDescent="0.25">
      <c r="A408" t="s">
        <v>19754</v>
      </c>
      <c r="B408" t="s">
        <v>13</v>
      </c>
      <c r="C408" s="1">
        <v>43229</v>
      </c>
      <c r="D408" t="s">
        <v>19755</v>
      </c>
      <c r="E408" t="s">
        <v>2570</v>
      </c>
      <c r="F408" t="s">
        <v>4338</v>
      </c>
      <c r="G408" t="s">
        <v>19756</v>
      </c>
      <c r="H408" t="s">
        <v>255</v>
      </c>
      <c r="I408" t="s">
        <v>19</v>
      </c>
      <c r="J408" s="3">
        <f>55-62-992245555</f>
        <v>-992245562</v>
      </c>
      <c r="K408" t="s">
        <v>19757</v>
      </c>
      <c r="L408" t="s">
        <v>19758</v>
      </c>
      <c r="M408" t="s">
        <v>1432</v>
      </c>
    </row>
    <row r="409" spans="1:13" x14ac:dyDescent="0.25">
      <c r="A409" t="s">
        <v>626</v>
      </c>
      <c r="B409" t="s">
        <v>13</v>
      </c>
      <c r="C409" s="1">
        <v>45170</v>
      </c>
      <c r="D409" t="s">
        <v>627</v>
      </c>
      <c r="E409" t="s">
        <v>628</v>
      </c>
      <c r="F409" t="s">
        <v>629</v>
      </c>
      <c r="G409" t="s">
        <v>630</v>
      </c>
      <c r="H409" t="s">
        <v>428</v>
      </c>
      <c r="I409" t="s">
        <v>19</v>
      </c>
      <c r="J409" s="3" t="s">
        <v>631</v>
      </c>
      <c r="K409" t="s">
        <v>632</v>
      </c>
      <c r="L409" t="s">
        <v>633</v>
      </c>
      <c r="M409" t="s">
        <v>771</v>
      </c>
    </row>
    <row r="410" spans="1:13" x14ac:dyDescent="0.25">
      <c r="A410" t="s">
        <v>21371</v>
      </c>
      <c r="B410" t="s">
        <v>13</v>
      </c>
      <c r="C410" t="s">
        <v>7645</v>
      </c>
      <c r="D410" t="s">
        <v>21372</v>
      </c>
      <c r="E410" s="2" t="s">
        <v>31286</v>
      </c>
      <c r="F410" t="s">
        <v>224</v>
      </c>
      <c r="G410" t="s">
        <v>21373</v>
      </c>
      <c r="H410" t="s">
        <v>936</v>
      </c>
      <c r="I410" t="s">
        <v>19</v>
      </c>
      <c r="J410" s="3" t="s">
        <v>21374</v>
      </c>
      <c r="K410" t="s">
        <v>21375</v>
      </c>
      <c r="L410" t="s">
        <v>8724</v>
      </c>
      <c r="M410" t="s">
        <v>224</v>
      </c>
    </row>
    <row r="411" spans="1:13" x14ac:dyDescent="0.25">
      <c r="A411" t="s">
        <v>16060</v>
      </c>
      <c r="B411" t="s">
        <v>13</v>
      </c>
      <c r="C411" t="s">
        <v>10388</v>
      </c>
      <c r="D411" t="s">
        <v>16061</v>
      </c>
      <c r="E411" t="s">
        <v>16062</v>
      </c>
      <c r="F411" t="s">
        <v>771</v>
      </c>
      <c r="G411" t="s">
        <v>16063</v>
      </c>
      <c r="H411" t="s">
        <v>936</v>
      </c>
      <c r="I411" t="s">
        <v>19</v>
      </c>
      <c r="J411" s="3">
        <f>55-71-21320741</f>
        <v>-21320757</v>
      </c>
      <c r="K411" t="s">
        <v>16064</v>
      </c>
      <c r="L411" t="s">
        <v>2654</v>
      </c>
      <c r="M411" t="s">
        <v>771</v>
      </c>
    </row>
    <row r="412" spans="1:13" x14ac:dyDescent="0.25">
      <c r="A412" t="s">
        <v>18709</v>
      </c>
      <c r="B412" t="s">
        <v>13</v>
      </c>
      <c r="C412" t="s">
        <v>18710</v>
      </c>
      <c r="D412" t="s">
        <v>18711</v>
      </c>
      <c r="E412" t="s">
        <v>6426</v>
      </c>
      <c r="F412" t="s">
        <v>2947</v>
      </c>
      <c r="G412" t="s">
        <v>18712</v>
      </c>
      <c r="H412" t="s">
        <v>18713</v>
      </c>
      <c r="I412" t="s">
        <v>19</v>
      </c>
      <c r="J412" s="3">
        <f>55-37-999150999</f>
        <v>-999150981</v>
      </c>
      <c r="K412" t="s">
        <v>18714</v>
      </c>
      <c r="L412" t="s">
        <v>18715</v>
      </c>
      <c r="M412" t="s">
        <v>771</v>
      </c>
    </row>
    <row r="413" spans="1:13" x14ac:dyDescent="0.25">
      <c r="A413" t="s">
        <v>27082</v>
      </c>
      <c r="B413" t="s">
        <v>101</v>
      </c>
      <c r="C413" t="s">
        <v>27076</v>
      </c>
      <c r="D413" t="s">
        <v>27083</v>
      </c>
      <c r="E413" t="s">
        <v>6426</v>
      </c>
      <c r="F413" t="s">
        <v>771</v>
      </c>
      <c r="G413" t="s">
        <v>27084</v>
      </c>
      <c r="H413" t="s">
        <v>150</v>
      </c>
      <c r="I413" t="s">
        <v>19</v>
      </c>
      <c r="J413" s="3">
        <v>5511999812401</v>
      </c>
      <c r="K413" t="s">
        <v>27085</v>
      </c>
      <c r="L413" t="s">
        <v>321</v>
      </c>
      <c r="M413" t="s">
        <v>771</v>
      </c>
    </row>
    <row r="414" spans="1:13" x14ac:dyDescent="0.25">
      <c r="A414" t="s">
        <v>23325</v>
      </c>
      <c r="B414" t="s">
        <v>13</v>
      </c>
      <c r="C414" t="s">
        <v>23294</v>
      </c>
      <c r="D414" t="s">
        <v>23326</v>
      </c>
      <c r="E414" t="s">
        <v>23327</v>
      </c>
      <c r="F414" t="s">
        <v>2947</v>
      </c>
      <c r="G414" t="s">
        <v>23328</v>
      </c>
      <c r="H414" t="s">
        <v>23329</v>
      </c>
      <c r="I414" t="s">
        <v>19</v>
      </c>
      <c r="J414" s="3" t="s">
        <v>23330</v>
      </c>
      <c r="K414" t="s">
        <v>23331</v>
      </c>
      <c r="L414" t="s">
        <v>23332</v>
      </c>
      <c r="M414" t="s">
        <v>771</v>
      </c>
    </row>
    <row r="415" spans="1:13" x14ac:dyDescent="0.25">
      <c r="A415" t="s">
        <v>29299</v>
      </c>
      <c r="B415" t="s">
        <v>13</v>
      </c>
      <c r="C415" t="s">
        <v>29300</v>
      </c>
      <c r="D415" t="s">
        <v>29301</v>
      </c>
      <c r="E415" t="s">
        <v>29302</v>
      </c>
      <c r="F415" t="s">
        <v>771</v>
      </c>
      <c r="G415" t="s">
        <v>11055</v>
      </c>
      <c r="H415" t="s">
        <v>1037</v>
      </c>
      <c r="I415" t="s">
        <v>19</v>
      </c>
      <c r="J415" s="3" t="s">
        <v>24921</v>
      </c>
      <c r="K415" t="s">
        <v>11057</v>
      </c>
      <c r="L415" t="s">
        <v>1040</v>
      </c>
      <c r="M415" t="s">
        <v>771</v>
      </c>
    </row>
    <row r="416" spans="1:13" x14ac:dyDescent="0.25">
      <c r="A416" t="s">
        <v>6424</v>
      </c>
      <c r="B416" t="s">
        <v>101</v>
      </c>
      <c r="C416" s="1">
        <v>44539</v>
      </c>
      <c r="D416" t="s">
        <v>6425</v>
      </c>
      <c r="E416" s="2" t="s">
        <v>31474</v>
      </c>
      <c r="F416" t="s">
        <v>546</v>
      </c>
      <c r="G416" t="s">
        <v>6427</v>
      </c>
      <c r="H416" t="s">
        <v>642</v>
      </c>
      <c r="I416" t="s">
        <v>19</v>
      </c>
      <c r="J416" s="3" t="s">
        <v>6428</v>
      </c>
      <c r="K416" t="s">
        <v>6429</v>
      </c>
      <c r="L416" t="s">
        <v>32135</v>
      </c>
      <c r="M416" t="s">
        <v>32145</v>
      </c>
    </row>
    <row r="417" spans="1:13" x14ac:dyDescent="0.25">
      <c r="A417" t="s">
        <v>20218</v>
      </c>
      <c r="B417" t="s">
        <v>13</v>
      </c>
      <c r="C417" s="1">
        <v>43108</v>
      </c>
      <c r="D417" t="s">
        <v>20219</v>
      </c>
      <c r="E417" s="2" t="s">
        <v>31755</v>
      </c>
      <c r="F417" t="s">
        <v>117</v>
      </c>
      <c r="G417" t="s">
        <v>20220</v>
      </c>
      <c r="H417" t="s">
        <v>4948</v>
      </c>
      <c r="I417" t="s">
        <v>19</v>
      </c>
      <c r="J417" s="3">
        <f>55-15-991435094</f>
        <v>-991435054</v>
      </c>
      <c r="K417" t="s">
        <v>20221</v>
      </c>
      <c r="L417" t="s">
        <v>12159</v>
      </c>
      <c r="M417" t="s">
        <v>32145</v>
      </c>
    </row>
    <row r="418" spans="1:13" x14ac:dyDescent="0.25">
      <c r="A418" t="s">
        <v>24172</v>
      </c>
      <c r="B418" t="s">
        <v>13</v>
      </c>
      <c r="C418" t="s">
        <v>24173</v>
      </c>
      <c r="D418" t="s">
        <v>24174</v>
      </c>
      <c r="E418" s="2" t="s">
        <v>32108</v>
      </c>
      <c r="F418" t="s">
        <v>2947</v>
      </c>
      <c r="G418" t="s">
        <v>24104</v>
      </c>
      <c r="H418" t="s">
        <v>893</v>
      </c>
      <c r="I418" t="s">
        <v>19</v>
      </c>
      <c r="J418" s="3" t="s">
        <v>24105</v>
      </c>
      <c r="K418" t="s">
        <v>24106</v>
      </c>
      <c r="L418" t="s">
        <v>13342</v>
      </c>
      <c r="M418" t="s">
        <v>771</v>
      </c>
    </row>
    <row r="419" spans="1:13" x14ac:dyDescent="0.25">
      <c r="A419" t="s">
        <v>24101</v>
      </c>
      <c r="B419" t="s">
        <v>13</v>
      </c>
      <c r="C419" t="s">
        <v>24102</v>
      </c>
      <c r="D419" t="s">
        <v>24103</v>
      </c>
      <c r="E419" s="2" t="s">
        <v>32108</v>
      </c>
      <c r="F419" t="s">
        <v>2947</v>
      </c>
      <c r="G419" t="s">
        <v>24104</v>
      </c>
      <c r="H419" t="s">
        <v>893</v>
      </c>
      <c r="I419" t="s">
        <v>19</v>
      </c>
      <c r="J419" s="3" t="s">
        <v>24105</v>
      </c>
      <c r="K419" t="s">
        <v>24106</v>
      </c>
      <c r="L419" t="s">
        <v>13342</v>
      </c>
      <c r="M419" t="s">
        <v>771</v>
      </c>
    </row>
    <row r="420" spans="1:13" x14ac:dyDescent="0.25">
      <c r="A420" t="s">
        <v>19086</v>
      </c>
      <c r="B420" t="s">
        <v>13</v>
      </c>
      <c r="C420" s="1">
        <v>43292</v>
      </c>
      <c r="D420" t="s">
        <v>19087</v>
      </c>
      <c r="E420" t="s">
        <v>19088</v>
      </c>
      <c r="F420" t="s">
        <v>2947</v>
      </c>
      <c r="G420" t="s">
        <v>19089</v>
      </c>
      <c r="H420" t="s">
        <v>4705</v>
      </c>
      <c r="I420" t="s">
        <v>19</v>
      </c>
      <c r="J420" s="3">
        <f>55-11-981194089</f>
        <v>-981194045</v>
      </c>
      <c r="K420" t="s">
        <v>14611</v>
      </c>
      <c r="L420" t="s">
        <v>223</v>
      </c>
      <c r="M420" t="s">
        <v>771</v>
      </c>
    </row>
    <row r="421" spans="1:13" x14ac:dyDescent="0.25">
      <c r="A421" t="s">
        <v>21054</v>
      </c>
      <c r="B421" t="s">
        <v>13</v>
      </c>
      <c r="C421" t="s">
        <v>16610</v>
      </c>
      <c r="D421" t="s">
        <v>21055</v>
      </c>
      <c r="E421" s="2" t="s">
        <v>31485</v>
      </c>
      <c r="F421" t="s">
        <v>2947</v>
      </c>
      <c r="G421" t="s">
        <v>21056</v>
      </c>
      <c r="H421" t="s">
        <v>409</v>
      </c>
      <c r="I421" t="s">
        <v>19</v>
      </c>
      <c r="J421" s="3" t="s">
        <v>21057</v>
      </c>
      <c r="K421" t="s">
        <v>21058</v>
      </c>
      <c r="L421" t="s">
        <v>412</v>
      </c>
      <c r="M421" t="s">
        <v>771</v>
      </c>
    </row>
    <row r="422" spans="1:13" x14ac:dyDescent="0.25">
      <c r="A422" t="s">
        <v>10750</v>
      </c>
      <c r="B422" t="s">
        <v>13</v>
      </c>
      <c r="C422" t="s">
        <v>10729</v>
      </c>
      <c r="D422" t="s">
        <v>10751</v>
      </c>
      <c r="E422" s="2" t="s">
        <v>31004</v>
      </c>
      <c r="F422" t="s">
        <v>2947</v>
      </c>
      <c r="G422" t="s">
        <v>10752</v>
      </c>
      <c r="H422" t="s">
        <v>936</v>
      </c>
      <c r="I422" t="s">
        <v>19</v>
      </c>
      <c r="J422" s="3">
        <f>55-71-22038444</f>
        <v>-22038460</v>
      </c>
      <c r="K422" t="s">
        <v>10753</v>
      </c>
      <c r="L422" t="s">
        <v>10754</v>
      </c>
      <c r="M422" t="s">
        <v>771</v>
      </c>
    </row>
    <row r="423" spans="1:13" x14ac:dyDescent="0.25">
      <c r="A423" t="s">
        <v>9202</v>
      </c>
      <c r="B423" t="s">
        <v>13</v>
      </c>
      <c r="C423" t="s">
        <v>3351</v>
      </c>
      <c r="D423" t="s">
        <v>9203</v>
      </c>
      <c r="E423" t="s">
        <v>4726</v>
      </c>
      <c r="F423" t="s">
        <v>147</v>
      </c>
      <c r="G423" t="s">
        <v>9204</v>
      </c>
      <c r="H423" t="s">
        <v>9205</v>
      </c>
      <c r="I423" t="s">
        <v>19</v>
      </c>
      <c r="J423" s="3">
        <f>55-84-999628109</f>
        <v>-999628138</v>
      </c>
      <c r="K423" t="s">
        <v>9206</v>
      </c>
      <c r="L423" t="s">
        <v>91</v>
      </c>
      <c r="M423" t="s">
        <v>741</v>
      </c>
    </row>
    <row r="424" spans="1:13" x14ac:dyDescent="0.25">
      <c r="A424" t="s">
        <v>12251</v>
      </c>
      <c r="B424" t="s">
        <v>13</v>
      </c>
      <c r="C424" t="s">
        <v>12252</v>
      </c>
      <c r="D424" t="s">
        <v>12253</v>
      </c>
      <c r="E424" t="s">
        <v>32235</v>
      </c>
      <c r="G424" t="s">
        <v>12254</v>
      </c>
      <c r="H424" t="s">
        <v>352</v>
      </c>
      <c r="I424" t="s">
        <v>19</v>
      </c>
      <c r="J424" s="3" t="s">
        <v>12255</v>
      </c>
      <c r="K424" t="s">
        <v>12256</v>
      </c>
      <c r="L424" t="s">
        <v>12257</v>
      </c>
      <c r="M424" t="s">
        <v>1775</v>
      </c>
    </row>
    <row r="425" spans="1:13" x14ac:dyDescent="0.25">
      <c r="A425" t="s">
        <v>27668</v>
      </c>
      <c r="B425" t="s">
        <v>13</v>
      </c>
      <c r="C425" s="1">
        <v>42071</v>
      </c>
      <c r="D425" t="s">
        <v>27669</v>
      </c>
      <c r="E425" t="s">
        <v>27670</v>
      </c>
      <c r="F425" t="s">
        <v>2036</v>
      </c>
      <c r="G425" t="s">
        <v>27671</v>
      </c>
      <c r="H425" t="s">
        <v>36</v>
      </c>
      <c r="I425" t="s">
        <v>19</v>
      </c>
      <c r="J425" s="3" t="s">
        <v>27672</v>
      </c>
      <c r="K425" t="s">
        <v>27673</v>
      </c>
      <c r="L425" t="s">
        <v>1851</v>
      </c>
      <c r="M425" t="s">
        <v>57</v>
      </c>
    </row>
    <row r="426" spans="1:13" x14ac:dyDescent="0.25">
      <c r="A426" t="s">
        <v>28134</v>
      </c>
      <c r="B426" t="s">
        <v>13</v>
      </c>
      <c r="C426" t="s">
        <v>22713</v>
      </c>
      <c r="D426" t="s">
        <v>28135</v>
      </c>
      <c r="E426" t="s">
        <v>27670</v>
      </c>
      <c r="G426" t="s">
        <v>27860</v>
      </c>
      <c r="H426" t="s">
        <v>1215</v>
      </c>
      <c r="I426" t="s">
        <v>19</v>
      </c>
      <c r="J426" s="3" t="s">
        <v>27861</v>
      </c>
      <c r="K426" t="s">
        <v>27862</v>
      </c>
      <c r="L426" t="s">
        <v>27863</v>
      </c>
      <c r="M426" t="s">
        <v>1775</v>
      </c>
    </row>
    <row r="427" spans="1:13" x14ac:dyDescent="0.25">
      <c r="A427" t="s">
        <v>27858</v>
      </c>
      <c r="B427" t="s">
        <v>101</v>
      </c>
      <c r="C427" s="1">
        <v>42254</v>
      </c>
      <c r="D427" t="s">
        <v>27859</v>
      </c>
      <c r="E427" t="s">
        <v>3766</v>
      </c>
      <c r="F427" t="s">
        <v>2036</v>
      </c>
      <c r="G427" t="s">
        <v>27860</v>
      </c>
      <c r="H427" t="s">
        <v>1215</v>
      </c>
      <c r="I427" t="s">
        <v>19</v>
      </c>
      <c r="J427" s="3" t="s">
        <v>27861</v>
      </c>
      <c r="K427" t="s">
        <v>27862</v>
      </c>
      <c r="L427" t="s">
        <v>27863</v>
      </c>
      <c r="M427" t="s">
        <v>57</v>
      </c>
    </row>
    <row r="428" spans="1:13" x14ac:dyDescent="0.25">
      <c r="A428" t="s">
        <v>3261</v>
      </c>
      <c r="B428" t="s">
        <v>13</v>
      </c>
      <c r="C428" t="s">
        <v>3244</v>
      </c>
      <c r="D428" t="s">
        <v>3262</v>
      </c>
      <c r="E428" t="s">
        <v>2827</v>
      </c>
      <c r="F428" t="s">
        <v>3263</v>
      </c>
      <c r="G428" t="s">
        <v>3264</v>
      </c>
      <c r="H428" t="s">
        <v>3265</v>
      </c>
      <c r="I428" t="s">
        <v>19</v>
      </c>
      <c r="J428" s="3" t="s">
        <v>3266</v>
      </c>
      <c r="K428" t="s">
        <v>3267</v>
      </c>
      <c r="L428" t="s">
        <v>3268</v>
      </c>
      <c r="M428" t="s">
        <v>57</v>
      </c>
    </row>
    <row r="429" spans="1:13" x14ac:dyDescent="0.25">
      <c r="A429" t="s">
        <v>8860</v>
      </c>
      <c r="B429" t="s">
        <v>13</v>
      </c>
      <c r="C429" t="s">
        <v>8861</v>
      </c>
      <c r="D429" t="s">
        <v>8862</v>
      </c>
      <c r="E429" t="s">
        <v>2827</v>
      </c>
      <c r="F429" t="s">
        <v>2036</v>
      </c>
      <c r="G429" t="s">
        <v>8863</v>
      </c>
      <c r="H429" t="s">
        <v>1090</v>
      </c>
      <c r="I429" t="s">
        <v>19</v>
      </c>
      <c r="J429" s="3" t="s">
        <v>8864</v>
      </c>
      <c r="K429" t="s">
        <v>8865</v>
      </c>
      <c r="L429" t="s">
        <v>1092</v>
      </c>
      <c r="M429" t="s">
        <v>57</v>
      </c>
    </row>
    <row r="430" spans="1:13" x14ac:dyDescent="0.25">
      <c r="A430" t="s">
        <v>21108</v>
      </c>
      <c r="B430" t="s">
        <v>13</v>
      </c>
      <c r="C430" s="1">
        <v>43287</v>
      </c>
      <c r="D430" t="s">
        <v>21109</v>
      </c>
      <c r="E430" t="s">
        <v>5625</v>
      </c>
      <c r="F430" t="s">
        <v>1190</v>
      </c>
      <c r="G430" t="s">
        <v>15480</v>
      </c>
      <c r="H430" t="s">
        <v>372</v>
      </c>
      <c r="I430" t="s">
        <v>19</v>
      </c>
      <c r="J430" s="3">
        <f>55-19-31241558</f>
        <v>-31241522</v>
      </c>
      <c r="K430" t="s">
        <v>15481</v>
      </c>
      <c r="L430" t="s">
        <v>11426</v>
      </c>
      <c r="M430" t="s">
        <v>432</v>
      </c>
    </row>
    <row r="431" spans="1:13" x14ac:dyDescent="0.25">
      <c r="A431" t="s">
        <v>2826</v>
      </c>
      <c r="B431" t="s">
        <v>101</v>
      </c>
      <c r="C431" t="s">
        <v>2821</v>
      </c>
      <c r="D431" t="s">
        <v>32135</v>
      </c>
      <c r="E431" t="s">
        <v>2827</v>
      </c>
      <c r="F431" t="s">
        <v>1884</v>
      </c>
      <c r="G431" t="s">
        <v>2828</v>
      </c>
      <c r="H431" t="s">
        <v>2829</v>
      </c>
      <c r="I431" t="s">
        <v>19</v>
      </c>
      <c r="J431" s="3" t="s">
        <v>2830</v>
      </c>
      <c r="K431" t="s">
        <v>2831</v>
      </c>
      <c r="L431" t="s">
        <v>923</v>
      </c>
      <c r="M431" t="s">
        <v>1775</v>
      </c>
    </row>
    <row r="432" spans="1:13" x14ac:dyDescent="0.25">
      <c r="A432" t="s">
        <v>24746</v>
      </c>
      <c r="B432" t="s">
        <v>13</v>
      </c>
      <c r="C432" s="1">
        <v>43040</v>
      </c>
      <c r="D432" t="s">
        <v>24747</v>
      </c>
      <c r="E432" s="2" t="s">
        <v>32018</v>
      </c>
      <c r="F432" t="s">
        <v>306</v>
      </c>
      <c r="G432" t="s">
        <v>9881</v>
      </c>
      <c r="H432" t="s">
        <v>88</v>
      </c>
      <c r="I432" t="s">
        <v>19</v>
      </c>
      <c r="J432" s="3" t="s">
        <v>762</v>
      </c>
      <c r="K432" t="s">
        <v>9882</v>
      </c>
      <c r="L432" t="s">
        <v>764</v>
      </c>
      <c r="M432" t="s">
        <v>32145</v>
      </c>
    </row>
    <row r="433" spans="1:13" x14ac:dyDescent="0.25">
      <c r="A433" t="s">
        <v>14051</v>
      </c>
      <c r="B433" t="s">
        <v>13</v>
      </c>
      <c r="C433" t="s">
        <v>14039</v>
      </c>
      <c r="D433" t="s">
        <v>14052</v>
      </c>
      <c r="E433" s="2" t="s">
        <v>31970</v>
      </c>
      <c r="F433" t="s">
        <v>2758</v>
      </c>
      <c r="G433" t="s">
        <v>14053</v>
      </c>
      <c r="H433" t="s">
        <v>1486</v>
      </c>
      <c r="I433" t="s">
        <v>19</v>
      </c>
      <c r="J433" s="3">
        <f>55-34-991058114</f>
        <v>-991058093</v>
      </c>
      <c r="K433" t="s">
        <v>14054</v>
      </c>
      <c r="L433" t="s">
        <v>1489</v>
      </c>
      <c r="M433" t="s">
        <v>32149</v>
      </c>
    </row>
    <row r="434" spans="1:13" x14ac:dyDescent="0.25">
      <c r="A434" t="s">
        <v>27869</v>
      </c>
      <c r="B434" t="s">
        <v>13</v>
      </c>
      <c r="C434" s="1">
        <v>42162</v>
      </c>
      <c r="D434" t="s">
        <v>27870</v>
      </c>
      <c r="E434" t="s">
        <v>27871</v>
      </c>
      <c r="F434" t="s">
        <v>2036</v>
      </c>
      <c r="G434" t="s">
        <v>13537</v>
      </c>
      <c r="H434" t="s">
        <v>36</v>
      </c>
      <c r="I434" t="s">
        <v>19</v>
      </c>
      <c r="J434" s="3" t="s">
        <v>27872</v>
      </c>
      <c r="K434" t="s">
        <v>13538</v>
      </c>
      <c r="L434" t="s">
        <v>439</v>
      </c>
      <c r="M434" t="s">
        <v>57</v>
      </c>
    </row>
    <row r="435" spans="1:13" x14ac:dyDescent="0.25">
      <c r="A435" t="s">
        <v>19077</v>
      </c>
      <c r="B435" t="s">
        <v>13</v>
      </c>
      <c r="C435" s="1">
        <v>43323</v>
      </c>
      <c r="D435" t="s">
        <v>19078</v>
      </c>
      <c r="E435" s="2" t="s">
        <v>31936</v>
      </c>
      <c r="F435" t="s">
        <v>1464</v>
      </c>
      <c r="G435" t="s">
        <v>19079</v>
      </c>
      <c r="H435" t="s">
        <v>3618</v>
      </c>
      <c r="I435" t="s">
        <v>19</v>
      </c>
      <c r="J435" s="3">
        <v>5511984479884</v>
      </c>
      <c r="K435" t="s">
        <v>19080</v>
      </c>
      <c r="L435" t="s">
        <v>82</v>
      </c>
      <c r="M435" t="s">
        <v>1775</v>
      </c>
    </row>
    <row r="436" spans="1:13" x14ac:dyDescent="0.25">
      <c r="A436" t="s">
        <v>14316</v>
      </c>
      <c r="B436" t="s">
        <v>101</v>
      </c>
      <c r="C436" s="1">
        <v>44013</v>
      </c>
      <c r="D436" t="s">
        <v>14317</v>
      </c>
      <c r="E436" t="s">
        <v>14318</v>
      </c>
      <c r="F436" t="s">
        <v>4639</v>
      </c>
      <c r="G436" t="s">
        <v>14319</v>
      </c>
      <c r="H436" t="s">
        <v>18</v>
      </c>
      <c r="I436" t="s">
        <v>19</v>
      </c>
      <c r="J436" s="3">
        <f>55-19-35217592</f>
        <v>-35217556</v>
      </c>
      <c r="K436" t="s">
        <v>14320</v>
      </c>
      <c r="L436" t="s">
        <v>285</v>
      </c>
      <c r="M436" t="s">
        <v>785</v>
      </c>
    </row>
    <row r="437" spans="1:13" x14ac:dyDescent="0.25">
      <c r="A437" t="s">
        <v>10975</v>
      </c>
      <c r="B437" t="s">
        <v>13</v>
      </c>
      <c r="C437" t="s">
        <v>10976</v>
      </c>
      <c r="D437" t="s">
        <v>10977</v>
      </c>
      <c r="E437" s="2" t="s">
        <v>32236</v>
      </c>
      <c r="F437" t="s">
        <v>4639</v>
      </c>
      <c r="G437" t="s">
        <v>10978</v>
      </c>
      <c r="H437" t="s">
        <v>36</v>
      </c>
      <c r="I437" t="s">
        <v>19</v>
      </c>
      <c r="J437" s="3">
        <f>55-11-30617533</f>
        <v>-30617489</v>
      </c>
      <c r="K437" t="s">
        <v>10979</v>
      </c>
      <c r="L437" t="s">
        <v>9723</v>
      </c>
      <c r="M437" t="s">
        <v>785</v>
      </c>
    </row>
    <row r="438" spans="1:13" x14ac:dyDescent="0.25">
      <c r="A438" t="s">
        <v>912</v>
      </c>
      <c r="B438" t="s">
        <v>13</v>
      </c>
      <c r="C438" t="s">
        <v>913</v>
      </c>
      <c r="D438" t="s">
        <v>914</v>
      </c>
      <c r="E438" t="s">
        <v>915</v>
      </c>
      <c r="F438" t="s">
        <v>916</v>
      </c>
      <c r="G438" t="s">
        <v>307</v>
      </c>
      <c r="H438" t="s">
        <v>308</v>
      </c>
      <c r="I438" t="s">
        <v>309</v>
      </c>
      <c r="J438" s="3" t="s">
        <v>310</v>
      </c>
      <c r="K438" t="s">
        <v>311</v>
      </c>
      <c r="L438" t="s">
        <v>312</v>
      </c>
      <c r="M438" t="s">
        <v>785</v>
      </c>
    </row>
    <row r="439" spans="1:13" x14ac:dyDescent="0.25">
      <c r="A439" t="s">
        <v>17935</v>
      </c>
      <c r="B439" t="s">
        <v>13</v>
      </c>
      <c r="C439" t="s">
        <v>16588</v>
      </c>
      <c r="D439" t="s">
        <v>17936</v>
      </c>
      <c r="E439" t="s">
        <v>17937</v>
      </c>
      <c r="F439" t="s">
        <v>2947</v>
      </c>
      <c r="G439" t="s">
        <v>17938</v>
      </c>
      <c r="H439" t="s">
        <v>563</v>
      </c>
      <c r="I439" t="s">
        <v>19</v>
      </c>
      <c r="J439" s="3">
        <f>55-31984114560</f>
        <v>-31984114505</v>
      </c>
      <c r="K439" t="s">
        <v>17939</v>
      </c>
      <c r="L439" t="s">
        <v>565</v>
      </c>
      <c r="M439" t="s">
        <v>771</v>
      </c>
    </row>
    <row r="440" spans="1:13" x14ac:dyDescent="0.25">
      <c r="A440" t="s">
        <v>28146</v>
      </c>
      <c r="B440" t="s">
        <v>13</v>
      </c>
      <c r="C440" t="s">
        <v>28143</v>
      </c>
      <c r="D440" t="s">
        <v>28147</v>
      </c>
      <c r="E440" t="s">
        <v>28148</v>
      </c>
      <c r="F440" t="s">
        <v>2947</v>
      </c>
      <c r="G440" t="s">
        <v>28149</v>
      </c>
      <c r="H440" t="s">
        <v>489</v>
      </c>
      <c r="I440" t="s">
        <v>19</v>
      </c>
      <c r="J440" s="3" t="s">
        <v>28150</v>
      </c>
      <c r="K440" t="s">
        <v>28151</v>
      </c>
      <c r="L440" t="s">
        <v>28152</v>
      </c>
      <c r="M440" t="s">
        <v>771</v>
      </c>
    </row>
    <row r="441" spans="1:13" x14ac:dyDescent="0.25">
      <c r="A441" t="s">
        <v>9253</v>
      </c>
      <c r="B441" t="s">
        <v>13</v>
      </c>
      <c r="C441" s="1">
        <v>43229</v>
      </c>
      <c r="D441" t="s">
        <v>9254</v>
      </c>
      <c r="E441" t="s">
        <v>32237</v>
      </c>
      <c r="F441" t="s">
        <v>771</v>
      </c>
      <c r="G441" t="s">
        <v>9255</v>
      </c>
      <c r="H441" t="s">
        <v>721</v>
      </c>
      <c r="I441" t="s">
        <v>19</v>
      </c>
      <c r="J441" s="3">
        <v>5583998003448</v>
      </c>
      <c r="K441" t="s">
        <v>9256</v>
      </c>
      <c r="L441" t="s">
        <v>9093</v>
      </c>
      <c r="M441" t="s">
        <v>771</v>
      </c>
    </row>
    <row r="442" spans="1:13" x14ac:dyDescent="0.25">
      <c r="A442" t="s">
        <v>3109</v>
      </c>
      <c r="B442" t="s">
        <v>13</v>
      </c>
      <c r="C442" s="1">
        <v>44719</v>
      </c>
      <c r="D442" t="s">
        <v>3110</v>
      </c>
      <c r="E442" s="2" t="s">
        <v>32033</v>
      </c>
      <c r="F442" t="s">
        <v>2947</v>
      </c>
      <c r="G442" t="s">
        <v>3111</v>
      </c>
      <c r="H442" t="s">
        <v>2479</v>
      </c>
      <c r="I442" t="s">
        <v>19</v>
      </c>
      <c r="J442" s="3" t="s">
        <v>3112</v>
      </c>
      <c r="K442" t="s">
        <v>3113</v>
      </c>
      <c r="L442" t="s">
        <v>3114</v>
      </c>
      <c r="M442" t="s">
        <v>771</v>
      </c>
    </row>
    <row r="443" spans="1:13" x14ac:dyDescent="0.25">
      <c r="A443" t="s">
        <v>14603</v>
      </c>
      <c r="B443" t="s">
        <v>13</v>
      </c>
      <c r="C443" s="1">
        <v>43811</v>
      </c>
      <c r="D443" t="s">
        <v>14604</v>
      </c>
      <c r="E443" t="s">
        <v>14605</v>
      </c>
      <c r="F443" t="s">
        <v>337</v>
      </c>
      <c r="G443" t="s">
        <v>14606</v>
      </c>
      <c r="H443" t="s">
        <v>2564</v>
      </c>
      <c r="I443" t="s">
        <v>19</v>
      </c>
      <c r="J443" s="3">
        <f>55-65-3615-6229</f>
        <v>-9854</v>
      </c>
      <c r="K443" t="s">
        <v>14607</v>
      </c>
      <c r="L443" t="s">
        <v>2026</v>
      </c>
      <c r="M443" t="s">
        <v>337</v>
      </c>
    </row>
    <row r="444" spans="1:13" x14ac:dyDescent="0.25">
      <c r="A444" t="s">
        <v>9029</v>
      </c>
      <c r="B444" t="s">
        <v>13</v>
      </c>
      <c r="C444" t="s">
        <v>499</v>
      </c>
      <c r="D444" t="s">
        <v>9030</v>
      </c>
      <c r="E444" s="2" t="s">
        <v>32238</v>
      </c>
      <c r="F444" t="s">
        <v>1006</v>
      </c>
      <c r="G444" t="s">
        <v>9031</v>
      </c>
      <c r="H444" t="s">
        <v>2678</v>
      </c>
      <c r="I444" t="s">
        <v>19</v>
      </c>
      <c r="J444" s="3">
        <f>55-53-3260-2831</f>
        <v>-6089</v>
      </c>
      <c r="K444" t="s">
        <v>9032</v>
      </c>
      <c r="L444" t="s">
        <v>2677</v>
      </c>
      <c r="M444" t="s">
        <v>337</v>
      </c>
    </row>
    <row r="445" spans="1:13" x14ac:dyDescent="0.25">
      <c r="A445" t="s">
        <v>14863</v>
      </c>
      <c r="B445" t="s">
        <v>13</v>
      </c>
      <c r="C445" t="s">
        <v>14864</v>
      </c>
      <c r="D445" t="s">
        <v>14865</v>
      </c>
      <c r="E445" t="s">
        <v>14866</v>
      </c>
      <c r="F445" t="s">
        <v>3084</v>
      </c>
      <c r="G445" t="s">
        <v>14867</v>
      </c>
      <c r="H445" t="s">
        <v>36</v>
      </c>
      <c r="I445" t="s">
        <v>19</v>
      </c>
      <c r="J445" s="3" t="s">
        <v>14868</v>
      </c>
      <c r="K445" t="s">
        <v>14869</v>
      </c>
      <c r="L445" t="s">
        <v>439</v>
      </c>
      <c r="M445" t="s">
        <v>32144</v>
      </c>
    </row>
    <row r="446" spans="1:13" x14ac:dyDescent="0.25">
      <c r="A446" t="s">
        <v>8617</v>
      </c>
      <c r="B446" t="s">
        <v>13</v>
      </c>
      <c r="C446" s="1">
        <v>44317</v>
      </c>
      <c r="D446" t="s">
        <v>8618</v>
      </c>
      <c r="E446" t="s">
        <v>8619</v>
      </c>
      <c r="F446" t="s">
        <v>8620</v>
      </c>
      <c r="G446" t="s">
        <v>8621</v>
      </c>
      <c r="H446" t="s">
        <v>36</v>
      </c>
      <c r="I446" t="s">
        <v>19</v>
      </c>
      <c r="J446" s="3" t="s">
        <v>8622</v>
      </c>
      <c r="K446" t="s">
        <v>8623</v>
      </c>
      <c r="L446" t="s">
        <v>439</v>
      </c>
      <c r="M446" t="s">
        <v>32144</v>
      </c>
    </row>
    <row r="447" spans="1:13" x14ac:dyDescent="0.25">
      <c r="A447" t="s">
        <v>9047</v>
      </c>
      <c r="B447" t="s">
        <v>13</v>
      </c>
      <c r="C447" t="s">
        <v>7595</v>
      </c>
      <c r="D447" t="s">
        <v>9048</v>
      </c>
      <c r="E447" s="2" t="s">
        <v>32239</v>
      </c>
      <c r="F447" t="s">
        <v>9049</v>
      </c>
      <c r="G447" t="s">
        <v>9050</v>
      </c>
      <c r="H447" t="s">
        <v>3391</v>
      </c>
      <c r="I447" t="s">
        <v>19</v>
      </c>
      <c r="J447" s="3">
        <f>55-19-996127140</f>
        <v>-996127104</v>
      </c>
      <c r="K447" t="s">
        <v>9051</v>
      </c>
      <c r="L447" t="s">
        <v>9052</v>
      </c>
      <c r="M447" t="s">
        <v>32144</v>
      </c>
    </row>
    <row r="448" spans="1:13" x14ac:dyDescent="0.25">
      <c r="A448" t="s">
        <v>7846</v>
      </c>
      <c r="B448" t="s">
        <v>13</v>
      </c>
      <c r="C448" s="1">
        <v>44320</v>
      </c>
      <c r="D448" t="s">
        <v>7847</v>
      </c>
      <c r="E448" t="s">
        <v>7848</v>
      </c>
      <c r="F448" t="s">
        <v>7848</v>
      </c>
      <c r="G448" t="s">
        <v>7849</v>
      </c>
      <c r="H448" t="s">
        <v>706</v>
      </c>
      <c r="I448" t="s">
        <v>19</v>
      </c>
      <c r="J448" s="3">
        <f>55-31-34094592</f>
        <v>-34094568</v>
      </c>
      <c r="K448" t="s">
        <v>5802</v>
      </c>
      <c r="L448" t="s">
        <v>32135</v>
      </c>
      <c r="M448" t="s">
        <v>32144</v>
      </c>
    </row>
    <row r="449" spans="1:13" x14ac:dyDescent="0.25">
      <c r="A449" t="s">
        <v>8718</v>
      </c>
      <c r="B449" t="s">
        <v>13</v>
      </c>
      <c r="C449" t="s">
        <v>8719</v>
      </c>
      <c r="D449" t="s">
        <v>8720</v>
      </c>
      <c r="E449" t="s">
        <v>8721</v>
      </c>
      <c r="F449" t="s">
        <v>3084</v>
      </c>
      <c r="G449" t="s">
        <v>8722</v>
      </c>
      <c r="H449" t="s">
        <v>936</v>
      </c>
      <c r="I449" t="s">
        <v>19</v>
      </c>
      <c r="J449" s="3">
        <v>55071981278123</v>
      </c>
      <c r="K449" t="s">
        <v>8723</v>
      </c>
      <c r="L449" t="s">
        <v>8724</v>
      </c>
      <c r="M449" t="s">
        <v>32144</v>
      </c>
    </row>
    <row r="450" spans="1:13" x14ac:dyDescent="0.25">
      <c r="A450" t="s">
        <v>9094</v>
      </c>
      <c r="B450" t="s">
        <v>13</v>
      </c>
      <c r="C450" t="s">
        <v>3351</v>
      </c>
      <c r="D450" t="s">
        <v>9095</v>
      </c>
      <c r="E450" t="s">
        <v>9096</v>
      </c>
      <c r="F450" t="s">
        <v>9096</v>
      </c>
      <c r="G450" t="s">
        <v>9097</v>
      </c>
      <c r="H450" t="s">
        <v>2564</v>
      </c>
      <c r="I450" t="s">
        <v>19</v>
      </c>
      <c r="J450" s="3">
        <v>556536158827</v>
      </c>
      <c r="K450" t="s">
        <v>9098</v>
      </c>
      <c r="L450" t="s">
        <v>9099</v>
      </c>
      <c r="M450" t="s">
        <v>32144</v>
      </c>
    </row>
    <row r="451" spans="1:13" x14ac:dyDescent="0.25">
      <c r="A451" t="s">
        <v>23499</v>
      </c>
      <c r="B451" t="s">
        <v>13</v>
      </c>
      <c r="C451" t="s">
        <v>11911</v>
      </c>
      <c r="D451" t="s">
        <v>23500</v>
      </c>
      <c r="E451" s="2" t="s">
        <v>31931</v>
      </c>
      <c r="F451" t="s">
        <v>10500</v>
      </c>
      <c r="G451" t="s">
        <v>23501</v>
      </c>
      <c r="H451" t="s">
        <v>8449</v>
      </c>
      <c r="I451" t="s">
        <v>19</v>
      </c>
      <c r="J451" s="3" t="s">
        <v>23502</v>
      </c>
      <c r="K451" t="s">
        <v>23503</v>
      </c>
      <c r="L451" t="s">
        <v>1578</v>
      </c>
      <c r="M451" t="s">
        <v>32121</v>
      </c>
    </row>
    <row r="452" spans="1:13" x14ac:dyDescent="0.25">
      <c r="A452" t="s">
        <v>9783</v>
      </c>
      <c r="B452" t="s">
        <v>13</v>
      </c>
      <c r="C452" s="1">
        <v>44144</v>
      </c>
      <c r="D452" t="s">
        <v>9784</v>
      </c>
      <c r="E452" t="s">
        <v>9785</v>
      </c>
      <c r="F452" t="s">
        <v>3084</v>
      </c>
      <c r="G452" t="s">
        <v>9786</v>
      </c>
      <c r="H452" t="s">
        <v>36</v>
      </c>
      <c r="I452" t="s">
        <v>19</v>
      </c>
      <c r="J452" s="3" t="s">
        <v>9787</v>
      </c>
      <c r="K452" t="s">
        <v>9788</v>
      </c>
      <c r="L452" t="s">
        <v>9789</v>
      </c>
      <c r="M452" t="s">
        <v>32144</v>
      </c>
    </row>
    <row r="453" spans="1:13" x14ac:dyDescent="0.25">
      <c r="A453" t="s">
        <v>25052</v>
      </c>
      <c r="B453" t="s">
        <v>101</v>
      </c>
      <c r="C453" s="1">
        <v>42533</v>
      </c>
      <c r="D453" t="s">
        <v>25053</v>
      </c>
      <c r="E453" t="s">
        <v>9785</v>
      </c>
      <c r="F453" t="s">
        <v>3084</v>
      </c>
      <c r="G453" t="s">
        <v>25054</v>
      </c>
      <c r="H453" t="s">
        <v>615</v>
      </c>
      <c r="I453" t="s">
        <v>19</v>
      </c>
      <c r="J453" s="3" t="s">
        <v>25055</v>
      </c>
      <c r="K453" t="s">
        <v>25056</v>
      </c>
      <c r="L453" t="s">
        <v>20075</v>
      </c>
      <c r="M453" t="s">
        <v>32144</v>
      </c>
    </row>
    <row r="454" spans="1:13" x14ac:dyDescent="0.25">
      <c r="A454" t="s">
        <v>8196</v>
      </c>
      <c r="B454" t="s">
        <v>13</v>
      </c>
      <c r="C454" s="1">
        <v>44471</v>
      </c>
      <c r="D454" t="s">
        <v>8197</v>
      </c>
      <c r="E454" s="2" t="s">
        <v>31857</v>
      </c>
      <c r="F454" t="s">
        <v>1464</v>
      </c>
      <c r="G454" t="s">
        <v>8198</v>
      </c>
      <c r="H454" t="s">
        <v>3490</v>
      </c>
      <c r="I454" t="s">
        <v>19</v>
      </c>
      <c r="J454" s="3" t="s">
        <v>8199</v>
      </c>
      <c r="K454" t="s">
        <v>8200</v>
      </c>
      <c r="L454" t="s">
        <v>82</v>
      </c>
      <c r="M454" t="s">
        <v>32144</v>
      </c>
    </row>
    <row r="455" spans="1:13" x14ac:dyDescent="0.25">
      <c r="A455" t="s">
        <v>4407</v>
      </c>
      <c r="B455" t="s">
        <v>13</v>
      </c>
      <c r="C455" s="1">
        <v>44807</v>
      </c>
      <c r="D455" t="s">
        <v>32135</v>
      </c>
      <c r="E455" s="2" t="s">
        <v>32240</v>
      </c>
      <c r="F455" t="s">
        <v>4409</v>
      </c>
      <c r="G455" t="s">
        <v>4410</v>
      </c>
      <c r="H455" t="s">
        <v>45</v>
      </c>
      <c r="I455" t="s">
        <v>19</v>
      </c>
      <c r="J455" s="3">
        <v>5585999748962</v>
      </c>
      <c r="K455" t="s">
        <v>4411</v>
      </c>
      <c r="L455" t="s">
        <v>1909</v>
      </c>
      <c r="M455" t="s">
        <v>741</v>
      </c>
    </row>
    <row r="456" spans="1:13" x14ac:dyDescent="0.25">
      <c r="A456" t="s">
        <v>8776</v>
      </c>
      <c r="B456" t="s">
        <v>13</v>
      </c>
      <c r="C456" t="s">
        <v>8769</v>
      </c>
      <c r="D456" t="s">
        <v>8777</v>
      </c>
      <c r="E456" t="s">
        <v>907</v>
      </c>
      <c r="F456" t="s">
        <v>907</v>
      </c>
      <c r="G456" t="s">
        <v>8778</v>
      </c>
      <c r="H456" t="s">
        <v>1090</v>
      </c>
      <c r="I456" t="s">
        <v>19</v>
      </c>
      <c r="J456" s="3">
        <f>55-83986104726</f>
        <v>-83986104671</v>
      </c>
      <c r="K456" t="s">
        <v>8779</v>
      </c>
      <c r="L456" t="s">
        <v>1092</v>
      </c>
      <c r="M456" t="s">
        <v>32144</v>
      </c>
    </row>
    <row r="457" spans="1:13" x14ac:dyDescent="0.25">
      <c r="A457" t="s">
        <v>8980</v>
      </c>
      <c r="B457" t="s">
        <v>13</v>
      </c>
      <c r="C457" t="s">
        <v>8974</v>
      </c>
      <c r="D457" t="s">
        <v>8981</v>
      </c>
      <c r="E457" t="s">
        <v>907</v>
      </c>
      <c r="F457" t="s">
        <v>8982</v>
      </c>
      <c r="G457" t="s">
        <v>8983</v>
      </c>
      <c r="H457" t="s">
        <v>6865</v>
      </c>
      <c r="I457" t="s">
        <v>19</v>
      </c>
      <c r="J457" s="3" t="s">
        <v>8984</v>
      </c>
      <c r="K457" t="s">
        <v>8985</v>
      </c>
      <c r="L457" t="s">
        <v>8986</v>
      </c>
      <c r="M457" t="s">
        <v>32144</v>
      </c>
    </row>
    <row r="458" spans="1:13" x14ac:dyDescent="0.25">
      <c r="A458" t="s">
        <v>905</v>
      </c>
      <c r="B458" t="s">
        <v>13</v>
      </c>
      <c r="C458" s="1">
        <v>44630</v>
      </c>
      <c r="D458" t="s">
        <v>906</v>
      </c>
      <c r="E458" t="s">
        <v>907</v>
      </c>
      <c r="F458" t="s">
        <v>908</v>
      </c>
      <c r="G458" t="s">
        <v>909</v>
      </c>
      <c r="H458" t="s">
        <v>706</v>
      </c>
      <c r="I458" t="s">
        <v>19</v>
      </c>
      <c r="J458" s="3">
        <f>55-31-34097404</f>
        <v>-34097380</v>
      </c>
      <c r="K458" t="s">
        <v>910</v>
      </c>
      <c r="L458" t="s">
        <v>911</v>
      </c>
      <c r="M458" t="s">
        <v>32144</v>
      </c>
    </row>
    <row r="459" spans="1:13" x14ac:dyDescent="0.25">
      <c r="A459" t="s">
        <v>10153</v>
      </c>
      <c r="B459" t="s">
        <v>13</v>
      </c>
      <c r="C459" t="s">
        <v>8861</v>
      </c>
      <c r="D459" t="s">
        <v>10154</v>
      </c>
      <c r="E459" t="s">
        <v>907</v>
      </c>
      <c r="F459" t="s">
        <v>3084</v>
      </c>
      <c r="G459" t="s">
        <v>10155</v>
      </c>
      <c r="H459" t="s">
        <v>10156</v>
      </c>
      <c r="I459" t="s">
        <v>19</v>
      </c>
      <c r="J459" s="3">
        <v>551155496899</v>
      </c>
      <c r="K459" t="s">
        <v>8623</v>
      </c>
      <c r="L459" t="s">
        <v>439</v>
      </c>
      <c r="M459" t="s">
        <v>32144</v>
      </c>
    </row>
    <row r="460" spans="1:13" x14ac:dyDescent="0.25">
      <c r="A460" t="s">
        <v>1412</v>
      </c>
      <c r="B460" t="s">
        <v>13</v>
      </c>
      <c r="C460" s="1">
        <v>44662</v>
      </c>
      <c r="D460" t="s">
        <v>1413</v>
      </c>
      <c r="E460" t="s">
        <v>907</v>
      </c>
      <c r="F460" t="s">
        <v>1414</v>
      </c>
      <c r="G460" t="s">
        <v>1415</v>
      </c>
      <c r="H460" t="s">
        <v>489</v>
      </c>
      <c r="I460" t="s">
        <v>19</v>
      </c>
      <c r="J460" s="3" t="s">
        <v>623</v>
      </c>
      <c r="K460" t="s">
        <v>1416</v>
      </c>
      <c r="L460" t="s">
        <v>625</v>
      </c>
      <c r="M460" t="s">
        <v>32144</v>
      </c>
    </row>
    <row r="461" spans="1:13" x14ac:dyDescent="0.25">
      <c r="A461" t="s">
        <v>3189</v>
      </c>
      <c r="B461" t="s">
        <v>13</v>
      </c>
      <c r="C461" t="s">
        <v>3184</v>
      </c>
      <c r="D461" t="s">
        <v>32135</v>
      </c>
      <c r="E461" t="s">
        <v>907</v>
      </c>
      <c r="F461" t="s">
        <v>3190</v>
      </c>
      <c r="G461" t="s">
        <v>3191</v>
      </c>
      <c r="H461" t="s">
        <v>428</v>
      </c>
      <c r="I461" t="s">
        <v>19</v>
      </c>
      <c r="J461" s="3">
        <v>555133598000</v>
      </c>
      <c r="K461" t="s">
        <v>3192</v>
      </c>
      <c r="L461" t="s">
        <v>1269</v>
      </c>
      <c r="M461" t="s">
        <v>32144</v>
      </c>
    </row>
    <row r="462" spans="1:13" x14ac:dyDescent="0.25">
      <c r="A462" t="s">
        <v>5040</v>
      </c>
      <c r="B462" t="s">
        <v>13</v>
      </c>
      <c r="C462" t="s">
        <v>5041</v>
      </c>
      <c r="D462" t="s">
        <v>32135</v>
      </c>
      <c r="E462" t="s">
        <v>5042</v>
      </c>
      <c r="F462" t="s">
        <v>5043</v>
      </c>
      <c r="G462" t="s">
        <v>5044</v>
      </c>
      <c r="H462" t="s">
        <v>1741</v>
      </c>
      <c r="I462" t="s">
        <v>19</v>
      </c>
      <c r="J462" s="3" t="s">
        <v>5045</v>
      </c>
      <c r="K462" t="s">
        <v>5046</v>
      </c>
      <c r="L462" t="s">
        <v>32135</v>
      </c>
      <c r="M462" t="s">
        <v>32144</v>
      </c>
    </row>
    <row r="463" spans="1:13" x14ac:dyDescent="0.25">
      <c r="A463" t="s">
        <v>7149</v>
      </c>
      <c r="B463" t="s">
        <v>13</v>
      </c>
      <c r="C463" s="1">
        <v>44445</v>
      </c>
      <c r="D463" t="s">
        <v>32135</v>
      </c>
      <c r="E463" s="2" t="s">
        <v>30923</v>
      </c>
      <c r="F463" t="s">
        <v>3147</v>
      </c>
      <c r="G463" t="s">
        <v>7151</v>
      </c>
      <c r="H463" t="s">
        <v>36</v>
      </c>
      <c r="I463" t="s">
        <v>19</v>
      </c>
      <c r="J463" s="3" t="s">
        <v>7152</v>
      </c>
      <c r="K463" t="s">
        <v>7153</v>
      </c>
      <c r="L463" t="s">
        <v>32135</v>
      </c>
      <c r="M463" t="s">
        <v>32144</v>
      </c>
    </row>
    <row r="464" spans="1:13" x14ac:dyDescent="0.25">
      <c r="A464" t="s">
        <v>13855</v>
      </c>
      <c r="B464" t="s">
        <v>101</v>
      </c>
      <c r="C464" t="s">
        <v>7230</v>
      </c>
      <c r="D464" t="s">
        <v>13856</v>
      </c>
      <c r="E464" s="2" t="s">
        <v>31379</v>
      </c>
      <c r="F464" t="s">
        <v>1129</v>
      </c>
      <c r="G464" t="s">
        <v>13857</v>
      </c>
      <c r="H464" t="s">
        <v>714</v>
      </c>
      <c r="I464" t="s">
        <v>19</v>
      </c>
      <c r="J464" s="3" t="s">
        <v>13858</v>
      </c>
      <c r="K464" t="s">
        <v>6724</v>
      </c>
      <c r="L464" t="s">
        <v>13859</v>
      </c>
      <c r="M464" t="s">
        <v>32144</v>
      </c>
    </row>
    <row r="465" spans="1:13" x14ac:dyDescent="0.25">
      <c r="A465" t="s">
        <v>27618</v>
      </c>
      <c r="B465" t="s">
        <v>13</v>
      </c>
      <c r="C465" t="s">
        <v>27591</v>
      </c>
      <c r="D465" t="s">
        <v>27619</v>
      </c>
      <c r="E465" t="s">
        <v>27620</v>
      </c>
      <c r="F465" t="s">
        <v>3084</v>
      </c>
      <c r="G465" t="s">
        <v>27621</v>
      </c>
      <c r="H465" t="s">
        <v>428</v>
      </c>
      <c r="I465" t="s">
        <v>19</v>
      </c>
      <c r="J465" s="3" t="s">
        <v>27622</v>
      </c>
      <c r="K465" t="s">
        <v>27623</v>
      </c>
      <c r="L465" t="s">
        <v>1295</v>
      </c>
      <c r="M465" t="s">
        <v>32144</v>
      </c>
    </row>
    <row r="466" spans="1:13" x14ac:dyDescent="0.25">
      <c r="A466" t="s">
        <v>20807</v>
      </c>
      <c r="B466" t="s">
        <v>13</v>
      </c>
      <c r="C466" t="s">
        <v>20808</v>
      </c>
      <c r="D466" t="s">
        <v>20809</v>
      </c>
      <c r="E466" t="s">
        <v>20810</v>
      </c>
      <c r="F466" t="s">
        <v>3084</v>
      </c>
      <c r="G466" t="s">
        <v>20811</v>
      </c>
      <c r="H466" t="s">
        <v>409</v>
      </c>
      <c r="I466" t="s">
        <v>19</v>
      </c>
      <c r="J466" s="3" t="s">
        <v>20812</v>
      </c>
      <c r="K466" t="s">
        <v>20813</v>
      </c>
      <c r="L466" t="s">
        <v>1823</v>
      </c>
      <c r="M466" t="s">
        <v>32144</v>
      </c>
    </row>
    <row r="467" spans="1:13" x14ac:dyDescent="0.25">
      <c r="A467" t="s">
        <v>20988</v>
      </c>
      <c r="B467" t="s">
        <v>13</v>
      </c>
      <c r="C467" t="s">
        <v>11801</v>
      </c>
      <c r="D467" t="s">
        <v>20989</v>
      </c>
      <c r="E467" t="s">
        <v>20810</v>
      </c>
      <c r="F467" t="s">
        <v>1464</v>
      </c>
      <c r="G467" t="s">
        <v>944</v>
      </c>
      <c r="H467" t="s">
        <v>36</v>
      </c>
      <c r="I467" t="s">
        <v>19</v>
      </c>
      <c r="J467" s="3">
        <v>5511999530716</v>
      </c>
      <c r="K467" t="s">
        <v>20840</v>
      </c>
      <c r="L467" t="s">
        <v>321</v>
      </c>
      <c r="M467" t="s">
        <v>32144</v>
      </c>
    </row>
    <row r="468" spans="1:13" x14ac:dyDescent="0.25">
      <c r="A468" t="s">
        <v>12823</v>
      </c>
      <c r="B468" t="s">
        <v>13</v>
      </c>
      <c r="C468" t="s">
        <v>12816</v>
      </c>
      <c r="D468" t="s">
        <v>12824</v>
      </c>
      <c r="E468" t="s">
        <v>12825</v>
      </c>
      <c r="F468" t="s">
        <v>1464</v>
      </c>
      <c r="G468" t="s">
        <v>12826</v>
      </c>
      <c r="H468" t="s">
        <v>489</v>
      </c>
      <c r="I468" t="s">
        <v>19</v>
      </c>
      <c r="J468" s="3">
        <v>5504133601840</v>
      </c>
      <c r="K468" t="s">
        <v>12827</v>
      </c>
      <c r="L468" t="s">
        <v>12828</v>
      </c>
      <c r="M468" t="s">
        <v>32144</v>
      </c>
    </row>
    <row r="469" spans="1:13" x14ac:dyDescent="0.25">
      <c r="A469" t="s">
        <v>19565</v>
      </c>
      <c r="B469" t="s">
        <v>13</v>
      </c>
      <c r="C469" t="s">
        <v>2617</v>
      </c>
      <c r="D469" t="s">
        <v>19566</v>
      </c>
      <c r="E469" s="2" t="s">
        <v>31511</v>
      </c>
      <c r="F469" t="s">
        <v>332</v>
      </c>
      <c r="G469" t="s">
        <v>19567</v>
      </c>
      <c r="H469" t="s">
        <v>255</v>
      </c>
      <c r="I469" t="s">
        <v>19</v>
      </c>
      <c r="J469" s="3">
        <f>55-62-32099917</f>
        <v>-32099924</v>
      </c>
      <c r="K469" t="s">
        <v>19568</v>
      </c>
      <c r="L469" t="s">
        <v>19569</v>
      </c>
      <c r="M469" t="s">
        <v>337</v>
      </c>
    </row>
    <row r="470" spans="1:13" x14ac:dyDescent="0.25">
      <c r="A470" t="s">
        <v>10619</v>
      </c>
      <c r="B470" t="s">
        <v>13</v>
      </c>
      <c r="C470" s="1">
        <v>43929</v>
      </c>
      <c r="D470" t="s">
        <v>10620</v>
      </c>
      <c r="E470" t="s">
        <v>10621</v>
      </c>
      <c r="F470" t="s">
        <v>3084</v>
      </c>
      <c r="G470" t="s">
        <v>10622</v>
      </c>
      <c r="H470" t="s">
        <v>409</v>
      </c>
      <c r="I470" t="s">
        <v>19</v>
      </c>
      <c r="J470" s="3">
        <v>550559912692721</v>
      </c>
      <c r="K470" t="s">
        <v>10623</v>
      </c>
      <c r="L470" t="s">
        <v>412</v>
      </c>
      <c r="M470" t="s">
        <v>32144</v>
      </c>
    </row>
    <row r="471" spans="1:13" x14ac:dyDescent="0.25">
      <c r="A471" t="s">
        <v>7786</v>
      </c>
      <c r="B471" t="s">
        <v>101</v>
      </c>
      <c r="C471" t="s">
        <v>7787</v>
      </c>
      <c r="D471" t="s">
        <v>32135</v>
      </c>
      <c r="E471" s="2" t="s">
        <v>32110</v>
      </c>
      <c r="F471" t="s">
        <v>1419</v>
      </c>
      <c r="G471" t="s">
        <v>7789</v>
      </c>
      <c r="H471" t="s">
        <v>36</v>
      </c>
      <c r="I471" t="s">
        <v>19</v>
      </c>
      <c r="J471" s="3">
        <v>551155764239</v>
      </c>
      <c r="K471" t="s">
        <v>7790</v>
      </c>
      <c r="L471" t="s">
        <v>32135</v>
      </c>
      <c r="M471" t="s">
        <v>1304</v>
      </c>
    </row>
    <row r="472" spans="1:13" x14ac:dyDescent="0.25">
      <c r="A472" t="s">
        <v>9207</v>
      </c>
      <c r="B472" t="s">
        <v>13</v>
      </c>
      <c r="C472" t="s">
        <v>3351</v>
      </c>
      <c r="D472" t="s">
        <v>9208</v>
      </c>
      <c r="E472" t="s">
        <v>4491</v>
      </c>
      <c r="F472" t="s">
        <v>5825</v>
      </c>
      <c r="G472" t="s">
        <v>9209</v>
      </c>
      <c r="H472" t="s">
        <v>352</v>
      </c>
      <c r="I472" t="s">
        <v>19</v>
      </c>
      <c r="J472" s="3">
        <f>55-21-979221150</f>
        <v>-979221116</v>
      </c>
      <c r="K472" t="s">
        <v>9210</v>
      </c>
      <c r="L472" t="s">
        <v>108</v>
      </c>
      <c r="M472" t="s">
        <v>224</v>
      </c>
    </row>
    <row r="473" spans="1:13" x14ac:dyDescent="0.25">
      <c r="A473" t="s">
        <v>4489</v>
      </c>
      <c r="B473" t="s">
        <v>13</v>
      </c>
      <c r="C473" s="1">
        <v>44623</v>
      </c>
      <c r="D473" t="s">
        <v>4490</v>
      </c>
      <c r="E473" t="s">
        <v>4491</v>
      </c>
      <c r="F473" t="s">
        <v>1464</v>
      </c>
      <c r="G473" t="s">
        <v>4492</v>
      </c>
      <c r="H473" t="s">
        <v>114</v>
      </c>
      <c r="I473" t="s">
        <v>19</v>
      </c>
      <c r="J473" s="3">
        <f>55-79-99962-9948</f>
        <v>-109934</v>
      </c>
      <c r="K473" t="s">
        <v>4493</v>
      </c>
      <c r="L473" t="s">
        <v>82</v>
      </c>
      <c r="M473" t="s">
        <v>771</v>
      </c>
    </row>
    <row r="474" spans="1:13" x14ac:dyDescent="0.25">
      <c r="A474" t="s">
        <v>4907</v>
      </c>
      <c r="B474" t="s">
        <v>13</v>
      </c>
      <c r="C474" t="s">
        <v>3467</v>
      </c>
      <c r="D474" t="s">
        <v>4908</v>
      </c>
      <c r="E474" t="s">
        <v>4909</v>
      </c>
      <c r="F474" t="s">
        <v>4910</v>
      </c>
      <c r="G474" t="s">
        <v>4911</v>
      </c>
      <c r="H474" t="s">
        <v>4912</v>
      </c>
      <c r="I474" t="s">
        <v>19</v>
      </c>
      <c r="J474" s="3">
        <v>5554996556707</v>
      </c>
      <c r="K474" t="s">
        <v>4913</v>
      </c>
      <c r="L474" t="s">
        <v>32135</v>
      </c>
      <c r="M474" t="s">
        <v>32144</v>
      </c>
    </row>
    <row r="475" spans="1:13" x14ac:dyDescent="0.25">
      <c r="A475" t="s">
        <v>21185</v>
      </c>
      <c r="B475" t="s">
        <v>13</v>
      </c>
      <c r="C475" t="s">
        <v>21181</v>
      </c>
      <c r="D475" t="s">
        <v>21186</v>
      </c>
      <c r="E475" s="2" t="s">
        <v>31281</v>
      </c>
      <c r="F475" t="s">
        <v>1129</v>
      </c>
      <c r="G475" t="s">
        <v>21187</v>
      </c>
      <c r="H475" t="s">
        <v>16914</v>
      </c>
      <c r="I475" t="s">
        <v>19</v>
      </c>
      <c r="J475" s="3">
        <f>55-37-991254195</f>
        <v>-991254177</v>
      </c>
      <c r="K475" t="s">
        <v>21188</v>
      </c>
      <c r="L475" t="s">
        <v>21189</v>
      </c>
      <c r="M475" t="s">
        <v>224</v>
      </c>
    </row>
    <row r="476" spans="1:13" x14ac:dyDescent="0.25">
      <c r="A476" t="s">
        <v>28122</v>
      </c>
      <c r="B476" t="s">
        <v>13</v>
      </c>
      <c r="C476" t="s">
        <v>28123</v>
      </c>
      <c r="D476" t="s">
        <v>28124</v>
      </c>
      <c r="E476" t="s">
        <v>26480</v>
      </c>
      <c r="F476" t="s">
        <v>306</v>
      </c>
      <c r="G476" t="s">
        <v>28125</v>
      </c>
      <c r="H476" t="s">
        <v>18178</v>
      </c>
      <c r="I476" t="s">
        <v>19</v>
      </c>
      <c r="J476" s="3" t="s">
        <v>28126</v>
      </c>
      <c r="K476" t="s">
        <v>28127</v>
      </c>
      <c r="L476" t="s">
        <v>74</v>
      </c>
      <c r="M476" t="s">
        <v>32145</v>
      </c>
    </row>
    <row r="477" spans="1:13" x14ac:dyDescent="0.25">
      <c r="A477" t="s">
        <v>26478</v>
      </c>
      <c r="B477" t="s">
        <v>13</v>
      </c>
      <c r="C477" t="s">
        <v>13644</v>
      </c>
      <c r="D477" t="s">
        <v>26479</v>
      </c>
      <c r="E477" t="s">
        <v>26480</v>
      </c>
      <c r="F477" t="s">
        <v>306</v>
      </c>
      <c r="G477" t="s">
        <v>26481</v>
      </c>
      <c r="H477" t="s">
        <v>36</v>
      </c>
      <c r="I477" t="s">
        <v>19</v>
      </c>
      <c r="J477" s="3">
        <v>551155711062</v>
      </c>
      <c r="K477" t="s">
        <v>26482</v>
      </c>
      <c r="L477" t="s">
        <v>439</v>
      </c>
      <c r="M477" t="s">
        <v>32145</v>
      </c>
    </row>
    <row r="478" spans="1:13" x14ac:dyDescent="0.25">
      <c r="A478" t="s">
        <v>959</v>
      </c>
      <c r="B478" t="s">
        <v>13</v>
      </c>
      <c r="C478" s="1">
        <v>44754</v>
      </c>
      <c r="D478" t="s">
        <v>960</v>
      </c>
      <c r="E478" t="s">
        <v>961</v>
      </c>
      <c r="F478" t="s">
        <v>962</v>
      </c>
      <c r="G478" t="s">
        <v>963</v>
      </c>
      <c r="H478" t="s">
        <v>706</v>
      </c>
      <c r="I478" t="s">
        <v>19</v>
      </c>
      <c r="J478" s="3" t="s">
        <v>964</v>
      </c>
      <c r="K478" t="s">
        <v>965</v>
      </c>
      <c r="L478" t="s">
        <v>565</v>
      </c>
      <c r="M478" t="s">
        <v>57</v>
      </c>
    </row>
    <row r="479" spans="1:13" x14ac:dyDescent="0.25">
      <c r="A479" t="s">
        <v>19049</v>
      </c>
      <c r="B479" t="s">
        <v>13</v>
      </c>
      <c r="C479" s="1">
        <v>43354</v>
      </c>
      <c r="D479" t="s">
        <v>19050</v>
      </c>
      <c r="E479" t="s">
        <v>415</v>
      </c>
      <c r="F479" t="s">
        <v>57</v>
      </c>
      <c r="G479" t="s">
        <v>19051</v>
      </c>
      <c r="H479" t="s">
        <v>5100</v>
      </c>
      <c r="I479" t="s">
        <v>19</v>
      </c>
      <c r="J479" s="3">
        <v>5581999873583</v>
      </c>
      <c r="K479" t="s">
        <v>19052</v>
      </c>
      <c r="L479" t="s">
        <v>2101</v>
      </c>
      <c r="M479" t="s">
        <v>57</v>
      </c>
    </row>
    <row r="480" spans="1:13" x14ac:dyDescent="0.25">
      <c r="A480" t="s">
        <v>6289</v>
      </c>
      <c r="B480" t="s">
        <v>13</v>
      </c>
      <c r="C480" s="1">
        <v>44323</v>
      </c>
      <c r="D480" t="s">
        <v>32135</v>
      </c>
      <c r="E480" t="s">
        <v>415</v>
      </c>
      <c r="F480" t="s">
        <v>6290</v>
      </c>
      <c r="G480" t="s">
        <v>6291</v>
      </c>
      <c r="H480" t="s">
        <v>706</v>
      </c>
      <c r="I480" t="s">
        <v>19</v>
      </c>
      <c r="J480" s="3" t="s">
        <v>6287</v>
      </c>
      <c r="K480" t="s">
        <v>6292</v>
      </c>
      <c r="L480" t="s">
        <v>32135</v>
      </c>
      <c r="M480" t="s">
        <v>32174</v>
      </c>
    </row>
    <row r="481" spans="1:13" x14ac:dyDescent="0.25">
      <c r="A481" t="s">
        <v>6283</v>
      </c>
      <c r="B481" t="s">
        <v>13</v>
      </c>
      <c r="C481" s="1">
        <v>44323</v>
      </c>
      <c r="D481" t="s">
        <v>6284</v>
      </c>
      <c r="E481" t="s">
        <v>415</v>
      </c>
      <c r="F481" t="s">
        <v>6285</v>
      </c>
      <c r="G481" t="s">
        <v>6286</v>
      </c>
      <c r="H481" t="s">
        <v>706</v>
      </c>
      <c r="I481" t="s">
        <v>19</v>
      </c>
      <c r="J481" s="3" t="s">
        <v>6287</v>
      </c>
      <c r="K481" t="s">
        <v>6288</v>
      </c>
      <c r="L481" t="s">
        <v>565</v>
      </c>
      <c r="M481" t="s">
        <v>57</v>
      </c>
    </row>
    <row r="482" spans="1:13" x14ac:dyDescent="0.25">
      <c r="A482" t="s">
        <v>23344</v>
      </c>
      <c r="B482" t="s">
        <v>13</v>
      </c>
      <c r="C482" t="s">
        <v>23345</v>
      </c>
      <c r="D482" t="s">
        <v>23346</v>
      </c>
      <c r="E482" s="2" t="s">
        <v>31327</v>
      </c>
      <c r="F482" t="s">
        <v>1464</v>
      </c>
      <c r="G482" t="s">
        <v>16659</v>
      </c>
      <c r="H482" t="s">
        <v>706</v>
      </c>
      <c r="I482" t="s">
        <v>19</v>
      </c>
      <c r="J482" s="3" t="s">
        <v>23347</v>
      </c>
      <c r="K482" t="s">
        <v>16661</v>
      </c>
      <c r="L482" t="s">
        <v>565</v>
      </c>
      <c r="M482" t="s">
        <v>1775</v>
      </c>
    </row>
    <row r="483" spans="1:13" x14ac:dyDescent="0.25">
      <c r="A483" t="s">
        <v>11867</v>
      </c>
      <c r="B483" t="s">
        <v>13</v>
      </c>
      <c r="C483" s="1">
        <v>43475</v>
      </c>
      <c r="D483" t="s">
        <v>11868</v>
      </c>
      <c r="E483" t="s">
        <v>11869</v>
      </c>
      <c r="F483" t="s">
        <v>57</v>
      </c>
      <c r="G483" t="s">
        <v>11870</v>
      </c>
      <c r="H483" t="s">
        <v>706</v>
      </c>
      <c r="I483" t="s">
        <v>19</v>
      </c>
      <c r="J483" s="3" t="s">
        <v>11871</v>
      </c>
      <c r="K483" t="s">
        <v>11872</v>
      </c>
      <c r="L483" t="s">
        <v>11873</v>
      </c>
      <c r="M483" t="s">
        <v>57</v>
      </c>
    </row>
    <row r="484" spans="1:13" x14ac:dyDescent="0.25">
      <c r="A484" t="s">
        <v>17476</v>
      </c>
      <c r="B484" t="s">
        <v>13</v>
      </c>
      <c r="C484" s="1">
        <v>43226</v>
      </c>
      <c r="D484" t="s">
        <v>17477</v>
      </c>
      <c r="E484" t="s">
        <v>17478</v>
      </c>
      <c r="F484" t="s">
        <v>2036</v>
      </c>
      <c r="G484" t="s">
        <v>16654</v>
      </c>
      <c r="H484" t="s">
        <v>893</v>
      </c>
      <c r="I484" t="s">
        <v>19</v>
      </c>
      <c r="J484" s="3">
        <v>5598988020622</v>
      </c>
      <c r="K484" t="s">
        <v>16655</v>
      </c>
      <c r="L484" t="s">
        <v>11108</v>
      </c>
      <c r="M484" t="s">
        <v>57</v>
      </c>
    </row>
    <row r="485" spans="1:13" x14ac:dyDescent="0.25">
      <c r="A485" t="s">
        <v>27519</v>
      </c>
      <c r="B485" t="s">
        <v>13</v>
      </c>
      <c r="C485" t="s">
        <v>27520</v>
      </c>
      <c r="D485" t="s">
        <v>27521</v>
      </c>
      <c r="E485" t="s">
        <v>32241</v>
      </c>
      <c r="F485" t="s">
        <v>10034</v>
      </c>
      <c r="G485" t="s">
        <v>27522</v>
      </c>
      <c r="H485" t="s">
        <v>428</v>
      </c>
      <c r="I485" t="s">
        <v>19</v>
      </c>
      <c r="J485" s="3" t="s">
        <v>27523</v>
      </c>
      <c r="K485" t="s">
        <v>27524</v>
      </c>
      <c r="L485" t="s">
        <v>27525</v>
      </c>
      <c r="M485" t="s">
        <v>741</v>
      </c>
    </row>
    <row r="486" spans="1:13" x14ac:dyDescent="0.25">
      <c r="A486" t="s">
        <v>12301</v>
      </c>
      <c r="B486" t="s">
        <v>13</v>
      </c>
      <c r="C486" t="s">
        <v>12302</v>
      </c>
      <c r="D486" t="s">
        <v>12303</v>
      </c>
      <c r="E486" s="2" t="s">
        <v>32242</v>
      </c>
      <c r="F486" t="s">
        <v>10034</v>
      </c>
      <c r="G486" t="s">
        <v>12304</v>
      </c>
      <c r="H486" t="s">
        <v>265</v>
      </c>
      <c r="I486" t="s">
        <v>19</v>
      </c>
      <c r="J486" s="3" t="s">
        <v>12305</v>
      </c>
      <c r="K486" t="s">
        <v>12306</v>
      </c>
      <c r="L486" t="s">
        <v>12307</v>
      </c>
      <c r="M486" t="s">
        <v>337</v>
      </c>
    </row>
    <row r="487" spans="1:13" x14ac:dyDescent="0.25">
      <c r="A487" t="s">
        <v>27069</v>
      </c>
      <c r="B487" t="s">
        <v>13</v>
      </c>
      <c r="C487" t="s">
        <v>27060</v>
      </c>
      <c r="D487" t="s">
        <v>27070</v>
      </c>
      <c r="E487" t="s">
        <v>27071</v>
      </c>
      <c r="F487" t="s">
        <v>1464</v>
      </c>
      <c r="G487" t="s">
        <v>27072</v>
      </c>
      <c r="H487" t="s">
        <v>299</v>
      </c>
      <c r="I487" t="s">
        <v>19</v>
      </c>
      <c r="J487" s="3" t="s">
        <v>27073</v>
      </c>
      <c r="K487" t="s">
        <v>27074</v>
      </c>
      <c r="L487" t="s">
        <v>13261</v>
      </c>
      <c r="M487" t="s">
        <v>741</v>
      </c>
    </row>
    <row r="488" spans="1:13" x14ac:dyDescent="0.25">
      <c r="A488" t="s">
        <v>10031</v>
      </c>
      <c r="B488" t="s">
        <v>101</v>
      </c>
      <c r="C488" t="s">
        <v>7112</v>
      </c>
      <c r="D488" t="s">
        <v>10032</v>
      </c>
      <c r="E488" t="s">
        <v>10033</v>
      </c>
      <c r="F488" t="s">
        <v>10034</v>
      </c>
      <c r="G488" t="s">
        <v>10035</v>
      </c>
      <c r="H488" t="s">
        <v>706</v>
      </c>
      <c r="I488" t="s">
        <v>19</v>
      </c>
      <c r="J488" s="3" t="s">
        <v>10036</v>
      </c>
      <c r="K488" t="s">
        <v>10037</v>
      </c>
      <c r="L488" t="s">
        <v>10038</v>
      </c>
      <c r="M488" t="s">
        <v>741</v>
      </c>
    </row>
    <row r="489" spans="1:13" x14ac:dyDescent="0.25">
      <c r="A489" t="s">
        <v>19125</v>
      </c>
      <c r="B489" t="s">
        <v>13</v>
      </c>
      <c r="C489" s="1">
        <v>43111</v>
      </c>
      <c r="D489" t="s">
        <v>19126</v>
      </c>
      <c r="E489" t="s">
        <v>19127</v>
      </c>
      <c r="F489" t="s">
        <v>432</v>
      </c>
      <c r="G489" t="s">
        <v>19128</v>
      </c>
      <c r="H489" t="s">
        <v>352</v>
      </c>
      <c r="I489" t="s">
        <v>19</v>
      </c>
      <c r="J489" s="3">
        <v>55021969777075</v>
      </c>
      <c r="K489" t="s">
        <v>19129</v>
      </c>
      <c r="L489" t="s">
        <v>19130</v>
      </c>
      <c r="M489" t="s">
        <v>32162</v>
      </c>
    </row>
    <row r="490" spans="1:13" x14ac:dyDescent="0.25">
      <c r="A490" t="s">
        <v>4239</v>
      </c>
      <c r="B490" t="s">
        <v>13</v>
      </c>
      <c r="C490" t="s">
        <v>4240</v>
      </c>
      <c r="D490" t="s">
        <v>4241</v>
      </c>
      <c r="E490" t="s">
        <v>4242</v>
      </c>
      <c r="F490" t="s">
        <v>4243</v>
      </c>
      <c r="G490" t="s">
        <v>4244</v>
      </c>
      <c r="H490" t="s">
        <v>352</v>
      </c>
      <c r="I490" t="s">
        <v>19</v>
      </c>
      <c r="J490" s="3">
        <v>552128688269</v>
      </c>
      <c r="K490" t="s">
        <v>4245</v>
      </c>
      <c r="L490" t="s">
        <v>4246</v>
      </c>
      <c r="M490" t="s">
        <v>129</v>
      </c>
    </row>
    <row r="491" spans="1:13" x14ac:dyDescent="0.25">
      <c r="A491" t="s">
        <v>9532</v>
      </c>
      <c r="B491" t="s">
        <v>13</v>
      </c>
      <c r="C491" t="s">
        <v>191</v>
      </c>
      <c r="D491" t="s">
        <v>9533</v>
      </c>
      <c r="E491" t="s">
        <v>9534</v>
      </c>
      <c r="F491" t="s">
        <v>1464</v>
      </c>
      <c r="G491" t="s">
        <v>9535</v>
      </c>
      <c r="H491" t="s">
        <v>706</v>
      </c>
      <c r="I491" t="s">
        <v>19</v>
      </c>
      <c r="J491" s="3">
        <v>5531988770221</v>
      </c>
      <c r="K491" t="s">
        <v>9536</v>
      </c>
      <c r="L491" t="s">
        <v>9537</v>
      </c>
      <c r="M491" t="s">
        <v>1775</v>
      </c>
    </row>
    <row r="492" spans="1:13" x14ac:dyDescent="0.25">
      <c r="A492" t="s">
        <v>30298</v>
      </c>
      <c r="B492" t="s">
        <v>13</v>
      </c>
      <c r="C492" s="1">
        <v>40910</v>
      </c>
      <c r="D492" t="s">
        <v>30299</v>
      </c>
      <c r="E492" t="s">
        <v>30300</v>
      </c>
      <c r="F492" t="s">
        <v>2036</v>
      </c>
      <c r="G492" t="s">
        <v>30301</v>
      </c>
      <c r="H492" t="s">
        <v>372</v>
      </c>
      <c r="I492" t="s">
        <v>19</v>
      </c>
      <c r="J492" s="3" t="s">
        <v>30302</v>
      </c>
      <c r="K492" t="s">
        <v>30303</v>
      </c>
      <c r="L492" t="s">
        <v>11426</v>
      </c>
      <c r="M492" t="s">
        <v>57</v>
      </c>
    </row>
    <row r="493" spans="1:13" x14ac:dyDescent="0.25">
      <c r="A493" t="s">
        <v>26062</v>
      </c>
      <c r="B493" t="s">
        <v>13</v>
      </c>
      <c r="C493" t="s">
        <v>25376</v>
      </c>
      <c r="D493" t="s">
        <v>26063</v>
      </c>
      <c r="E493" t="s">
        <v>26064</v>
      </c>
      <c r="F493" t="s">
        <v>306</v>
      </c>
      <c r="G493" t="s">
        <v>26065</v>
      </c>
      <c r="H493" t="s">
        <v>472</v>
      </c>
      <c r="I493" t="s">
        <v>19</v>
      </c>
      <c r="J493" s="3">
        <v>5581999757949</v>
      </c>
      <c r="K493" t="s">
        <v>26066</v>
      </c>
      <c r="L493" t="s">
        <v>26067</v>
      </c>
      <c r="M493" t="s">
        <v>32145</v>
      </c>
    </row>
    <row r="494" spans="1:13" x14ac:dyDescent="0.25">
      <c r="A494" t="s">
        <v>8029</v>
      </c>
      <c r="B494" t="s">
        <v>13</v>
      </c>
      <c r="C494" s="1">
        <v>44319</v>
      </c>
      <c r="D494" t="s">
        <v>8030</v>
      </c>
      <c r="E494" s="2" t="s">
        <v>30945</v>
      </c>
      <c r="F494" t="s">
        <v>396</v>
      </c>
      <c r="G494" t="s">
        <v>8032</v>
      </c>
      <c r="H494" t="s">
        <v>265</v>
      </c>
      <c r="I494" t="s">
        <v>19</v>
      </c>
      <c r="J494" s="3" t="s">
        <v>8033</v>
      </c>
      <c r="K494" t="s">
        <v>8034</v>
      </c>
      <c r="L494" t="s">
        <v>32135</v>
      </c>
      <c r="M494" t="s">
        <v>32145</v>
      </c>
    </row>
    <row r="495" spans="1:13" x14ac:dyDescent="0.25">
      <c r="A495" t="s">
        <v>17587</v>
      </c>
      <c r="B495" t="s">
        <v>13</v>
      </c>
      <c r="C495" s="1">
        <v>43470</v>
      </c>
      <c r="D495" t="s">
        <v>17588</v>
      </c>
      <c r="E495" t="s">
        <v>17589</v>
      </c>
      <c r="F495" t="s">
        <v>306</v>
      </c>
      <c r="G495" t="s">
        <v>17590</v>
      </c>
      <c r="H495" t="s">
        <v>798</v>
      </c>
      <c r="I495" t="s">
        <v>19</v>
      </c>
      <c r="J495" s="3">
        <f>55-61-981277427</f>
        <v>-981277433</v>
      </c>
      <c r="K495" t="s">
        <v>17591</v>
      </c>
      <c r="L495" t="s">
        <v>1767</v>
      </c>
      <c r="M495" t="s">
        <v>32145</v>
      </c>
    </row>
    <row r="496" spans="1:13" x14ac:dyDescent="0.25">
      <c r="A496" t="s">
        <v>9713</v>
      </c>
      <c r="B496" t="s">
        <v>13</v>
      </c>
      <c r="C496" t="s">
        <v>9372</v>
      </c>
      <c r="D496" t="s">
        <v>9714</v>
      </c>
      <c r="E496" s="2" t="s">
        <v>30979</v>
      </c>
      <c r="F496" t="s">
        <v>306</v>
      </c>
      <c r="G496" t="s">
        <v>9715</v>
      </c>
      <c r="H496" t="s">
        <v>299</v>
      </c>
      <c r="I496" t="s">
        <v>19</v>
      </c>
      <c r="J496" s="3" t="s">
        <v>9716</v>
      </c>
      <c r="K496" t="s">
        <v>9717</v>
      </c>
      <c r="L496" t="s">
        <v>2621</v>
      </c>
      <c r="M496" t="s">
        <v>32145</v>
      </c>
    </row>
    <row r="497" spans="1:13" x14ac:dyDescent="0.25">
      <c r="A497" t="s">
        <v>3709</v>
      </c>
      <c r="B497" t="s">
        <v>101</v>
      </c>
      <c r="C497" s="1">
        <v>44656</v>
      </c>
      <c r="D497" t="s">
        <v>3710</v>
      </c>
      <c r="E497" t="s">
        <v>3711</v>
      </c>
      <c r="F497" t="s">
        <v>3712</v>
      </c>
      <c r="G497" t="s">
        <v>3713</v>
      </c>
      <c r="H497" t="s">
        <v>36</v>
      </c>
      <c r="I497" t="s">
        <v>19</v>
      </c>
      <c r="J497" s="3" t="s">
        <v>3714</v>
      </c>
      <c r="K497" t="s">
        <v>3715</v>
      </c>
      <c r="L497" t="s">
        <v>321</v>
      </c>
      <c r="M497" t="s">
        <v>337</v>
      </c>
    </row>
    <row r="498" spans="1:13" x14ac:dyDescent="0.25">
      <c r="A498" t="s">
        <v>17681</v>
      </c>
      <c r="B498" t="s">
        <v>13</v>
      </c>
      <c r="C498" t="s">
        <v>17669</v>
      </c>
      <c r="D498" t="s">
        <v>17682</v>
      </c>
      <c r="E498" t="s">
        <v>17683</v>
      </c>
      <c r="F498" t="s">
        <v>1349</v>
      </c>
      <c r="G498" t="s">
        <v>5193</v>
      </c>
      <c r="H498" t="s">
        <v>5194</v>
      </c>
      <c r="I498" t="s">
        <v>19</v>
      </c>
      <c r="J498" s="3" t="s">
        <v>5195</v>
      </c>
      <c r="K498" t="s">
        <v>5196</v>
      </c>
      <c r="L498" t="s">
        <v>5197</v>
      </c>
      <c r="M498" t="s">
        <v>1349</v>
      </c>
    </row>
    <row r="499" spans="1:13" x14ac:dyDescent="0.25">
      <c r="A499" t="s">
        <v>5190</v>
      </c>
      <c r="B499" t="s">
        <v>101</v>
      </c>
      <c r="C499" t="s">
        <v>5182</v>
      </c>
      <c r="D499" t="s">
        <v>32135</v>
      </c>
      <c r="E499" t="s">
        <v>5191</v>
      </c>
      <c r="F499" t="s">
        <v>5192</v>
      </c>
      <c r="G499" t="s">
        <v>5193</v>
      </c>
      <c r="H499" t="s">
        <v>5194</v>
      </c>
      <c r="I499" t="s">
        <v>19</v>
      </c>
      <c r="J499" s="3" t="s">
        <v>5195</v>
      </c>
      <c r="K499" t="s">
        <v>5196</v>
      </c>
      <c r="L499" t="s">
        <v>5197</v>
      </c>
      <c r="M499" t="s">
        <v>785</v>
      </c>
    </row>
    <row r="500" spans="1:13" x14ac:dyDescent="0.25">
      <c r="A500" t="s">
        <v>22000</v>
      </c>
      <c r="B500" t="s">
        <v>13</v>
      </c>
      <c r="C500" t="s">
        <v>22001</v>
      </c>
      <c r="D500" t="s">
        <v>22002</v>
      </c>
      <c r="E500" t="s">
        <v>22003</v>
      </c>
      <c r="F500" t="s">
        <v>3084</v>
      </c>
      <c r="G500" t="s">
        <v>21884</v>
      </c>
      <c r="H500" t="s">
        <v>36</v>
      </c>
      <c r="I500" t="s">
        <v>19</v>
      </c>
      <c r="J500" s="3" t="s">
        <v>21885</v>
      </c>
      <c r="K500" t="s">
        <v>21886</v>
      </c>
      <c r="L500" t="s">
        <v>21887</v>
      </c>
      <c r="M500" t="s">
        <v>32144</v>
      </c>
    </row>
    <row r="501" spans="1:13" x14ac:dyDescent="0.25">
      <c r="A501" t="s">
        <v>17627</v>
      </c>
      <c r="B501" t="s">
        <v>13</v>
      </c>
      <c r="C501" t="s">
        <v>14786</v>
      </c>
      <c r="D501" t="s">
        <v>17628</v>
      </c>
      <c r="E501" t="s">
        <v>32243</v>
      </c>
      <c r="F501" t="s">
        <v>3084</v>
      </c>
      <c r="G501" t="s">
        <v>17629</v>
      </c>
      <c r="H501" t="s">
        <v>36</v>
      </c>
      <c r="I501" t="s">
        <v>19</v>
      </c>
      <c r="J501" s="3">
        <f>55-11987824398</f>
        <v>-11987824343</v>
      </c>
      <c r="K501" t="s">
        <v>17630</v>
      </c>
      <c r="L501" t="s">
        <v>439</v>
      </c>
      <c r="M501" t="s">
        <v>32144</v>
      </c>
    </row>
    <row r="502" spans="1:13" x14ac:dyDescent="0.25">
      <c r="A502" t="s">
        <v>17817</v>
      </c>
      <c r="B502" t="s">
        <v>13</v>
      </c>
      <c r="C502" s="1">
        <v>43803</v>
      </c>
      <c r="D502" t="s">
        <v>17818</v>
      </c>
      <c r="E502" t="s">
        <v>17819</v>
      </c>
      <c r="F502" t="s">
        <v>6686</v>
      </c>
      <c r="G502" t="s">
        <v>17820</v>
      </c>
      <c r="H502" t="s">
        <v>17821</v>
      </c>
      <c r="I502" t="s">
        <v>19</v>
      </c>
      <c r="J502" s="3">
        <v>55082981071717</v>
      </c>
      <c r="K502" t="s">
        <v>17822</v>
      </c>
      <c r="L502" t="s">
        <v>17823</v>
      </c>
      <c r="M502" t="s">
        <v>337</v>
      </c>
    </row>
    <row r="503" spans="1:13" x14ac:dyDescent="0.25">
      <c r="A503" t="s">
        <v>21687</v>
      </c>
      <c r="B503" t="s">
        <v>13</v>
      </c>
      <c r="C503" s="1">
        <v>43195</v>
      </c>
      <c r="D503" t="s">
        <v>21688</v>
      </c>
      <c r="E503" t="s">
        <v>21689</v>
      </c>
      <c r="F503" t="s">
        <v>1349</v>
      </c>
      <c r="G503" t="s">
        <v>21690</v>
      </c>
      <c r="H503" t="s">
        <v>265</v>
      </c>
      <c r="I503" t="s">
        <v>19</v>
      </c>
      <c r="J503" s="3" t="s">
        <v>21691</v>
      </c>
      <c r="K503" t="s">
        <v>21692</v>
      </c>
      <c r="L503" t="s">
        <v>21693</v>
      </c>
      <c r="M503" t="s">
        <v>1349</v>
      </c>
    </row>
    <row r="504" spans="1:13" x14ac:dyDescent="0.25">
      <c r="A504" t="s">
        <v>15081</v>
      </c>
      <c r="B504" t="s">
        <v>101</v>
      </c>
      <c r="C504" s="1">
        <v>43657</v>
      </c>
      <c r="D504" t="s">
        <v>15082</v>
      </c>
      <c r="E504" s="2" t="s">
        <v>31593</v>
      </c>
      <c r="F504" t="s">
        <v>1464</v>
      </c>
      <c r="G504" t="s">
        <v>15083</v>
      </c>
      <c r="H504" t="s">
        <v>372</v>
      </c>
      <c r="I504" t="s">
        <v>19</v>
      </c>
      <c r="J504" s="3" t="s">
        <v>15084</v>
      </c>
      <c r="K504" t="s">
        <v>15085</v>
      </c>
      <c r="L504" t="s">
        <v>9980</v>
      </c>
      <c r="M504" t="s">
        <v>337</v>
      </c>
    </row>
    <row r="505" spans="1:13" x14ac:dyDescent="0.25">
      <c r="A505" t="s">
        <v>28590</v>
      </c>
      <c r="B505" t="s">
        <v>13</v>
      </c>
      <c r="C505" t="s">
        <v>28583</v>
      </c>
      <c r="D505" t="s">
        <v>28591</v>
      </c>
      <c r="E505" t="s">
        <v>28592</v>
      </c>
      <c r="F505" t="s">
        <v>6308</v>
      </c>
      <c r="G505" t="s">
        <v>28593</v>
      </c>
      <c r="H505" t="s">
        <v>88</v>
      </c>
      <c r="I505" t="s">
        <v>19</v>
      </c>
      <c r="J505" s="3" t="s">
        <v>28594</v>
      </c>
      <c r="K505" t="s">
        <v>28595</v>
      </c>
      <c r="L505" t="s">
        <v>28596</v>
      </c>
      <c r="M505" t="s">
        <v>792</v>
      </c>
    </row>
    <row r="506" spans="1:13" x14ac:dyDescent="0.25">
      <c r="A506" t="s">
        <v>13837</v>
      </c>
      <c r="B506" t="s">
        <v>13</v>
      </c>
      <c r="C506" t="s">
        <v>13838</v>
      </c>
      <c r="D506" t="s">
        <v>13839</v>
      </c>
      <c r="E506" t="s">
        <v>13840</v>
      </c>
      <c r="F506" t="s">
        <v>1464</v>
      </c>
      <c r="G506" t="s">
        <v>13841</v>
      </c>
      <c r="H506" t="s">
        <v>8158</v>
      </c>
      <c r="I506" t="s">
        <v>19</v>
      </c>
      <c r="J506" s="3" t="s">
        <v>13842</v>
      </c>
      <c r="K506" t="s">
        <v>13843</v>
      </c>
      <c r="L506" t="s">
        <v>13844</v>
      </c>
      <c r="M506" t="s">
        <v>32145</v>
      </c>
    </row>
    <row r="507" spans="1:13" x14ac:dyDescent="0.25">
      <c r="A507" t="s">
        <v>4763</v>
      </c>
      <c r="B507" t="s">
        <v>13</v>
      </c>
      <c r="C507" t="s">
        <v>2420</v>
      </c>
      <c r="D507" t="s">
        <v>4764</v>
      </c>
      <c r="E507" s="2" t="s">
        <v>30823</v>
      </c>
      <c r="F507" t="s">
        <v>4765</v>
      </c>
      <c r="G507" t="s">
        <v>4766</v>
      </c>
      <c r="H507" t="s">
        <v>36</v>
      </c>
      <c r="I507" t="s">
        <v>19</v>
      </c>
      <c r="J507" s="3">
        <v>5511994705981</v>
      </c>
      <c r="K507" t="s">
        <v>4767</v>
      </c>
      <c r="L507" t="s">
        <v>4768</v>
      </c>
      <c r="M507" t="s">
        <v>129</v>
      </c>
    </row>
    <row r="508" spans="1:13" x14ac:dyDescent="0.25">
      <c r="A508" t="s">
        <v>19606</v>
      </c>
      <c r="B508" t="s">
        <v>13</v>
      </c>
      <c r="C508" t="s">
        <v>19584</v>
      </c>
      <c r="D508" t="s">
        <v>19607</v>
      </c>
      <c r="E508" t="s">
        <v>19608</v>
      </c>
      <c r="F508" t="s">
        <v>9519</v>
      </c>
      <c r="G508" t="s">
        <v>18455</v>
      </c>
      <c r="H508" t="s">
        <v>36</v>
      </c>
      <c r="I508" t="s">
        <v>19</v>
      </c>
      <c r="J508" s="3" t="s">
        <v>18456</v>
      </c>
      <c r="K508" t="s">
        <v>18457</v>
      </c>
      <c r="L508" t="s">
        <v>18458</v>
      </c>
      <c r="M508" t="s">
        <v>32145</v>
      </c>
    </row>
    <row r="509" spans="1:13" x14ac:dyDescent="0.25">
      <c r="A509" t="s">
        <v>9268</v>
      </c>
      <c r="B509" t="s">
        <v>101</v>
      </c>
      <c r="C509" t="s">
        <v>9263</v>
      </c>
      <c r="D509" t="s">
        <v>9269</v>
      </c>
      <c r="E509" t="s">
        <v>9270</v>
      </c>
      <c r="F509" t="s">
        <v>1464</v>
      </c>
      <c r="G509" t="s">
        <v>9271</v>
      </c>
      <c r="H509" t="s">
        <v>265</v>
      </c>
      <c r="I509" t="s">
        <v>19</v>
      </c>
      <c r="J509" s="3">
        <f>55-16-982028777</f>
        <v>-982028738</v>
      </c>
      <c r="K509" t="s">
        <v>9272</v>
      </c>
      <c r="L509" t="s">
        <v>1569</v>
      </c>
      <c r="M509" t="s">
        <v>6656</v>
      </c>
    </row>
    <row r="510" spans="1:13" x14ac:dyDescent="0.25">
      <c r="A510" t="s">
        <v>7483</v>
      </c>
      <c r="B510" t="s">
        <v>101</v>
      </c>
      <c r="C510" s="1">
        <v>44471</v>
      </c>
      <c r="D510" t="s">
        <v>7484</v>
      </c>
      <c r="E510" t="s">
        <v>7485</v>
      </c>
      <c r="F510" t="s">
        <v>7486</v>
      </c>
      <c r="G510" t="s">
        <v>7487</v>
      </c>
      <c r="H510" t="s">
        <v>265</v>
      </c>
      <c r="I510" t="s">
        <v>19</v>
      </c>
      <c r="J510" s="3" t="s">
        <v>6670</v>
      </c>
      <c r="K510" t="s">
        <v>7488</v>
      </c>
      <c r="L510" t="s">
        <v>1569</v>
      </c>
      <c r="M510" t="s">
        <v>32121</v>
      </c>
    </row>
    <row r="511" spans="1:13" x14ac:dyDescent="0.25">
      <c r="A511" t="s">
        <v>7463</v>
      </c>
      <c r="B511" t="s">
        <v>13</v>
      </c>
      <c r="C511" t="s">
        <v>7041</v>
      </c>
      <c r="D511" t="s">
        <v>7464</v>
      </c>
      <c r="E511" s="2" t="s">
        <v>31425</v>
      </c>
      <c r="F511" t="s">
        <v>7465</v>
      </c>
      <c r="G511" t="s">
        <v>7466</v>
      </c>
      <c r="H511" t="s">
        <v>7467</v>
      </c>
      <c r="I511" t="s">
        <v>19</v>
      </c>
      <c r="J511" s="3">
        <f>55-81-997867662</f>
        <v>-997867688</v>
      </c>
      <c r="K511" t="s">
        <v>7468</v>
      </c>
      <c r="L511" t="s">
        <v>32135</v>
      </c>
      <c r="M511" t="s">
        <v>337</v>
      </c>
    </row>
    <row r="512" spans="1:13" x14ac:dyDescent="0.25">
      <c r="A512" t="s">
        <v>22878</v>
      </c>
      <c r="B512" t="s">
        <v>13</v>
      </c>
      <c r="C512" s="1">
        <v>42747</v>
      </c>
      <c r="D512" t="s">
        <v>22879</v>
      </c>
      <c r="E512" t="s">
        <v>22880</v>
      </c>
      <c r="F512" t="s">
        <v>792</v>
      </c>
      <c r="G512" t="s">
        <v>22881</v>
      </c>
      <c r="H512" t="s">
        <v>265</v>
      </c>
      <c r="I512" t="s">
        <v>19</v>
      </c>
      <c r="J512" s="3" t="s">
        <v>22882</v>
      </c>
      <c r="K512" t="s">
        <v>22883</v>
      </c>
      <c r="L512" t="s">
        <v>22884</v>
      </c>
      <c r="M512" t="s">
        <v>792</v>
      </c>
    </row>
    <row r="513" spans="1:13" x14ac:dyDescent="0.25">
      <c r="A513" t="s">
        <v>19010</v>
      </c>
      <c r="B513" t="s">
        <v>13</v>
      </c>
      <c r="C513" t="s">
        <v>19011</v>
      </c>
      <c r="D513" t="s">
        <v>19012</v>
      </c>
      <c r="E513" t="s">
        <v>19013</v>
      </c>
      <c r="F513" t="s">
        <v>57</v>
      </c>
      <c r="G513" t="s">
        <v>13537</v>
      </c>
      <c r="H513" t="s">
        <v>927</v>
      </c>
      <c r="I513" t="s">
        <v>19</v>
      </c>
      <c r="J513" s="3" t="s">
        <v>19014</v>
      </c>
      <c r="K513" t="s">
        <v>13538</v>
      </c>
      <c r="L513" t="s">
        <v>439</v>
      </c>
      <c r="M513" t="s">
        <v>57</v>
      </c>
    </row>
    <row r="514" spans="1:13" x14ac:dyDescent="0.25">
      <c r="A514" t="s">
        <v>6133</v>
      </c>
      <c r="B514" t="s">
        <v>13</v>
      </c>
      <c r="C514" s="1">
        <v>44326</v>
      </c>
      <c r="D514" t="s">
        <v>6134</v>
      </c>
      <c r="E514" t="s">
        <v>6135</v>
      </c>
      <c r="F514" t="s">
        <v>6136</v>
      </c>
      <c r="G514" t="s">
        <v>5154</v>
      </c>
      <c r="H514" t="s">
        <v>36</v>
      </c>
      <c r="I514" t="s">
        <v>19</v>
      </c>
      <c r="J514" s="3" t="s">
        <v>5155</v>
      </c>
      <c r="K514" t="s">
        <v>5156</v>
      </c>
      <c r="L514" t="s">
        <v>32135</v>
      </c>
      <c r="M514" t="s">
        <v>32144</v>
      </c>
    </row>
    <row r="515" spans="1:13" x14ac:dyDescent="0.25">
      <c r="A515" t="s">
        <v>15077</v>
      </c>
      <c r="B515" t="s">
        <v>13</v>
      </c>
      <c r="C515" s="1">
        <v>43780</v>
      </c>
      <c r="D515" t="s">
        <v>15078</v>
      </c>
      <c r="E515" t="s">
        <v>8031</v>
      </c>
      <c r="F515" t="s">
        <v>1464</v>
      </c>
      <c r="G515" t="s">
        <v>15079</v>
      </c>
      <c r="H515" t="s">
        <v>428</v>
      </c>
      <c r="I515" t="s">
        <v>19</v>
      </c>
      <c r="J515" s="3">
        <f>55-54-991661416</f>
        <v>-991661415</v>
      </c>
      <c r="K515" t="s">
        <v>15080</v>
      </c>
      <c r="L515" t="s">
        <v>12102</v>
      </c>
      <c r="M515" t="s">
        <v>32185</v>
      </c>
    </row>
    <row r="516" spans="1:13" x14ac:dyDescent="0.25">
      <c r="A516" t="s">
        <v>161</v>
      </c>
      <c r="B516" t="s">
        <v>13</v>
      </c>
      <c r="C516" t="s">
        <v>136</v>
      </c>
      <c r="D516" t="s">
        <v>162</v>
      </c>
      <c r="E516" t="s">
        <v>69</v>
      </c>
      <c r="F516" t="s">
        <v>163</v>
      </c>
      <c r="G516" t="s">
        <v>70</v>
      </c>
      <c r="H516" t="s">
        <v>71</v>
      </c>
      <c r="I516" t="s">
        <v>19</v>
      </c>
      <c r="J516" s="3" t="s">
        <v>72</v>
      </c>
      <c r="K516" t="s">
        <v>73</v>
      </c>
      <c r="L516" t="s">
        <v>74</v>
      </c>
      <c r="M516" t="s">
        <v>337</v>
      </c>
    </row>
    <row r="517" spans="1:13" x14ac:dyDescent="0.25">
      <c r="A517" t="s">
        <v>19393</v>
      </c>
      <c r="B517" t="s">
        <v>13</v>
      </c>
      <c r="C517" t="s">
        <v>10976</v>
      </c>
      <c r="D517" t="s">
        <v>19394</v>
      </c>
      <c r="E517" s="2" t="s">
        <v>31914</v>
      </c>
      <c r="F517" t="s">
        <v>10034</v>
      </c>
      <c r="G517" t="s">
        <v>19395</v>
      </c>
      <c r="H517" t="s">
        <v>352</v>
      </c>
      <c r="I517" t="s">
        <v>19</v>
      </c>
      <c r="J517" s="3" t="s">
        <v>19396</v>
      </c>
      <c r="K517" t="s">
        <v>19397</v>
      </c>
      <c r="L517" t="s">
        <v>19398</v>
      </c>
      <c r="M517" t="s">
        <v>337</v>
      </c>
    </row>
    <row r="518" spans="1:13" x14ac:dyDescent="0.25">
      <c r="A518" t="s">
        <v>11957</v>
      </c>
      <c r="B518" t="s">
        <v>13</v>
      </c>
      <c r="C518" s="1">
        <v>43197</v>
      </c>
      <c r="D518" t="s">
        <v>11958</v>
      </c>
      <c r="E518" s="2" t="s">
        <v>32244</v>
      </c>
      <c r="F518" t="s">
        <v>57</v>
      </c>
      <c r="G518" t="s">
        <v>11959</v>
      </c>
      <c r="H518" t="s">
        <v>195</v>
      </c>
      <c r="I518" t="s">
        <v>19</v>
      </c>
      <c r="J518" s="3" t="s">
        <v>11960</v>
      </c>
      <c r="K518" t="s">
        <v>11961</v>
      </c>
      <c r="L518" t="s">
        <v>197</v>
      </c>
      <c r="M518" t="s">
        <v>57</v>
      </c>
    </row>
    <row r="519" spans="1:13" x14ac:dyDescent="0.25">
      <c r="A519" t="s">
        <v>10800</v>
      </c>
      <c r="B519" t="s">
        <v>13</v>
      </c>
      <c r="C519" t="s">
        <v>7057</v>
      </c>
      <c r="D519" t="s">
        <v>10801</v>
      </c>
      <c r="E519" s="2" t="s">
        <v>31005</v>
      </c>
      <c r="F519" t="s">
        <v>3084</v>
      </c>
      <c r="G519" t="s">
        <v>10802</v>
      </c>
      <c r="H519" t="s">
        <v>10803</v>
      </c>
      <c r="I519" t="s">
        <v>19</v>
      </c>
      <c r="J519" s="3" t="s">
        <v>10804</v>
      </c>
      <c r="K519" t="s">
        <v>10805</v>
      </c>
      <c r="L519" t="s">
        <v>1461</v>
      </c>
      <c r="M519" t="s">
        <v>32144</v>
      </c>
    </row>
    <row r="520" spans="1:13" x14ac:dyDescent="0.25">
      <c r="A520" t="s">
        <v>1659</v>
      </c>
      <c r="B520" t="s">
        <v>13</v>
      </c>
      <c r="C520" t="s">
        <v>1660</v>
      </c>
      <c r="D520" t="s">
        <v>1661</v>
      </c>
      <c r="E520" t="s">
        <v>1662</v>
      </c>
      <c r="F520" t="s">
        <v>211</v>
      </c>
      <c r="G520" t="s">
        <v>1663</v>
      </c>
      <c r="H520" t="s">
        <v>36</v>
      </c>
      <c r="I520" t="s">
        <v>19</v>
      </c>
      <c r="J520" s="3" t="s">
        <v>1664</v>
      </c>
      <c r="K520" t="s">
        <v>343</v>
      </c>
      <c r="L520" t="s">
        <v>321</v>
      </c>
      <c r="M520" t="s">
        <v>32144</v>
      </c>
    </row>
    <row r="521" spans="1:13" x14ac:dyDescent="0.25">
      <c r="A521" t="s">
        <v>18168</v>
      </c>
      <c r="B521" t="s">
        <v>13</v>
      </c>
      <c r="C521" s="1">
        <v>43772</v>
      </c>
      <c r="D521" t="s">
        <v>18169</v>
      </c>
      <c r="E521" s="2" t="s">
        <v>31657</v>
      </c>
      <c r="F521" t="s">
        <v>306</v>
      </c>
      <c r="G521" t="s">
        <v>17389</v>
      </c>
      <c r="H521" t="s">
        <v>265</v>
      </c>
      <c r="I521" t="s">
        <v>19</v>
      </c>
      <c r="J521" s="3">
        <f>55-16-36022712</f>
        <v>-36022673</v>
      </c>
      <c r="K521" t="s">
        <v>17390</v>
      </c>
      <c r="L521" t="s">
        <v>3558</v>
      </c>
      <c r="M521" t="s">
        <v>32145</v>
      </c>
    </row>
    <row r="522" spans="1:13" x14ac:dyDescent="0.25">
      <c r="A522" t="s">
        <v>17386</v>
      </c>
      <c r="B522" t="s">
        <v>13</v>
      </c>
      <c r="C522" s="1">
        <v>43561</v>
      </c>
      <c r="D522" t="s">
        <v>17387</v>
      </c>
      <c r="E522" t="s">
        <v>17388</v>
      </c>
      <c r="F522" t="s">
        <v>306</v>
      </c>
      <c r="G522" t="s">
        <v>17389</v>
      </c>
      <c r="H522" t="s">
        <v>265</v>
      </c>
      <c r="I522" t="s">
        <v>19</v>
      </c>
      <c r="J522" s="3">
        <f>55-1636022712</f>
        <v>-1636022657</v>
      </c>
      <c r="K522" t="s">
        <v>17390</v>
      </c>
      <c r="L522" t="s">
        <v>3558</v>
      </c>
      <c r="M522" t="s">
        <v>32145</v>
      </c>
    </row>
    <row r="523" spans="1:13" x14ac:dyDescent="0.25">
      <c r="A523" t="s">
        <v>18082</v>
      </c>
      <c r="B523" t="s">
        <v>13</v>
      </c>
      <c r="C523" t="s">
        <v>18077</v>
      </c>
      <c r="D523" t="s">
        <v>18083</v>
      </c>
      <c r="E523" t="s">
        <v>18084</v>
      </c>
      <c r="F523" t="s">
        <v>332</v>
      </c>
      <c r="G523" t="s">
        <v>18085</v>
      </c>
      <c r="H523" t="s">
        <v>265</v>
      </c>
      <c r="I523" t="s">
        <v>19</v>
      </c>
      <c r="J523">
        <f>55-45-999488979</f>
        <v>-999488969</v>
      </c>
      <c r="K523" s="3" t="s">
        <v>18086</v>
      </c>
      <c r="L523" t="s">
        <v>11292</v>
      </c>
      <c r="M523" t="s">
        <v>337</v>
      </c>
    </row>
    <row r="524" spans="1:13" x14ac:dyDescent="0.25">
      <c r="A524" t="s">
        <v>12226</v>
      </c>
      <c r="B524" t="s">
        <v>13</v>
      </c>
      <c r="C524" t="s">
        <v>7455</v>
      </c>
      <c r="D524" t="s">
        <v>12227</v>
      </c>
      <c r="E524" t="s">
        <v>12228</v>
      </c>
      <c r="F524" t="s">
        <v>57</v>
      </c>
      <c r="G524" t="s">
        <v>12229</v>
      </c>
      <c r="H524" t="s">
        <v>36</v>
      </c>
      <c r="I524" t="s">
        <v>19</v>
      </c>
      <c r="J524" s="3" t="s">
        <v>12230</v>
      </c>
      <c r="K524" t="s">
        <v>12231</v>
      </c>
      <c r="L524" t="s">
        <v>223</v>
      </c>
      <c r="M524" t="s">
        <v>57</v>
      </c>
    </row>
    <row r="525" spans="1:13" x14ac:dyDescent="0.25">
      <c r="A525" t="s">
        <v>27822</v>
      </c>
      <c r="B525" t="s">
        <v>13</v>
      </c>
      <c r="C525" t="s">
        <v>27823</v>
      </c>
      <c r="D525" t="s">
        <v>27824</v>
      </c>
      <c r="E525" t="s">
        <v>32245</v>
      </c>
      <c r="F525" t="s">
        <v>1464</v>
      </c>
      <c r="G525" t="s">
        <v>27825</v>
      </c>
      <c r="H525" t="s">
        <v>88</v>
      </c>
      <c r="I525" t="s">
        <v>19</v>
      </c>
      <c r="J525" s="3">
        <v>5584999130485</v>
      </c>
      <c r="K525" t="s">
        <v>27826</v>
      </c>
      <c r="L525" t="s">
        <v>1692</v>
      </c>
      <c r="M525" t="s">
        <v>771</v>
      </c>
    </row>
    <row r="526" spans="1:13" x14ac:dyDescent="0.25">
      <c r="A526" t="s">
        <v>13422</v>
      </c>
      <c r="B526" t="s">
        <v>13</v>
      </c>
      <c r="C526" t="s">
        <v>12133</v>
      </c>
      <c r="D526" t="s">
        <v>13423</v>
      </c>
      <c r="E526" t="s">
        <v>13424</v>
      </c>
      <c r="F526" t="s">
        <v>32121</v>
      </c>
      <c r="G526" t="s">
        <v>13425</v>
      </c>
      <c r="H526" t="s">
        <v>428</v>
      </c>
      <c r="I526" t="s">
        <v>19</v>
      </c>
      <c r="J526" s="3" t="s">
        <v>13426</v>
      </c>
      <c r="K526" t="s">
        <v>13427</v>
      </c>
      <c r="L526" t="s">
        <v>1269</v>
      </c>
      <c r="M526" t="s">
        <v>32121</v>
      </c>
    </row>
    <row r="527" spans="1:13" x14ac:dyDescent="0.25">
      <c r="A527" t="s">
        <v>3091</v>
      </c>
      <c r="B527" t="s">
        <v>13</v>
      </c>
      <c r="C527" s="1">
        <v>44780</v>
      </c>
      <c r="D527" t="s">
        <v>32135</v>
      </c>
      <c r="E527" t="s">
        <v>3092</v>
      </c>
      <c r="F527" t="s">
        <v>3093</v>
      </c>
      <c r="G527" t="s">
        <v>3094</v>
      </c>
      <c r="H527" t="s">
        <v>36</v>
      </c>
      <c r="I527" t="s">
        <v>19</v>
      </c>
      <c r="J527" s="3">
        <f>55113255-1603</f>
        <v>55111652</v>
      </c>
      <c r="K527" t="s">
        <v>3095</v>
      </c>
      <c r="L527" t="s">
        <v>3096</v>
      </c>
      <c r="M527" t="s">
        <v>1432</v>
      </c>
    </row>
    <row r="528" spans="1:13" x14ac:dyDescent="0.25">
      <c r="A528" t="s">
        <v>5763</v>
      </c>
      <c r="B528" t="s">
        <v>13</v>
      </c>
      <c r="C528" s="1">
        <v>44419</v>
      </c>
      <c r="D528" t="s">
        <v>32135</v>
      </c>
      <c r="E528" t="s">
        <v>5764</v>
      </c>
      <c r="F528" t="s">
        <v>5765</v>
      </c>
      <c r="G528" t="s">
        <v>5766</v>
      </c>
      <c r="H528" t="s">
        <v>5100</v>
      </c>
      <c r="I528" t="s">
        <v>19</v>
      </c>
      <c r="J528" s="3" t="s">
        <v>5767</v>
      </c>
      <c r="K528" t="s">
        <v>5768</v>
      </c>
      <c r="L528" t="s">
        <v>32135</v>
      </c>
      <c r="M528" t="s">
        <v>1432</v>
      </c>
    </row>
    <row r="529" spans="1:13" x14ac:dyDescent="0.25">
      <c r="A529" t="s">
        <v>5925</v>
      </c>
      <c r="B529" t="s">
        <v>101</v>
      </c>
      <c r="C529" t="s">
        <v>5910</v>
      </c>
      <c r="D529" t="s">
        <v>32135</v>
      </c>
      <c r="E529" s="2" t="s">
        <v>32246</v>
      </c>
      <c r="F529" t="s">
        <v>5926</v>
      </c>
      <c r="G529" t="s">
        <v>5927</v>
      </c>
      <c r="H529" t="s">
        <v>5928</v>
      </c>
      <c r="I529" t="s">
        <v>19</v>
      </c>
      <c r="J529" s="3">
        <f>55-11-3016-4080</f>
        <v>-7052</v>
      </c>
      <c r="K529" t="s">
        <v>5929</v>
      </c>
      <c r="L529" t="s">
        <v>32135</v>
      </c>
      <c r="M529" t="s">
        <v>1432</v>
      </c>
    </row>
    <row r="530" spans="1:13" x14ac:dyDescent="0.25">
      <c r="A530" t="s">
        <v>15420</v>
      </c>
      <c r="B530" t="s">
        <v>13</v>
      </c>
      <c r="C530" t="s">
        <v>15406</v>
      </c>
      <c r="D530" t="s">
        <v>15421</v>
      </c>
      <c r="E530" s="2" t="s">
        <v>31127</v>
      </c>
      <c r="F530" t="s">
        <v>1432</v>
      </c>
      <c r="G530" t="s">
        <v>15422</v>
      </c>
      <c r="H530" t="s">
        <v>2678</v>
      </c>
      <c r="I530" t="s">
        <v>19</v>
      </c>
      <c r="J530" s="3">
        <f>55-53991297262</f>
        <v>-53991297207</v>
      </c>
      <c r="K530" t="s">
        <v>15423</v>
      </c>
      <c r="L530" t="s">
        <v>14784</v>
      </c>
      <c r="M530" t="s">
        <v>1432</v>
      </c>
    </row>
    <row r="531" spans="1:13" x14ac:dyDescent="0.25">
      <c r="A531" t="s">
        <v>9593</v>
      </c>
      <c r="B531" t="s">
        <v>13</v>
      </c>
      <c r="C531" t="s">
        <v>5619</v>
      </c>
      <c r="D531" t="s">
        <v>9594</v>
      </c>
      <c r="E531" t="s">
        <v>9595</v>
      </c>
      <c r="F531" t="s">
        <v>2530</v>
      </c>
      <c r="G531" t="s">
        <v>9596</v>
      </c>
      <c r="H531" t="s">
        <v>9597</v>
      </c>
      <c r="I531" t="s">
        <v>19</v>
      </c>
      <c r="J531" s="3" t="s">
        <v>9598</v>
      </c>
      <c r="K531" t="s">
        <v>9599</v>
      </c>
      <c r="L531" t="s">
        <v>2762</v>
      </c>
      <c r="M531" t="s">
        <v>741</v>
      </c>
    </row>
    <row r="532" spans="1:13" x14ac:dyDescent="0.25">
      <c r="A532" t="s">
        <v>5644</v>
      </c>
      <c r="B532" t="s">
        <v>13</v>
      </c>
      <c r="C532" s="1">
        <v>44541</v>
      </c>
      <c r="D532" t="s">
        <v>5645</v>
      </c>
      <c r="E532" s="2" t="s">
        <v>30851</v>
      </c>
      <c r="F532" t="s">
        <v>263</v>
      </c>
      <c r="G532" t="s">
        <v>5646</v>
      </c>
      <c r="H532" t="s">
        <v>798</v>
      </c>
      <c r="I532" t="s">
        <v>19</v>
      </c>
      <c r="J532" s="3" t="s">
        <v>5647</v>
      </c>
      <c r="K532" t="s">
        <v>5648</v>
      </c>
      <c r="L532" t="s">
        <v>32135</v>
      </c>
      <c r="M532" t="s">
        <v>32145</v>
      </c>
    </row>
    <row r="533" spans="1:13" x14ac:dyDescent="0.25">
      <c r="A533" t="s">
        <v>22152</v>
      </c>
      <c r="B533" t="s">
        <v>13</v>
      </c>
      <c r="C533" t="s">
        <v>22153</v>
      </c>
      <c r="D533" t="s">
        <v>22154</v>
      </c>
      <c r="E533" t="s">
        <v>22155</v>
      </c>
      <c r="F533" t="s">
        <v>9519</v>
      </c>
      <c r="G533" t="s">
        <v>22156</v>
      </c>
      <c r="H533" t="s">
        <v>22157</v>
      </c>
      <c r="I533" t="s">
        <v>19</v>
      </c>
      <c r="J533" s="3">
        <f>55-13-996169498</f>
        <v>-996169456</v>
      </c>
      <c r="K533" t="s">
        <v>22158</v>
      </c>
      <c r="L533" t="s">
        <v>439</v>
      </c>
      <c r="M533" t="s">
        <v>32145</v>
      </c>
    </row>
    <row r="534" spans="1:13" x14ac:dyDescent="0.25">
      <c r="A534" t="s">
        <v>11656</v>
      </c>
      <c r="B534" t="s">
        <v>13</v>
      </c>
      <c r="C534" t="s">
        <v>11657</v>
      </c>
      <c r="D534" t="s">
        <v>11658</v>
      </c>
      <c r="E534" t="s">
        <v>7199</v>
      </c>
      <c r="F534" t="s">
        <v>1464</v>
      </c>
      <c r="G534" t="s">
        <v>11659</v>
      </c>
      <c r="H534" t="s">
        <v>45</v>
      </c>
      <c r="I534" t="s">
        <v>19</v>
      </c>
      <c r="J534" s="3">
        <v>5585997121157</v>
      </c>
      <c r="K534" t="s">
        <v>11660</v>
      </c>
      <c r="L534" t="s">
        <v>1909</v>
      </c>
      <c r="M534" t="s">
        <v>771</v>
      </c>
    </row>
    <row r="535" spans="1:13" x14ac:dyDescent="0.25">
      <c r="A535" t="s">
        <v>6745</v>
      </c>
      <c r="B535" t="s">
        <v>13</v>
      </c>
      <c r="C535" s="1">
        <v>44447</v>
      </c>
      <c r="D535" t="s">
        <v>32135</v>
      </c>
      <c r="E535" t="s">
        <v>6746</v>
      </c>
      <c r="F535" t="s">
        <v>6747</v>
      </c>
      <c r="G535" t="s">
        <v>6748</v>
      </c>
      <c r="H535" t="s">
        <v>6749</v>
      </c>
      <c r="I535" t="s">
        <v>19</v>
      </c>
      <c r="J535" s="3" t="s">
        <v>6750</v>
      </c>
      <c r="K535" t="s">
        <v>6751</v>
      </c>
      <c r="L535" t="s">
        <v>32135</v>
      </c>
      <c r="M535" t="s">
        <v>771</v>
      </c>
    </row>
    <row r="536" spans="1:13" x14ac:dyDescent="0.25">
      <c r="A536" t="s">
        <v>2231</v>
      </c>
      <c r="B536" t="s">
        <v>13</v>
      </c>
      <c r="C536" s="1">
        <v>44873</v>
      </c>
      <c r="D536" t="s">
        <v>2232</v>
      </c>
      <c r="E536" s="2" t="s">
        <v>32766</v>
      </c>
      <c r="F536" t="s">
        <v>2234</v>
      </c>
      <c r="G536" t="s">
        <v>2235</v>
      </c>
      <c r="H536" t="s">
        <v>1206</v>
      </c>
      <c r="I536" t="s">
        <v>19</v>
      </c>
      <c r="J536" s="3" t="s">
        <v>2236</v>
      </c>
      <c r="K536" t="s">
        <v>2237</v>
      </c>
      <c r="L536" t="s">
        <v>2238</v>
      </c>
      <c r="M536" t="s">
        <v>771</v>
      </c>
    </row>
    <row r="537" spans="1:13" x14ac:dyDescent="0.25">
      <c r="A537" t="s">
        <v>13296</v>
      </c>
      <c r="B537" t="s">
        <v>13</v>
      </c>
      <c r="C537" s="1">
        <v>43864</v>
      </c>
      <c r="D537" t="s">
        <v>13297</v>
      </c>
      <c r="E537" t="s">
        <v>13298</v>
      </c>
      <c r="F537" t="s">
        <v>1464</v>
      </c>
      <c r="G537" t="s">
        <v>11642</v>
      </c>
      <c r="H537" t="s">
        <v>472</v>
      </c>
      <c r="I537" t="s">
        <v>19</v>
      </c>
      <c r="J537" s="3" t="s">
        <v>13299</v>
      </c>
      <c r="K537" t="s">
        <v>13300</v>
      </c>
      <c r="L537" t="s">
        <v>2101</v>
      </c>
      <c r="M537" t="s">
        <v>32145</v>
      </c>
    </row>
    <row r="538" spans="1:13" x14ac:dyDescent="0.25">
      <c r="A538" t="s">
        <v>5672</v>
      </c>
      <c r="B538" t="s">
        <v>13</v>
      </c>
      <c r="C538" s="1">
        <v>44541</v>
      </c>
      <c r="D538" t="s">
        <v>32135</v>
      </c>
      <c r="E538" s="2" t="s">
        <v>31514</v>
      </c>
      <c r="F538" t="s">
        <v>4884</v>
      </c>
      <c r="G538" t="s">
        <v>4885</v>
      </c>
      <c r="H538" t="s">
        <v>2829</v>
      </c>
      <c r="I538" t="s">
        <v>19</v>
      </c>
      <c r="J538" s="3" t="s">
        <v>4886</v>
      </c>
      <c r="K538" t="s">
        <v>4887</v>
      </c>
      <c r="L538" t="s">
        <v>32135</v>
      </c>
      <c r="M538" t="s">
        <v>32144</v>
      </c>
    </row>
    <row r="539" spans="1:13" x14ac:dyDescent="0.25">
      <c r="A539" t="s">
        <v>4883</v>
      </c>
      <c r="B539" t="s">
        <v>13</v>
      </c>
      <c r="C539" t="s">
        <v>4866</v>
      </c>
      <c r="D539" t="s">
        <v>32135</v>
      </c>
      <c r="E539" s="2" t="s">
        <v>31513</v>
      </c>
      <c r="F539" t="s">
        <v>4884</v>
      </c>
      <c r="G539" t="s">
        <v>4885</v>
      </c>
      <c r="H539" t="s">
        <v>2829</v>
      </c>
      <c r="I539" t="s">
        <v>19</v>
      </c>
      <c r="J539" s="3" t="s">
        <v>4886</v>
      </c>
      <c r="K539" t="s">
        <v>4887</v>
      </c>
      <c r="L539" t="s">
        <v>32135</v>
      </c>
      <c r="M539" t="s">
        <v>32144</v>
      </c>
    </row>
    <row r="540" spans="1:13" x14ac:dyDescent="0.25">
      <c r="A540" t="s">
        <v>8733</v>
      </c>
      <c r="B540" t="s">
        <v>13</v>
      </c>
      <c r="C540" t="s">
        <v>8734</v>
      </c>
      <c r="D540" t="s">
        <v>32135</v>
      </c>
      <c r="E540" t="s">
        <v>8735</v>
      </c>
      <c r="F540" t="s">
        <v>8736</v>
      </c>
      <c r="G540" t="s">
        <v>8032</v>
      </c>
      <c r="H540" t="s">
        <v>265</v>
      </c>
      <c r="I540" t="s">
        <v>19</v>
      </c>
      <c r="J540" s="3" t="s">
        <v>8033</v>
      </c>
      <c r="K540" t="s">
        <v>8034</v>
      </c>
      <c r="L540" t="s">
        <v>32135</v>
      </c>
      <c r="M540" t="s">
        <v>32144</v>
      </c>
    </row>
    <row r="541" spans="1:13" x14ac:dyDescent="0.25">
      <c r="A541" t="s">
        <v>11998</v>
      </c>
      <c r="B541" t="s">
        <v>13</v>
      </c>
      <c r="C541" s="1">
        <v>43956</v>
      </c>
      <c r="D541" t="s">
        <v>11999</v>
      </c>
      <c r="E541" s="2" t="s">
        <v>31562</v>
      </c>
      <c r="F541" t="s">
        <v>1464</v>
      </c>
      <c r="G541" t="s">
        <v>12000</v>
      </c>
      <c r="H541" t="s">
        <v>12001</v>
      </c>
      <c r="I541" t="s">
        <v>19</v>
      </c>
      <c r="J541" s="3">
        <v>55084999554714</v>
      </c>
      <c r="K541" t="s">
        <v>12002</v>
      </c>
      <c r="L541" t="s">
        <v>12003</v>
      </c>
      <c r="M541" t="s">
        <v>1775</v>
      </c>
    </row>
    <row r="542" spans="1:13" x14ac:dyDescent="0.25">
      <c r="A542" t="s">
        <v>17811</v>
      </c>
      <c r="B542" t="s">
        <v>13</v>
      </c>
      <c r="C542" s="1">
        <v>43803</v>
      </c>
      <c r="D542" t="s">
        <v>17812</v>
      </c>
      <c r="E542" t="s">
        <v>17813</v>
      </c>
      <c r="F542" t="s">
        <v>2036</v>
      </c>
      <c r="G542" t="s">
        <v>17814</v>
      </c>
      <c r="H542" t="s">
        <v>798</v>
      </c>
      <c r="I542" t="s">
        <v>19</v>
      </c>
      <c r="J542" s="3" t="s">
        <v>17815</v>
      </c>
      <c r="K542" t="s">
        <v>17816</v>
      </c>
      <c r="L542" t="s">
        <v>1767</v>
      </c>
      <c r="M542" t="s">
        <v>57</v>
      </c>
    </row>
    <row r="543" spans="1:13" x14ac:dyDescent="0.25">
      <c r="A543" t="s">
        <v>24229</v>
      </c>
      <c r="B543" t="s">
        <v>13</v>
      </c>
      <c r="C543" t="s">
        <v>24230</v>
      </c>
      <c r="D543" t="s">
        <v>24231</v>
      </c>
      <c r="E543" t="s">
        <v>32247</v>
      </c>
      <c r="F543" t="s">
        <v>1464</v>
      </c>
      <c r="G543" t="s">
        <v>24232</v>
      </c>
      <c r="H543" t="s">
        <v>36</v>
      </c>
      <c r="I543" t="s">
        <v>19</v>
      </c>
      <c r="J543" s="3">
        <v>5511982011744</v>
      </c>
      <c r="K543" t="s">
        <v>24233</v>
      </c>
      <c r="L543" t="s">
        <v>9723</v>
      </c>
      <c r="M543" t="s">
        <v>32147</v>
      </c>
    </row>
    <row r="544" spans="1:13" x14ac:dyDescent="0.25">
      <c r="A544" t="s">
        <v>2339</v>
      </c>
      <c r="B544" t="s">
        <v>13</v>
      </c>
      <c r="C544" t="s">
        <v>2327</v>
      </c>
      <c r="D544" t="s">
        <v>2340</v>
      </c>
      <c r="E544" s="2" t="s">
        <v>30731</v>
      </c>
      <c r="F544" t="s">
        <v>2341</v>
      </c>
      <c r="G544" t="s">
        <v>2342</v>
      </c>
      <c r="H544" t="s">
        <v>36</v>
      </c>
      <c r="I544" t="s">
        <v>19</v>
      </c>
      <c r="J544" s="3">
        <v>551130913696</v>
      </c>
      <c r="K544" t="s">
        <v>2343</v>
      </c>
      <c r="L544" t="s">
        <v>2344</v>
      </c>
      <c r="M544" t="s">
        <v>1775</v>
      </c>
    </row>
    <row r="545" spans="1:13" x14ac:dyDescent="0.25">
      <c r="A545" t="s">
        <v>7305</v>
      </c>
      <c r="B545" t="s">
        <v>13</v>
      </c>
      <c r="C545" s="1">
        <v>44202</v>
      </c>
      <c r="D545" t="s">
        <v>32135</v>
      </c>
      <c r="E545" s="2" t="s">
        <v>30925</v>
      </c>
      <c r="F545" t="s">
        <v>7306</v>
      </c>
      <c r="G545" t="s">
        <v>7307</v>
      </c>
      <c r="H545" t="s">
        <v>32135</v>
      </c>
      <c r="I545" t="s">
        <v>19</v>
      </c>
      <c r="J545" s="3">
        <v>5521972160611</v>
      </c>
      <c r="K545" t="s">
        <v>7308</v>
      </c>
      <c r="L545" t="s">
        <v>32135</v>
      </c>
      <c r="M545" t="s">
        <v>32145</v>
      </c>
    </row>
    <row r="546" spans="1:13" x14ac:dyDescent="0.25">
      <c r="A546" t="s">
        <v>5771</v>
      </c>
      <c r="B546" t="s">
        <v>13</v>
      </c>
      <c r="C546" s="1">
        <v>44327</v>
      </c>
      <c r="D546" t="s">
        <v>32135</v>
      </c>
      <c r="E546" t="s">
        <v>32248</v>
      </c>
      <c r="F546" t="s">
        <v>5420</v>
      </c>
      <c r="G546" t="s">
        <v>5772</v>
      </c>
      <c r="H546" t="s">
        <v>45</v>
      </c>
      <c r="I546" t="s">
        <v>19</v>
      </c>
      <c r="J546" s="3" t="s">
        <v>5773</v>
      </c>
      <c r="K546" t="s">
        <v>5774</v>
      </c>
      <c r="L546" t="s">
        <v>32135</v>
      </c>
      <c r="M546" t="s">
        <v>57</v>
      </c>
    </row>
    <row r="547" spans="1:13" x14ac:dyDescent="0.25">
      <c r="A547" t="s">
        <v>4894</v>
      </c>
      <c r="B547" t="s">
        <v>13</v>
      </c>
      <c r="C547" t="s">
        <v>3467</v>
      </c>
      <c r="D547" t="s">
        <v>32135</v>
      </c>
      <c r="E547" t="s">
        <v>4895</v>
      </c>
      <c r="F547" t="s">
        <v>253</v>
      </c>
      <c r="G547" t="s">
        <v>4896</v>
      </c>
      <c r="H547" t="s">
        <v>32135</v>
      </c>
      <c r="I547" t="s">
        <v>19</v>
      </c>
      <c r="J547" s="3">
        <f>55-11-3367-7700</f>
        <v>-11023</v>
      </c>
      <c r="K547" t="s">
        <v>4897</v>
      </c>
      <c r="L547" t="s">
        <v>32135</v>
      </c>
      <c r="M547" t="s">
        <v>32149</v>
      </c>
    </row>
    <row r="548" spans="1:13" x14ac:dyDescent="0.25">
      <c r="A548" t="s">
        <v>7703</v>
      </c>
      <c r="B548" t="s">
        <v>13</v>
      </c>
      <c r="C548" s="1">
        <v>44382</v>
      </c>
      <c r="D548" t="s">
        <v>32135</v>
      </c>
      <c r="E548" t="s">
        <v>7704</v>
      </c>
      <c r="F548" t="s">
        <v>7705</v>
      </c>
      <c r="G548" t="s">
        <v>7706</v>
      </c>
      <c r="H548" t="s">
        <v>36</v>
      </c>
      <c r="I548" t="s">
        <v>19</v>
      </c>
      <c r="J548" s="3">
        <v>5511940813284</v>
      </c>
      <c r="K548" t="s">
        <v>7707</v>
      </c>
      <c r="L548" t="s">
        <v>32135</v>
      </c>
      <c r="M548" t="s">
        <v>1349</v>
      </c>
    </row>
    <row r="549" spans="1:13" x14ac:dyDescent="0.25">
      <c r="A549" t="s">
        <v>12910</v>
      </c>
      <c r="B549" t="s">
        <v>13</v>
      </c>
      <c r="C549" t="s">
        <v>6569</v>
      </c>
      <c r="D549" t="s">
        <v>12911</v>
      </c>
      <c r="E549" s="2" t="s">
        <v>31058</v>
      </c>
      <c r="F549" t="s">
        <v>2765</v>
      </c>
      <c r="G549" t="s">
        <v>12912</v>
      </c>
      <c r="H549" t="s">
        <v>489</v>
      </c>
      <c r="I549" t="s">
        <v>19</v>
      </c>
      <c r="J549" s="3">
        <f>55-41-85001479</f>
        <v>-85001465</v>
      </c>
      <c r="K549" t="s">
        <v>12913</v>
      </c>
      <c r="L549" t="s">
        <v>12914</v>
      </c>
      <c r="M549" t="s">
        <v>771</v>
      </c>
    </row>
    <row r="550" spans="1:13" x14ac:dyDescent="0.25">
      <c r="A550" t="s">
        <v>18453</v>
      </c>
      <c r="B550" t="s">
        <v>13</v>
      </c>
      <c r="C550" s="1">
        <v>43166</v>
      </c>
      <c r="D550" t="s">
        <v>18454</v>
      </c>
      <c r="E550" s="2" t="s">
        <v>31950</v>
      </c>
      <c r="F550" t="s">
        <v>1349</v>
      </c>
      <c r="G550" t="s">
        <v>18455</v>
      </c>
      <c r="H550" t="s">
        <v>36</v>
      </c>
      <c r="I550" t="s">
        <v>19</v>
      </c>
      <c r="J550" s="3" t="s">
        <v>18456</v>
      </c>
      <c r="K550" t="s">
        <v>18457</v>
      </c>
      <c r="L550" t="s">
        <v>18458</v>
      </c>
      <c r="M550" t="s">
        <v>1349</v>
      </c>
    </row>
    <row r="551" spans="1:13" x14ac:dyDescent="0.25">
      <c r="A551" t="s">
        <v>29176</v>
      </c>
      <c r="B551" t="s">
        <v>13</v>
      </c>
      <c r="C551" s="1">
        <v>41674</v>
      </c>
      <c r="D551" t="s">
        <v>29177</v>
      </c>
      <c r="E551" t="s">
        <v>29178</v>
      </c>
      <c r="F551" t="s">
        <v>1314</v>
      </c>
      <c r="G551" t="s">
        <v>29179</v>
      </c>
      <c r="H551" t="s">
        <v>299</v>
      </c>
      <c r="I551" t="s">
        <v>19</v>
      </c>
      <c r="J551" s="3" t="s">
        <v>29180</v>
      </c>
      <c r="K551" t="s">
        <v>29181</v>
      </c>
      <c r="L551" t="s">
        <v>29182</v>
      </c>
      <c r="M551" t="s">
        <v>57</v>
      </c>
    </row>
    <row r="552" spans="1:13" x14ac:dyDescent="0.25">
      <c r="A552" t="s">
        <v>6706</v>
      </c>
      <c r="B552" t="s">
        <v>13</v>
      </c>
      <c r="C552" s="1">
        <v>44508</v>
      </c>
      <c r="D552" t="s">
        <v>6707</v>
      </c>
      <c r="E552" t="s">
        <v>6708</v>
      </c>
      <c r="F552" t="s">
        <v>6709</v>
      </c>
      <c r="G552" t="s">
        <v>6710</v>
      </c>
      <c r="H552" t="s">
        <v>6711</v>
      </c>
      <c r="I552" t="s">
        <v>6712</v>
      </c>
      <c r="J552" s="3">
        <v>8295595797</v>
      </c>
      <c r="K552" t="s">
        <v>6713</v>
      </c>
      <c r="L552" t="s">
        <v>32135</v>
      </c>
      <c r="M552" t="s">
        <v>57</v>
      </c>
    </row>
    <row r="553" spans="1:13" x14ac:dyDescent="0.25">
      <c r="A553" t="s">
        <v>14284</v>
      </c>
      <c r="B553" t="s">
        <v>101</v>
      </c>
      <c r="C553" s="1">
        <v>44075</v>
      </c>
      <c r="D553" t="s">
        <v>14285</v>
      </c>
      <c r="E553" t="s">
        <v>469</v>
      </c>
      <c r="F553" t="s">
        <v>332</v>
      </c>
      <c r="G553" t="s">
        <v>7587</v>
      </c>
      <c r="H553" t="s">
        <v>18</v>
      </c>
      <c r="I553" t="s">
        <v>19</v>
      </c>
      <c r="J553" s="3" t="s">
        <v>7588</v>
      </c>
      <c r="K553" t="s">
        <v>7589</v>
      </c>
      <c r="L553" t="s">
        <v>4218</v>
      </c>
      <c r="M553" t="s">
        <v>337</v>
      </c>
    </row>
    <row r="554" spans="1:13" x14ac:dyDescent="0.25">
      <c r="A554" t="s">
        <v>10135</v>
      </c>
      <c r="B554" t="s">
        <v>13</v>
      </c>
      <c r="C554" t="s">
        <v>8861</v>
      </c>
      <c r="D554" t="s">
        <v>10136</v>
      </c>
      <c r="E554" t="s">
        <v>10137</v>
      </c>
      <c r="F554" t="s">
        <v>332</v>
      </c>
      <c r="G554" t="s">
        <v>10138</v>
      </c>
      <c r="H554" t="s">
        <v>10139</v>
      </c>
      <c r="I554" t="s">
        <v>19</v>
      </c>
      <c r="J554" s="3">
        <f>55-87-999379851</f>
        <v>-999379883</v>
      </c>
      <c r="K554" t="s">
        <v>10140</v>
      </c>
      <c r="L554" t="s">
        <v>10141</v>
      </c>
      <c r="M554" t="s">
        <v>337</v>
      </c>
    </row>
    <row r="555" spans="1:13" x14ac:dyDescent="0.25">
      <c r="A555" t="s">
        <v>9524</v>
      </c>
      <c r="B555" t="s">
        <v>13</v>
      </c>
      <c r="C555" t="s">
        <v>191</v>
      </c>
      <c r="D555" t="s">
        <v>9525</v>
      </c>
      <c r="E555" t="s">
        <v>9526</v>
      </c>
      <c r="F555" t="s">
        <v>1464</v>
      </c>
      <c r="G555" t="s">
        <v>9527</v>
      </c>
      <c r="H555" t="s">
        <v>9528</v>
      </c>
      <c r="I555" t="s">
        <v>9529</v>
      </c>
      <c r="J555" s="3">
        <v>51985583361</v>
      </c>
      <c r="K555" t="s">
        <v>9530</v>
      </c>
      <c r="L555" t="s">
        <v>9531</v>
      </c>
      <c r="M555" t="s">
        <v>337</v>
      </c>
    </row>
    <row r="556" spans="1:13" x14ac:dyDescent="0.25">
      <c r="A556" t="s">
        <v>16829</v>
      </c>
      <c r="B556" t="s">
        <v>13</v>
      </c>
      <c r="C556" s="1">
        <v>43715</v>
      </c>
      <c r="D556" t="s">
        <v>16830</v>
      </c>
      <c r="E556" t="s">
        <v>4663</v>
      </c>
      <c r="F556" t="s">
        <v>1464</v>
      </c>
      <c r="G556" t="s">
        <v>16831</v>
      </c>
      <c r="H556" t="s">
        <v>28</v>
      </c>
      <c r="I556" t="s">
        <v>19</v>
      </c>
      <c r="J556" s="3">
        <v>5532988623739</v>
      </c>
      <c r="K556" t="s">
        <v>16832</v>
      </c>
      <c r="L556" t="s">
        <v>923</v>
      </c>
      <c r="M556" t="s">
        <v>57</v>
      </c>
    </row>
    <row r="557" spans="1:13" x14ac:dyDescent="0.25">
      <c r="A557" t="s">
        <v>4661</v>
      </c>
      <c r="B557" t="s">
        <v>13</v>
      </c>
      <c r="C557" t="s">
        <v>4495</v>
      </c>
      <c r="D557" t="s">
        <v>4662</v>
      </c>
      <c r="E557" s="2" t="s">
        <v>30816</v>
      </c>
      <c r="F557" t="s">
        <v>4664</v>
      </c>
      <c r="G557" t="s">
        <v>4665</v>
      </c>
      <c r="H557" t="s">
        <v>4666</v>
      </c>
      <c r="I557" t="s">
        <v>19</v>
      </c>
      <c r="J557" s="3">
        <f>55-22-999311867</f>
        <v>-999311834</v>
      </c>
      <c r="K557" t="s">
        <v>4667</v>
      </c>
      <c r="L557" t="s">
        <v>4668</v>
      </c>
      <c r="M557" t="s">
        <v>1775</v>
      </c>
    </row>
    <row r="558" spans="1:13" x14ac:dyDescent="0.25">
      <c r="A558" t="s">
        <v>5738</v>
      </c>
      <c r="B558" t="s">
        <v>13</v>
      </c>
      <c r="C558" s="1">
        <v>44419</v>
      </c>
      <c r="D558" t="s">
        <v>32135</v>
      </c>
      <c r="E558" s="2" t="s">
        <v>30856</v>
      </c>
      <c r="F558" t="s">
        <v>5740</v>
      </c>
      <c r="G558" t="s">
        <v>5741</v>
      </c>
      <c r="H558" t="s">
        <v>18</v>
      </c>
      <c r="I558" t="s">
        <v>19</v>
      </c>
      <c r="J558" s="3" t="s">
        <v>5742</v>
      </c>
      <c r="K558" t="s">
        <v>5743</v>
      </c>
      <c r="L558" t="s">
        <v>32135</v>
      </c>
      <c r="M558" t="s">
        <v>57</v>
      </c>
    </row>
    <row r="559" spans="1:13" x14ac:dyDescent="0.25">
      <c r="A559" t="s">
        <v>11543</v>
      </c>
      <c r="B559" t="s">
        <v>13</v>
      </c>
      <c r="C559" s="1">
        <v>43896</v>
      </c>
      <c r="D559" t="s">
        <v>11544</v>
      </c>
      <c r="E559" s="2" t="s">
        <v>31017</v>
      </c>
      <c r="F559" t="s">
        <v>1464</v>
      </c>
      <c r="G559" t="s">
        <v>11546</v>
      </c>
      <c r="H559" t="s">
        <v>1047</v>
      </c>
      <c r="I559" t="s">
        <v>19</v>
      </c>
      <c r="J559" s="3">
        <f>55-27-999452339</f>
        <v>-999452311</v>
      </c>
      <c r="K559" t="s">
        <v>6516</v>
      </c>
      <c r="L559" t="s">
        <v>11547</v>
      </c>
      <c r="M559" t="s">
        <v>337</v>
      </c>
    </row>
    <row r="560" spans="1:13" x14ac:dyDescent="0.25">
      <c r="A560" t="s">
        <v>19918</v>
      </c>
      <c r="B560" t="s">
        <v>13</v>
      </c>
      <c r="C560" t="s">
        <v>19912</v>
      </c>
      <c r="D560" t="s">
        <v>19919</v>
      </c>
      <c r="E560" t="s">
        <v>19920</v>
      </c>
      <c r="F560" t="s">
        <v>6686</v>
      </c>
      <c r="G560" t="s">
        <v>19921</v>
      </c>
      <c r="H560" t="s">
        <v>299</v>
      </c>
      <c r="I560" t="s">
        <v>19</v>
      </c>
      <c r="J560" s="3">
        <v>551438801306</v>
      </c>
      <c r="K560" t="s">
        <v>19922</v>
      </c>
      <c r="L560" t="s">
        <v>19923</v>
      </c>
      <c r="M560" t="s">
        <v>337</v>
      </c>
    </row>
    <row r="561" spans="1:13" x14ac:dyDescent="0.25">
      <c r="A561" t="s">
        <v>17931</v>
      </c>
      <c r="B561" t="s">
        <v>13</v>
      </c>
      <c r="C561" t="s">
        <v>16588</v>
      </c>
      <c r="D561" t="s">
        <v>17932</v>
      </c>
      <c r="E561" s="2" t="s">
        <v>31886</v>
      </c>
      <c r="F561" t="s">
        <v>2947</v>
      </c>
      <c r="G561" t="s">
        <v>17933</v>
      </c>
      <c r="H561" t="s">
        <v>428</v>
      </c>
      <c r="I561" t="s">
        <v>19</v>
      </c>
      <c r="J561" s="3">
        <f>55-5133598658</f>
        <v>-5133598603</v>
      </c>
      <c r="K561" t="s">
        <v>17934</v>
      </c>
      <c r="L561" t="s">
        <v>1269</v>
      </c>
      <c r="M561" t="s">
        <v>771</v>
      </c>
    </row>
    <row r="562" spans="1:13" x14ac:dyDescent="0.25">
      <c r="A562" t="s">
        <v>25326</v>
      </c>
      <c r="B562" t="s">
        <v>13</v>
      </c>
      <c r="C562" t="s">
        <v>25318</v>
      </c>
      <c r="D562" t="s">
        <v>25327</v>
      </c>
      <c r="E562" t="s">
        <v>25328</v>
      </c>
      <c r="F562" t="s">
        <v>10500</v>
      </c>
      <c r="G562" t="s">
        <v>25329</v>
      </c>
      <c r="H562" t="s">
        <v>472</v>
      </c>
      <c r="I562" t="s">
        <v>19</v>
      </c>
      <c r="J562" s="3" t="s">
        <v>25330</v>
      </c>
      <c r="K562" t="s">
        <v>25331</v>
      </c>
      <c r="L562" t="s">
        <v>25332</v>
      </c>
      <c r="M562" t="s">
        <v>129</v>
      </c>
    </row>
    <row r="563" spans="1:13" x14ac:dyDescent="0.25">
      <c r="A563" t="s">
        <v>29901</v>
      </c>
      <c r="B563" t="s">
        <v>13</v>
      </c>
      <c r="C563" t="s">
        <v>14184</v>
      </c>
      <c r="D563" t="s">
        <v>29902</v>
      </c>
      <c r="E563" t="s">
        <v>8220</v>
      </c>
      <c r="F563" t="s">
        <v>1129</v>
      </c>
      <c r="G563" t="s">
        <v>29903</v>
      </c>
      <c r="H563" t="s">
        <v>4681</v>
      </c>
      <c r="I563" t="s">
        <v>19</v>
      </c>
      <c r="J563" s="3">
        <v>551732116060</v>
      </c>
      <c r="K563" t="s">
        <v>29904</v>
      </c>
      <c r="L563" t="s">
        <v>29905</v>
      </c>
      <c r="M563" t="s">
        <v>224</v>
      </c>
    </row>
    <row r="564" spans="1:13" x14ac:dyDescent="0.25">
      <c r="A564" t="s">
        <v>12613</v>
      </c>
      <c r="B564" t="s">
        <v>13</v>
      </c>
      <c r="C564" t="s">
        <v>11616</v>
      </c>
      <c r="D564" t="s">
        <v>12614</v>
      </c>
      <c r="E564" s="2" t="s">
        <v>31879</v>
      </c>
      <c r="F564" t="s">
        <v>1129</v>
      </c>
      <c r="G564" t="s">
        <v>12504</v>
      </c>
      <c r="H564" t="s">
        <v>444</v>
      </c>
      <c r="I564" t="s">
        <v>19</v>
      </c>
      <c r="J564" s="3">
        <f>55-87-21016856</f>
        <v>-21016888</v>
      </c>
      <c r="K564" t="s">
        <v>12505</v>
      </c>
      <c r="L564" t="s">
        <v>447</v>
      </c>
      <c r="M564" t="s">
        <v>224</v>
      </c>
    </row>
    <row r="565" spans="1:13" x14ac:dyDescent="0.25">
      <c r="A565" t="s">
        <v>8219</v>
      </c>
      <c r="B565" t="s">
        <v>13</v>
      </c>
      <c r="C565" s="1">
        <v>44441</v>
      </c>
      <c r="D565" t="s">
        <v>32135</v>
      </c>
      <c r="E565" s="2" t="s">
        <v>31767</v>
      </c>
      <c r="F565" t="s">
        <v>8221</v>
      </c>
      <c r="G565" t="s">
        <v>8222</v>
      </c>
      <c r="H565" t="s">
        <v>1486</v>
      </c>
      <c r="I565" t="s">
        <v>19</v>
      </c>
      <c r="J565" s="3" t="s">
        <v>8223</v>
      </c>
      <c r="K565" t="s">
        <v>8224</v>
      </c>
      <c r="L565" t="s">
        <v>32135</v>
      </c>
      <c r="M565" t="s">
        <v>1775</v>
      </c>
    </row>
    <row r="566" spans="1:13" x14ac:dyDescent="0.25">
      <c r="A566" t="s">
        <v>25767</v>
      </c>
      <c r="B566" t="s">
        <v>13</v>
      </c>
      <c r="C566" s="1">
        <v>42437</v>
      </c>
      <c r="D566" t="s">
        <v>25768</v>
      </c>
      <c r="E566" t="s">
        <v>25769</v>
      </c>
      <c r="F566" t="s">
        <v>1432</v>
      </c>
      <c r="G566" t="s">
        <v>25770</v>
      </c>
      <c r="H566" t="s">
        <v>1047</v>
      </c>
      <c r="I566" t="s">
        <v>19</v>
      </c>
      <c r="J566" s="3" t="s">
        <v>25771</v>
      </c>
      <c r="K566" t="s">
        <v>25772</v>
      </c>
      <c r="L566" t="s">
        <v>14440</v>
      </c>
      <c r="M566" t="s">
        <v>1432</v>
      </c>
    </row>
    <row r="567" spans="1:13" x14ac:dyDescent="0.25">
      <c r="A567" t="s">
        <v>7949</v>
      </c>
      <c r="B567" t="s">
        <v>13</v>
      </c>
      <c r="C567" t="s">
        <v>7950</v>
      </c>
      <c r="D567" t="s">
        <v>32135</v>
      </c>
      <c r="E567" t="s">
        <v>7951</v>
      </c>
      <c r="F567" t="s">
        <v>7952</v>
      </c>
      <c r="G567" t="s">
        <v>7953</v>
      </c>
      <c r="H567" t="s">
        <v>229</v>
      </c>
      <c r="I567" t="s">
        <v>19</v>
      </c>
      <c r="J567" s="3" t="s">
        <v>7954</v>
      </c>
      <c r="K567" t="s">
        <v>7955</v>
      </c>
      <c r="L567" t="s">
        <v>32135</v>
      </c>
      <c r="M567" t="s">
        <v>1349</v>
      </c>
    </row>
    <row r="568" spans="1:13" x14ac:dyDescent="0.25">
      <c r="A568" t="s">
        <v>5467</v>
      </c>
      <c r="B568" t="s">
        <v>13</v>
      </c>
      <c r="C568" s="1">
        <v>44359</v>
      </c>
      <c r="D568" t="s">
        <v>32138</v>
      </c>
      <c r="E568" t="s">
        <v>5468</v>
      </c>
      <c r="F568" t="s">
        <v>5469</v>
      </c>
      <c r="G568" t="s">
        <v>5470</v>
      </c>
      <c r="H568" t="s">
        <v>472</v>
      </c>
      <c r="I568" t="s">
        <v>19</v>
      </c>
      <c r="J568" s="3" t="s">
        <v>5471</v>
      </c>
      <c r="K568" t="s">
        <v>5472</v>
      </c>
      <c r="L568" t="s">
        <v>32135</v>
      </c>
      <c r="M568" t="s">
        <v>1349</v>
      </c>
    </row>
    <row r="569" spans="1:13" x14ac:dyDescent="0.25">
      <c r="A569" t="s">
        <v>28206</v>
      </c>
      <c r="B569" t="s">
        <v>13</v>
      </c>
      <c r="C569" t="s">
        <v>28201</v>
      </c>
      <c r="D569" t="s">
        <v>28207</v>
      </c>
      <c r="E569" t="s">
        <v>13580</v>
      </c>
      <c r="F569" t="s">
        <v>1349</v>
      </c>
      <c r="G569" t="s">
        <v>28208</v>
      </c>
      <c r="H569" t="s">
        <v>1215</v>
      </c>
      <c r="I569" t="s">
        <v>19</v>
      </c>
      <c r="J569" s="3" t="s">
        <v>28209</v>
      </c>
      <c r="K569" t="s">
        <v>28210</v>
      </c>
      <c r="L569" t="s">
        <v>28211</v>
      </c>
      <c r="M569" t="s">
        <v>1349</v>
      </c>
    </row>
    <row r="570" spans="1:13" x14ac:dyDescent="0.25">
      <c r="A570" t="s">
        <v>22011</v>
      </c>
      <c r="B570" t="s">
        <v>13</v>
      </c>
      <c r="C570" t="s">
        <v>21978</v>
      </c>
      <c r="D570" t="s">
        <v>22012</v>
      </c>
      <c r="E570" t="s">
        <v>7951</v>
      </c>
      <c r="F570" t="s">
        <v>1349</v>
      </c>
      <c r="G570" t="s">
        <v>22013</v>
      </c>
      <c r="H570" t="s">
        <v>45</v>
      </c>
      <c r="I570" t="s">
        <v>19</v>
      </c>
      <c r="J570" s="3">
        <f>55-85-999851123</f>
        <v>-999851153</v>
      </c>
      <c r="K570" t="s">
        <v>22014</v>
      </c>
      <c r="L570" t="s">
        <v>22015</v>
      </c>
      <c r="M570" t="s">
        <v>1349</v>
      </c>
    </row>
    <row r="571" spans="1:13" x14ac:dyDescent="0.25">
      <c r="A571" t="s">
        <v>17486</v>
      </c>
      <c r="B571" t="s">
        <v>13</v>
      </c>
      <c r="C571" t="s">
        <v>17487</v>
      </c>
      <c r="D571" t="s">
        <v>17488</v>
      </c>
      <c r="E571" t="s">
        <v>13580</v>
      </c>
      <c r="F571" t="s">
        <v>1349</v>
      </c>
      <c r="G571" t="s">
        <v>9881</v>
      </c>
      <c r="H571" t="s">
        <v>88</v>
      </c>
      <c r="I571" t="s">
        <v>19</v>
      </c>
      <c r="J571" s="3" t="s">
        <v>762</v>
      </c>
      <c r="K571" t="s">
        <v>9882</v>
      </c>
      <c r="L571" t="s">
        <v>764</v>
      </c>
      <c r="M571" t="s">
        <v>1349</v>
      </c>
    </row>
    <row r="572" spans="1:13" x14ac:dyDescent="0.25">
      <c r="A572" t="s">
        <v>17425</v>
      </c>
      <c r="B572" t="s">
        <v>13</v>
      </c>
      <c r="C572" s="1">
        <v>43561</v>
      </c>
      <c r="D572" t="s">
        <v>17426</v>
      </c>
      <c r="E572" t="s">
        <v>13580</v>
      </c>
      <c r="F572" t="s">
        <v>1349</v>
      </c>
      <c r="G572" t="s">
        <v>17427</v>
      </c>
      <c r="H572" t="s">
        <v>798</v>
      </c>
      <c r="I572" t="s">
        <v>19</v>
      </c>
      <c r="J572" s="3">
        <v>5561984355610</v>
      </c>
      <c r="K572" t="s">
        <v>17428</v>
      </c>
      <c r="L572" t="s">
        <v>1767</v>
      </c>
      <c r="M572" t="s">
        <v>1349</v>
      </c>
    </row>
    <row r="573" spans="1:13" x14ac:dyDescent="0.25">
      <c r="A573" t="s">
        <v>14010</v>
      </c>
      <c r="B573" t="s">
        <v>13</v>
      </c>
      <c r="C573" t="s">
        <v>11657</v>
      </c>
      <c r="D573" t="s">
        <v>14011</v>
      </c>
      <c r="E573" t="s">
        <v>2490</v>
      </c>
      <c r="F573" t="s">
        <v>1349</v>
      </c>
      <c r="G573" t="s">
        <v>14012</v>
      </c>
      <c r="H573" t="s">
        <v>18</v>
      </c>
      <c r="I573" t="s">
        <v>19</v>
      </c>
      <c r="J573" s="3" t="s">
        <v>14013</v>
      </c>
      <c r="K573" t="s">
        <v>14014</v>
      </c>
      <c r="L573" t="s">
        <v>14015</v>
      </c>
      <c r="M573" t="s">
        <v>1349</v>
      </c>
    </row>
    <row r="574" spans="1:13" x14ac:dyDescent="0.25">
      <c r="A574" t="s">
        <v>5414</v>
      </c>
      <c r="B574" t="s">
        <v>13</v>
      </c>
      <c r="C574" s="1">
        <v>44420</v>
      </c>
      <c r="D574" t="s">
        <v>5415</v>
      </c>
      <c r="E574" s="2" t="s">
        <v>31898</v>
      </c>
      <c r="F574" t="s">
        <v>1349</v>
      </c>
      <c r="G574" t="s">
        <v>5416</v>
      </c>
      <c r="H574" t="s">
        <v>472</v>
      </c>
      <c r="I574" t="s">
        <v>19</v>
      </c>
      <c r="J574" s="3">
        <f>55-81-981251146</f>
        <v>-981251172</v>
      </c>
      <c r="K574" t="s">
        <v>5417</v>
      </c>
      <c r="L574" t="s">
        <v>2101</v>
      </c>
      <c r="M574" t="s">
        <v>1349</v>
      </c>
    </row>
    <row r="575" spans="1:13" x14ac:dyDescent="0.25">
      <c r="A575" t="s">
        <v>24717</v>
      </c>
      <c r="B575" t="s">
        <v>13</v>
      </c>
      <c r="C575" t="s">
        <v>24718</v>
      </c>
      <c r="D575" t="s">
        <v>24719</v>
      </c>
      <c r="E575" t="s">
        <v>24720</v>
      </c>
      <c r="F575" t="s">
        <v>1349</v>
      </c>
      <c r="G575" t="s">
        <v>24721</v>
      </c>
      <c r="H575" t="s">
        <v>45</v>
      </c>
      <c r="I575" t="s">
        <v>19</v>
      </c>
      <c r="J575" s="3" t="s">
        <v>24722</v>
      </c>
      <c r="K575" t="s">
        <v>24723</v>
      </c>
      <c r="L575" t="s">
        <v>1369</v>
      </c>
      <c r="M575" t="s">
        <v>1349</v>
      </c>
    </row>
    <row r="576" spans="1:13" x14ac:dyDescent="0.25">
      <c r="A576" t="s">
        <v>27368</v>
      </c>
      <c r="B576" t="s">
        <v>13</v>
      </c>
      <c r="C576" t="s">
        <v>27365</v>
      </c>
      <c r="D576" t="s">
        <v>27369</v>
      </c>
      <c r="E576" t="s">
        <v>27370</v>
      </c>
      <c r="F576" t="s">
        <v>1349</v>
      </c>
      <c r="G576" t="s">
        <v>27371</v>
      </c>
      <c r="H576" t="s">
        <v>18</v>
      </c>
      <c r="I576" t="s">
        <v>19</v>
      </c>
      <c r="J576" s="3" t="s">
        <v>27372</v>
      </c>
      <c r="K576" t="s">
        <v>27373</v>
      </c>
      <c r="L576" t="s">
        <v>285</v>
      </c>
      <c r="M576" t="s">
        <v>1349</v>
      </c>
    </row>
    <row r="577" spans="1:13" x14ac:dyDescent="0.25">
      <c r="A577" t="s">
        <v>17644</v>
      </c>
      <c r="B577" t="s">
        <v>13</v>
      </c>
      <c r="C577" s="1">
        <v>43284</v>
      </c>
      <c r="D577" t="s">
        <v>17645</v>
      </c>
      <c r="E577" s="2" t="s">
        <v>32048</v>
      </c>
      <c r="F577" t="s">
        <v>1349</v>
      </c>
      <c r="G577" t="s">
        <v>17647</v>
      </c>
      <c r="H577" t="s">
        <v>4705</v>
      </c>
      <c r="I577" t="s">
        <v>19</v>
      </c>
      <c r="J577" s="3" t="s">
        <v>17648</v>
      </c>
      <c r="K577" t="s">
        <v>17649</v>
      </c>
      <c r="L577" t="s">
        <v>17650</v>
      </c>
      <c r="M577" t="s">
        <v>1349</v>
      </c>
    </row>
    <row r="578" spans="1:13" x14ac:dyDescent="0.25">
      <c r="A578" t="s">
        <v>5878</v>
      </c>
      <c r="B578" t="s">
        <v>13</v>
      </c>
      <c r="C578" t="s">
        <v>5879</v>
      </c>
      <c r="D578" t="s">
        <v>32135</v>
      </c>
      <c r="E578" s="2" t="s">
        <v>31758</v>
      </c>
      <c r="F578" t="s">
        <v>5566</v>
      </c>
      <c r="G578" t="s">
        <v>5880</v>
      </c>
      <c r="H578" t="s">
        <v>71</v>
      </c>
      <c r="I578" t="s">
        <v>19</v>
      </c>
      <c r="J578" s="3" t="s">
        <v>5881</v>
      </c>
      <c r="K578" t="s">
        <v>5882</v>
      </c>
      <c r="L578" t="s">
        <v>32135</v>
      </c>
      <c r="M578" t="s">
        <v>1349</v>
      </c>
    </row>
    <row r="579" spans="1:13" x14ac:dyDescent="0.25">
      <c r="A579" t="s">
        <v>23754</v>
      </c>
      <c r="B579" t="s">
        <v>13</v>
      </c>
      <c r="C579" t="s">
        <v>23755</v>
      </c>
      <c r="D579" t="s">
        <v>23756</v>
      </c>
      <c r="E579" t="s">
        <v>23757</v>
      </c>
      <c r="F579" t="s">
        <v>1349</v>
      </c>
      <c r="G579" t="s">
        <v>23758</v>
      </c>
      <c r="H579" t="s">
        <v>114</v>
      </c>
      <c r="I579" t="s">
        <v>19</v>
      </c>
      <c r="J579" s="3" t="s">
        <v>23759</v>
      </c>
      <c r="K579" t="s">
        <v>23760</v>
      </c>
      <c r="L579" t="s">
        <v>23761</v>
      </c>
      <c r="M579" t="s">
        <v>1349</v>
      </c>
    </row>
    <row r="580" spans="1:13" x14ac:dyDescent="0.25">
      <c r="A580" t="s">
        <v>21014</v>
      </c>
      <c r="B580" t="s">
        <v>13</v>
      </c>
      <c r="C580" t="s">
        <v>21006</v>
      </c>
      <c r="D580" t="s">
        <v>21015</v>
      </c>
      <c r="E580" s="2" t="s">
        <v>31270</v>
      </c>
      <c r="F580" t="s">
        <v>1349</v>
      </c>
      <c r="G580" t="s">
        <v>21016</v>
      </c>
      <c r="H580" t="s">
        <v>1656</v>
      </c>
      <c r="I580" t="s">
        <v>19</v>
      </c>
      <c r="J580" s="3" t="s">
        <v>21017</v>
      </c>
      <c r="K580" t="s">
        <v>21018</v>
      </c>
      <c r="L580" t="s">
        <v>1658</v>
      </c>
      <c r="M580" t="s">
        <v>1349</v>
      </c>
    </row>
    <row r="581" spans="1:13" x14ac:dyDescent="0.25">
      <c r="A581" t="s">
        <v>13578</v>
      </c>
      <c r="B581" t="s">
        <v>13</v>
      </c>
      <c r="C581" s="1">
        <v>44167</v>
      </c>
      <c r="D581" t="s">
        <v>13579</v>
      </c>
      <c r="E581" s="2" t="s">
        <v>31739</v>
      </c>
      <c r="F581" t="s">
        <v>1349</v>
      </c>
      <c r="G581" t="s">
        <v>13581</v>
      </c>
      <c r="H581" t="s">
        <v>36</v>
      </c>
      <c r="I581" t="s">
        <v>19</v>
      </c>
      <c r="J581" s="3">
        <v>5511973182989</v>
      </c>
      <c r="K581" t="s">
        <v>13582</v>
      </c>
      <c r="L581" t="s">
        <v>13583</v>
      </c>
      <c r="M581" t="s">
        <v>1349</v>
      </c>
    </row>
    <row r="582" spans="1:13" x14ac:dyDescent="0.25">
      <c r="A582" t="s">
        <v>23578</v>
      </c>
      <c r="B582" t="s">
        <v>13</v>
      </c>
      <c r="C582" t="s">
        <v>23571</v>
      </c>
      <c r="D582" t="s">
        <v>23579</v>
      </c>
      <c r="E582" t="s">
        <v>23580</v>
      </c>
      <c r="F582" t="s">
        <v>1349</v>
      </c>
      <c r="G582" t="s">
        <v>23581</v>
      </c>
      <c r="H582" t="s">
        <v>409</v>
      </c>
      <c r="I582" t="s">
        <v>19</v>
      </c>
      <c r="J582" s="3">
        <v>554899811607</v>
      </c>
      <c r="K582" t="s">
        <v>9825</v>
      </c>
      <c r="L582" t="s">
        <v>1823</v>
      </c>
      <c r="M582" t="s">
        <v>1349</v>
      </c>
    </row>
    <row r="583" spans="1:13" x14ac:dyDescent="0.25">
      <c r="A583" t="s">
        <v>2488</v>
      </c>
      <c r="B583" t="s">
        <v>13</v>
      </c>
      <c r="C583" t="s">
        <v>2469</v>
      </c>
      <c r="D583" t="s">
        <v>2489</v>
      </c>
      <c r="E583" s="2" t="s">
        <v>30739</v>
      </c>
      <c r="F583" t="s">
        <v>2491</v>
      </c>
      <c r="G583" t="s">
        <v>2492</v>
      </c>
      <c r="H583" t="s">
        <v>1215</v>
      </c>
      <c r="I583" t="s">
        <v>19</v>
      </c>
      <c r="J583" s="3" t="s">
        <v>2493</v>
      </c>
      <c r="K583" t="s">
        <v>2494</v>
      </c>
      <c r="L583" t="s">
        <v>2495</v>
      </c>
      <c r="M583" t="s">
        <v>1349</v>
      </c>
    </row>
    <row r="584" spans="1:13" x14ac:dyDescent="0.25">
      <c r="A584" t="s">
        <v>20280</v>
      </c>
      <c r="B584" t="s">
        <v>13</v>
      </c>
      <c r="C584" t="s">
        <v>20252</v>
      </c>
      <c r="D584" t="s">
        <v>20281</v>
      </c>
      <c r="E584" t="s">
        <v>20282</v>
      </c>
      <c r="F584" t="s">
        <v>32121</v>
      </c>
      <c r="G584" t="s">
        <v>20283</v>
      </c>
      <c r="H584" t="s">
        <v>18</v>
      </c>
      <c r="I584" t="s">
        <v>19</v>
      </c>
      <c r="J584" s="3">
        <f>55-1935218824</f>
        <v>-1935218769</v>
      </c>
      <c r="K584" t="s">
        <v>20284</v>
      </c>
      <c r="L584" t="s">
        <v>4211</v>
      </c>
      <c r="M584" t="s">
        <v>32121</v>
      </c>
    </row>
    <row r="585" spans="1:13" x14ac:dyDescent="0.25">
      <c r="A585" t="s">
        <v>8050</v>
      </c>
      <c r="B585" t="s">
        <v>13</v>
      </c>
      <c r="C585" s="1">
        <v>44230</v>
      </c>
      <c r="D585" t="s">
        <v>32135</v>
      </c>
      <c r="E585" t="s">
        <v>8051</v>
      </c>
      <c r="F585" t="s">
        <v>8052</v>
      </c>
      <c r="G585" t="s">
        <v>8053</v>
      </c>
      <c r="H585" t="s">
        <v>1335</v>
      </c>
      <c r="I585" t="s">
        <v>19</v>
      </c>
      <c r="J585" s="3">
        <f>55-43-999216607</f>
        <v>-999216595</v>
      </c>
      <c r="K585" t="s">
        <v>8054</v>
      </c>
      <c r="L585" t="s">
        <v>32135</v>
      </c>
      <c r="M585" t="s">
        <v>1349</v>
      </c>
    </row>
    <row r="586" spans="1:13" x14ac:dyDescent="0.25">
      <c r="A586" t="s">
        <v>26758</v>
      </c>
      <c r="B586" t="s">
        <v>13</v>
      </c>
      <c r="C586" t="s">
        <v>26759</v>
      </c>
      <c r="D586" t="s">
        <v>26760</v>
      </c>
      <c r="E586" t="s">
        <v>26761</v>
      </c>
      <c r="F586" t="s">
        <v>1464</v>
      </c>
      <c r="G586" t="s">
        <v>26762</v>
      </c>
      <c r="H586" t="s">
        <v>45</v>
      </c>
      <c r="I586" t="s">
        <v>19</v>
      </c>
      <c r="J586" s="3" t="s">
        <v>26763</v>
      </c>
      <c r="K586" t="s">
        <v>26764</v>
      </c>
      <c r="L586" t="s">
        <v>1909</v>
      </c>
      <c r="M586" t="s">
        <v>32121</v>
      </c>
    </row>
    <row r="587" spans="1:13" x14ac:dyDescent="0.25">
      <c r="A587" t="s">
        <v>8580</v>
      </c>
      <c r="B587" t="s">
        <v>13</v>
      </c>
      <c r="C587" s="1">
        <v>44348</v>
      </c>
      <c r="D587" t="s">
        <v>8581</v>
      </c>
      <c r="E587" s="2" t="s">
        <v>31710</v>
      </c>
      <c r="F587" t="s">
        <v>236</v>
      </c>
      <c r="G587" t="s">
        <v>8582</v>
      </c>
      <c r="H587" t="s">
        <v>195</v>
      </c>
      <c r="I587" t="s">
        <v>19</v>
      </c>
      <c r="J587" s="3">
        <f>55-16-33518338</f>
        <v>-33518299</v>
      </c>
      <c r="K587" t="s">
        <v>8583</v>
      </c>
      <c r="L587" t="s">
        <v>32135</v>
      </c>
      <c r="M587" t="s">
        <v>1349</v>
      </c>
    </row>
    <row r="588" spans="1:13" x14ac:dyDescent="0.25">
      <c r="A588" t="s">
        <v>13046</v>
      </c>
      <c r="B588" t="s">
        <v>13</v>
      </c>
      <c r="C588" s="1">
        <v>44107</v>
      </c>
      <c r="D588" t="s">
        <v>13047</v>
      </c>
      <c r="E588" s="2" t="s">
        <v>31528</v>
      </c>
      <c r="F588" t="s">
        <v>1349</v>
      </c>
      <c r="G588" t="s">
        <v>13048</v>
      </c>
      <c r="H588" t="s">
        <v>13049</v>
      </c>
      <c r="I588" t="s">
        <v>19</v>
      </c>
      <c r="J588" s="3" t="s">
        <v>13050</v>
      </c>
      <c r="K588" t="s">
        <v>13051</v>
      </c>
      <c r="L588" t="s">
        <v>13052</v>
      </c>
      <c r="M588" t="s">
        <v>1349</v>
      </c>
    </row>
    <row r="589" spans="1:13" x14ac:dyDescent="0.25">
      <c r="A589" t="s">
        <v>679</v>
      </c>
      <c r="B589" t="s">
        <v>101</v>
      </c>
      <c r="C589" s="1">
        <v>44958</v>
      </c>
      <c r="D589" t="s">
        <v>680</v>
      </c>
      <c r="E589" t="s">
        <v>236</v>
      </c>
      <c r="F589" t="s">
        <v>227</v>
      </c>
      <c r="G589" t="s">
        <v>681</v>
      </c>
      <c r="H589" t="s">
        <v>71</v>
      </c>
      <c r="I589" t="s">
        <v>19</v>
      </c>
      <c r="J589" s="3" t="s">
        <v>682</v>
      </c>
      <c r="K589" t="s">
        <v>683</v>
      </c>
      <c r="L589" t="s">
        <v>74</v>
      </c>
      <c r="M589" t="s">
        <v>1349</v>
      </c>
    </row>
    <row r="590" spans="1:13" x14ac:dyDescent="0.25">
      <c r="A590" t="s">
        <v>22658</v>
      </c>
      <c r="B590" t="s">
        <v>13</v>
      </c>
      <c r="C590" s="1">
        <v>43313</v>
      </c>
      <c r="D590" t="s">
        <v>22659</v>
      </c>
      <c r="E590" t="s">
        <v>2128</v>
      </c>
      <c r="F590" t="s">
        <v>1349</v>
      </c>
      <c r="G590" t="s">
        <v>22660</v>
      </c>
      <c r="H590" t="s">
        <v>489</v>
      </c>
      <c r="I590" t="s">
        <v>19</v>
      </c>
      <c r="J590" s="3" t="s">
        <v>22661</v>
      </c>
      <c r="K590" t="s">
        <v>22662</v>
      </c>
      <c r="L590" t="s">
        <v>12976</v>
      </c>
      <c r="M590" t="s">
        <v>1349</v>
      </c>
    </row>
    <row r="591" spans="1:13" x14ac:dyDescent="0.25">
      <c r="A591" t="s">
        <v>17620</v>
      </c>
      <c r="B591" t="s">
        <v>13</v>
      </c>
      <c r="C591" t="s">
        <v>14786</v>
      </c>
      <c r="D591" t="s">
        <v>17621</v>
      </c>
      <c r="E591" t="s">
        <v>236</v>
      </c>
      <c r="F591" t="s">
        <v>1349</v>
      </c>
      <c r="G591" t="s">
        <v>17622</v>
      </c>
      <c r="H591" t="s">
        <v>706</v>
      </c>
      <c r="I591" t="s">
        <v>19</v>
      </c>
      <c r="J591" s="3">
        <f>55-31-987845859</f>
        <v>-987845835</v>
      </c>
      <c r="K591" t="s">
        <v>17623</v>
      </c>
      <c r="L591" t="s">
        <v>17624</v>
      </c>
      <c r="M591" t="s">
        <v>1349</v>
      </c>
    </row>
    <row r="592" spans="1:13" x14ac:dyDescent="0.25">
      <c r="A592" t="s">
        <v>16237</v>
      </c>
      <c r="B592" t="s">
        <v>13</v>
      </c>
      <c r="C592" s="1">
        <v>43778</v>
      </c>
      <c r="D592" t="s">
        <v>16238</v>
      </c>
      <c r="E592" t="s">
        <v>236</v>
      </c>
      <c r="F592" t="s">
        <v>1349</v>
      </c>
      <c r="G592" t="s">
        <v>16239</v>
      </c>
      <c r="H592" t="s">
        <v>36</v>
      </c>
      <c r="I592" t="s">
        <v>19</v>
      </c>
      <c r="J592" s="3" t="s">
        <v>16240</v>
      </c>
      <c r="K592" t="s">
        <v>16241</v>
      </c>
      <c r="L592" t="s">
        <v>439</v>
      </c>
      <c r="M592" t="s">
        <v>1349</v>
      </c>
    </row>
    <row r="593" spans="1:13" x14ac:dyDescent="0.25">
      <c r="A593" t="s">
        <v>9468</v>
      </c>
      <c r="B593" t="s">
        <v>13</v>
      </c>
      <c r="C593" t="s">
        <v>9445</v>
      </c>
      <c r="D593" t="s">
        <v>9469</v>
      </c>
      <c r="E593" t="s">
        <v>236</v>
      </c>
      <c r="F593" t="s">
        <v>1349</v>
      </c>
      <c r="G593" t="s">
        <v>9470</v>
      </c>
      <c r="H593" t="s">
        <v>71</v>
      </c>
      <c r="I593" t="s">
        <v>19</v>
      </c>
      <c r="J593" s="3">
        <f>+ 55- 86- 988530800</f>
        <v>-988530831</v>
      </c>
      <c r="K593" t="s">
        <v>9471</v>
      </c>
      <c r="L593" t="s">
        <v>9472</v>
      </c>
      <c r="M593" t="s">
        <v>1349</v>
      </c>
    </row>
    <row r="594" spans="1:13" x14ac:dyDescent="0.25">
      <c r="A594" t="s">
        <v>9879</v>
      </c>
      <c r="B594" t="s">
        <v>13</v>
      </c>
      <c r="C594" s="1">
        <v>43445</v>
      </c>
      <c r="D594" t="s">
        <v>9880</v>
      </c>
      <c r="E594" t="s">
        <v>2128</v>
      </c>
      <c r="F594" t="s">
        <v>1464</v>
      </c>
      <c r="G594" t="s">
        <v>9881</v>
      </c>
      <c r="H594" t="s">
        <v>88</v>
      </c>
      <c r="I594" t="s">
        <v>19</v>
      </c>
      <c r="J594" s="3" t="s">
        <v>762</v>
      </c>
      <c r="K594" t="s">
        <v>9882</v>
      </c>
      <c r="L594" t="s">
        <v>764</v>
      </c>
      <c r="M594" t="s">
        <v>1349</v>
      </c>
    </row>
    <row r="595" spans="1:13" x14ac:dyDescent="0.25">
      <c r="A595" t="s">
        <v>22924</v>
      </c>
      <c r="B595" t="s">
        <v>13</v>
      </c>
      <c r="C595" t="s">
        <v>11826</v>
      </c>
      <c r="D595" t="s">
        <v>22925</v>
      </c>
      <c r="E595" t="s">
        <v>22926</v>
      </c>
      <c r="F595" t="s">
        <v>1349</v>
      </c>
      <c r="G595" t="s">
        <v>22927</v>
      </c>
      <c r="H595" t="s">
        <v>6322</v>
      </c>
      <c r="I595" t="s">
        <v>19</v>
      </c>
      <c r="J595" s="3">
        <f>55-11-982146463</f>
        <v>-982146419</v>
      </c>
      <c r="K595" t="s">
        <v>22928</v>
      </c>
      <c r="L595" t="s">
        <v>22929</v>
      </c>
      <c r="M595" t="s">
        <v>1349</v>
      </c>
    </row>
    <row r="596" spans="1:13" x14ac:dyDescent="0.25">
      <c r="A596" t="s">
        <v>3910</v>
      </c>
      <c r="B596" t="s">
        <v>13</v>
      </c>
      <c r="C596" t="s">
        <v>3893</v>
      </c>
      <c r="D596" t="s">
        <v>3911</v>
      </c>
      <c r="E596" s="2" t="s">
        <v>30793</v>
      </c>
      <c r="F596" t="s">
        <v>3912</v>
      </c>
      <c r="G596" t="s">
        <v>3913</v>
      </c>
      <c r="H596" t="s">
        <v>36</v>
      </c>
      <c r="I596" t="s">
        <v>19</v>
      </c>
      <c r="J596" s="3" t="s">
        <v>3914</v>
      </c>
      <c r="K596" t="s">
        <v>3915</v>
      </c>
      <c r="L596" t="s">
        <v>3916</v>
      </c>
      <c r="M596" t="s">
        <v>1349</v>
      </c>
    </row>
    <row r="597" spans="1:13" x14ac:dyDescent="0.25">
      <c r="A597" t="s">
        <v>20237</v>
      </c>
      <c r="B597" t="s">
        <v>13</v>
      </c>
      <c r="C597" t="s">
        <v>20229</v>
      </c>
      <c r="D597" t="s">
        <v>20238</v>
      </c>
      <c r="E597" t="s">
        <v>20239</v>
      </c>
      <c r="F597" t="s">
        <v>1349</v>
      </c>
      <c r="G597" t="s">
        <v>10106</v>
      </c>
      <c r="H597" t="s">
        <v>3618</v>
      </c>
      <c r="I597" t="s">
        <v>19</v>
      </c>
      <c r="J597" s="3" t="s">
        <v>20240</v>
      </c>
      <c r="K597" t="s">
        <v>20241</v>
      </c>
      <c r="L597" t="s">
        <v>82</v>
      </c>
      <c r="M597" t="s">
        <v>1349</v>
      </c>
    </row>
    <row r="598" spans="1:13" x14ac:dyDescent="0.25">
      <c r="A598" t="s">
        <v>10263</v>
      </c>
      <c r="B598" t="s">
        <v>13</v>
      </c>
      <c r="C598" t="s">
        <v>9229</v>
      </c>
      <c r="D598" t="s">
        <v>10264</v>
      </c>
      <c r="E598" s="2" t="s">
        <v>31431</v>
      </c>
      <c r="F598" t="s">
        <v>1349</v>
      </c>
      <c r="G598" t="s">
        <v>10265</v>
      </c>
      <c r="H598" t="s">
        <v>18</v>
      </c>
      <c r="I598" t="s">
        <v>19</v>
      </c>
      <c r="J598" s="3">
        <v>5519999362628</v>
      </c>
      <c r="K598" t="s">
        <v>10266</v>
      </c>
      <c r="L598" t="s">
        <v>10267</v>
      </c>
      <c r="M598" t="s">
        <v>1349</v>
      </c>
    </row>
    <row r="599" spans="1:13" x14ac:dyDescent="0.25">
      <c r="A599" t="s">
        <v>20170</v>
      </c>
      <c r="B599" t="s">
        <v>13</v>
      </c>
      <c r="C599" s="1">
        <v>43315</v>
      </c>
      <c r="D599" t="s">
        <v>20171</v>
      </c>
      <c r="E599" s="2" t="s">
        <v>31245</v>
      </c>
      <c r="F599" t="s">
        <v>1349</v>
      </c>
      <c r="G599" t="s">
        <v>20172</v>
      </c>
      <c r="H599" t="s">
        <v>255</v>
      </c>
      <c r="I599" t="s">
        <v>19</v>
      </c>
      <c r="J599" s="3">
        <f>55-62-35211141</f>
        <v>-35211148</v>
      </c>
      <c r="K599" t="s">
        <v>20173</v>
      </c>
      <c r="L599" t="s">
        <v>11812</v>
      </c>
      <c r="M599" t="s">
        <v>1349</v>
      </c>
    </row>
    <row r="600" spans="1:13" x14ac:dyDescent="0.25">
      <c r="A600" t="s">
        <v>26871</v>
      </c>
      <c r="B600" t="s">
        <v>101</v>
      </c>
      <c r="C600" s="1">
        <v>42372</v>
      </c>
      <c r="D600" t="s">
        <v>26872</v>
      </c>
      <c r="E600" s="2" t="s">
        <v>31466</v>
      </c>
      <c r="F600" t="s">
        <v>1349</v>
      </c>
      <c r="G600" t="s">
        <v>1081</v>
      </c>
      <c r="H600" t="s">
        <v>489</v>
      </c>
      <c r="I600" t="s">
        <v>19</v>
      </c>
      <c r="J600" s="3" t="s">
        <v>25160</v>
      </c>
      <c r="K600" t="s">
        <v>11449</v>
      </c>
      <c r="L600" t="s">
        <v>625</v>
      </c>
      <c r="M600" t="s">
        <v>1349</v>
      </c>
    </row>
    <row r="601" spans="1:13" x14ac:dyDescent="0.25">
      <c r="A601" t="s">
        <v>17479</v>
      </c>
      <c r="B601" t="s">
        <v>13</v>
      </c>
      <c r="C601" t="s">
        <v>16588</v>
      </c>
      <c r="D601" t="s">
        <v>17480</v>
      </c>
      <c r="E601" s="2" t="s">
        <v>32088</v>
      </c>
      <c r="F601" t="s">
        <v>1464</v>
      </c>
      <c r="G601" t="s">
        <v>17481</v>
      </c>
      <c r="H601" t="s">
        <v>7504</v>
      </c>
      <c r="I601" t="s">
        <v>19</v>
      </c>
      <c r="J601" s="3">
        <v>5561982205050</v>
      </c>
      <c r="K601" t="s">
        <v>17482</v>
      </c>
      <c r="L601" t="s">
        <v>4378</v>
      </c>
      <c r="M601" t="s">
        <v>1349</v>
      </c>
    </row>
    <row r="602" spans="1:13" x14ac:dyDescent="0.25">
      <c r="A602" t="s">
        <v>18633</v>
      </c>
      <c r="B602" t="s">
        <v>13</v>
      </c>
      <c r="C602" t="s">
        <v>8477</v>
      </c>
      <c r="D602" t="s">
        <v>18634</v>
      </c>
      <c r="E602" s="2" t="s">
        <v>32084</v>
      </c>
      <c r="F602" t="s">
        <v>1349</v>
      </c>
      <c r="G602" t="s">
        <v>18636</v>
      </c>
      <c r="H602" t="s">
        <v>36</v>
      </c>
      <c r="I602" t="s">
        <v>19</v>
      </c>
      <c r="J602" s="3">
        <v>551130913097</v>
      </c>
      <c r="K602" t="s">
        <v>18637</v>
      </c>
      <c r="L602" t="s">
        <v>2725</v>
      </c>
      <c r="M602" t="s">
        <v>1349</v>
      </c>
    </row>
    <row r="603" spans="1:13" x14ac:dyDescent="0.25">
      <c r="A603" t="s">
        <v>3166</v>
      </c>
      <c r="B603" t="s">
        <v>13</v>
      </c>
      <c r="C603" t="s">
        <v>3167</v>
      </c>
      <c r="D603" t="s">
        <v>3168</v>
      </c>
      <c r="E603" s="2" t="s">
        <v>30770</v>
      </c>
      <c r="F603" t="s">
        <v>3169</v>
      </c>
      <c r="G603" t="s">
        <v>1531</v>
      </c>
      <c r="H603" t="s">
        <v>540</v>
      </c>
      <c r="I603" t="s">
        <v>19</v>
      </c>
      <c r="J603" s="3" t="s">
        <v>3170</v>
      </c>
      <c r="K603" t="s">
        <v>3171</v>
      </c>
      <c r="L603" t="s">
        <v>3172</v>
      </c>
      <c r="M603" t="s">
        <v>1349</v>
      </c>
    </row>
    <row r="604" spans="1:13" x14ac:dyDescent="0.25">
      <c r="A604" t="s">
        <v>20584</v>
      </c>
      <c r="B604" t="s">
        <v>13</v>
      </c>
      <c r="C604" s="1">
        <v>43411</v>
      </c>
      <c r="D604" t="s">
        <v>20585</v>
      </c>
      <c r="E604" s="2" t="s">
        <v>31257</v>
      </c>
      <c r="F604" t="s">
        <v>1349</v>
      </c>
      <c r="G604" t="s">
        <v>20586</v>
      </c>
      <c r="H604" t="s">
        <v>255</v>
      </c>
      <c r="I604" t="s">
        <v>19</v>
      </c>
      <c r="J604" s="3">
        <f>55-62-32013605</f>
        <v>-32013612</v>
      </c>
      <c r="K604" t="s">
        <v>20587</v>
      </c>
      <c r="L604" t="s">
        <v>20588</v>
      </c>
      <c r="M604" t="s">
        <v>1349</v>
      </c>
    </row>
    <row r="605" spans="1:13" x14ac:dyDescent="0.25">
      <c r="A605" t="s">
        <v>1651</v>
      </c>
      <c r="B605" t="s">
        <v>13</v>
      </c>
      <c r="C605" t="s">
        <v>1627</v>
      </c>
      <c r="D605" t="s">
        <v>1652</v>
      </c>
      <c r="E605" s="2" t="s">
        <v>30712</v>
      </c>
      <c r="F605" t="s">
        <v>1654</v>
      </c>
      <c r="G605" t="s">
        <v>1655</v>
      </c>
      <c r="H605" t="s">
        <v>1656</v>
      </c>
      <c r="I605" t="s">
        <v>19</v>
      </c>
      <c r="J605" s="3">
        <f>55-55-32208263</f>
        <v>-32208263</v>
      </c>
      <c r="K605" t="s">
        <v>1657</v>
      </c>
      <c r="L605" t="s">
        <v>1658</v>
      </c>
      <c r="M605" t="s">
        <v>1349</v>
      </c>
    </row>
    <row r="606" spans="1:13" x14ac:dyDescent="0.25">
      <c r="A606" t="s">
        <v>233</v>
      </c>
      <c r="B606" t="s">
        <v>13</v>
      </c>
      <c r="C606" t="s">
        <v>234</v>
      </c>
      <c r="D606" t="s">
        <v>235</v>
      </c>
      <c r="E606" t="s">
        <v>30677</v>
      </c>
      <c r="F606" t="s">
        <v>238</v>
      </c>
      <c r="G606" t="s">
        <v>239</v>
      </c>
      <c r="H606" t="s">
        <v>88</v>
      </c>
      <c r="I606" t="s">
        <v>19</v>
      </c>
      <c r="J606" s="3" t="s">
        <v>240</v>
      </c>
      <c r="K606" t="s">
        <v>241</v>
      </c>
      <c r="L606" t="s">
        <v>242</v>
      </c>
      <c r="M606" t="s">
        <v>1349</v>
      </c>
    </row>
    <row r="607" spans="1:13" x14ac:dyDescent="0.25">
      <c r="A607" t="s">
        <v>22321</v>
      </c>
      <c r="B607" t="s">
        <v>13</v>
      </c>
      <c r="C607" s="1">
        <v>43133</v>
      </c>
      <c r="D607" t="s">
        <v>22322</v>
      </c>
      <c r="E607" s="2" t="s">
        <v>32249</v>
      </c>
      <c r="F607" t="s">
        <v>1349</v>
      </c>
      <c r="G607" t="s">
        <v>22323</v>
      </c>
      <c r="H607" t="s">
        <v>36</v>
      </c>
      <c r="I607" t="s">
        <v>19</v>
      </c>
      <c r="J607" s="3" t="s">
        <v>22324</v>
      </c>
      <c r="K607" t="s">
        <v>22325</v>
      </c>
      <c r="L607" t="s">
        <v>321</v>
      </c>
      <c r="M607" t="s">
        <v>1349</v>
      </c>
    </row>
    <row r="608" spans="1:13" x14ac:dyDescent="0.25">
      <c r="A608" t="s">
        <v>15491</v>
      </c>
      <c r="B608" t="s">
        <v>13</v>
      </c>
      <c r="C608" t="s">
        <v>8873</v>
      </c>
      <c r="D608" t="s">
        <v>15492</v>
      </c>
      <c r="E608" t="s">
        <v>32250</v>
      </c>
      <c r="F608" t="s">
        <v>1464</v>
      </c>
      <c r="G608" t="s">
        <v>15493</v>
      </c>
      <c r="H608" t="s">
        <v>540</v>
      </c>
      <c r="I608" t="s">
        <v>19</v>
      </c>
      <c r="J608" s="3">
        <v>9132018892</v>
      </c>
      <c r="K608" t="s">
        <v>15494</v>
      </c>
      <c r="L608" t="s">
        <v>1531</v>
      </c>
      <c r="M608" t="s">
        <v>129</v>
      </c>
    </row>
    <row r="609" spans="1:13" x14ac:dyDescent="0.25">
      <c r="A609" t="s">
        <v>23163</v>
      </c>
      <c r="B609" t="s">
        <v>13</v>
      </c>
      <c r="C609" t="s">
        <v>23164</v>
      </c>
      <c r="D609" t="s">
        <v>23165</v>
      </c>
      <c r="E609" t="s">
        <v>23166</v>
      </c>
      <c r="F609" t="s">
        <v>1775</v>
      </c>
      <c r="G609" t="s">
        <v>23167</v>
      </c>
      <c r="H609" t="s">
        <v>18</v>
      </c>
      <c r="I609" t="s">
        <v>19</v>
      </c>
      <c r="J609" s="3" t="s">
        <v>23168</v>
      </c>
      <c r="K609" t="s">
        <v>23169</v>
      </c>
      <c r="L609" t="s">
        <v>23170</v>
      </c>
      <c r="M609" t="s">
        <v>1775</v>
      </c>
    </row>
    <row r="610" spans="1:13" x14ac:dyDescent="0.25">
      <c r="A610" t="s">
        <v>4618</v>
      </c>
      <c r="B610" t="s">
        <v>13</v>
      </c>
      <c r="C610" t="s">
        <v>4598</v>
      </c>
      <c r="D610" t="s">
        <v>32135</v>
      </c>
      <c r="E610" t="s">
        <v>4619</v>
      </c>
      <c r="F610" t="s">
        <v>3461</v>
      </c>
      <c r="G610" t="s">
        <v>4620</v>
      </c>
      <c r="H610" t="s">
        <v>4621</v>
      </c>
      <c r="I610" t="s">
        <v>19</v>
      </c>
      <c r="J610" s="3">
        <v>551936380240</v>
      </c>
      <c r="K610" t="s">
        <v>4622</v>
      </c>
      <c r="L610" t="s">
        <v>4623</v>
      </c>
      <c r="M610" t="s">
        <v>771</v>
      </c>
    </row>
    <row r="611" spans="1:13" x14ac:dyDescent="0.25">
      <c r="A611" t="s">
        <v>20850</v>
      </c>
      <c r="B611" t="s">
        <v>13</v>
      </c>
      <c r="C611" t="s">
        <v>20848</v>
      </c>
      <c r="D611" t="s">
        <v>20851</v>
      </c>
      <c r="E611" s="2" t="s">
        <v>31267</v>
      </c>
      <c r="F611" t="s">
        <v>306</v>
      </c>
      <c r="G611" t="s">
        <v>20852</v>
      </c>
      <c r="H611" t="s">
        <v>45</v>
      </c>
      <c r="I611" t="s">
        <v>19</v>
      </c>
      <c r="J611" s="3">
        <f>55-85-988638346</f>
        <v>-988638376</v>
      </c>
      <c r="K611" t="s">
        <v>20853</v>
      </c>
      <c r="L611" t="s">
        <v>1369</v>
      </c>
      <c r="M611" t="s">
        <v>32145</v>
      </c>
    </row>
    <row r="612" spans="1:13" x14ac:dyDescent="0.25">
      <c r="A612" t="s">
        <v>20660</v>
      </c>
      <c r="B612" t="s">
        <v>13</v>
      </c>
      <c r="C612" s="1">
        <v>43350</v>
      </c>
      <c r="D612" t="s">
        <v>20661</v>
      </c>
      <c r="E612" s="2" t="s">
        <v>31849</v>
      </c>
      <c r="F612" t="s">
        <v>2758</v>
      </c>
      <c r="G612" t="s">
        <v>20662</v>
      </c>
      <c r="H612" t="s">
        <v>20663</v>
      </c>
      <c r="I612" t="s">
        <v>19</v>
      </c>
      <c r="J612" s="3" t="s">
        <v>20664</v>
      </c>
      <c r="K612" t="s">
        <v>20665</v>
      </c>
      <c r="L612" t="s">
        <v>20666</v>
      </c>
      <c r="M612" t="s">
        <v>32149</v>
      </c>
    </row>
    <row r="613" spans="1:13" x14ac:dyDescent="0.25">
      <c r="A613" t="s">
        <v>11954</v>
      </c>
      <c r="B613" t="s">
        <v>13</v>
      </c>
      <c r="C613" s="1">
        <v>44017</v>
      </c>
      <c r="D613" t="s">
        <v>11955</v>
      </c>
      <c r="E613" s="2" t="s">
        <v>31649</v>
      </c>
      <c r="F613" t="s">
        <v>1464</v>
      </c>
      <c r="G613" t="s">
        <v>11956</v>
      </c>
      <c r="H613" t="s">
        <v>265</v>
      </c>
      <c r="I613" t="s">
        <v>19</v>
      </c>
      <c r="J613" s="3">
        <f>55-16-3315-3405</f>
        <v>-6681</v>
      </c>
      <c r="K613" t="s">
        <v>11906</v>
      </c>
      <c r="L613" t="s">
        <v>1246</v>
      </c>
      <c r="M613" t="s">
        <v>32121</v>
      </c>
    </row>
    <row r="614" spans="1:13" x14ac:dyDescent="0.25">
      <c r="A614" t="s">
        <v>26101</v>
      </c>
      <c r="B614" t="s">
        <v>13</v>
      </c>
      <c r="C614" s="1">
        <v>42435</v>
      </c>
      <c r="D614" t="s">
        <v>26102</v>
      </c>
      <c r="E614" t="s">
        <v>26103</v>
      </c>
      <c r="F614" t="s">
        <v>1464</v>
      </c>
      <c r="G614" t="s">
        <v>26104</v>
      </c>
      <c r="H614" t="s">
        <v>472</v>
      </c>
      <c r="I614" t="s">
        <v>19</v>
      </c>
      <c r="J614" s="3" t="s">
        <v>26105</v>
      </c>
      <c r="K614" t="s">
        <v>26106</v>
      </c>
      <c r="L614" t="s">
        <v>2101</v>
      </c>
      <c r="M614" t="s">
        <v>32121</v>
      </c>
    </row>
    <row r="615" spans="1:13" x14ac:dyDescent="0.25">
      <c r="A615" t="s">
        <v>9491</v>
      </c>
      <c r="B615" t="s">
        <v>13</v>
      </c>
      <c r="C615" t="s">
        <v>9445</v>
      </c>
      <c r="D615" t="s">
        <v>9492</v>
      </c>
      <c r="E615" s="2" t="s">
        <v>31829</v>
      </c>
      <c r="F615" t="s">
        <v>1775</v>
      </c>
      <c r="G615" t="s">
        <v>9493</v>
      </c>
      <c r="H615" t="s">
        <v>489</v>
      </c>
      <c r="I615" t="s">
        <v>19</v>
      </c>
      <c r="J615" s="3" t="s">
        <v>9494</v>
      </c>
      <c r="K615" t="s">
        <v>9495</v>
      </c>
      <c r="L615" t="s">
        <v>625</v>
      </c>
      <c r="M615" t="s">
        <v>32121</v>
      </c>
    </row>
    <row r="616" spans="1:13" x14ac:dyDescent="0.25">
      <c r="A616" t="s">
        <v>28520</v>
      </c>
      <c r="B616" t="s">
        <v>13</v>
      </c>
      <c r="C616" t="s">
        <v>28521</v>
      </c>
      <c r="D616" t="s">
        <v>28522</v>
      </c>
      <c r="E616" t="s">
        <v>32251</v>
      </c>
      <c r="F616" t="s">
        <v>9969</v>
      </c>
      <c r="G616" t="s">
        <v>27493</v>
      </c>
      <c r="H616" t="s">
        <v>36</v>
      </c>
      <c r="I616" t="s">
        <v>19</v>
      </c>
      <c r="J616" s="3" t="s">
        <v>27494</v>
      </c>
      <c r="K616" t="s">
        <v>27495</v>
      </c>
      <c r="L616" t="s">
        <v>26657</v>
      </c>
      <c r="M616" t="s">
        <v>32149</v>
      </c>
    </row>
    <row r="617" spans="1:13" x14ac:dyDescent="0.25">
      <c r="A617" t="s">
        <v>24733</v>
      </c>
      <c r="B617" t="s">
        <v>13</v>
      </c>
      <c r="C617" s="1">
        <v>43070</v>
      </c>
      <c r="D617" t="s">
        <v>24734</v>
      </c>
      <c r="E617" t="s">
        <v>24735</v>
      </c>
      <c r="F617" t="s">
        <v>1190</v>
      </c>
      <c r="G617" t="s">
        <v>24736</v>
      </c>
      <c r="H617" t="s">
        <v>36</v>
      </c>
      <c r="I617" t="s">
        <v>19</v>
      </c>
      <c r="J617" s="3" t="s">
        <v>24737</v>
      </c>
      <c r="K617" t="s">
        <v>24738</v>
      </c>
      <c r="L617" t="s">
        <v>24739</v>
      </c>
      <c r="M617" t="s">
        <v>432</v>
      </c>
    </row>
    <row r="618" spans="1:13" x14ac:dyDescent="0.25">
      <c r="A618" t="s">
        <v>18621</v>
      </c>
      <c r="B618" t="s">
        <v>13</v>
      </c>
      <c r="C618" t="s">
        <v>8477</v>
      </c>
      <c r="D618" t="s">
        <v>18622</v>
      </c>
      <c r="E618" t="s">
        <v>2858</v>
      </c>
      <c r="F618" t="s">
        <v>1190</v>
      </c>
      <c r="G618" t="s">
        <v>18623</v>
      </c>
      <c r="H618" t="s">
        <v>45</v>
      </c>
      <c r="I618" t="s">
        <v>19</v>
      </c>
      <c r="J618" s="3" t="s">
        <v>18624</v>
      </c>
      <c r="K618" t="s">
        <v>18625</v>
      </c>
      <c r="L618" t="s">
        <v>18626</v>
      </c>
      <c r="M618" t="s">
        <v>432</v>
      </c>
    </row>
    <row r="619" spans="1:13" x14ac:dyDescent="0.25">
      <c r="A619" t="s">
        <v>18350</v>
      </c>
      <c r="B619" t="s">
        <v>13</v>
      </c>
      <c r="C619" s="1">
        <v>43801</v>
      </c>
      <c r="D619" t="s">
        <v>18351</v>
      </c>
      <c r="E619" s="2" t="s">
        <v>31833</v>
      </c>
      <c r="F619" t="s">
        <v>1190</v>
      </c>
      <c r="G619" t="s">
        <v>18352</v>
      </c>
      <c r="H619" t="s">
        <v>2934</v>
      </c>
      <c r="I619" t="s">
        <v>19</v>
      </c>
      <c r="J619" s="3">
        <f>55-37-991082996</f>
        <v>-991082978</v>
      </c>
      <c r="K619" t="s">
        <v>18353</v>
      </c>
      <c r="L619" t="s">
        <v>13908</v>
      </c>
      <c r="M619" t="s">
        <v>432</v>
      </c>
    </row>
    <row r="620" spans="1:13" x14ac:dyDescent="0.25">
      <c r="A620" t="s">
        <v>19352</v>
      </c>
      <c r="B620" t="s">
        <v>13</v>
      </c>
      <c r="C620" s="1">
        <v>43200</v>
      </c>
      <c r="D620" t="s">
        <v>19353</v>
      </c>
      <c r="E620" t="s">
        <v>19354</v>
      </c>
      <c r="F620" t="s">
        <v>6656</v>
      </c>
      <c r="G620" t="s">
        <v>19355</v>
      </c>
      <c r="H620" t="s">
        <v>472</v>
      </c>
      <c r="I620" t="s">
        <v>19</v>
      </c>
      <c r="J620" s="3">
        <f>55-81-31841600</f>
        <v>-31841626</v>
      </c>
      <c r="K620" t="s">
        <v>19356</v>
      </c>
      <c r="L620" t="s">
        <v>18912</v>
      </c>
      <c r="M620" t="s">
        <v>6656</v>
      </c>
    </row>
    <row r="621" spans="1:13" x14ac:dyDescent="0.25">
      <c r="A621" t="s">
        <v>27954</v>
      </c>
      <c r="B621" t="s">
        <v>13</v>
      </c>
      <c r="C621" t="s">
        <v>27932</v>
      </c>
      <c r="D621" t="s">
        <v>27955</v>
      </c>
      <c r="E621" t="s">
        <v>7640</v>
      </c>
      <c r="F621" t="s">
        <v>6656</v>
      </c>
      <c r="G621" t="s">
        <v>27956</v>
      </c>
      <c r="H621" t="s">
        <v>255</v>
      </c>
      <c r="I621" t="s">
        <v>19</v>
      </c>
      <c r="J621" s="3" t="s">
        <v>27957</v>
      </c>
      <c r="K621" t="s">
        <v>27958</v>
      </c>
      <c r="L621" t="s">
        <v>691</v>
      </c>
      <c r="M621" t="s">
        <v>6656</v>
      </c>
    </row>
    <row r="622" spans="1:13" x14ac:dyDescent="0.25">
      <c r="A622" t="s">
        <v>7638</v>
      </c>
      <c r="B622" t="s">
        <v>13</v>
      </c>
      <c r="C622" s="1">
        <v>44535</v>
      </c>
      <c r="D622" t="s">
        <v>7639</v>
      </c>
      <c r="E622" s="2" t="s">
        <v>30934</v>
      </c>
      <c r="F622" t="s">
        <v>1190</v>
      </c>
      <c r="G622" t="s">
        <v>7641</v>
      </c>
      <c r="H622" t="s">
        <v>706</v>
      </c>
      <c r="I622" t="s">
        <v>19</v>
      </c>
      <c r="J622" s="3">
        <v>5531986232400</v>
      </c>
      <c r="K622" t="s">
        <v>7642</v>
      </c>
      <c r="L622" t="s">
        <v>7643</v>
      </c>
      <c r="M622" t="s">
        <v>432</v>
      </c>
    </row>
    <row r="623" spans="1:13" x14ac:dyDescent="0.25">
      <c r="A623" t="s">
        <v>25901</v>
      </c>
      <c r="B623" t="s">
        <v>13</v>
      </c>
      <c r="C623" t="s">
        <v>25896</v>
      </c>
      <c r="D623" t="s">
        <v>25902</v>
      </c>
      <c r="E623" t="s">
        <v>1079</v>
      </c>
      <c r="F623" t="s">
        <v>1464</v>
      </c>
      <c r="G623" t="s">
        <v>20139</v>
      </c>
      <c r="H623" t="s">
        <v>20140</v>
      </c>
      <c r="I623" t="s">
        <v>19</v>
      </c>
      <c r="J623" s="3" t="s">
        <v>25903</v>
      </c>
      <c r="K623" t="s">
        <v>20141</v>
      </c>
      <c r="L623" t="s">
        <v>1851</v>
      </c>
      <c r="M623" t="s">
        <v>224</v>
      </c>
    </row>
    <row r="624" spans="1:13" x14ac:dyDescent="0.25">
      <c r="A624" t="s">
        <v>10836</v>
      </c>
      <c r="B624" t="s">
        <v>13</v>
      </c>
      <c r="C624" t="s">
        <v>7057</v>
      </c>
      <c r="D624" t="s">
        <v>10837</v>
      </c>
      <c r="E624" t="s">
        <v>1079</v>
      </c>
      <c r="F624" t="s">
        <v>1464</v>
      </c>
      <c r="G624" t="s">
        <v>10838</v>
      </c>
      <c r="H624" t="s">
        <v>7904</v>
      </c>
      <c r="I624" t="s">
        <v>19</v>
      </c>
      <c r="J624" s="3" t="s">
        <v>10839</v>
      </c>
      <c r="K624" t="s">
        <v>10840</v>
      </c>
      <c r="L624" t="s">
        <v>56</v>
      </c>
      <c r="M624" t="s">
        <v>337</v>
      </c>
    </row>
    <row r="625" spans="1:13" x14ac:dyDescent="0.25">
      <c r="A625" t="s">
        <v>8258</v>
      </c>
      <c r="B625" t="s">
        <v>13</v>
      </c>
      <c r="C625" s="1">
        <v>44410</v>
      </c>
      <c r="D625" t="s">
        <v>8259</v>
      </c>
      <c r="E625" t="s">
        <v>1079</v>
      </c>
      <c r="F625" t="s">
        <v>1464</v>
      </c>
      <c r="G625" t="s">
        <v>8260</v>
      </c>
      <c r="H625" t="s">
        <v>372</v>
      </c>
      <c r="I625" t="s">
        <v>19</v>
      </c>
      <c r="J625" s="3" t="s">
        <v>8261</v>
      </c>
      <c r="K625" t="s">
        <v>8262</v>
      </c>
      <c r="L625" t="s">
        <v>8263</v>
      </c>
      <c r="M625" t="s">
        <v>337</v>
      </c>
    </row>
    <row r="626" spans="1:13" x14ac:dyDescent="0.25">
      <c r="A626" t="s">
        <v>1076</v>
      </c>
      <c r="B626" t="s">
        <v>13</v>
      </c>
      <c r="C626" t="s">
        <v>1077</v>
      </c>
      <c r="D626" t="s">
        <v>1078</v>
      </c>
      <c r="E626" t="s">
        <v>1079</v>
      </c>
      <c r="F626" t="s">
        <v>1080</v>
      </c>
      <c r="G626" t="s">
        <v>1081</v>
      </c>
      <c r="H626" t="s">
        <v>489</v>
      </c>
      <c r="I626" t="s">
        <v>19</v>
      </c>
      <c r="J626" s="3" t="s">
        <v>1082</v>
      </c>
      <c r="K626" t="s">
        <v>1083</v>
      </c>
      <c r="L626" t="s">
        <v>625</v>
      </c>
      <c r="M626" t="s">
        <v>337</v>
      </c>
    </row>
    <row r="627" spans="1:13" x14ac:dyDescent="0.25">
      <c r="A627" t="s">
        <v>3537</v>
      </c>
      <c r="B627" t="s">
        <v>13</v>
      </c>
      <c r="C627" t="s">
        <v>3531</v>
      </c>
      <c r="D627" t="s">
        <v>3538</v>
      </c>
      <c r="E627" s="2" t="s">
        <v>30783</v>
      </c>
      <c r="F627" t="s">
        <v>1837</v>
      </c>
      <c r="G627" t="s">
        <v>1838</v>
      </c>
      <c r="H627" t="s">
        <v>409</v>
      </c>
      <c r="I627" t="s">
        <v>19</v>
      </c>
      <c r="J627" s="3" t="s">
        <v>1839</v>
      </c>
      <c r="K627" t="s">
        <v>1840</v>
      </c>
      <c r="L627" t="s">
        <v>625</v>
      </c>
      <c r="M627" t="s">
        <v>32144</v>
      </c>
    </row>
    <row r="628" spans="1:13" x14ac:dyDescent="0.25">
      <c r="A628" t="s">
        <v>5256</v>
      </c>
      <c r="B628" t="s">
        <v>13</v>
      </c>
      <c r="C628" t="s">
        <v>2770</v>
      </c>
      <c r="D628" t="s">
        <v>32135</v>
      </c>
      <c r="E628" s="2" t="s">
        <v>30838</v>
      </c>
      <c r="F628" t="s">
        <v>5257</v>
      </c>
      <c r="G628" t="s">
        <v>5258</v>
      </c>
      <c r="H628" t="s">
        <v>472</v>
      </c>
      <c r="I628" t="s">
        <v>19</v>
      </c>
      <c r="J628" s="3">
        <f>55-81-21268491</f>
        <v>-21268517</v>
      </c>
      <c r="K628" t="s">
        <v>5259</v>
      </c>
      <c r="L628" t="s">
        <v>32135</v>
      </c>
      <c r="M628" t="s">
        <v>224</v>
      </c>
    </row>
    <row r="629" spans="1:13" x14ac:dyDescent="0.25">
      <c r="A629" t="s">
        <v>13334</v>
      </c>
      <c r="B629" t="s">
        <v>13</v>
      </c>
      <c r="C629" t="s">
        <v>5232</v>
      </c>
      <c r="D629" t="s">
        <v>13335</v>
      </c>
      <c r="E629" s="2" t="s">
        <v>31542</v>
      </c>
      <c r="F629" t="s">
        <v>1464</v>
      </c>
      <c r="G629" t="s">
        <v>13274</v>
      </c>
      <c r="H629" t="s">
        <v>983</v>
      </c>
      <c r="I629" t="s">
        <v>19</v>
      </c>
      <c r="J629" s="3">
        <v>5519984010053</v>
      </c>
      <c r="K629" t="s">
        <v>13336</v>
      </c>
      <c r="L629" t="s">
        <v>13337</v>
      </c>
      <c r="M629" t="s">
        <v>32187</v>
      </c>
    </row>
    <row r="630" spans="1:13" x14ac:dyDescent="0.25">
      <c r="A630" t="s">
        <v>19273</v>
      </c>
      <c r="B630" t="s">
        <v>13</v>
      </c>
      <c r="C630" t="s">
        <v>7867</v>
      </c>
      <c r="D630" t="s">
        <v>19274</v>
      </c>
      <c r="E630" t="s">
        <v>19275</v>
      </c>
      <c r="F630" t="s">
        <v>9969</v>
      </c>
      <c r="G630" t="s">
        <v>19276</v>
      </c>
      <c r="H630" t="s">
        <v>265</v>
      </c>
      <c r="I630" t="s">
        <v>19</v>
      </c>
      <c r="J630" s="3">
        <v>551636012501</v>
      </c>
      <c r="K630" t="s">
        <v>19277</v>
      </c>
      <c r="L630" t="s">
        <v>19278</v>
      </c>
      <c r="M630" t="s">
        <v>32149</v>
      </c>
    </row>
    <row r="631" spans="1:13" x14ac:dyDescent="0.25">
      <c r="A631" t="s">
        <v>19932</v>
      </c>
      <c r="B631" t="s">
        <v>13</v>
      </c>
      <c r="C631" t="s">
        <v>19912</v>
      </c>
      <c r="D631" t="s">
        <v>19933</v>
      </c>
      <c r="E631" t="s">
        <v>19934</v>
      </c>
      <c r="F631" t="s">
        <v>2758</v>
      </c>
      <c r="G631" t="s">
        <v>19935</v>
      </c>
      <c r="H631" t="s">
        <v>114</v>
      </c>
      <c r="I631" t="s">
        <v>19</v>
      </c>
      <c r="J631" s="3" t="s">
        <v>19936</v>
      </c>
      <c r="K631" t="s">
        <v>19937</v>
      </c>
      <c r="L631" t="s">
        <v>82</v>
      </c>
      <c r="M631" t="s">
        <v>32149</v>
      </c>
    </row>
    <row r="632" spans="1:13" x14ac:dyDescent="0.25">
      <c r="A632" t="s">
        <v>3324</v>
      </c>
      <c r="B632" t="s">
        <v>13</v>
      </c>
      <c r="C632" t="s">
        <v>3325</v>
      </c>
      <c r="D632" t="s">
        <v>3326</v>
      </c>
      <c r="E632" t="s">
        <v>369</v>
      </c>
      <c r="F632" t="s">
        <v>370</v>
      </c>
      <c r="G632" t="s">
        <v>3327</v>
      </c>
      <c r="H632" t="s">
        <v>88</v>
      </c>
      <c r="I632" t="s">
        <v>19</v>
      </c>
      <c r="J632" s="3" t="s">
        <v>3328</v>
      </c>
      <c r="K632" t="s">
        <v>3329</v>
      </c>
      <c r="L632" t="s">
        <v>1692</v>
      </c>
      <c r="M632" t="s">
        <v>337</v>
      </c>
    </row>
    <row r="633" spans="1:13" x14ac:dyDescent="0.25">
      <c r="A633" t="s">
        <v>13711</v>
      </c>
      <c r="B633" t="s">
        <v>13</v>
      </c>
      <c r="C633" s="1">
        <v>43984</v>
      </c>
      <c r="D633" t="s">
        <v>13712</v>
      </c>
      <c r="E633" t="s">
        <v>369</v>
      </c>
      <c r="F633" t="s">
        <v>1934</v>
      </c>
      <c r="G633" t="s">
        <v>13713</v>
      </c>
      <c r="H633" t="s">
        <v>2678</v>
      </c>
      <c r="I633" t="s">
        <v>19</v>
      </c>
      <c r="J633" s="3">
        <f>55-53-981266551</f>
        <v>-981266549</v>
      </c>
      <c r="K633" t="s">
        <v>13714</v>
      </c>
      <c r="L633" t="s">
        <v>13715</v>
      </c>
      <c r="M633" t="s">
        <v>337</v>
      </c>
    </row>
    <row r="634" spans="1:13" x14ac:dyDescent="0.25">
      <c r="A634" t="s">
        <v>14573</v>
      </c>
      <c r="B634" t="s">
        <v>13</v>
      </c>
      <c r="C634" t="s">
        <v>14558</v>
      </c>
      <c r="D634" t="s">
        <v>14574</v>
      </c>
      <c r="E634" t="s">
        <v>32252</v>
      </c>
      <c r="F634" t="s">
        <v>1934</v>
      </c>
      <c r="G634" t="s">
        <v>14575</v>
      </c>
      <c r="H634" t="s">
        <v>150</v>
      </c>
      <c r="I634" t="s">
        <v>19</v>
      </c>
      <c r="J634" s="3">
        <f>55-11-999943103</f>
        <v>-999943059</v>
      </c>
      <c r="K634" t="s">
        <v>14576</v>
      </c>
      <c r="L634" t="s">
        <v>3512</v>
      </c>
      <c r="M634" t="s">
        <v>337</v>
      </c>
    </row>
    <row r="635" spans="1:13" x14ac:dyDescent="0.25">
      <c r="A635" t="s">
        <v>18609</v>
      </c>
      <c r="B635" t="s">
        <v>101</v>
      </c>
      <c r="C635" t="s">
        <v>18610</v>
      </c>
      <c r="D635" t="s">
        <v>18611</v>
      </c>
      <c r="E635" t="s">
        <v>18612</v>
      </c>
      <c r="F635" t="s">
        <v>1464</v>
      </c>
      <c r="G635" t="s">
        <v>18613</v>
      </c>
      <c r="H635" t="s">
        <v>6322</v>
      </c>
      <c r="I635" t="s">
        <v>19</v>
      </c>
      <c r="J635" s="3">
        <f>55-11-4993-5400</f>
        <v>-10349</v>
      </c>
      <c r="K635" t="s">
        <v>18614</v>
      </c>
      <c r="L635" t="s">
        <v>13173</v>
      </c>
      <c r="M635" t="s">
        <v>32144</v>
      </c>
    </row>
    <row r="636" spans="1:13" x14ac:dyDescent="0.25">
      <c r="A636" t="s">
        <v>22668</v>
      </c>
      <c r="B636" t="s">
        <v>13</v>
      </c>
      <c r="C636" s="1">
        <v>43221</v>
      </c>
      <c r="D636" t="s">
        <v>22669</v>
      </c>
      <c r="E636" t="s">
        <v>22670</v>
      </c>
      <c r="F636" t="s">
        <v>1464</v>
      </c>
      <c r="G636" t="s">
        <v>22671</v>
      </c>
      <c r="H636" t="s">
        <v>88</v>
      </c>
      <c r="I636" t="s">
        <v>19</v>
      </c>
      <c r="J636" s="3">
        <f>55-84-996245892</f>
        <v>-996245921</v>
      </c>
      <c r="K636" t="s">
        <v>22672</v>
      </c>
      <c r="L636" t="s">
        <v>91</v>
      </c>
      <c r="M636" t="s">
        <v>32144</v>
      </c>
    </row>
    <row r="637" spans="1:13" x14ac:dyDescent="0.25">
      <c r="A637" t="s">
        <v>13956</v>
      </c>
      <c r="B637" t="s">
        <v>13</v>
      </c>
      <c r="C637" t="s">
        <v>12548</v>
      </c>
      <c r="D637" t="s">
        <v>13957</v>
      </c>
      <c r="E637" s="2" t="s">
        <v>31413</v>
      </c>
      <c r="F637" t="s">
        <v>3084</v>
      </c>
      <c r="G637" t="s">
        <v>3952</v>
      </c>
      <c r="H637" t="s">
        <v>299</v>
      </c>
      <c r="I637" t="s">
        <v>19</v>
      </c>
      <c r="J637" s="3" t="s">
        <v>13958</v>
      </c>
      <c r="K637" t="s">
        <v>13959</v>
      </c>
      <c r="L637" t="s">
        <v>13960</v>
      </c>
      <c r="M637" t="s">
        <v>32144</v>
      </c>
    </row>
    <row r="638" spans="1:13" x14ac:dyDescent="0.25">
      <c r="A638" t="s">
        <v>23414</v>
      </c>
      <c r="B638" t="s">
        <v>13</v>
      </c>
      <c r="C638" t="s">
        <v>23402</v>
      </c>
      <c r="D638" t="s">
        <v>23415</v>
      </c>
      <c r="E638" t="s">
        <v>23416</v>
      </c>
      <c r="F638" t="s">
        <v>6130</v>
      </c>
      <c r="G638" t="s">
        <v>23417</v>
      </c>
      <c r="H638" t="s">
        <v>352</v>
      </c>
      <c r="I638" t="s">
        <v>19</v>
      </c>
      <c r="J638" s="3" t="s">
        <v>21486</v>
      </c>
      <c r="K638" t="s">
        <v>21487</v>
      </c>
      <c r="L638" t="s">
        <v>550</v>
      </c>
      <c r="M638" t="s">
        <v>32144</v>
      </c>
    </row>
    <row r="639" spans="1:13" x14ac:dyDescent="0.25">
      <c r="A639" t="s">
        <v>1586</v>
      </c>
      <c r="B639" t="s">
        <v>13</v>
      </c>
      <c r="C639" t="s">
        <v>1580</v>
      </c>
      <c r="D639" t="s">
        <v>1587</v>
      </c>
      <c r="E639" t="s">
        <v>1588</v>
      </c>
      <c r="F639" t="s">
        <v>1589</v>
      </c>
      <c r="G639" t="s">
        <v>1590</v>
      </c>
      <c r="H639" t="s">
        <v>798</v>
      </c>
      <c r="I639" t="s">
        <v>19</v>
      </c>
      <c r="J639" s="3" t="s">
        <v>1591</v>
      </c>
      <c r="K639" t="s">
        <v>1592</v>
      </c>
      <c r="L639" t="s">
        <v>1593</v>
      </c>
      <c r="M639" t="s">
        <v>32149</v>
      </c>
    </row>
    <row r="640" spans="1:13" x14ac:dyDescent="0.25">
      <c r="A640" t="s">
        <v>3924</v>
      </c>
      <c r="B640" t="s">
        <v>13</v>
      </c>
      <c r="C640" t="s">
        <v>583</v>
      </c>
      <c r="D640" t="s">
        <v>3925</v>
      </c>
      <c r="E640" t="s">
        <v>1588</v>
      </c>
      <c r="F640" t="s">
        <v>2975</v>
      </c>
      <c r="G640" t="s">
        <v>3926</v>
      </c>
      <c r="H640" t="s">
        <v>1656</v>
      </c>
      <c r="I640" t="s">
        <v>19</v>
      </c>
      <c r="J640" s="3">
        <f>55-55-999687997</f>
        <v>-999687997</v>
      </c>
      <c r="K640" t="s">
        <v>3927</v>
      </c>
      <c r="L640" t="s">
        <v>1658</v>
      </c>
      <c r="M640" t="s">
        <v>32149</v>
      </c>
    </row>
    <row r="641" spans="1:13" x14ac:dyDescent="0.25">
      <c r="A641" t="s">
        <v>5946</v>
      </c>
      <c r="B641" t="s">
        <v>13</v>
      </c>
      <c r="C641" t="s">
        <v>5931</v>
      </c>
      <c r="D641" t="s">
        <v>32135</v>
      </c>
      <c r="E641" t="s">
        <v>1588</v>
      </c>
      <c r="F641" t="s">
        <v>5947</v>
      </c>
      <c r="G641" t="s">
        <v>5948</v>
      </c>
      <c r="H641" t="s">
        <v>5949</v>
      </c>
      <c r="I641" t="s">
        <v>19</v>
      </c>
      <c r="J641" s="3">
        <v>5519987018980</v>
      </c>
      <c r="K641" t="s">
        <v>5950</v>
      </c>
      <c r="L641" t="s">
        <v>5951</v>
      </c>
      <c r="M641" t="s">
        <v>32149</v>
      </c>
    </row>
    <row r="642" spans="1:13" x14ac:dyDescent="0.25">
      <c r="A642" t="s">
        <v>17178</v>
      </c>
      <c r="B642" t="s">
        <v>13</v>
      </c>
      <c r="C642" s="1">
        <v>43683</v>
      </c>
      <c r="D642" t="s">
        <v>17179</v>
      </c>
      <c r="E642" t="s">
        <v>1588</v>
      </c>
      <c r="F642" t="s">
        <v>2758</v>
      </c>
      <c r="G642" t="s">
        <v>1621</v>
      </c>
      <c r="H642" t="s">
        <v>1622</v>
      </c>
      <c r="I642" t="s">
        <v>19</v>
      </c>
      <c r="J642" s="3" t="s">
        <v>1623</v>
      </c>
      <c r="K642" t="s">
        <v>1624</v>
      </c>
      <c r="L642" t="s">
        <v>10697</v>
      </c>
      <c r="M642" t="s">
        <v>32149</v>
      </c>
    </row>
    <row r="643" spans="1:13" x14ac:dyDescent="0.25">
      <c r="A643" t="s">
        <v>2300</v>
      </c>
      <c r="B643" t="s">
        <v>13</v>
      </c>
      <c r="C643" t="s">
        <v>2787</v>
      </c>
      <c r="D643" t="s">
        <v>2788</v>
      </c>
      <c r="E643" s="2" t="s">
        <v>31580</v>
      </c>
      <c r="F643" t="s">
        <v>253</v>
      </c>
      <c r="G643" t="s">
        <v>2789</v>
      </c>
      <c r="H643" t="s">
        <v>2305</v>
      </c>
      <c r="I643" t="s">
        <v>19</v>
      </c>
      <c r="J643" s="3" t="s">
        <v>2306</v>
      </c>
      <c r="K643" t="s">
        <v>2790</v>
      </c>
      <c r="L643" t="s">
        <v>2308</v>
      </c>
      <c r="M643" t="s">
        <v>32149</v>
      </c>
    </row>
    <row r="644" spans="1:13" x14ac:dyDescent="0.25">
      <c r="A644" t="s">
        <v>11591</v>
      </c>
      <c r="B644" t="s">
        <v>13</v>
      </c>
      <c r="C644" s="1">
        <v>43836</v>
      </c>
      <c r="D644" t="s">
        <v>11592</v>
      </c>
      <c r="E644" t="s">
        <v>11593</v>
      </c>
      <c r="F644" t="s">
        <v>4639</v>
      </c>
      <c r="G644" t="s">
        <v>11594</v>
      </c>
      <c r="H644" t="s">
        <v>45</v>
      </c>
      <c r="I644" t="s">
        <v>19</v>
      </c>
      <c r="J644" s="3" t="s">
        <v>1907</v>
      </c>
      <c r="K644" t="s">
        <v>11595</v>
      </c>
      <c r="L644" t="s">
        <v>1909</v>
      </c>
      <c r="M644" t="s">
        <v>785</v>
      </c>
    </row>
    <row r="645" spans="1:13" x14ac:dyDescent="0.25">
      <c r="A645" t="s">
        <v>23044</v>
      </c>
      <c r="B645" t="s">
        <v>13</v>
      </c>
      <c r="C645" t="s">
        <v>12029</v>
      </c>
      <c r="D645" t="s">
        <v>23045</v>
      </c>
      <c r="E645" t="s">
        <v>23046</v>
      </c>
      <c r="F645" t="s">
        <v>1464</v>
      </c>
      <c r="G645" t="s">
        <v>23047</v>
      </c>
      <c r="H645" t="s">
        <v>23048</v>
      </c>
      <c r="I645" t="s">
        <v>19</v>
      </c>
      <c r="J645" s="3">
        <v>556235650088</v>
      </c>
      <c r="K645" t="s">
        <v>23049</v>
      </c>
      <c r="L645" t="s">
        <v>23050</v>
      </c>
      <c r="M645" t="s">
        <v>57</v>
      </c>
    </row>
    <row r="646" spans="1:13" x14ac:dyDescent="0.25">
      <c r="A646" t="s">
        <v>23788</v>
      </c>
      <c r="B646" t="s">
        <v>13</v>
      </c>
      <c r="C646" t="s">
        <v>9003</v>
      </c>
      <c r="D646" t="s">
        <v>23789</v>
      </c>
      <c r="E646" t="s">
        <v>23790</v>
      </c>
      <c r="F646" t="s">
        <v>306</v>
      </c>
      <c r="G646" t="s">
        <v>23791</v>
      </c>
      <c r="H646" t="s">
        <v>7450</v>
      </c>
      <c r="I646" t="s">
        <v>19</v>
      </c>
      <c r="J646" s="3" t="s">
        <v>23792</v>
      </c>
      <c r="K646" t="s">
        <v>13943</v>
      </c>
      <c r="L646" t="s">
        <v>21026</v>
      </c>
      <c r="M646" t="s">
        <v>32145</v>
      </c>
    </row>
    <row r="647" spans="1:13" x14ac:dyDescent="0.25">
      <c r="A647" t="s">
        <v>16414</v>
      </c>
      <c r="B647" t="s">
        <v>13</v>
      </c>
      <c r="C647" t="s">
        <v>16385</v>
      </c>
      <c r="D647" t="s">
        <v>16415</v>
      </c>
      <c r="E647" t="s">
        <v>16416</v>
      </c>
      <c r="F647" t="s">
        <v>32121</v>
      </c>
      <c r="G647" t="s">
        <v>16417</v>
      </c>
      <c r="H647" t="s">
        <v>150</v>
      </c>
      <c r="I647" t="s">
        <v>19</v>
      </c>
      <c r="J647" s="3">
        <v>55011987254993</v>
      </c>
      <c r="K647" t="s">
        <v>16418</v>
      </c>
      <c r="L647" t="s">
        <v>439</v>
      </c>
      <c r="M647" t="s">
        <v>32121</v>
      </c>
    </row>
    <row r="648" spans="1:13" x14ac:dyDescent="0.25">
      <c r="A648" t="s">
        <v>12201</v>
      </c>
      <c r="B648" t="s">
        <v>13</v>
      </c>
      <c r="C648" t="s">
        <v>7455</v>
      </c>
      <c r="D648" t="s">
        <v>12202</v>
      </c>
      <c r="E648" t="s">
        <v>12203</v>
      </c>
      <c r="F648" t="s">
        <v>1464</v>
      </c>
      <c r="G648" t="s">
        <v>12204</v>
      </c>
      <c r="H648" t="s">
        <v>489</v>
      </c>
      <c r="I648" t="s">
        <v>19</v>
      </c>
      <c r="J648" s="3">
        <v>55041992177879</v>
      </c>
      <c r="K648" t="s">
        <v>12205</v>
      </c>
      <c r="L648" t="s">
        <v>625</v>
      </c>
      <c r="M648" t="s">
        <v>1775</v>
      </c>
    </row>
    <row r="649" spans="1:13" x14ac:dyDescent="0.25">
      <c r="A649" t="s">
        <v>8787</v>
      </c>
      <c r="B649" t="s">
        <v>13</v>
      </c>
      <c r="C649" s="1">
        <v>43073</v>
      </c>
      <c r="D649" t="s">
        <v>8788</v>
      </c>
      <c r="E649" t="s">
        <v>32253</v>
      </c>
      <c r="F649" t="s">
        <v>6686</v>
      </c>
      <c r="G649" t="s">
        <v>7936</v>
      </c>
      <c r="H649" t="s">
        <v>299</v>
      </c>
      <c r="I649" t="s">
        <v>19</v>
      </c>
      <c r="J649" s="3" t="s">
        <v>7937</v>
      </c>
      <c r="K649" t="s">
        <v>7938</v>
      </c>
      <c r="L649" t="s">
        <v>7939</v>
      </c>
      <c r="M649" t="s">
        <v>337</v>
      </c>
    </row>
    <row r="650" spans="1:13" x14ac:dyDescent="0.25">
      <c r="A650" t="s">
        <v>12454</v>
      </c>
      <c r="B650" t="s">
        <v>13</v>
      </c>
      <c r="C650" s="1">
        <v>44016</v>
      </c>
      <c r="D650" t="s">
        <v>12455</v>
      </c>
      <c r="E650" s="2" t="s">
        <v>31041</v>
      </c>
      <c r="F650" t="s">
        <v>1349</v>
      </c>
      <c r="G650" t="s">
        <v>12456</v>
      </c>
      <c r="H650" t="s">
        <v>12457</v>
      </c>
      <c r="I650" t="s">
        <v>19</v>
      </c>
      <c r="J650" s="3">
        <f>55-15-991530589</f>
        <v>-991530549</v>
      </c>
      <c r="K650" t="s">
        <v>12458</v>
      </c>
      <c r="L650" t="s">
        <v>12459</v>
      </c>
      <c r="M650" t="s">
        <v>1349</v>
      </c>
    </row>
    <row r="651" spans="1:13" x14ac:dyDescent="0.25">
      <c r="A651" t="s">
        <v>4810</v>
      </c>
      <c r="B651" t="s">
        <v>13</v>
      </c>
      <c r="C651" s="1">
        <v>44867</v>
      </c>
      <c r="D651" t="s">
        <v>4811</v>
      </c>
      <c r="E651" t="s">
        <v>4812</v>
      </c>
      <c r="F651" t="s">
        <v>160</v>
      </c>
      <c r="G651" t="s">
        <v>2960</v>
      </c>
      <c r="H651" t="s">
        <v>2957</v>
      </c>
      <c r="I651" t="s">
        <v>19</v>
      </c>
      <c r="J651" s="3" t="s">
        <v>4813</v>
      </c>
      <c r="K651" t="s">
        <v>4814</v>
      </c>
      <c r="L651" t="s">
        <v>2960</v>
      </c>
      <c r="M651" t="s">
        <v>1349</v>
      </c>
    </row>
    <row r="652" spans="1:13" x14ac:dyDescent="0.25">
      <c r="A652" t="s">
        <v>6497</v>
      </c>
      <c r="B652" t="s">
        <v>13</v>
      </c>
      <c r="C652" s="1">
        <v>44417</v>
      </c>
      <c r="D652" t="s">
        <v>32135</v>
      </c>
      <c r="E652" s="2" t="s">
        <v>32254</v>
      </c>
      <c r="F652" t="s">
        <v>1349</v>
      </c>
      <c r="G652" t="s">
        <v>6499</v>
      </c>
      <c r="H652" t="s">
        <v>409</v>
      </c>
      <c r="I652" t="s">
        <v>19</v>
      </c>
      <c r="J652" s="3" t="s">
        <v>6500</v>
      </c>
      <c r="K652" t="s">
        <v>6501</v>
      </c>
      <c r="L652" t="s">
        <v>1823</v>
      </c>
      <c r="M652" t="s">
        <v>1349</v>
      </c>
    </row>
    <row r="653" spans="1:13" x14ac:dyDescent="0.25">
      <c r="A653" t="s">
        <v>5484</v>
      </c>
      <c r="B653" t="s">
        <v>13</v>
      </c>
      <c r="C653" s="1">
        <v>44328</v>
      </c>
      <c r="D653" t="s">
        <v>32135</v>
      </c>
      <c r="E653" s="2" t="s">
        <v>32255</v>
      </c>
      <c r="F653" t="s">
        <v>1122</v>
      </c>
      <c r="G653" t="s">
        <v>5485</v>
      </c>
      <c r="H653" t="s">
        <v>409</v>
      </c>
      <c r="I653" t="s">
        <v>19</v>
      </c>
      <c r="J653" s="3" t="s">
        <v>5486</v>
      </c>
      <c r="K653" t="s">
        <v>5487</v>
      </c>
      <c r="L653" t="s">
        <v>32135</v>
      </c>
      <c r="M653" t="s">
        <v>1349</v>
      </c>
    </row>
    <row r="654" spans="1:13" x14ac:dyDescent="0.25">
      <c r="A654" t="s">
        <v>28301</v>
      </c>
      <c r="B654" t="s">
        <v>13</v>
      </c>
      <c r="C654" t="s">
        <v>28302</v>
      </c>
      <c r="D654" t="s">
        <v>28303</v>
      </c>
      <c r="E654" t="s">
        <v>28304</v>
      </c>
      <c r="F654" t="s">
        <v>1349</v>
      </c>
      <c r="G654" t="s">
        <v>22571</v>
      </c>
      <c r="H654" t="s">
        <v>1466</v>
      </c>
      <c r="I654" t="s">
        <v>19</v>
      </c>
      <c r="J654" s="3">
        <f>55353292-2377</f>
        <v>55350915</v>
      </c>
      <c r="K654" t="s">
        <v>9075</v>
      </c>
      <c r="L654" t="s">
        <v>1469</v>
      </c>
      <c r="M654" t="s">
        <v>1349</v>
      </c>
    </row>
    <row r="655" spans="1:13" x14ac:dyDescent="0.25">
      <c r="A655" t="s">
        <v>28266</v>
      </c>
      <c r="B655" t="s">
        <v>13</v>
      </c>
      <c r="C655" t="s">
        <v>28267</v>
      </c>
      <c r="D655" t="s">
        <v>28268</v>
      </c>
      <c r="E655" t="s">
        <v>28269</v>
      </c>
      <c r="F655" t="s">
        <v>1349</v>
      </c>
      <c r="G655" t="s">
        <v>28270</v>
      </c>
      <c r="H655" t="s">
        <v>428</v>
      </c>
      <c r="I655" t="s">
        <v>19</v>
      </c>
      <c r="J655" s="3">
        <v>555133203485</v>
      </c>
      <c r="K655" t="s">
        <v>28271</v>
      </c>
      <c r="L655" t="s">
        <v>7007</v>
      </c>
      <c r="M655" t="s">
        <v>1349</v>
      </c>
    </row>
    <row r="656" spans="1:13" x14ac:dyDescent="0.25">
      <c r="A656" t="s">
        <v>19953</v>
      </c>
      <c r="B656" t="s">
        <v>13</v>
      </c>
      <c r="C656" t="s">
        <v>19946</v>
      </c>
      <c r="D656" t="s">
        <v>19954</v>
      </c>
      <c r="E656" s="2" t="s">
        <v>32085</v>
      </c>
      <c r="F656" t="s">
        <v>1349</v>
      </c>
      <c r="G656" t="s">
        <v>19955</v>
      </c>
      <c r="H656" t="s">
        <v>36</v>
      </c>
      <c r="I656" t="s">
        <v>19</v>
      </c>
      <c r="J656" s="3">
        <f>55-11-30617558</f>
        <v>-30617514</v>
      </c>
      <c r="K656" t="s">
        <v>19956</v>
      </c>
      <c r="L656" t="s">
        <v>9723</v>
      </c>
      <c r="M656" t="s">
        <v>1349</v>
      </c>
    </row>
    <row r="657" spans="1:13" x14ac:dyDescent="0.25">
      <c r="A657" t="s">
        <v>22947</v>
      </c>
      <c r="B657" t="s">
        <v>13</v>
      </c>
      <c r="C657" t="s">
        <v>8017</v>
      </c>
      <c r="D657" t="s">
        <v>22948</v>
      </c>
      <c r="E657" t="s">
        <v>32256</v>
      </c>
      <c r="F657" t="s">
        <v>1349</v>
      </c>
      <c r="G657" t="s">
        <v>22949</v>
      </c>
      <c r="H657" t="s">
        <v>255</v>
      </c>
      <c r="I657" t="s">
        <v>19</v>
      </c>
      <c r="J657" s="3" t="s">
        <v>22950</v>
      </c>
      <c r="K657" t="s">
        <v>22951</v>
      </c>
      <c r="L657" t="s">
        <v>22952</v>
      </c>
      <c r="M657" t="s">
        <v>1349</v>
      </c>
    </row>
    <row r="658" spans="1:13" x14ac:dyDescent="0.25">
      <c r="A658" t="s">
        <v>4265</v>
      </c>
      <c r="B658" t="s">
        <v>13</v>
      </c>
      <c r="C658" t="s">
        <v>4259</v>
      </c>
      <c r="D658" t="s">
        <v>4266</v>
      </c>
      <c r="E658" s="2" t="s">
        <v>31390</v>
      </c>
      <c r="F658" t="s">
        <v>4267</v>
      </c>
      <c r="G658" t="s">
        <v>4182</v>
      </c>
      <c r="H658" t="s">
        <v>1802</v>
      </c>
      <c r="I658" t="s">
        <v>19</v>
      </c>
      <c r="J658" s="3">
        <f>55-14-32358245</f>
        <v>-32358204</v>
      </c>
      <c r="K658" t="s">
        <v>4183</v>
      </c>
      <c r="L658" t="s">
        <v>1963</v>
      </c>
      <c r="M658" t="s">
        <v>337</v>
      </c>
    </row>
    <row r="659" spans="1:13" x14ac:dyDescent="0.25">
      <c r="A659" t="s">
        <v>4258</v>
      </c>
      <c r="B659" t="s">
        <v>13</v>
      </c>
      <c r="C659" t="s">
        <v>4259</v>
      </c>
      <c r="D659" t="s">
        <v>4260</v>
      </c>
      <c r="E659" t="s">
        <v>32257</v>
      </c>
      <c r="F659" t="s">
        <v>4261</v>
      </c>
      <c r="G659" t="s">
        <v>4262</v>
      </c>
      <c r="H659" t="s">
        <v>428</v>
      </c>
      <c r="I659" t="s">
        <v>19</v>
      </c>
      <c r="J659" s="3" t="s">
        <v>4263</v>
      </c>
      <c r="K659" t="s">
        <v>4264</v>
      </c>
      <c r="L659" t="s">
        <v>1269</v>
      </c>
      <c r="M659" t="s">
        <v>129</v>
      </c>
    </row>
    <row r="660" spans="1:13" x14ac:dyDescent="0.25">
      <c r="A660" t="s">
        <v>14675</v>
      </c>
      <c r="B660" t="s">
        <v>13</v>
      </c>
      <c r="C660" s="1">
        <v>43720</v>
      </c>
      <c r="D660" t="s">
        <v>14676</v>
      </c>
      <c r="E660" t="s">
        <v>14677</v>
      </c>
      <c r="F660" t="s">
        <v>10034</v>
      </c>
      <c r="G660" t="s">
        <v>14678</v>
      </c>
      <c r="H660" t="s">
        <v>88</v>
      </c>
      <c r="I660" t="s">
        <v>19</v>
      </c>
      <c r="J660" s="3">
        <f>55-84-3215-4138</f>
        <v>-7382</v>
      </c>
      <c r="K660" t="s">
        <v>14679</v>
      </c>
      <c r="L660" t="s">
        <v>91</v>
      </c>
      <c r="M660" t="s">
        <v>337</v>
      </c>
    </row>
    <row r="661" spans="1:13" x14ac:dyDescent="0.25">
      <c r="A661" t="s">
        <v>8393</v>
      </c>
      <c r="B661" t="s">
        <v>13</v>
      </c>
      <c r="C661" s="1">
        <v>44229</v>
      </c>
      <c r="D661" t="s">
        <v>32135</v>
      </c>
      <c r="E661" t="s">
        <v>8394</v>
      </c>
      <c r="F661" t="s">
        <v>8394</v>
      </c>
      <c r="G661" t="s">
        <v>8395</v>
      </c>
      <c r="H661" t="s">
        <v>7904</v>
      </c>
      <c r="I661" t="s">
        <v>19</v>
      </c>
      <c r="J661" s="3">
        <v>55038988313705</v>
      </c>
      <c r="K661" t="s">
        <v>8396</v>
      </c>
      <c r="L661" t="s">
        <v>32135</v>
      </c>
      <c r="M661" t="s">
        <v>129</v>
      </c>
    </row>
    <row r="662" spans="1:13" x14ac:dyDescent="0.25">
      <c r="A662" t="s">
        <v>21835</v>
      </c>
      <c r="B662" t="s">
        <v>13</v>
      </c>
      <c r="C662" t="s">
        <v>21825</v>
      </c>
      <c r="D662" t="s">
        <v>21836</v>
      </c>
      <c r="E662" t="s">
        <v>21837</v>
      </c>
      <c r="F662" t="s">
        <v>306</v>
      </c>
      <c r="G662" t="s">
        <v>21838</v>
      </c>
      <c r="H662" t="s">
        <v>36</v>
      </c>
      <c r="I662" t="s">
        <v>19</v>
      </c>
      <c r="J662" s="3" t="s">
        <v>21839</v>
      </c>
      <c r="K662" t="s">
        <v>21840</v>
      </c>
      <c r="L662" t="s">
        <v>439</v>
      </c>
      <c r="M662" t="s">
        <v>32145</v>
      </c>
    </row>
    <row r="663" spans="1:13" x14ac:dyDescent="0.25">
      <c r="A663" t="s">
        <v>6563</v>
      </c>
      <c r="B663" t="s">
        <v>13</v>
      </c>
      <c r="C663" t="s">
        <v>6564</v>
      </c>
      <c r="D663" t="s">
        <v>32135</v>
      </c>
      <c r="E663" s="2" t="s">
        <v>30897</v>
      </c>
      <c r="F663" t="s">
        <v>160</v>
      </c>
      <c r="G663" t="s">
        <v>6565</v>
      </c>
      <c r="H663" t="s">
        <v>6566</v>
      </c>
      <c r="I663" t="s">
        <v>19</v>
      </c>
      <c r="J663" s="3">
        <f>55-92-999040001</f>
        <v>-999040038</v>
      </c>
      <c r="K663" t="s">
        <v>6567</v>
      </c>
      <c r="L663" t="s">
        <v>32135</v>
      </c>
      <c r="M663" t="s">
        <v>32147</v>
      </c>
    </row>
    <row r="664" spans="1:13" x14ac:dyDescent="0.25">
      <c r="A664" t="s">
        <v>19973</v>
      </c>
      <c r="B664" t="s">
        <v>13</v>
      </c>
      <c r="C664" t="s">
        <v>13612</v>
      </c>
      <c r="D664" t="s">
        <v>19974</v>
      </c>
      <c r="E664" t="s">
        <v>32258</v>
      </c>
      <c r="F664" t="s">
        <v>2947</v>
      </c>
      <c r="G664" t="s">
        <v>19975</v>
      </c>
      <c r="H664" t="s">
        <v>36</v>
      </c>
      <c r="I664" t="s">
        <v>19</v>
      </c>
      <c r="J664" s="3">
        <f>55-11-982792696</f>
        <v>-982792652</v>
      </c>
      <c r="K664" t="s">
        <v>19976</v>
      </c>
      <c r="L664" t="s">
        <v>19977</v>
      </c>
      <c r="M664" t="s">
        <v>771</v>
      </c>
    </row>
    <row r="665" spans="1:13" x14ac:dyDescent="0.25">
      <c r="A665" t="s">
        <v>13338</v>
      </c>
      <c r="B665" t="s">
        <v>13</v>
      </c>
      <c r="C665" t="s">
        <v>5232</v>
      </c>
      <c r="D665" t="s">
        <v>13339</v>
      </c>
      <c r="E665" t="s">
        <v>32259</v>
      </c>
      <c r="F665" t="s">
        <v>1464</v>
      </c>
      <c r="G665" t="s">
        <v>13340</v>
      </c>
      <c r="H665" t="s">
        <v>4236</v>
      </c>
      <c r="I665" t="s">
        <v>19</v>
      </c>
      <c r="J665" s="3">
        <v>559821091098</v>
      </c>
      <c r="K665" t="s">
        <v>13341</v>
      </c>
      <c r="L665" t="s">
        <v>13342</v>
      </c>
      <c r="M665" t="s">
        <v>771</v>
      </c>
    </row>
    <row r="666" spans="1:13" x14ac:dyDescent="0.25">
      <c r="A666" t="s">
        <v>26368</v>
      </c>
      <c r="B666" t="s">
        <v>13</v>
      </c>
      <c r="C666" s="1">
        <v>42495</v>
      </c>
      <c r="D666" t="s">
        <v>26369</v>
      </c>
      <c r="E666" t="s">
        <v>26370</v>
      </c>
      <c r="F666" t="s">
        <v>771</v>
      </c>
      <c r="G666" t="s">
        <v>26371</v>
      </c>
      <c r="H666" t="s">
        <v>36</v>
      </c>
      <c r="I666" t="s">
        <v>19</v>
      </c>
      <c r="J666" s="3" t="s">
        <v>26372</v>
      </c>
      <c r="K666" t="s">
        <v>26373</v>
      </c>
      <c r="L666" t="s">
        <v>19710</v>
      </c>
      <c r="M666" t="s">
        <v>771</v>
      </c>
    </row>
    <row r="667" spans="1:13" x14ac:dyDescent="0.25">
      <c r="A667" t="s">
        <v>3716</v>
      </c>
      <c r="B667" t="s">
        <v>13</v>
      </c>
      <c r="C667" s="1">
        <v>44656</v>
      </c>
      <c r="D667" t="s">
        <v>3717</v>
      </c>
      <c r="E667" s="2" t="s">
        <v>30788</v>
      </c>
      <c r="F667" t="s">
        <v>160</v>
      </c>
      <c r="G667" t="s">
        <v>123</v>
      </c>
      <c r="H667" t="s">
        <v>3718</v>
      </c>
      <c r="I667" t="s">
        <v>19</v>
      </c>
      <c r="J667" s="3">
        <f>55-84-999763599</f>
        <v>-999763628</v>
      </c>
      <c r="K667" t="s">
        <v>124</v>
      </c>
      <c r="L667" t="s">
        <v>91</v>
      </c>
      <c r="M667" t="s">
        <v>771</v>
      </c>
    </row>
    <row r="668" spans="1:13" x14ac:dyDescent="0.25">
      <c r="A668" t="s">
        <v>12723</v>
      </c>
      <c r="B668" t="s">
        <v>13</v>
      </c>
      <c r="C668" t="s">
        <v>8942</v>
      </c>
      <c r="D668" t="s">
        <v>12724</v>
      </c>
      <c r="E668" t="s">
        <v>12725</v>
      </c>
      <c r="F668" t="s">
        <v>771</v>
      </c>
      <c r="G668" t="s">
        <v>12726</v>
      </c>
      <c r="H668" t="s">
        <v>4092</v>
      </c>
      <c r="I668" t="s">
        <v>19</v>
      </c>
      <c r="J668" s="3">
        <v>55014981497071</v>
      </c>
      <c r="K668" t="s">
        <v>12727</v>
      </c>
      <c r="L668" t="s">
        <v>12728</v>
      </c>
      <c r="M668" t="s">
        <v>771</v>
      </c>
    </row>
    <row r="669" spans="1:13" x14ac:dyDescent="0.25">
      <c r="A669" t="s">
        <v>21597</v>
      </c>
      <c r="B669" t="s">
        <v>13</v>
      </c>
      <c r="C669" s="1">
        <v>43348</v>
      </c>
      <c r="D669" t="s">
        <v>21598</v>
      </c>
      <c r="E669" s="2" t="s">
        <v>31293</v>
      </c>
      <c r="F669" t="s">
        <v>2947</v>
      </c>
      <c r="G669" t="s">
        <v>8948</v>
      </c>
      <c r="H669" t="s">
        <v>753</v>
      </c>
      <c r="I669" t="s">
        <v>19</v>
      </c>
      <c r="J669" s="3" t="s">
        <v>21599</v>
      </c>
      <c r="K669" t="s">
        <v>8949</v>
      </c>
      <c r="L669" t="s">
        <v>21600</v>
      </c>
      <c r="M669" t="s">
        <v>771</v>
      </c>
    </row>
    <row r="670" spans="1:13" x14ac:dyDescent="0.25">
      <c r="A670" t="s">
        <v>20142</v>
      </c>
      <c r="B670" t="s">
        <v>13</v>
      </c>
      <c r="C670" s="1">
        <v>43259</v>
      </c>
      <c r="D670" t="s">
        <v>20143</v>
      </c>
      <c r="E670" s="2" t="s">
        <v>31982</v>
      </c>
      <c r="F670" t="s">
        <v>1464</v>
      </c>
      <c r="G670" t="s">
        <v>20144</v>
      </c>
      <c r="H670" t="s">
        <v>5106</v>
      </c>
      <c r="I670" t="s">
        <v>19</v>
      </c>
      <c r="J670" s="3">
        <f>55-41-999730889</f>
        <v>-999730875</v>
      </c>
      <c r="K670" t="s">
        <v>20145</v>
      </c>
      <c r="L670" t="s">
        <v>20146</v>
      </c>
      <c r="M670" t="s">
        <v>771</v>
      </c>
    </row>
    <row r="671" spans="1:13" x14ac:dyDescent="0.25">
      <c r="A671" t="s">
        <v>20486</v>
      </c>
      <c r="B671" t="s">
        <v>13</v>
      </c>
      <c r="C671" t="s">
        <v>10511</v>
      </c>
      <c r="D671" t="s">
        <v>20487</v>
      </c>
      <c r="E671" t="s">
        <v>20488</v>
      </c>
      <c r="F671" t="s">
        <v>2947</v>
      </c>
      <c r="G671" t="s">
        <v>20489</v>
      </c>
      <c r="H671" t="s">
        <v>20490</v>
      </c>
      <c r="I671" t="s">
        <v>19</v>
      </c>
      <c r="J671" s="3">
        <f>55-87-34010312</f>
        <v>-34010344</v>
      </c>
      <c r="K671" t="s">
        <v>20491</v>
      </c>
      <c r="L671" t="s">
        <v>20492</v>
      </c>
      <c r="M671" t="s">
        <v>771</v>
      </c>
    </row>
    <row r="672" spans="1:13" x14ac:dyDescent="0.25">
      <c r="A672" t="s">
        <v>13432</v>
      </c>
      <c r="B672" t="s">
        <v>13</v>
      </c>
      <c r="C672" t="s">
        <v>12133</v>
      </c>
      <c r="D672" t="s">
        <v>13433</v>
      </c>
      <c r="E672" t="s">
        <v>13434</v>
      </c>
      <c r="F672" t="s">
        <v>306</v>
      </c>
      <c r="G672" t="s">
        <v>13435</v>
      </c>
      <c r="H672" t="s">
        <v>8695</v>
      </c>
      <c r="I672" t="s">
        <v>19</v>
      </c>
      <c r="J672" s="3">
        <v>5581999564102</v>
      </c>
      <c r="K672" t="s">
        <v>13436</v>
      </c>
      <c r="L672" t="s">
        <v>2101</v>
      </c>
      <c r="M672" t="s">
        <v>32145</v>
      </c>
    </row>
    <row r="673" spans="1:13" x14ac:dyDescent="0.25">
      <c r="A673" t="s">
        <v>17889</v>
      </c>
      <c r="B673" t="s">
        <v>13</v>
      </c>
      <c r="C673" s="1">
        <v>43525</v>
      </c>
      <c r="D673" t="s">
        <v>17890</v>
      </c>
      <c r="E673" t="s">
        <v>32767</v>
      </c>
      <c r="F673" t="s">
        <v>1775</v>
      </c>
      <c r="G673" t="s">
        <v>11210</v>
      </c>
      <c r="H673" t="s">
        <v>88</v>
      </c>
      <c r="I673" t="s">
        <v>19</v>
      </c>
      <c r="J673" s="3" t="s">
        <v>11211</v>
      </c>
      <c r="K673" t="s">
        <v>11212</v>
      </c>
      <c r="L673" t="s">
        <v>764</v>
      </c>
      <c r="M673" t="s">
        <v>1775</v>
      </c>
    </row>
    <row r="674" spans="1:13" x14ac:dyDescent="0.25">
      <c r="A674" t="s">
        <v>17525</v>
      </c>
      <c r="B674" t="s">
        <v>13</v>
      </c>
      <c r="C674" s="1">
        <v>43621</v>
      </c>
      <c r="D674" t="s">
        <v>17526</v>
      </c>
      <c r="E674" s="2" t="s">
        <v>31703</v>
      </c>
      <c r="F674" t="s">
        <v>2947</v>
      </c>
      <c r="G674" t="s">
        <v>17527</v>
      </c>
      <c r="H674" t="s">
        <v>927</v>
      </c>
      <c r="I674" t="s">
        <v>19</v>
      </c>
      <c r="J674" s="3" t="s">
        <v>8109</v>
      </c>
      <c r="K674" t="s">
        <v>17528</v>
      </c>
      <c r="L674" t="s">
        <v>17529</v>
      </c>
      <c r="M674" t="s">
        <v>771</v>
      </c>
    </row>
    <row r="675" spans="1:13" x14ac:dyDescent="0.25">
      <c r="A675" t="s">
        <v>5871</v>
      </c>
      <c r="B675" t="s">
        <v>13</v>
      </c>
      <c r="C675" s="1">
        <v>43322</v>
      </c>
      <c r="D675" t="s">
        <v>5872</v>
      </c>
      <c r="E675" s="2" t="s">
        <v>31896</v>
      </c>
      <c r="F675" t="s">
        <v>5873</v>
      </c>
      <c r="G675" t="s">
        <v>5874</v>
      </c>
      <c r="H675" t="s">
        <v>1215</v>
      </c>
      <c r="I675" t="s">
        <v>19</v>
      </c>
      <c r="J675" s="3" t="s">
        <v>5875</v>
      </c>
      <c r="K675" t="s">
        <v>5876</v>
      </c>
      <c r="L675" t="s">
        <v>5877</v>
      </c>
      <c r="M675" t="s">
        <v>32171</v>
      </c>
    </row>
    <row r="676" spans="1:13" x14ac:dyDescent="0.25">
      <c r="A676" t="s">
        <v>27693</v>
      </c>
      <c r="B676" t="s">
        <v>13</v>
      </c>
      <c r="C676" t="s">
        <v>27682</v>
      </c>
      <c r="D676" t="s">
        <v>27694</v>
      </c>
      <c r="E676" t="s">
        <v>27695</v>
      </c>
      <c r="F676" t="s">
        <v>2947</v>
      </c>
      <c r="G676" t="s">
        <v>27696</v>
      </c>
      <c r="H676" t="s">
        <v>105</v>
      </c>
      <c r="I676" t="s">
        <v>19</v>
      </c>
      <c r="J676" s="3" t="s">
        <v>27697</v>
      </c>
      <c r="K676" t="s">
        <v>27698</v>
      </c>
      <c r="L676" t="s">
        <v>108</v>
      </c>
      <c r="M676" t="s">
        <v>771</v>
      </c>
    </row>
    <row r="677" spans="1:13" x14ac:dyDescent="0.25">
      <c r="A677" t="s">
        <v>26361</v>
      </c>
      <c r="B677" t="s">
        <v>101</v>
      </c>
      <c r="C677" s="1">
        <v>42495</v>
      </c>
      <c r="D677" t="s">
        <v>26362</v>
      </c>
      <c r="E677" t="s">
        <v>26363</v>
      </c>
      <c r="F677" t="s">
        <v>771</v>
      </c>
      <c r="G677" t="s">
        <v>25033</v>
      </c>
      <c r="H677" t="s">
        <v>409</v>
      </c>
      <c r="I677" t="s">
        <v>19</v>
      </c>
      <c r="J677" s="3" t="s">
        <v>25034</v>
      </c>
      <c r="K677" t="s">
        <v>25035</v>
      </c>
      <c r="L677" t="s">
        <v>412</v>
      </c>
      <c r="M677" t="s">
        <v>771</v>
      </c>
    </row>
    <row r="678" spans="1:13" x14ac:dyDescent="0.25">
      <c r="A678" t="s">
        <v>25981</v>
      </c>
      <c r="B678" t="s">
        <v>13</v>
      </c>
      <c r="C678" s="1">
        <v>42497</v>
      </c>
      <c r="D678" t="s">
        <v>25982</v>
      </c>
      <c r="E678" t="s">
        <v>25983</v>
      </c>
      <c r="F678" t="s">
        <v>2947</v>
      </c>
      <c r="G678" t="s">
        <v>25984</v>
      </c>
      <c r="H678" t="s">
        <v>114</v>
      </c>
      <c r="I678" t="s">
        <v>19</v>
      </c>
      <c r="J678" s="3">
        <v>557932175928</v>
      </c>
      <c r="K678" t="s">
        <v>25985</v>
      </c>
      <c r="L678" t="s">
        <v>82</v>
      </c>
      <c r="M678" t="s">
        <v>771</v>
      </c>
    </row>
    <row r="679" spans="1:13" x14ac:dyDescent="0.25">
      <c r="A679" t="s">
        <v>20442</v>
      </c>
      <c r="B679" t="s">
        <v>13</v>
      </c>
      <c r="C679" t="s">
        <v>20432</v>
      </c>
      <c r="D679" t="s">
        <v>20443</v>
      </c>
      <c r="E679" t="s">
        <v>2947</v>
      </c>
      <c r="F679" t="s">
        <v>20444</v>
      </c>
      <c r="G679" t="s">
        <v>20445</v>
      </c>
      <c r="H679" t="s">
        <v>20446</v>
      </c>
      <c r="I679" t="s">
        <v>19</v>
      </c>
      <c r="J679" s="3" t="s">
        <v>20447</v>
      </c>
      <c r="K679" t="s">
        <v>20448</v>
      </c>
      <c r="L679" t="s">
        <v>3250</v>
      </c>
      <c r="M679" t="s">
        <v>771</v>
      </c>
    </row>
    <row r="680" spans="1:13" x14ac:dyDescent="0.25">
      <c r="A680" t="s">
        <v>13799</v>
      </c>
      <c r="B680" t="s">
        <v>13</v>
      </c>
      <c r="C680" t="s">
        <v>13789</v>
      </c>
      <c r="D680" t="s">
        <v>13800</v>
      </c>
      <c r="E680" t="s">
        <v>345</v>
      </c>
      <c r="F680" t="s">
        <v>2947</v>
      </c>
      <c r="G680" t="s">
        <v>13801</v>
      </c>
      <c r="H680" t="s">
        <v>1466</v>
      </c>
      <c r="I680" t="s">
        <v>19</v>
      </c>
      <c r="J680" s="3" t="s">
        <v>13802</v>
      </c>
      <c r="K680" t="s">
        <v>13803</v>
      </c>
      <c r="L680" t="s">
        <v>1469</v>
      </c>
      <c r="M680" t="s">
        <v>771</v>
      </c>
    </row>
    <row r="681" spans="1:13" x14ac:dyDescent="0.25">
      <c r="A681" t="s">
        <v>30516</v>
      </c>
      <c r="B681" t="s">
        <v>13</v>
      </c>
      <c r="C681" t="s">
        <v>30517</v>
      </c>
      <c r="D681" t="s">
        <v>30518</v>
      </c>
      <c r="E681" t="s">
        <v>2947</v>
      </c>
      <c r="F681" t="s">
        <v>2947</v>
      </c>
      <c r="G681" t="s">
        <v>30519</v>
      </c>
      <c r="H681" t="s">
        <v>141</v>
      </c>
      <c r="I681" t="s">
        <v>19</v>
      </c>
      <c r="J681" s="3">
        <v>8232141154</v>
      </c>
      <c r="K681" t="s">
        <v>30520</v>
      </c>
      <c r="L681" t="s">
        <v>30521</v>
      </c>
      <c r="M681" t="s">
        <v>771</v>
      </c>
    </row>
    <row r="682" spans="1:13" x14ac:dyDescent="0.25">
      <c r="A682" t="s">
        <v>18767</v>
      </c>
      <c r="B682" t="s">
        <v>13</v>
      </c>
      <c r="C682" t="s">
        <v>18751</v>
      </c>
      <c r="D682" t="s">
        <v>18768</v>
      </c>
      <c r="E682" t="s">
        <v>345</v>
      </c>
      <c r="F682" t="s">
        <v>2947</v>
      </c>
      <c r="G682" t="s">
        <v>18769</v>
      </c>
      <c r="H682" t="s">
        <v>7181</v>
      </c>
      <c r="I682" t="s">
        <v>19</v>
      </c>
      <c r="J682" s="3">
        <f>55-35-99196-4999</f>
        <v>-104175</v>
      </c>
      <c r="K682" t="s">
        <v>18770</v>
      </c>
      <c r="L682" t="s">
        <v>1469</v>
      </c>
      <c r="M682" t="s">
        <v>771</v>
      </c>
    </row>
    <row r="683" spans="1:13" x14ac:dyDescent="0.25">
      <c r="A683" t="s">
        <v>12815</v>
      </c>
      <c r="B683" t="s">
        <v>13</v>
      </c>
      <c r="C683" t="s">
        <v>12816</v>
      </c>
      <c r="D683" t="s">
        <v>12817</v>
      </c>
      <c r="E683" t="s">
        <v>2947</v>
      </c>
      <c r="F683" t="s">
        <v>2947</v>
      </c>
      <c r="G683" t="s">
        <v>12818</v>
      </c>
      <c r="H683" t="s">
        <v>12819</v>
      </c>
      <c r="I683" t="s">
        <v>12820</v>
      </c>
      <c r="J683" s="3">
        <v>919597447444</v>
      </c>
      <c r="K683" t="s">
        <v>12821</v>
      </c>
      <c r="L683" t="s">
        <v>12822</v>
      </c>
      <c r="M683" t="s">
        <v>771</v>
      </c>
    </row>
    <row r="684" spans="1:13" x14ac:dyDescent="0.25">
      <c r="A684" t="s">
        <v>12786</v>
      </c>
      <c r="B684" t="s">
        <v>13</v>
      </c>
      <c r="C684" t="s">
        <v>12765</v>
      </c>
      <c r="D684" t="s">
        <v>12787</v>
      </c>
      <c r="E684" s="2" t="s">
        <v>32768</v>
      </c>
      <c r="F684" t="s">
        <v>2947</v>
      </c>
      <c r="G684" t="s">
        <v>12756</v>
      </c>
      <c r="H684" t="s">
        <v>255</v>
      </c>
      <c r="I684" t="s">
        <v>19</v>
      </c>
      <c r="J684" s="3">
        <f>55-62-981595962</f>
        <v>-981595969</v>
      </c>
      <c r="K684" t="s">
        <v>12757</v>
      </c>
      <c r="L684" t="s">
        <v>2467</v>
      </c>
      <c r="M684" t="s">
        <v>771</v>
      </c>
    </row>
    <row r="685" spans="1:13" x14ac:dyDescent="0.25">
      <c r="A685" t="s">
        <v>25409</v>
      </c>
      <c r="B685" t="s">
        <v>13</v>
      </c>
      <c r="C685" t="s">
        <v>25410</v>
      </c>
      <c r="D685" t="s">
        <v>25411</v>
      </c>
      <c r="E685" t="s">
        <v>25412</v>
      </c>
      <c r="F685" t="s">
        <v>2947</v>
      </c>
      <c r="G685" t="s">
        <v>25413</v>
      </c>
      <c r="H685" t="s">
        <v>25414</v>
      </c>
      <c r="I685" t="s">
        <v>19</v>
      </c>
      <c r="J685" s="3" t="s">
        <v>10323</v>
      </c>
      <c r="K685" t="s">
        <v>25415</v>
      </c>
      <c r="L685" t="s">
        <v>25416</v>
      </c>
      <c r="M685" t="s">
        <v>771</v>
      </c>
    </row>
    <row r="686" spans="1:13" x14ac:dyDescent="0.25">
      <c r="A686" t="s">
        <v>23560</v>
      </c>
      <c r="B686" t="s">
        <v>13</v>
      </c>
      <c r="C686" t="s">
        <v>9648</v>
      </c>
      <c r="D686" t="s">
        <v>23561</v>
      </c>
      <c r="E686" t="s">
        <v>23562</v>
      </c>
      <c r="F686" t="s">
        <v>2947</v>
      </c>
      <c r="G686" t="s">
        <v>23297</v>
      </c>
      <c r="H686" t="s">
        <v>352</v>
      </c>
      <c r="I686" t="s">
        <v>19</v>
      </c>
      <c r="J686" s="3" t="s">
        <v>23563</v>
      </c>
      <c r="K686" t="s">
        <v>23299</v>
      </c>
      <c r="L686" t="s">
        <v>4835</v>
      </c>
      <c r="M686" t="s">
        <v>771</v>
      </c>
    </row>
    <row r="687" spans="1:13" x14ac:dyDescent="0.25">
      <c r="A687" t="s">
        <v>24194</v>
      </c>
      <c r="B687" t="s">
        <v>13</v>
      </c>
      <c r="C687" s="1">
        <v>42772</v>
      </c>
      <c r="D687" t="s">
        <v>24195</v>
      </c>
      <c r="E687" t="s">
        <v>32260</v>
      </c>
      <c r="F687" t="s">
        <v>2947</v>
      </c>
      <c r="G687" t="s">
        <v>24196</v>
      </c>
      <c r="H687" t="s">
        <v>36</v>
      </c>
      <c r="I687" t="s">
        <v>19</v>
      </c>
      <c r="J687" s="3" t="s">
        <v>15309</v>
      </c>
      <c r="K687" t="s">
        <v>15310</v>
      </c>
      <c r="L687" t="s">
        <v>439</v>
      </c>
      <c r="M687" t="s">
        <v>771</v>
      </c>
    </row>
    <row r="688" spans="1:13" x14ac:dyDescent="0.25">
      <c r="A688" t="s">
        <v>10169</v>
      </c>
      <c r="B688" t="s">
        <v>13</v>
      </c>
      <c r="C688" t="s">
        <v>8861</v>
      </c>
      <c r="D688" t="s">
        <v>10170</v>
      </c>
      <c r="E688" t="s">
        <v>10171</v>
      </c>
      <c r="F688" t="s">
        <v>2947</v>
      </c>
      <c r="G688" t="s">
        <v>10172</v>
      </c>
      <c r="H688" t="s">
        <v>150</v>
      </c>
      <c r="I688" t="s">
        <v>19</v>
      </c>
      <c r="J688" s="3" t="s">
        <v>10173</v>
      </c>
      <c r="K688" t="s">
        <v>10174</v>
      </c>
      <c r="L688" t="s">
        <v>10175</v>
      </c>
      <c r="M688" t="s">
        <v>771</v>
      </c>
    </row>
    <row r="689" spans="1:13" x14ac:dyDescent="0.25">
      <c r="A689" t="s">
        <v>6370</v>
      </c>
      <c r="B689" t="s">
        <v>13</v>
      </c>
      <c r="C689" t="s">
        <v>6347</v>
      </c>
      <c r="D689" t="s">
        <v>6371</v>
      </c>
      <c r="E689" s="2" t="s">
        <v>30890</v>
      </c>
      <c r="F689" t="s">
        <v>6372</v>
      </c>
      <c r="G689" t="s">
        <v>1113</v>
      </c>
      <c r="H689" t="s">
        <v>428</v>
      </c>
      <c r="I689" t="s">
        <v>19</v>
      </c>
      <c r="J689" s="3">
        <v>555133038700</v>
      </c>
      <c r="K689" t="s">
        <v>6373</v>
      </c>
      <c r="L689" t="s">
        <v>32135</v>
      </c>
      <c r="M689" t="s">
        <v>432</v>
      </c>
    </row>
    <row r="690" spans="1:13" x14ac:dyDescent="0.25">
      <c r="A690" t="s">
        <v>8371</v>
      </c>
      <c r="B690" t="s">
        <v>13</v>
      </c>
      <c r="C690" s="1">
        <v>44257</v>
      </c>
      <c r="D690" t="s">
        <v>8372</v>
      </c>
      <c r="E690" t="s">
        <v>8373</v>
      </c>
      <c r="F690" t="s">
        <v>2947</v>
      </c>
      <c r="G690" t="s">
        <v>8374</v>
      </c>
      <c r="H690" t="s">
        <v>7504</v>
      </c>
      <c r="I690" t="s">
        <v>19</v>
      </c>
      <c r="J690" s="3">
        <v>5561981737735</v>
      </c>
      <c r="K690" t="s">
        <v>8375</v>
      </c>
      <c r="L690" t="s">
        <v>8376</v>
      </c>
      <c r="M690" t="s">
        <v>771</v>
      </c>
    </row>
    <row r="691" spans="1:13" x14ac:dyDescent="0.25">
      <c r="A691" t="s">
        <v>10993</v>
      </c>
      <c r="B691" t="s">
        <v>101</v>
      </c>
      <c r="C691" t="s">
        <v>10994</v>
      </c>
      <c r="D691" t="s">
        <v>10995</v>
      </c>
      <c r="E691" s="2" t="s">
        <v>32041</v>
      </c>
      <c r="F691" t="s">
        <v>2947</v>
      </c>
      <c r="G691" t="s">
        <v>10996</v>
      </c>
      <c r="H691" t="s">
        <v>36</v>
      </c>
      <c r="I691" t="s">
        <v>19</v>
      </c>
      <c r="J691" s="3" t="s">
        <v>10997</v>
      </c>
      <c r="K691" t="s">
        <v>10998</v>
      </c>
      <c r="L691" t="s">
        <v>10999</v>
      </c>
      <c r="M691" t="s">
        <v>771</v>
      </c>
    </row>
    <row r="692" spans="1:13" x14ac:dyDescent="0.25">
      <c r="A692" t="s">
        <v>11469</v>
      </c>
      <c r="B692" t="s">
        <v>13</v>
      </c>
      <c r="C692" s="1">
        <v>44171</v>
      </c>
      <c r="D692" t="s">
        <v>11470</v>
      </c>
      <c r="E692" s="2" t="s">
        <v>31403</v>
      </c>
      <c r="F692" t="s">
        <v>2947</v>
      </c>
      <c r="G692" t="s">
        <v>11471</v>
      </c>
      <c r="H692" t="s">
        <v>706</v>
      </c>
      <c r="I692" t="s">
        <v>19</v>
      </c>
      <c r="J692" s="3">
        <v>553134094592</v>
      </c>
      <c r="K692" t="s">
        <v>5802</v>
      </c>
      <c r="L692" t="s">
        <v>7849</v>
      </c>
      <c r="M692" t="s">
        <v>771</v>
      </c>
    </row>
    <row r="693" spans="1:13" x14ac:dyDescent="0.25">
      <c r="A693" t="s">
        <v>28136</v>
      </c>
      <c r="B693" t="s">
        <v>13</v>
      </c>
      <c r="C693" t="s">
        <v>22713</v>
      </c>
      <c r="D693" t="s">
        <v>28137</v>
      </c>
      <c r="E693" t="s">
        <v>28138</v>
      </c>
      <c r="F693" t="s">
        <v>2947</v>
      </c>
      <c r="G693" t="s">
        <v>28139</v>
      </c>
      <c r="H693" t="s">
        <v>462</v>
      </c>
      <c r="I693" t="s">
        <v>19</v>
      </c>
      <c r="J693" s="3" t="s">
        <v>28140</v>
      </c>
      <c r="K693" t="s">
        <v>28141</v>
      </c>
      <c r="L693" t="s">
        <v>904</v>
      </c>
      <c r="M693" t="s">
        <v>771</v>
      </c>
    </row>
    <row r="694" spans="1:13" x14ac:dyDescent="0.25">
      <c r="A694" t="s">
        <v>7262</v>
      </c>
      <c r="B694" t="s">
        <v>13</v>
      </c>
      <c r="C694" t="s">
        <v>7263</v>
      </c>
      <c r="D694" t="s">
        <v>7264</v>
      </c>
      <c r="E694" s="2" t="s">
        <v>31647</v>
      </c>
      <c r="F694" t="s">
        <v>2947</v>
      </c>
      <c r="G694" t="s">
        <v>1731</v>
      </c>
      <c r="H694" t="s">
        <v>265</v>
      </c>
      <c r="I694" t="s">
        <v>19</v>
      </c>
      <c r="J694" s="3" t="s">
        <v>1732</v>
      </c>
      <c r="K694" t="s">
        <v>1733</v>
      </c>
      <c r="L694" t="s">
        <v>1734</v>
      </c>
      <c r="M694" t="s">
        <v>771</v>
      </c>
    </row>
    <row r="695" spans="1:13" x14ac:dyDescent="0.25">
      <c r="A695" t="s">
        <v>23171</v>
      </c>
      <c r="B695" t="s">
        <v>13</v>
      </c>
      <c r="C695" t="s">
        <v>8472</v>
      </c>
      <c r="D695" t="s">
        <v>23172</v>
      </c>
      <c r="E695" t="s">
        <v>23173</v>
      </c>
      <c r="F695" t="s">
        <v>2947</v>
      </c>
      <c r="G695" t="s">
        <v>23174</v>
      </c>
      <c r="H695" t="s">
        <v>1090</v>
      </c>
      <c r="I695" t="s">
        <v>19</v>
      </c>
      <c r="J695" s="3" t="s">
        <v>23175</v>
      </c>
      <c r="K695" t="s">
        <v>23176</v>
      </c>
      <c r="L695" t="s">
        <v>1092</v>
      </c>
      <c r="M695" t="s">
        <v>771</v>
      </c>
    </row>
    <row r="696" spans="1:13" x14ac:dyDescent="0.25">
      <c r="A696" t="s">
        <v>12444</v>
      </c>
      <c r="B696" t="s">
        <v>13</v>
      </c>
      <c r="C696" s="1">
        <v>44047</v>
      </c>
      <c r="D696" t="s">
        <v>12445</v>
      </c>
      <c r="E696" s="2" t="s">
        <v>31040</v>
      </c>
      <c r="F696" t="s">
        <v>2947</v>
      </c>
      <c r="G696" t="s">
        <v>12446</v>
      </c>
      <c r="H696" t="s">
        <v>88</v>
      </c>
      <c r="I696" t="s">
        <v>19</v>
      </c>
      <c r="J696" s="3">
        <f>55-84-998464631</f>
        <v>-998464660</v>
      </c>
      <c r="K696" t="s">
        <v>12447</v>
      </c>
      <c r="L696" t="s">
        <v>764</v>
      </c>
      <c r="M696" t="s">
        <v>771</v>
      </c>
    </row>
    <row r="697" spans="1:13" x14ac:dyDescent="0.25">
      <c r="A697" t="s">
        <v>19766</v>
      </c>
      <c r="B697" t="s">
        <v>13</v>
      </c>
      <c r="C697" s="1">
        <v>43229</v>
      </c>
      <c r="D697" t="s">
        <v>19767</v>
      </c>
      <c r="E697" t="s">
        <v>19768</v>
      </c>
      <c r="F697" t="s">
        <v>2947</v>
      </c>
      <c r="G697" t="s">
        <v>19769</v>
      </c>
      <c r="H697" t="s">
        <v>88</v>
      </c>
      <c r="I697" t="s">
        <v>19</v>
      </c>
      <c r="J697" s="3" t="s">
        <v>19770</v>
      </c>
      <c r="K697" t="s">
        <v>19771</v>
      </c>
      <c r="L697" t="s">
        <v>19772</v>
      </c>
      <c r="M697" t="s">
        <v>771</v>
      </c>
    </row>
    <row r="698" spans="1:13" x14ac:dyDescent="0.25">
      <c r="A698" t="s">
        <v>13089</v>
      </c>
      <c r="B698" t="s">
        <v>13</v>
      </c>
      <c r="C698" t="s">
        <v>13090</v>
      </c>
      <c r="D698" t="s">
        <v>13091</v>
      </c>
      <c r="E698" s="2" t="s">
        <v>32261</v>
      </c>
      <c r="F698" t="s">
        <v>2947</v>
      </c>
      <c r="G698" t="s">
        <v>13092</v>
      </c>
      <c r="H698" t="s">
        <v>798</v>
      </c>
      <c r="I698" t="s">
        <v>19</v>
      </c>
      <c r="J698" s="3">
        <v>556133889804</v>
      </c>
      <c r="K698" t="s">
        <v>13093</v>
      </c>
      <c r="L698" t="s">
        <v>13094</v>
      </c>
      <c r="M698" t="s">
        <v>771</v>
      </c>
    </row>
    <row r="699" spans="1:13" x14ac:dyDescent="0.25">
      <c r="A699" t="s">
        <v>10889</v>
      </c>
      <c r="B699" t="s">
        <v>13</v>
      </c>
      <c r="C699" t="s">
        <v>10876</v>
      </c>
      <c r="D699" t="s">
        <v>10890</v>
      </c>
      <c r="E699" s="2" t="s">
        <v>31757</v>
      </c>
      <c r="F699" t="s">
        <v>2947</v>
      </c>
      <c r="G699" t="s">
        <v>10891</v>
      </c>
      <c r="H699" t="s">
        <v>4821</v>
      </c>
      <c r="I699" t="s">
        <v>19</v>
      </c>
      <c r="J699" s="3">
        <v>5511983250128</v>
      </c>
      <c r="K699" t="s">
        <v>10892</v>
      </c>
      <c r="L699" t="s">
        <v>3512</v>
      </c>
      <c r="M699" t="s">
        <v>771</v>
      </c>
    </row>
    <row r="700" spans="1:13" x14ac:dyDescent="0.25">
      <c r="A700" t="s">
        <v>27843</v>
      </c>
      <c r="B700" t="s">
        <v>13</v>
      </c>
      <c r="C700" t="s">
        <v>27838</v>
      </c>
      <c r="D700" t="s">
        <v>27844</v>
      </c>
      <c r="E700" t="s">
        <v>27845</v>
      </c>
      <c r="F700" t="s">
        <v>2947</v>
      </c>
      <c r="G700" t="s">
        <v>27846</v>
      </c>
      <c r="H700" t="s">
        <v>462</v>
      </c>
      <c r="I700" t="s">
        <v>19</v>
      </c>
      <c r="J700" s="3" t="s">
        <v>27847</v>
      </c>
      <c r="K700" t="s">
        <v>27848</v>
      </c>
      <c r="L700" t="s">
        <v>904</v>
      </c>
      <c r="M700" t="s">
        <v>771</v>
      </c>
    </row>
    <row r="701" spans="1:13" x14ac:dyDescent="0.25">
      <c r="A701" t="s">
        <v>2251</v>
      </c>
      <c r="B701" t="s">
        <v>13</v>
      </c>
      <c r="C701" s="1">
        <v>44601</v>
      </c>
      <c r="D701" t="s">
        <v>2252</v>
      </c>
      <c r="E701" s="2" t="s">
        <v>31978</v>
      </c>
      <c r="F701" t="s">
        <v>2254</v>
      </c>
      <c r="G701" t="s">
        <v>2255</v>
      </c>
      <c r="H701" t="s">
        <v>1047</v>
      </c>
      <c r="I701" t="s">
        <v>19</v>
      </c>
      <c r="J701" s="3" t="s">
        <v>2256</v>
      </c>
      <c r="K701" t="s">
        <v>2257</v>
      </c>
      <c r="L701" t="s">
        <v>2258</v>
      </c>
      <c r="M701" t="s">
        <v>771</v>
      </c>
    </row>
    <row r="702" spans="1:13" x14ac:dyDescent="0.25">
      <c r="A702" t="s">
        <v>28105</v>
      </c>
      <c r="B702" t="s">
        <v>101</v>
      </c>
      <c r="C702" s="1">
        <v>42010</v>
      </c>
      <c r="D702" t="s">
        <v>28106</v>
      </c>
      <c r="E702" t="s">
        <v>28107</v>
      </c>
      <c r="F702" t="s">
        <v>2947</v>
      </c>
      <c r="G702" t="s">
        <v>28108</v>
      </c>
      <c r="H702" t="s">
        <v>352</v>
      </c>
      <c r="I702" t="s">
        <v>19</v>
      </c>
      <c r="J702" s="3" t="s">
        <v>28109</v>
      </c>
      <c r="K702" t="s">
        <v>28110</v>
      </c>
      <c r="L702" t="s">
        <v>3001</v>
      </c>
      <c r="M702" t="s">
        <v>771</v>
      </c>
    </row>
    <row r="703" spans="1:13" x14ac:dyDescent="0.25">
      <c r="A703" t="s">
        <v>9353</v>
      </c>
      <c r="B703" t="s">
        <v>13</v>
      </c>
      <c r="C703" s="1">
        <v>43871</v>
      </c>
      <c r="D703" t="s">
        <v>9354</v>
      </c>
      <c r="E703" t="s">
        <v>9355</v>
      </c>
      <c r="F703" t="s">
        <v>2947</v>
      </c>
      <c r="G703" t="s">
        <v>3254</v>
      </c>
      <c r="H703" t="s">
        <v>36</v>
      </c>
      <c r="I703" t="s">
        <v>19</v>
      </c>
      <c r="J703" s="3">
        <f>55-11-55711062</f>
        <v>-55711018</v>
      </c>
      <c r="K703" t="s">
        <v>6272</v>
      </c>
      <c r="L703" t="s">
        <v>439</v>
      </c>
      <c r="M703" t="s">
        <v>771</v>
      </c>
    </row>
    <row r="704" spans="1:13" x14ac:dyDescent="0.25">
      <c r="A704" t="s">
        <v>26191</v>
      </c>
      <c r="B704" t="s">
        <v>13</v>
      </c>
      <c r="C704" t="s">
        <v>9515</v>
      </c>
      <c r="D704" t="s">
        <v>26192</v>
      </c>
      <c r="E704" t="s">
        <v>26193</v>
      </c>
      <c r="F704" t="s">
        <v>2947</v>
      </c>
      <c r="G704" t="s">
        <v>25828</v>
      </c>
      <c r="H704" t="s">
        <v>36</v>
      </c>
      <c r="I704" t="s">
        <v>19</v>
      </c>
      <c r="J704" s="3" t="s">
        <v>26194</v>
      </c>
      <c r="K704" t="s">
        <v>25830</v>
      </c>
      <c r="L704" t="s">
        <v>8044</v>
      </c>
      <c r="M704" t="s">
        <v>32145</v>
      </c>
    </row>
    <row r="705" spans="1:13" x14ac:dyDescent="0.25">
      <c r="A705" t="s">
        <v>8560</v>
      </c>
      <c r="B705" t="s">
        <v>13</v>
      </c>
      <c r="C705" s="1">
        <v>44078</v>
      </c>
      <c r="D705" t="s">
        <v>8561</v>
      </c>
      <c r="E705" t="s">
        <v>8562</v>
      </c>
      <c r="F705" t="s">
        <v>2947</v>
      </c>
      <c r="G705" t="s">
        <v>8563</v>
      </c>
      <c r="H705" t="s">
        <v>255</v>
      </c>
      <c r="I705" t="s">
        <v>19</v>
      </c>
      <c r="J705" s="3">
        <f>55-62-981193295</f>
        <v>-981193302</v>
      </c>
      <c r="K705" t="s">
        <v>8564</v>
      </c>
      <c r="L705" t="s">
        <v>8565</v>
      </c>
      <c r="M705" t="s">
        <v>771</v>
      </c>
    </row>
    <row r="706" spans="1:13" x14ac:dyDescent="0.25">
      <c r="A706" t="s">
        <v>21546</v>
      </c>
      <c r="B706" t="s">
        <v>13</v>
      </c>
      <c r="C706" s="1">
        <v>43409</v>
      </c>
      <c r="D706" t="s">
        <v>21547</v>
      </c>
      <c r="E706" t="s">
        <v>21548</v>
      </c>
      <c r="F706" t="s">
        <v>2947</v>
      </c>
      <c r="G706" t="s">
        <v>21549</v>
      </c>
      <c r="H706" t="s">
        <v>352</v>
      </c>
      <c r="I706" t="s">
        <v>19</v>
      </c>
      <c r="J706" s="3">
        <f>55-21-999358695</f>
        <v>-999358661</v>
      </c>
      <c r="K706" t="s">
        <v>21550</v>
      </c>
      <c r="L706" t="s">
        <v>9948</v>
      </c>
      <c r="M706" t="s">
        <v>771</v>
      </c>
    </row>
    <row r="707" spans="1:13" x14ac:dyDescent="0.25">
      <c r="A707" t="s">
        <v>23381</v>
      </c>
      <c r="B707" t="s">
        <v>13</v>
      </c>
      <c r="C707" s="1">
        <v>42804</v>
      </c>
      <c r="D707" t="s">
        <v>23382</v>
      </c>
      <c r="E707" t="s">
        <v>23383</v>
      </c>
      <c r="F707" t="s">
        <v>1464</v>
      </c>
      <c r="G707" t="s">
        <v>23384</v>
      </c>
      <c r="H707" t="s">
        <v>88</v>
      </c>
      <c r="I707" t="s">
        <v>19</v>
      </c>
      <c r="J707" s="3" t="s">
        <v>23385</v>
      </c>
      <c r="K707" t="s">
        <v>23386</v>
      </c>
      <c r="L707" t="s">
        <v>19772</v>
      </c>
      <c r="M707" t="s">
        <v>32121</v>
      </c>
    </row>
    <row r="708" spans="1:13" x14ac:dyDescent="0.25">
      <c r="A708" t="s">
        <v>3530</v>
      </c>
      <c r="B708" t="s">
        <v>13</v>
      </c>
      <c r="C708" t="s">
        <v>3531</v>
      </c>
      <c r="D708" t="s">
        <v>3532</v>
      </c>
      <c r="E708" t="s">
        <v>3533</v>
      </c>
      <c r="F708" t="s">
        <v>3534</v>
      </c>
      <c r="G708" t="s">
        <v>3535</v>
      </c>
      <c r="H708" t="s">
        <v>195</v>
      </c>
      <c r="I708" t="s">
        <v>19</v>
      </c>
      <c r="J708" s="3">
        <f>55-16-33519470</f>
        <v>-33519431</v>
      </c>
      <c r="K708" t="s">
        <v>3536</v>
      </c>
      <c r="L708" t="s">
        <v>197</v>
      </c>
      <c r="M708" t="s">
        <v>1775</v>
      </c>
    </row>
    <row r="709" spans="1:13" x14ac:dyDescent="0.25">
      <c r="A709" t="s">
        <v>4358</v>
      </c>
      <c r="B709" t="s">
        <v>13</v>
      </c>
      <c r="C709" t="s">
        <v>4347</v>
      </c>
      <c r="D709" t="s">
        <v>4359</v>
      </c>
      <c r="E709" s="2" t="s">
        <v>31708</v>
      </c>
      <c r="F709" t="s">
        <v>1753</v>
      </c>
      <c r="G709" t="s">
        <v>4360</v>
      </c>
      <c r="H709" t="s">
        <v>195</v>
      </c>
      <c r="I709" t="s">
        <v>19</v>
      </c>
      <c r="J709" s="3" t="s">
        <v>4361</v>
      </c>
      <c r="K709" t="s">
        <v>4362</v>
      </c>
      <c r="L709" t="s">
        <v>4363</v>
      </c>
      <c r="M709" t="s">
        <v>32144</v>
      </c>
    </row>
    <row r="710" spans="1:13" x14ac:dyDescent="0.25">
      <c r="A710" t="s">
        <v>18835</v>
      </c>
      <c r="B710" t="s">
        <v>13</v>
      </c>
      <c r="C710" s="1">
        <v>43385</v>
      </c>
      <c r="D710" t="s">
        <v>18836</v>
      </c>
      <c r="E710" s="2" t="s">
        <v>31497</v>
      </c>
      <c r="F710" t="s">
        <v>1129</v>
      </c>
      <c r="G710" t="s">
        <v>18837</v>
      </c>
      <c r="H710" t="s">
        <v>45</v>
      </c>
      <c r="I710" t="s">
        <v>19</v>
      </c>
      <c r="J710" s="3" t="s">
        <v>18838</v>
      </c>
      <c r="K710" t="s">
        <v>18839</v>
      </c>
      <c r="L710" t="s">
        <v>2153</v>
      </c>
      <c r="M710" t="s">
        <v>224</v>
      </c>
    </row>
    <row r="711" spans="1:13" x14ac:dyDescent="0.25">
      <c r="A711" t="s">
        <v>5520</v>
      </c>
      <c r="B711" t="s">
        <v>13</v>
      </c>
      <c r="C711" s="1">
        <v>44239</v>
      </c>
      <c r="D711" t="s">
        <v>32135</v>
      </c>
      <c r="E711" t="s">
        <v>5521</v>
      </c>
      <c r="F711" t="s">
        <v>1753</v>
      </c>
      <c r="G711" t="s">
        <v>5522</v>
      </c>
      <c r="H711" t="s">
        <v>5523</v>
      </c>
      <c r="I711" t="s">
        <v>19</v>
      </c>
      <c r="J711" s="3">
        <v>5584988434766</v>
      </c>
      <c r="K711" t="s">
        <v>5524</v>
      </c>
      <c r="L711" t="s">
        <v>32135</v>
      </c>
      <c r="M711" t="s">
        <v>32144</v>
      </c>
    </row>
    <row r="712" spans="1:13" x14ac:dyDescent="0.25">
      <c r="A712" t="s">
        <v>5841</v>
      </c>
      <c r="B712" t="s">
        <v>13</v>
      </c>
      <c r="C712" t="s">
        <v>2028</v>
      </c>
      <c r="D712" t="s">
        <v>5842</v>
      </c>
      <c r="E712" s="2" t="s">
        <v>30862</v>
      </c>
      <c r="F712" t="s">
        <v>332</v>
      </c>
      <c r="G712" t="s">
        <v>5843</v>
      </c>
      <c r="H712" t="s">
        <v>5844</v>
      </c>
      <c r="I712" t="s">
        <v>19</v>
      </c>
      <c r="J712" s="3">
        <f>55-19-35431439</f>
        <v>-35431403</v>
      </c>
      <c r="K712" t="s">
        <v>5845</v>
      </c>
      <c r="L712" t="s">
        <v>5846</v>
      </c>
      <c r="M712" t="s">
        <v>337</v>
      </c>
    </row>
    <row r="713" spans="1:13" x14ac:dyDescent="0.25">
      <c r="A713" t="s">
        <v>24791</v>
      </c>
      <c r="B713" t="s">
        <v>13</v>
      </c>
      <c r="C713" s="1">
        <v>42948</v>
      </c>
      <c r="D713" t="s">
        <v>24792</v>
      </c>
      <c r="E713" t="s">
        <v>12288</v>
      </c>
      <c r="F713" t="s">
        <v>1464</v>
      </c>
      <c r="G713" t="s">
        <v>24793</v>
      </c>
      <c r="H713" t="s">
        <v>24794</v>
      </c>
      <c r="I713" t="s">
        <v>19</v>
      </c>
      <c r="J713" s="3" t="s">
        <v>24795</v>
      </c>
      <c r="K713" t="s">
        <v>24796</v>
      </c>
      <c r="L713" t="s">
        <v>3250</v>
      </c>
      <c r="M713" t="s">
        <v>337</v>
      </c>
    </row>
    <row r="714" spans="1:13" x14ac:dyDescent="0.25">
      <c r="A714" t="s">
        <v>20197</v>
      </c>
      <c r="B714" t="s">
        <v>13</v>
      </c>
      <c r="C714" s="1">
        <v>43139</v>
      </c>
      <c r="D714" t="s">
        <v>20198</v>
      </c>
      <c r="E714" t="s">
        <v>12288</v>
      </c>
      <c r="F714" t="s">
        <v>1464</v>
      </c>
      <c r="G714" t="s">
        <v>20199</v>
      </c>
      <c r="H714" t="s">
        <v>798</v>
      </c>
      <c r="I714" t="s">
        <v>19</v>
      </c>
      <c r="J714" s="3">
        <v>556131073300</v>
      </c>
      <c r="K714" t="s">
        <v>20200</v>
      </c>
      <c r="L714" t="s">
        <v>1767</v>
      </c>
      <c r="M714" t="s">
        <v>337</v>
      </c>
    </row>
    <row r="715" spans="1:13" x14ac:dyDescent="0.25">
      <c r="A715" t="s">
        <v>22069</v>
      </c>
      <c r="B715" t="s">
        <v>13</v>
      </c>
      <c r="C715" s="1">
        <v>43254</v>
      </c>
      <c r="D715" t="s">
        <v>22070</v>
      </c>
      <c r="E715" t="s">
        <v>22071</v>
      </c>
      <c r="F715" t="s">
        <v>332</v>
      </c>
      <c r="G715" t="s">
        <v>22072</v>
      </c>
      <c r="H715" t="s">
        <v>265</v>
      </c>
      <c r="I715" t="s">
        <v>19</v>
      </c>
      <c r="J715" s="3">
        <v>5501636233276</v>
      </c>
      <c r="K715" t="s">
        <v>22073</v>
      </c>
      <c r="L715" t="s">
        <v>11292</v>
      </c>
      <c r="M715" t="s">
        <v>337</v>
      </c>
    </row>
    <row r="716" spans="1:13" x14ac:dyDescent="0.25">
      <c r="A716" t="s">
        <v>20264</v>
      </c>
      <c r="B716" t="s">
        <v>101</v>
      </c>
      <c r="C716" t="s">
        <v>20252</v>
      </c>
      <c r="D716" t="s">
        <v>20265</v>
      </c>
      <c r="E716" t="s">
        <v>12288</v>
      </c>
      <c r="F716" t="s">
        <v>332</v>
      </c>
      <c r="G716" t="s">
        <v>20266</v>
      </c>
      <c r="H716" t="s">
        <v>20267</v>
      </c>
      <c r="I716" t="s">
        <v>19</v>
      </c>
      <c r="J716" s="3">
        <f>55-55-32209264</f>
        <v>-32209264</v>
      </c>
      <c r="K716" t="s">
        <v>20268</v>
      </c>
      <c r="L716" t="s">
        <v>20269</v>
      </c>
      <c r="M716" t="s">
        <v>337</v>
      </c>
    </row>
    <row r="717" spans="1:13" x14ac:dyDescent="0.25">
      <c r="A717" t="s">
        <v>21717</v>
      </c>
      <c r="B717" t="s">
        <v>13</v>
      </c>
      <c r="C717" s="1">
        <v>43105</v>
      </c>
      <c r="D717" t="s">
        <v>21718</v>
      </c>
      <c r="E717" t="s">
        <v>32262</v>
      </c>
      <c r="F717" t="s">
        <v>1775</v>
      </c>
      <c r="G717" t="s">
        <v>21719</v>
      </c>
      <c r="H717" t="s">
        <v>255</v>
      </c>
      <c r="I717" t="s">
        <v>19</v>
      </c>
      <c r="J717" s="3">
        <f>55-11-98757-7780</f>
        <v>-106493</v>
      </c>
      <c r="K717" t="s">
        <v>21720</v>
      </c>
      <c r="L717" t="s">
        <v>2467</v>
      </c>
      <c r="M717" t="s">
        <v>1775</v>
      </c>
    </row>
    <row r="718" spans="1:13" x14ac:dyDescent="0.25">
      <c r="A718" t="s">
        <v>18515</v>
      </c>
      <c r="B718" t="s">
        <v>13</v>
      </c>
      <c r="C718" t="s">
        <v>18513</v>
      </c>
      <c r="D718" t="s">
        <v>18516</v>
      </c>
      <c r="E718" t="s">
        <v>18517</v>
      </c>
      <c r="F718" t="s">
        <v>337</v>
      </c>
      <c r="G718" t="s">
        <v>18518</v>
      </c>
      <c r="H718" t="s">
        <v>18519</v>
      </c>
      <c r="I718" t="s">
        <v>19</v>
      </c>
      <c r="J718" s="3">
        <v>5585982127979</v>
      </c>
      <c r="K718" t="s">
        <v>18520</v>
      </c>
      <c r="L718" t="s">
        <v>2712</v>
      </c>
      <c r="M718" t="s">
        <v>337</v>
      </c>
    </row>
    <row r="719" spans="1:13" x14ac:dyDescent="0.25">
      <c r="A719" t="s">
        <v>17990</v>
      </c>
      <c r="B719" t="s">
        <v>13</v>
      </c>
      <c r="C719" t="s">
        <v>16588</v>
      </c>
      <c r="D719" t="s">
        <v>17991</v>
      </c>
      <c r="E719" s="2" t="s">
        <v>31394</v>
      </c>
      <c r="F719" t="s">
        <v>332</v>
      </c>
      <c r="G719" t="s">
        <v>17992</v>
      </c>
      <c r="H719" t="s">
        <v>1802</v>
      </c>
      <c r="I719" t="s">
        <v>19</v>
      </c>
      <c r="J719" s="3">
        <f>55-14-32358323</f>
        <v>-32358282</v>
      </c>
      <c r="K719" t="s">
        <v>17993</v>
      </c>
      <c r="L719" t="s">
        <v>1805</v>
      </c>
      <c r="M719" t="s">
        <v>337</v>
      </c>
    </row>
    <row r="720" spans="1:13" x14ac:dyDescent="0.25">
      <c r="A720" t="s">
        <v>27106</v>
      </c>
      <c r="B720" t="s">
        <v>13</v>
      </c>
      <c r="C720" t="s">
        <v>27107</v>
      </c>
      <c r="D720" t="s">
        <v>27108</v>
      </c>
      <c r="E720" t="s">
        <v>27109</v>
      </c>
      <c r="F720" t="s">
        <v>2089</v>
      </c>
      <c r="G720" t="s">
        <v>5839</v>
      </c>
      <c r="H720" t="s">
        <v>2215</v>
      </c>
      <c r="I720" t="s">
        <v>19</v>
      </c>
      <c r="J720" s="3" t="s">
        <v>14221</v>
      </c>
      <c r="K720" t="s">
        <v>2217</v>
      </c>
      <c r="L720" t="s">
        <v>5685</v>
      </c>
      <c r="M720" t="s">
        <v>337</v>
      </c>
    </row>
    <row r="721" spans="1:13" x14ac:dyDescent="0.25">
      <c r="A721" t="s">
        <v>26843</v>
      </c>
      <c r="B721" t="s">
        <v>13</v>
      </c>
      <c r="C721" s="1">
        <v>42403</v>
      </c>
      <c r="D721" t="s">
        <v>26844</v>
      </c>
      <c r="E721" t="s">
        <v>26845</v>
      </c>
      <c r="F721" t="s">
        <v>332</v>
      </c>
      <c r="G721" t="s">
        <v>26846</v>
      </c>
      <c r="H721" t="s">
        <v>255</v>
      </c>
      <c r="I721" t="s">
        <v>19</v>
      </c>
      <c r="J721" s="3">
        <v>556296282625</v>
      </c>
      <c r="K721" t="s">
        <v>26847</v>
      </c>
      <c r="L721" t="s">
        <v>258</v>
      </c>
      <c r="M721" t="s">
        <v>337</v>
      </c>
    </row>
    <row r="722" spans="1:13" x14ac:dyDescent="0.25">
      <c r="A722" t="s">
        <v>27556</v>
      </c>
      <c r="B722" t="s">
        <v>13</v>
      </c>
      <c r="C722" t="s">
        <v>27557</v>
      </c>
      <c r="D722" t="s">
        <v>27558</v>
      </c>
      <c r="E722" t="s">
        <v>27559</v>
      </c>
      <c r="F722" t="s">
        <v>2765</v>
      </c>
      <c r="G722" t="s">
        <v>27560</v>
      </c>
      <c r="H722" t="s">
        <v>5366</v>
      </c>
      <c r="I722" t="s">
        <v>19</v>
      </c>
      <c r="J722" s="3" t="s">
        <v>27561</v>
      </c>
      <c r="K722" t="s">
        <v>27562</v>
      </c>
      <c r="L722" t="s">
        <v>1767</v>
      </c>
      <c r="M722" t="s">
        <v>771</v>
      </c>
    </row>
    <row r="723" spans="1:13" x14ac:dyDescent="0.25">
      <c r="A723" t="s">
        <v>26893</v>
      </c>
      <c r="B723" t="s">
        <v>13</v>
      </c>
      <c r="C723" t="s">
        <v>26706</v>
      </c>
      <c r="D723" t="s">
        <v>26894</v>
      </c>
      <c r="E723" t="s">
        <v>26895</v>
      </c>
      <c r="F723" t="s">
        <v>332</v>
      </c>
      <c r="G723" t="s">
        <v>26896</v>
      </c>
      <c r="H723" t="s">
        <v>428</v>
      </c>
      <c r="I723" t="s">
        <v>19</v>
      </c>
      <c r="J723" s="3" t="s">
        <v>26897</v>
      </c>
      <c r="K723" t="s">
        <v>26898</v>
      </c>
      <c r="L723" t="s">
        <v>3299</v>
      </c>
      <c r="M723" t="s">
        <v>337</v>
      </c>
    </row>
    <row r="724" spans="1:13" x14ac:dyDescent="0.25">
      <c r="A724" t="s">
        <v>19062</v>
      </c>
      <c r="B724" t="s">
        <v>13</v>
      </c>
      <c r="C724" s="1">
        <v>43323</v>
      </c>
      <c r="D724" t="s">
        <v>19063</v>
      </c>
      <c r="E724" t="s">
        <v>3888</v>
      </c>
      <c r="F724" t="s">
        <v>2036</v>
      </c>
      <c r="G724" t="s">
        <v>18948</v>
      </c>
      <c r="H724" t="s">
        <v>1486</v>
      </c>
      <c r="I724" t="s">
        <v>19</v>
      </c>
      <c r="J724" s="3" t="s">
        <v>19064</v>
      </c>
      <c r="K724" t="s">
        <v>18950</v>
      </c>
      <c r="L724" t="s">
        <v>1489</v>
      </c>
      <c r="M724" t="s">
        <v>57</v>
      </c>
    </row>
    <row r="725" spans="1:13" x14ac:dyDescent="0.25">
      <c r="A725" t="s">
        <v>30579</v>
      </c>
      <c r="B725" t="s">
        <v>13</v>
      </c>
      <c r="C725" s="1">
        <v>40794</v>
      </c>
      <c r="D725" t="s">
        <v>30580</v>
      </c>
      <c r="E725" t="s">
        <v>3888</v>
      </c>
      <c r="F725" t="s">
        <v>1129</v>
      </c>
      <c r="G725" t="s">
        <v>30581</v>
      </c>
      <c r="H725" t="s">
        <v>265</v>
      </c>
      <c r="I725" t="s">
        <v>19</v>
      </c>
      <c r="J725" s="3" t="s">
        <v>30582</v>
      </c>
      <c r="K725" t="s">
        <v>30583</v>
      </c>
      <c r="L725" t="s">
        <v>321</v>
      </c>
      <c r="M725" t="s">
        <v>224</v>
      </c>
    </row>
    <row r="726" spans="1:13" x14ac:dyDescent="0.25">
      <c r="A726" t="s">
        <v>3886</v>
      </c>
      <c r="B726" t="s">
        <v>13</v>
      </c>
      <c r="C726" t="s">
        <v>3862</v>
      </c>
      <c r="D726" t="s">
        <v>3887</v>
      </c>
      <c r="E726" t="s">
        <v>3888</v>
      </c>
      <c r="F726" t="s">
        <v>3889</v>
      </c>
      <c r="G726" t="s">
        <v>3890</v>
      </c>
      <c r="H726" t="s">
        <v>472</v>
      </c>
      <c r="I726" t="s">
        <v>19</v>
      </c>
      <c r="J726" s="3">
        <f>55-81-999768640</f>
        <v>-999768666</v>
      </c>
      <c r="K726" t="s">
        <v>3891</v>
      </c>
      <c r="L726" t="s">
        <v>2101</v>
      </c>
      <c r="M726" t="s">
        <v>57</v>
      </c>
    </row>
    <row r="727" spans="1:13" x14ac:dyDescent="0.25">
      <c r="A727" t="s">
        <v>14888</v>
      </c>
      <c r="B727" t="s">
        <v>13</v>
      </c>
      <c r="C727" t="s">
        <v>14889</v>
      </c>
      <c r="D727" t="s">
        <v>14890</v>
      </c>
      <c r="E727" t="s">
        <v>4229</v>
      </c>
      <c r="F727" t="s">
        <v>1464</v>
      </c>
      <c r="G727" t="s">
        <v>11554</v>
      </c>
      <c r="H727" t="s">
        <v>927</v>
      </c>
      <c r="I727" t="s">
        <v>19</v>
      </c>
      <c r="J727" s="3" t="s">
        <v>14891</v>
      </c>
      <c r="K727" t="s">
        <v>14892</v>
      </c>
      <c r="L727" t="s">
        <v>439</v>
      </c>
      <c r="M727" t="s">
        <v>224</v>
      </c>
    </row>
    <row r="728" spans="1:13" x14ac:dyDescent="0.25">
      <c r="A728" t="s">
        <v>24613</v>
      </c>
      <c r="B728" t="s">
        <v>13</v>
      </c>
      <c r="C728" s="1">
        <v>42887</v>
      </c>
      <c r="D728" t="s">
        <v>24614</v>
      </c>
      <c r="E728" t="s">
        <v>4229</v>
      </c>
      <c r="F728" t="s">
        <v>1464</v>
      </c>
      <c r="G728" t="s">
        <v>11554</v>
      </c>
      <c r="H728" t="s">
        <v>927</v>
      </c>
      <c r="I728" t="s">
        <v>19</v>
      </c>
      <c r="J728" s="3" t="s">
        <v>14891</v>
      </c>
      <c r="K728" t="s">
        <v>14892</v>
      </c>
      <c r="L728" t="s">
        <v>439</v>
      </c>
      <c r="M728" t="s">
        <v>224</v>
      </c>
    </row>
    <row r="729" spans="1:13" x14ac:dyDescent="0.25">
      <c r="A729" t="s">
        <v>4226</v>
      </c>
      <c r="B729" t="s">
        <v>13</v>
      </c>
      <c r="C729" t="s">
        <v>4227</v>
      </c>
      <c r="D729" t="s">
        <v>4228</v>
      </c>
      <c r="E729" t="s">
        <v>4229</v>
      </c>
      <c r="F729" t="s">
        <v>211</v>
      </c>
      <c r="G729" t="s">
        <v>4230</v>
      </c>
      <c r="H729" t="s">
        <v>927</v>
      </c>
      <c r="I729" t="s">
        <v>19</v>
      </c>
      <c r="J729" s="3" t="s">
        <v>2884</v>
      </c>
      <c r="K729" t="s">
        <v>4231</v>
      </c>
      <c r="L729" t="s">
        <v>439</v>
      </c>
      <c r="M729" t="s">
        <v>57</v>
      </c>
    </row>
    <row r="730" spans="1:13" x14ac:dyDescent="0.25">
      <c r="A730" t="s">
        <v>8789</v>
      </c>
      <c r="B730" t="s">
        <v>13</v>
      </c>
      <c r="C730" t="s">
        <v>8781</v>
      </c>
      <c r="D730" t="s">
        <v>8790</v>
      </c>
      <c r="E730" s="2" t="s">
        <v>30960</v>
      </c>
      <c r="F730" t="s">
        <v>3888</v>
      </c>
      <c r="G730" t="s">
        <v>8791</v>
      </c>
      <c r="H730" t="s">
        <v>7864</v>
      </c>
      <c r="I730" t="s">
        <v>19</v>
      </c>
      <c r="J730" s="3" t="s">
        <v>8792</v>
      </c>
      <c r="K730" t="s">
        <v>8793</v>
      </c>
      <c r="L730" t="s">
        <v>8794</v>
      </c>
      <c r="M730" t="s">
        <v>57</v>
      </c>
    </row>
    <row r="731" spans="1:13" x14ac:dyDescent="0.25">
      <c r="A731" t="s">
        <v>30275</v>
      </c>
      <c r="B731" t="s">
        <v>13</v>
      </c>
      <c r="C731" s="1">
        <v>40910</v>
      </c>
      <c r="D731" t="s">
        <v>30276</v>
      </c>
      <c r="E731" t="s">
        <v>30277</v>
      </c>
      <c r="F731" t="s">
        <v>2104</v>
      </c>
      <c r="G731" t="s">
        <v>30278</v>
      </c>
      <c r="H731" t="s">
        <v>372</v>
      </c>
      <c r="I731" t="s">
        <v>19</v>
      </c>
      <c r="J731" s="3" t="s">
        <v>30279</v>
      </c>
      <c r="K731" t="s">
        <v>30280</v>
      </c>
      <c r="L731" t="s">
        <v>30281</v>
      </c>
      <c r="M731" t="s">
        <v>57</v>
      </c>
    </row>
    <row r="732" spans="1:13" x14ac:dyDescent="0.25">
      <c r="A732" t="s">
        <v>13721</v>
      </c>
      <c r="B732" t="s">
        <v>13</v>
      </c>
      <c r="C732" s="1">
        <v>43984</v>
      </c>
      <c r="D732" t="s">
        <v>13722</v>
      </c>
      <c r="E732" t="s">
        <v>13723</v>
      </c>
      <c r="F732" t="s">
        <v>741</v>
      </c>
      <c r="G732" t="s">
        <v>13724</v>
      </c>
      <c r="H732" t="s">
        <v>13725</v>
      </c>
      <c r="I732" t="s">
        <v>19</v>
      </c>
      <c r="J732" s="3">
        <v>5591983531955</v>
      </c>
      <c r="K732" t="s">
        <v>13726</v>
      </c>
      <c r="L732" t="s">
        <v>3693</v>
      </c>
      <c r="M732" t="s">
        <v>741</v>
      </c>
    </row>
    <row r="733" spans="1:13" x14ac:dyDescent="0.25">
      <c r="A733" t="s">
        <v>30667</v>
      </c>
      <c r="B733" t="s">
        <v>13</v>
      </c>
      <c r="C733" t="s">
        <v>29488</v>
      </c>
      <c r="D733" t="s">
        <v>30668</v>
      </c>
      <c r="E733" t="s">
        <v>30669</v>
      </c>
      <c r="F733" t="s">
        <v>1349</v>
      </c>
      <c r="G733" t="s">
        <v>30653</v>
      </c>
      <c r="H733" t="s">
        <v>36</v>
      </c>
      <c r="I733" t="s">
        <v>19</v>
      </c>
      <c r="J733" s="3" t="s">
        <v>30654</v>
      </c>
      <c r="K733" t="s">
        <v>30655</v>
      </c>
      <c r="L733" t="s">
        <v>29493</v>
      </c>
      <c r="M733" t="s">
        <v>1349</v>
      </c>
    </row>
    <row r="734" spans="1:13" x14ac:dyDescent="0.25">
      <c r="A734" t="s">
        <v>4921</v>
      </c>
      <c r="B734" t="s">
        <v>13</v>
      </c>
      <c r="C734" t="s">
        <v>1387</v>
      </c>
      <c r="D734" t="s">
        <v>4922</v>
      </c>
      <c r="E734" t="s">
        <v>3592</v>
      </c>
      <c r="F734" t="s">
        <v>4923</v>
      </c>
      <c r="G734" t="s">
        <v>4924</v>
      </c>
      <c r="H734" t="s">
        <v>4925</v>
      </c>
      <c r="I734" t="s">
        <v>19</v>
      </c>
      <c r="J734" s="3" t="s">
        <v>4926</v>
      </c>
      <c r="K734" t="s">
        <v>4927</v>
      </c>
      <c r="L734" t="s">
        <v>32135</v>
      </c>
      <c r="M734" t="s">
        <v>1432</v>
      </c>
    </row>
    <row r="735" spans="1:13" x14ac:dyDescent="0.25">
      <c r="A735" t="s">
        <v>3589</v>
      </c>
      <c r="B735" t="s">
        <v>13</v>
      </c>
      <c r="C735" t="s">
        <v>3590</v>
      </c>
      <c r="D735" t="s">
        <v>3591</v>
      </c>
      <c r="E735" t="s">
        <v>3592</v>
      </c>
      <c r="F735" t="s">
        <v>3593</v>
      </c>
      <c r="G735" t="s">
        <v>3594</v>
      </c>
      <c r="H735" t="s">
        <v>927</v>
      </c>
      <c r="I735" t="s">
        <v>19</v>
      </c>
      <c r="J735" s="3">
        <v>551321045000</v>
      </c>
      <c r="K735" t="s">
        <v>3595</v>
      </c>
      <c r="L735" t="s">
        <v>3596</v>
      </c>
      <c r="M735" t="s">
        <v>1432</v>
      </c>
    </row>
    <row r="736" spans="1:13" x14ac:dyDescent="0.25">
      <c r="A736" t="s">
        <v>18459</v>
      </c>
      <c r="B736" t="s">
        <v>13</v>
      </c>
      <c r="C736" t="s">
        <v>6612</v>
      </c>
      <c r="D736" t="s">
        <v>18460</v>
      </c>
      <c r="E736" t="s">
        <v>18461</v>
      </c>
      <c r="F736" t="s">
        <v>4338</v>
      </c>
      <c r="G736" t="s">
        <v>18462</v>
      </c>
      <c r="H736" t="s">
        <v>255</v>
      </c>
      <c r="I736" t="s">
        <v>19</v>
      </c>
      <c r="J736" s="3">
        <f>55-62-982607165</f>
        <v>-982607172</v>
      </c>
      <c r="K736" t="s">
        <v>18463</v>
      </c>
      <c r="L736" t="s">
        <v>18464</v>
      </c>
      <c r="M736" t="s">
        <v>1432</v>
      </c>
    </row>
    <row r="737" spans="1:13" x14ac:dyDescent="0.25">
      <c r="A737" t="s">
        <v>29960</v>
      </c>
      <c r="B737" t="s">
        <v>13</v>
      </c>
      <c r="C737" t="s">
        <v>14184</v>
      </c>
      <c r="D737" t="s">
        <v>29961</v>
      </c>
      <c r="E737" t="s">
        <v>29962</v>
      </c>
      <c r="F737" t="s">
        <v>10034</v>
      </c>
      <c r="G737" t="s">
        <v>29963</v>
      </c>
      <c r="H737" t="s">
        <v>489</v>
      </c>
      <c r="I737" t="s">
        <v>19</v>
      </c>
      <c r="J737" s="3" t="s">
        <v>29964</v>
      </c>
      <c r="K737" t="s">
        <v>29965</v>
      </c>
      <c r="L737" t="s">
        <v>625</v>
      </c>
      <c r="M737" t="s">
        <v>741</v>
      </c>
    </row>
    <row r="738" spans="1:13" x14ac:dyDescent="0.25">
      <c r="A738" t="s">
        <v>8377</v>
      </c>
      <c r="B738" t="s">
        <v>13</v>
      </c>
      <c r="C738" s="1">
        <v>44257</v>
      </c>
      <c r="D738" t="s">
        <v>8378</v>
      </c>
      <c r="E738" t="s">
        <v>6112</v>
      </c>
      <c r="F738" t="s">
        <v>1464</v>
      </c>
      <c r="G738" t="s">
        <v>8379</v>
      </c>
      <c r="H738" t="s">
        <v>4948</v>
      </c>
      <c r="I738" t="s">
        <v>19</v>
      </c>
      <c r="J738" s="3">
        <f>55-15-988331983</f>
        <v>-988331943</v>
      </c>
      <c r="K738" t="s">
        <v>8380</v>
      </c>
      <c r="L738" t="s">
        <v>8381</v>
      </c>
      <c r="M738" t="s">
        <v>785</v>
      </c>
    </row>
    <row r="739" spans="1:13" x14ac:dyDescent="0.25">
      <c r="A739" t="s">
        <v>10437</v>
      </c>
      <c r="B739" t="s">
        <v>13</v>
      </c>
      <c r="C739" t="s">
        <v>10438</v>
      </c>
      <c r="D739" t="s">
        <v>10439</v>
      </c>
      <c r="E739" t="s">
        <v>6112</v>
      </c>
      <c r="F739" t="s">
        <v>4639</v>
      </c>
      <c r="G739" t="s">
        <v>10440</v>
      </c>
      <c r="H739" t="s">
        <v>10441</v>
      </c>
      <c r="I739" t="s">
        <v>19</v>
      </c>
      <c r="J739" s="3">
        <f>55-16-33558111</f>
        <v>-33558072</v>
      </c>
      <c r="K739" t="s">
        <v>10442</v>
      </c>
      <c r="L739" t="s">
        <v>10443</v>
      </c>
      <c r="M739" t="s">
        <v>785</v>
      </c>
    </row>
    <row r="740" spans="1:13" x14ac:dyDescent="0.25">
      <c r="A740" t="s">
        <v>12212</v>
      </c>
      <c r="B740" t="s">
        <v>101</v>
      </c>
      <c r="C740" t="s">
        <v>7455</v>
      </c>
      <c r="D740" t="s">
        <v>12213</v>
      </c>
      <c r="E740" s="2" t="s">
        <v>31035</v>
      </c>
      <c r="F740" t="s">
        <v>1464</v>
      </c>
      <c r="G740" t="s">
        <v>12214</v>
      </c>
      <c r="H740" t="s">
        <v>12215</v>
      </c>
      <c r="I740" t="s">
        <v>19</v>
      </c>
      <c r="J740" s="3">
        <v>1144971315</v>
      </c>
      <c r="K740" t="s">
        <v>12216</v>
      </c>
      <c r="L740" t="s">
        <v>10697</v>
      </c>
      <c r="M740" t="s">
        <v>785</v>
      </c>
    </row>
    <row r="741" spans="1:13" x14ac:dyDescent="0.25">
      <c r="A741" t="s">
        <v>6110</v>
      </c>
      <c r="B741" t="s">
        <v>13</v>
      </c>
      <c r="C741" s="1">
        <v>44326</v>
      </c>
      <c r="D741" t="s">
        <v>32135</v>
      </c>
      <c r="E741" t="s">
        <v>6111</v>
      </c>
      <c r="F741" t="s">
        <v>6112</v>
      </c>
      <c r="G741" t="s">
        <v>6113</v>
      </c>
      <c r="H741" t="s">
        <v>6114</v>
      </c>
      <c r="I741" t="s">
        <v>19</v>
      </c>
      <c r="J741" s="3" t="s">
        <v>6115</v>
      </c>
      <c r="K741" t="s">
        <v>6116</v>
      </c>
      <c r="L741" t="s">
        <v>32135</v>
      </c>
      <c r="M741" t="s">
        <v>785</v>
      </c>
    </row>
    <row r="742" spans="1:13" x14ac:dyDescent="0.25">
      <c r="A742" t="s">
        <v>8278</v>
      </c>
      <c r="B742" t="s">
        <v>13</v>
      </c>
      <c r="C742" s="1">
        <v>44410</v>
      </c>
      <c r="D742" t="s">
        <v>8279</v>
      </c>
      <c r="E742" t="s">
        <v>8280</v>
      </c>
      <c r="F742" t="s">
        <v>1464</v>
      </c>
      <c r="G742" t="s">
        <v>8281</v>
      </c>
      <c r="H742" t="s">
        <v>131</v>
      </c>
      <c r="I742" t="s">
        <v>19</v>
      </c>
      <c r="J742" s="3">
        <v>5581997860507</v>
      </c>
      <c r="K742" t="s">
        <v>8282</v>
      </c>
      <c r="L742" t="s">
        <v>4689</v>
      </c>
      <c r="M742" t="s">
        <v>771</v>
      </c>
    </row>
    <row r="743" spans="1:13" x14ac:dyDescent="0.25">
      <c r="A743" t="s">
        <v>29466</v>
      </c>
      <c r="B743" t="s">
        <v>13</v>
      </c>
      <c r="C743" t="s">
        <v>29467</v>
      </c>
      <c r="D743" t="s">
        <v>29468</v>
      </c>
      <c r="E743" t="s">
        <v>29469</v>
      </c>
      <c r="F743" t="s">
        <v>1464</v>
      </c>
      <c r="G743" t="s">
        <v>29470</v>
      </c>
      <c r="H743" t="s">
        <v>14172</v>
      </c>
      <c r="I743" t="s">
        <v>19</v>
      </c>
      <c r="J743" s="3" t="s">
        <v>29471</v>
      </c>
      <c r="K743" t="s">
        <v>29472</v>
      </c>
      <c r="L743" t="s">
        <v>14175</v>
      </c>
      <c r="M743" t="s">
        <v>771</v>
      </c>
    </row>
    <row r="744" spans="1:13" x14ac:dyDescent="0.25">
      <c r="A744" t="s">
        <v>26576</v>
      </c>
      <c r="B744" t="s">
        <v>13</v>
      </c>
      <c r="C744" s="1">
        <v>42647</v>
      </c>
      <c r="D744" t="s">
        <v>26577</v>
      </c>
      <c r="E744" t="s">
        <v>26578</v>
      </c>
      <c r="F744" t="s">
        <v>4639</v>
      </c>
      <c r="G744" t="s">
        <v>26579</v>
      </c>
      <c r="H744" t="s">
        <v>1486</v>
      </c>
      <c r="I744" t="s">
        <v>19</v>
      </c>
      <c r="J744" s="3" t="s">
        <v>26580</v>
      </c>
      <c r="K744" t="s">
        <v>26581</v>
      </c>
      <c r="L744" t="s">
        <v>1489</v>
      </c>
      <c r="M744" t="s">
        <v>785</v>
      </c>
    </row>
    <row r="745" spans="1:13" x14ac:dyDescent="0.25">
      <c r="A745" t="s">
        <v>29494</v>
      </c>
      <c r="B745" t="s">
        <v>13</v>
      </c>
      <c r="C745" s="1">
        <v>41494</v>
      </c>
      <c r="D745" t="s">
        <v>29495</v>
      </c>
      <c r="E745" t="s">
        <v>29496</v>
      </c>
      <c r="F745" t="s">
        <v>432</v>
      </c>
      <c r="G745" t="s">
        <v>29497</v>
      </c>
      <c r="H745" t="s">
        <v>428</v>
      </c>
      <c r="I745" t="s">
        <v>19</v>
      </c>
      <c r="J745" s="3" t="s">
        <v>29498</v>
      </c>
      <c r="K745" t="s">
        <v>29499</v>
      </c>
      <c r="L745" t="s">
        <v>29500</v>
      </c>
      <c r="M745" t="s">
        <v>432</v>
      </c>
    </row>
    <row r="746" spans="1:13" x14ac:dyDescent="0.25">
      <c r="A746" t="s">
        <v>23976</v>
      </c>
      <c r="B746" t="s">
        <v>13</v>
      </c>
      <c r="C746" t="s">
        <v>19877</v>
      </c>
      <c r="D746" t="s">
        <v>23977</v>
      </c>
      <c r="E746" s="2" t="s">
        <v>31335</v>
      </c>
      <c r="F746" t="s">
        <v>224</v>
      </c>
      <c r="G746" t="s">
        <v>23978</v>
      </c>
      <c r="H746" t="s">
        <v>352</v>
      </c>
      <c r="I746" t="s">
        <v>19</v>
      </c>
      <c r="J746" s="3">
        <v>552122050529</v>
      </c>
      <c r="K746" t="s">
        <v>23979</v>
      </c>
      <c r="L746" t="s">
        <v>17835</v>
      </c>
      <c r="M746" t="s">
        <v>224</v>
      </c>
    </row>
    <row r="747" spans="1:13" x14ac:dyDescent="0.25">
      <c r="A747" t="s">
        <v>20895</v>
      </c>
      <c r="B747" t="s">
        <v>13</v>
      </c>
      <c r="C747" t="s">
        <v>2033</v>
      </c>
      <c r="D747" t="s">
        <v>20896</v>
      </c>
      <c r="E747" t="s">
        <v>20897</v>
      </c>
      <c r="F747" t="s">
        <v>1129</v>
      </c>
      <c r="G747" t="s">
        <v>20898</v>
      </c>
      <c r="H747" t="s">
        <v>195</v>
      </c>
      <c r="I747" t="s">
        <v>19</v>
      </c>
      <c r="J747" s="3">
        <f>55-16-991932926</f>
        <v>-991932887</v>
      </c>
      <c r="K747" t="s">
        <v>20899</v>
      </c>
      <c r="L747" t="s">
        <v>321</v>
      </c>
      <c r="M747" t="s">
        <v>224</v>
      </c>
    </row>
    <row r="748" spans="1:13" x14ac:dyDescent="0.25">
      <c r="A748" t="s">
        <v>25737</v>
      </c>
      <c r="B748" t="s">
        <v>13</v>
      </c>
      <c r="C748" s="1">
        <v>42682</v>
      </c>
      <c r="D748" t="s">
        <v>25738</v>
      </c>
      <c r="E748" t="s">
        <v>25739</v>
      </c>
      <c r="F748" t="s">
        <v>741</v>
      </c>
      <c r="G748" t="s">
        <v>25740</v>
      </c>
      <c r="H748" t="s">
        <v>299</v>
      </c>
      <c r="I748" t="s">
        <v>19</v>
      </c>
      <c r="J748" s="3" t="s">
        <v>25741</v>
      </c>
      <c r="K748" t="s">
        <v>25742</v>
      </c>
      <c r="L748" t="s">
        <v>25743</v>
      </c>
      <c r="M748" t="s">
        <v>741</v>
      </c>
    </row>
    <row r="749" spans="1:13" x14ac:dyDescent="0.25">
      <c r="A749" t="s">
        <v>24074</v>
      </c>
      <c r="B749" t="s">
        <v>13</v>
      </c>
      <c r="C749" s="1">
        <v>42801</v>
      </c>
      <c r="D749" t="s">
        <v>24075</v>
      </c>
      <c r="E749" t="s">
        <v>24076</v>
      </c>
      <c r="F749" t="s">
        <v>9327</v>
      </c>
      <c r="G749" t="s">
        <v>24077</v>
      </c>
      <c r="H749" t="s">
        <v>2645</v>
      </c>
      <c r="I749" t="s">
        <v>19</v>
      </c>
      <c r="J749" s="3" t="s">
        <v>24078</v>
      </c>
      <c r="K749" t="s">
        <v>24079</v>
      </c>
      <c r="L749" t="s">
        <v>625</v>
      </c>
      <c r="M749" t="s">
        <v>1304</v>
      </c>
    </row>
    <row r="750" spans="1:13" x14ac:dyDescent="0.25">
      <c r="A750" t="s">
        <v>30370</v>
      </c>
      <c r="B750" t="s">
        <v>101</v>
      </c>
      <c r="C750" t="s">
        <v>30371</v>
      </c>
      <c r="D750" t="s">
        <v>30372</v>
      </c>
      <c r="E750" t="s">
        <v>30373</v>
      </c>
      <c r="F750" t="s">
        <v>1464</v>
      </c>
      <c r="G750" t="s">
        <v>30374</v>
      </c>
      <c r="H750" t="s">
        <v>170</v>
      </c>
      <c r="I750" t="s">
        <v>19</v>
      </c>
      <c r="J750" s="3" t="s">
        <v>30375</v>
      </c>
      <c r="K750" t="s">
        <v>30376</v>
      </c>
      <c r="L750" t="s">
        <v>30377</v>
      </c>
      <c r="M750" t="s">
        <v>224</v>
      </c>
    </row>
    <row r="751" spans="1:13" x14ac:dyDescent="0.25">
      <c r="A751" t="s">
        <v>26899</v>
      </c>
      <c r="B751" t="s">
        <v>13</v>
      </c>
      <c r="C751" t="s">
        <v>26706</v>
      </c>
      <c r="D751" t="s">
        <v>26900</v>
      </c>
      <c r="E751" t="s">
        <v>21323</v>
      </c>
      <c r="F751" t="s">
        <v>224</v>
      </c>
      <c r="G751" t="s">
        <v>26901</v>
      </c>
      <c r="H751" t="s">
        <v>36</v>
      </c>
      <c r="I751" t="s">
        <v>19</v>
      </c>
      <c r="J751" s="3" t="s">
        <v>26902</v>
      </c>
      <c r="K751" t="s">
        <v>26903</v>
      </c>
      <c r="L751" t="s">
        <v>13032</v>
      </c>
      <c r="M751" t="s">
        <v>224</v>
      </c>
    </row>
    <row r="752" spans="1:13" x14ac:dyDescent="0.25">
      <c r="A752" t="s">
        <v>24135</v>
      </c>
      <c r="B752" t="s">
        <v>13</v>
      </c>
      <c r="C752" t="s">
        <v>24136</v>
      </c>
      <c r="D752" t="s">
        <v>24137</v>
      </c>
      <c r="E752" t="s">
        <v>538</v>
      </c>
      <c r="F752" t="s">
        <v>224</v>
      </c>
      <c r="G752" t="s">
        <v>24138</v>
      </c>
      <c r="H752" t="s">
        <v>798</v>
      </c>
      <c r="I752" t="s">
        <v>19</v>
      </c>
      <c r="J752" s="3" t="s">
        <v>24139</v>
      </c>
      <c r="K752" t="s">
        <v>24140</v>
      </c>
      <c r="L752" t="s">
        <v>4378</v>
      </c>
      <c r="M752" t="s">
        <v>224</v>
      </c>
    </row>
    <row r="753" spans="1:13" x14ac:dyDescent="0.25">
      <c r="A753" t="s">
        <v>27579</v>
      </c>
      <c r="B753" t="s">
        <v>13</v>
      </c>
      <c r="C753" t="s">
        <v>27572</v>
      </c>
      <c r="D753" t="s">
        <v>27580</v>
      </c>
      <c r="E753" t="s">
        <v>21323</v>
      </c>
      <c r="F753" t="s">
        <v>224</v>
      </c>
      <c r="G753" t="s">
        <v>27581</v>
      </c>
      <c r="H753" t="s">
        <v>615</v>
      </c>
      <c r="I753" t="s">
        <v>19</v>
      </c>
      <c r="J753" s="3" t="s">
        <v>27582</v>
      </c>
      <c r="K753" t="s">
        <v>27583</v>
      </c>
      <c r="L753" t="s">
        <v>618</v>
      </c>
      <c r="M753" t="s">
        <v>224</v>
      </c>
    </row>
    <row r="754" spans="1:13" x14ac:dyDescent="0.25">
      <c r="A754" t="s">
        <v>27471</v>
      </c>
      <c r="B754" t="s">
        <v>13</v>
      </c>
      <c r="C754" t="s">
        <v>27472</v>
      </c>
      <c r="D754" t="s">
        <v>27473</v>
      </c>
      <c r="E754" t="s">
        <v>21323</v>
      </c>
      <c r="F754" t="s">
        <v>224</v>
      </c>
      <c r="G754" t="s">
        <v>27474</v>
      </c>
      <c r="H754" t="s">
        <v>150</v>
      </c>
      <c r="I754" t="s">
        <v>19</v>
      </c>
      <c r="J754" s="3">
        <v>5511999722301</v>
      </c>
      <c r="K754" t="s">
        <v>27475</v>
      </c>
      <c r="L754" t="s">
        <v>8464</v>
      </c>
      <c r="M754" t="s">
        <v>224</v>
      </c>
    </row>
    <row r="755" spans="1:13" x14ac:dyDescent="0.25">
      <c r="A755" t="s">
        <v>23224</v>
      </c>
      <c r="B755" t="s">
        <v>13</v>
      </c>
      <c r="C755" t="s">
        <v>12593</v>
      </c>
      <c r="D755" t="s">
        <v>23225</v>
      </c>
      <c r="E755" t="s">
        <v>538</v>
      </c>
      <c r="F755" t="s">
        <v>224</v>
      </c>
      <c r="G755" t="s">
        <v>23226</v>
      </c>
      <c r="H755" t="s">
        <v>150</v>
      </c>
      <c r="I755" t="s">
        <v>19</v>
      </c>
      <c r="J755" s="3">
        <v>5511999722301</v>
      </c>
      <c r="K755" t="s">
        <v>23227</v>
      </c>
      <c r="L755" t="s">
        <v>8464</v>
      </c>
      <c r="M755" t="s">
        <v>224</v>
      </c>
    </row>
    <row r="756" spans="1:13" x14ac:dyDescent="0.25">
      <c r="A756" t="s">
        <v>19957</v>
      </c>
      <c r="B756" t="s">
        <v>13</v>
      </c>
      <c r="C756" t="s">
        <v>13612</v>
      </c>
      <c r="D756" t="s">
        <v>19958</v>
      </c>
      <c r="E756" t="s">
        <v>538</v>
      </c>
      <c r="F756" t="s">
        <v>224</v>
      </c>
      <c r="G756" t="s">
        <v>19959</v>
      </c>
      <c r="H756" t="s">
        <v>195</v>
      </c>
      <c r="I756" t="s">
        <v>19</v>
      </c>
      <c r="J756" s="3">
        <v>551633518111</v>
      </c>
      <c r="K756" t="s">
        <v>19960</v>
      </c>
      <c r="L756" t="s">
        <v>197</v>
      </c>
      <c r="M756" t="s">
        <v>224</v>
      </c>
    </row>
    <row r="757" spans="1:13" x14ac:dyDescent="0.25">
      <c r="A757" t="s">
        <v>12977</v>
      </c>
      <c r="B757" t="s">
        <v>13</v>
      </c>
      <c r="C757" s="1">
        <v>44138</v>
      </c>
      <c r="D757" t="s">
        <v>12978</v>
      </c>
      <c r="E757" t="s">
        <v>538</v>
      </c>
      <c r="F757" t="s">
        <v>224</v>
      </c>
      <c r="G757" t="s">
        <v>12979</v>
      </c>
      <c r="H757" t="s">
        <v>18</v>
      </c>
      <c r="I757" t="s">
        <v>19</v>
      </c>
      <c r="J757" s="3" t="s">
        <v>12980</v>
      </c>
      <c r="K757" t="s">
        <v>12981</v>
      </c>
      <c r="L757" t="s">
        <v>12982</v>
      </c>
      <c r="M757" t="s">
        <v>224</v>
      </c>
    </row>
    <row r="758" spans="1:13" x14ac:dyDescent="0.25">
      <c r="A758" t="s">
        <v>9600</v>
      </c>
      <c r="B758" t="s">
        <v>13</v>
      </c>
      <c r="C758" t="s">
        <v>5619</v>
      </c>
      <c r="D758" t="s">
        <v>9601</v>
      </c>
      <c r="E758" t="s">
        <v>538</v>
      </c>
      <c r="F758" t="s">
        <v>224</v>
      </c>
      <c r="G758" t="s">
        <v>9602</v>
      </c>
      <c r="H758" t="s">
        <v>36</v>
      </c>
      <c r="I758" t="s">
        <v>19</v>
      </c>
      <c r="J758" s="3">
        <v>551155764036</v>
      </c>
      <c r="K758" t="s">
        <v>9603</v>
      </c>
      <c r="L758" t="s">
        <v>439</v>
      </c>
      <c r="M758" t="s">
        <v>224</v>
      </c>
    </row>
    <row r="759" spans="1:13" x14ac:dyDescent="0.25">
      <c r="A759" t="s">
        <v>1114</v>
      </c>
      <c r="B759" t="s">
        <v>13</v>
      </c>
      <c r="C759" t="s">
        <v>1115</v>
      </c>
      <c r="D759" t="s">
        <v>1116</v>
      </c>
      <c r="E759" t="s">
        <v>1117</v>
      </c>
      <c r="F759" t="s">
        <v>224</v>
      </c>
      <c r="G759" t="s">
        <v>909</v>
      </c>
      <c r="H759" t="s">
        <v>706</v>
      </c>
      <c r="I759" t="s">
        <v>19</v>
      </c>
      <c r="J759" s="3" t="s">
        <v>1118</v>
      </c>
      <c r="K759" t="s">
        <v>910</v>
      </c>
      <c r="L759" t="s">
        <v>911</v>
      </c>
      <c r="M759" t="s">
        <v>224</v>
      </c>
    </row>
    <row r="760" spans="1:13" x14ac:dyDescent="0.25">
      <c r="A760" t="s">
        <v>4294</v>
      </c>
      <c r="B760" t="s">
        <v>13</v>
      </c>
      <c r="C760" t="s">
        <v>4295</v>
      </c>
      <c r="D760" t="s">
        <v>32135</v>
      </c>
      <c r="E760" t="s">
        <v>538</v>
      </c>
      <c r="F760" t="s">
        <v>4296</v>
      </c>
      <c r="G760" t="s">
        <v>307</v>
      </c>
      <c r="H760" t="s">
        <v>308</v>
      </c>
      <c r="I760" t="s">
        <v>309</v>
      </c>
      <c r="J760" s="3" t="s">
        <v>310</v>
      </c>
      <c r="K760" t="s">
        <v>311</v>
      </c>
      <c r="L760" t="s">
        <v>312</v>
      </c>
      <c r="M760" t="s">
        <v>224</v>
      </c>
    </row>
    <row r="761" spans="1:13" x14ac:dyDescent="0.25">
      <c r="A761" t="s">
        <v>30493</v>
      </c>
      <c r="B761" t="s">
        <v>13</v>
      </c>
      <c r="C761" t="s">
        <v>30494</v>
      </c>
      <c r="D761" t="s">
        <v>30495</v>
      </c>
      <c r="E761" t="s">
        <v>21323</v>
      </c>
      <c r="F761" t="s">
        <v>1129</v>
      </c>
      <c r="G761" t="s">
        <v>30405</v>
      </c>
      <c r="H761" t="s">
        <v>36</v>
      </c>
      <c r="I761" t="s">
        <v>19</v>
      </c>
      <c r="J761" s="3" t="s">
        <v>30406</v>
      </c>
      <c r="K761" t="s">
        <v>22217</v>
      </c>
      <c r="L761" t="s">
        <v>22218</v>
      </c>
      <c r="M761" t="s">
        <v>224</v>
      </c>
    </row>
    <row r="762" spans="1:13" x14ac:dyDescent="0.25">
      <c r="A762" t="s">
        <v>30206</v>
      </c>
      <c r="B762" t="s">
        <v>13</v>
      </c>
      <c r="C762" s="1">
        <v>41126</v>
      </c>
      <c r="D762" t="s">
        <v>30207</v>
      </c>
      <c r="E762" t="s">
        <v>21323</v>
      </c>
      <c r="F762" t="s">
        <v>1129</v>
      </c>
      <c r="G762" t="s">
        <v>30208</v>
      </c>
      <c r="H762" t="s">
        <v>36</v>
      </c>
      <c r="I762" t="s">
        <v>19</v>
      </c>
      <c r="J762" s="3" t="s">
        <v>30209</v>
      </c>
      <c r="K762" t="s">
        <v>30210</v>
      </c>
      <c r="L762" t="s">
        <v>223</v>
      </c>
      <c r="M762" t="s">
        <v>224</v>
      </c>
    </row>
    <row r="763" spans="1:13" x14ac:dyDescent="0.25">
      <c r="A763" t="s">
        <v>26036</v>
      </c>
      <c r="B763" t="s">
        <v>13</v>
      </c>
      <c r="C763" t="s">
        <v>15010</v>
      </c>
      <c r="D763" t="s">
        <v>26037</v>
      </c>
      <c r="E763" t="s">
        <v>538</v>
      </c>
      <c r="F763" t="s">
        <v>1129</v>
      </c>
      <c r="G763" t="s">
        <v>26038</v>
      </c>
      <c r="H763" t="s">
        <v>706</v>
      </c>
      <c r="I763" t="s">
        <v>19</v>
      </c>
      <c r="J763" s="3" t="s">
        <v>26039</v>
      </c>
      <c r="K763" t="s">
        <v>26040</v>
      </c>
      <c r="L763" t="s">
        <v>565</v>
      </c>
      <c r="M763" t="s">
        <v>224</v>
      </c>
    </row>
    <row r="764" spans="1:13" x14ac:dyDescent="0.25">
      <c r="A764" t="s">
        <v>24277</v>
      </c>
      <c r="B764" t="s">
        <v>13</v>
      </c>
      <c r="C764" t="s">
        <v>24278</v>
      </c>
      <c r="D764" t="s">
        <v>24279</v>
      </c>
      <c r="E764" t="s">
        <v>21323</v>
      </c>
      <c r="F764" t="s">
        <v>1129</v>
      </c>
      <c r="G764" t="s">
        <v>24280</v>
      </c>
      <c r="H764" t="s">
        <v>1301</v>
      </c>
      <c r="I764" t="s">
        <v>19</v>
      </c>
      <c r="J764" s="3">
        <v>55011943607116</v>
      </c>
      <c r="K764" t="s">
        <v>24281</v>
      </c>
      <c r="L764" t="s">
        <v>24282</v>
      </c>
      <c r="M764" t="s">
        <v>224</v>
      </c>
    </row>
    <row r="765" spans="1:13" x14ac:dyDescent="0.25">
      <c r="A765" t="s">
        <v>14899</v>
      </c>
      <c r="B765" t="s">
        <v>13</v>
      </c>
      <c r="C765" t="s">
        <v>11132</v>
      </c>
      <c r="D765" t="s">
        <v>14900</v>
      </c>
      <c r="E765" t="s">
        <v>538</v>
      </c>
      <c r="F765" t="s">
        <v>1129</v>
      </c>
      <c r="G765" t="s">
        <v>14901</v>
      </c>
      <c r="H765" t="s">
        <v>3490</v>
      </c>
      <c r="I765" t="s">
        <v>19</v>
      </c>
      <c r="J765" s="3">
        <f>55-79991385831</f>
        <v>-79991385776</v>
      </c>
      <c r="K765" t="s">
        <v>14902</v>
      </c>
      <c r="L765" t="s">
        <v>82</v>
      </c>
      <c r="M765" t="s">
        <v>224</v>
      </c>
    </row>
    <row r="766" spans="1:13" x14ac:dyDescent="0.25">
      <c r="A766" t="s">
        <v>12344</v>
      </c>
      <c r="B766" t="s">
        <v>13</v>
      </c>
      <c r="C766" t="s">
        <v>12316</v>
      </c>
      <c r="D766" t="s">
        <v>12345</v>
      </c>
      <c r="E766" t="s">
        <v>538</v>
      </c>
      <c r="F766" t="s">
        <v>1129</v>
      </c>
      <c r="G766" t="s">
        <v>11475</v>
      </c>
      <c r="H766" t="s">
        <v>36</v>
      </c>
      <c r="I766" t="s">
        <v>19</v>
      </c>
      <c r="J766" s="3">
        <f>55-11-960466070</f>
        <v>-960466026</v>
      </c>
      <c r="K766" t="s">
        <v>11477</v>
      </c>
      <c r="L766" t="s">
        <v>12346</v>
      </c>
      <c r="M766" t="s">
        <v>224</v>
      </c>
    </row>
    <row r="767" spans="1:13" x14ac:dyDescent="0.25">
      <c r="A767" t="s">
        <v>863</v>
      </c>
      <c r="B767" t="s">
        <v>13</v>
      </c>
      <c r="C767" t="s">
        <v>864</v>
      </c>
      <c r="D767" t="s">
        <v>865</v>
      </c>
      <c r="E767" t="s">
        <v>538</v>
      </c>
      <c r="F767" t="s">
        <v>866</v>
      </c>
      <c r="G767" t="s">
        <v>867</v>
      </c>
      <c r="H767" t="s">
        <v>868</v>
      </c>
      <c r="I767" t="s">
        <v>19</v>
      </c>
      <c r="J767" s="3">
        <f>55-55-999988961</f>
        <v>-999988961</v>
      </c>
      <c r="K767" t="s">
        <v>869</v>
      </c>
      <c r="L767" t="s">
        <v>197</v>
      </c>
      <c r="M767" t="s">
        <v>224</v>
      </c>
    </row>
    <row r="768" spans="1:13" x14ac:dyDescent="0.25">
      <c r="A768" t="s">
        <v>5265</v>
      </c>
      <c r="B768" t="s">
        <v>13</v>
      </c>
      <c r="C768" t="s">
        <v>5261</v>
      </c>
      <c r="D768" t="s">
        <v>5266</v>
      </c>
      <c r="E768" t="s">
        <v>538</v>
      </c>
      <c r="F768" t="s">
        <v>5267</v>
      </c>
      <c r="G768" t="s">
        <v>5268</v>
      </c>
      <c r="H768" t="s">
        <v>798</v>
      </c>
      <c r="I768" t="s">
        <v>19</v>
      </c>
      <c r="J768" s="3" t="s">
        <v>5269</v>
      </c>
      <c r="K768" t="s">
        <v>5270</v>
      </c>
      <c r="L768" t="s">
        <v>32135</v>
      </c>
      <c r="M768" t="s">
        <v>32178</v>
      </c>
    </row>
    <row r="769" spans="1:13" x14ac:dyDescent="0.25">
      <c r="A769" t="s">
        <v>27346</v>
      </c>
      <c r="B769" t="s">
        <v>13</v>
      </c>
      <c r="C769" t="s">
        <v>27326</v>
      </c>
      <c r="D769" t="s">
        <v>27347</v>
      </c>
      <c r="E769" t="s">
        <v>538</v>
      </c>
      <c r="F769" t="s">
        <v>1464</v>
      </c>
      <c r="G769" t="s">
        <v>26708</v>
      </c>
      <c r="H769" t="s">
        <v>45</v>
      </c>
      <c r="I769" t="s">
        <v>19</v>
      </c>
      <c r="J769" s="3" t="s">
        <v>26709</v>
      </c>
      <c r="K769" t="s">
        <v>26617</v>
      </c>
      <c r="L769" t="s">
        <v>1909</v>
      </c>
      <c r="M769" t="s">
        <v>224</v>
      </c>
    </row>
    <row r="770" spans="1:13" x14ac:dyDescent="0.25">
      <c r="A770" t="s">
        <v>8584</v>
      </c>
      <c r="B770" t="s">
        <v>13</v>
      </c>
      <c r="C770" s="1">
        <v>43621</v>
      </c>
      <c r="D770" t="s">
        <v>8585</v>
      </c>
      <c r="E770" t="s">
        <v>1117</v>
      </c>
      <c r="F770" t="s">
        <v>1464</v>
      </c>
      <c r="G770" t="s">
        <v>8586</v>
      </c>
      <c r="H770" t="s">
        <v>7772</v>
      </c>
      <c r="I770" t="s">
        <v>19</v>
      </c>
      <c r="J770" s="3">
        <v>5501698111055</v>
      </c>
      <c r="K770" t="s">
        <v>8587</v>
      </c>
      <c r="L770" t="s">
        <v>197</v>
      </c>
      <c r="M770" t="s">
        <v>224</v>
      </c>
    </row>
    <row r="771" spans="1:13" x14ac:dyDescent="0.25">
      <c r="A771" t="s">
        <v>27239</v>
      </c>
      <c r="B771" t="s">
        <v>13</v>
      </c>
      <c r="C771" s="1">
        <v>42197</v>
      </c>
      <c r="D771" t="s">
        <v>27240</v>
      </c>
      <c r="E771" t="s">
        <v>21323</v>
      </c>
      <c r="F771" t="s">
        <v>1464</v>
      </c>
      <c r="G771" t="s">
        <v>27241</v>
      </c>
      <c r="H771" t="s">
        <v>27242</v>
      </c>
      <c r="I771" t="s">
        <v>670</v>
      </c>
      <c r="J771" s="3">
        <v>56982590937</v>
      </c>
      <c r="K771" t="s">
        <v>27243</v>
      </c>
      <c r="L771" t="s">
        <v>27244</v>
      </c>
      <c r="M771" t="s">
        <v>224</v>
      </c>
    </row>
    <row r="772" spans="1:13" x14ac:dyDescent="0.25">
      <c r="A772" t="s">
        <v>19929</v>
      </c>
      <c r="B772" t="s">
        <v>13</v>
      </c>
      <c r="C772" t="s">
        <v>19912</v>
      </c>
      <c r="D772" t="s">
        <v>19930</v>
      </c>
      <c r="E772" t="s">
        <v>19931</v>
      </c>
      <c r="F772" t="s">
        <v>1129</v>
      </c>
      <c r="G772" t="s">
        <v>18936</v>
      </c>
      <c r="H772" t="s">
        <v>18937</v>
      </c>
      <c r="I772" t="s">
        <v>19</v>
      </c>
      <c r="J772" s="3">
        <f>55-31-999158070</f>
        <v>-999158046</v>
      </c>
      <c r="K772" t="s">
        <v>18938</v>
      </c>
      <c r="L772" t="s">
        <v>18939</v>
      </c>
      <c r="M772" t="s">
        <v>224</v>
      </c>
    </row>
    <row r="773" spans="1:13" x14ac:dyDescent="0.25">
      <c r="A773" t="s">
        <v>29994</v>
      </c>
      <c r="B773" t="s">
        <v>13</v>
      </c>
      <c r="C773" t="s">
        <v>14184</v>
      </c>
      <c r="D773" t="s">
        <v>29995</v>
      </c>
      <c r="E773" t="s">
        <v>32263</v>
      </c>
      <c r="F773" t="s">
        <v>1129</v>
      </c>
      <c r="G773" t="s">
        <v>29996</v>
      </c>
      <c r="H773" t="s">
        <v>18</v>
      </c>
      <c r="I773" t="s">
        <v>19</v>
      </c>
      <c r="J773" s="3" t="s">
        <v>29997</v>
      </c>
      <c r="K773" t="s">
        <v>29998</v>
      </c>
      <c r="L773" t="s">
        <v>29999</v>
      </c>
      <c r="M773" t="s">
        <v>224</v>
      </c>
    </row>
    <row r="774" spans="1:13" x14ac:dyDescent="0.25">
      <c r="A774" t="s">
        <v>28374</v>
      </c>
      <c r="B774" t="s">
        <v>13</v>
      </c>
      <c r="C774" s="1">
        <v>42159</v>
      </c>
      <c r="D774" t="s">
        <v>28375</v>
      </c>
      <c r="E774" t="s">
        <v>28376</v>
      </c>
      <c r="F774" t="s">
        <v>1129</v>
      </c>
      <c r="G774" t="s">
        <v>28377</v>
      </c>
      <c r="H774" t="s">
        <v>489</v>
      </c>
      <c r="I774" t="s">
        <v>19</v>
      </c>
      <c r="J774" s="3" t="s">
        <v>28378</v>
      </c>
      <c r="K774" t="s">
        <v>28379</v>
      </c>
      <c r="L774" t="s">
        <v>28380</v>
      </c>
      <c r="M774" t="s">
        <v>224</v>
      </c>
    </row>
    <row r="775" spans="1:13" x14ac:dyDescent="0.25">
      <c r="A775" t="s">
        <v>25845</v>
      </c>
      <c r="B775" t="s">
        <v>13</v>
      </c>
      <c r="C775" t="s">
        <v>25846</v>
      </c>
      <c r="D775" t="s">
        <v>25847</v>
      </c>
      <c r="E775" t="s">
        <v>25848</v>
      </c>
      <c r="F775" t="s">
        <v>1129</v>
      </c>
      <c r="G775" t="s">
        <v>25849</v>
      </c>
      <c r="H775" t="s">
        <v>25850</v>
      </c>
      <c r="I775" t="s">
        <v>19</v>
      </c>
      <c r="J775" s="3" t="s">
        <v>25851</v>
      </c>
      <c r="K775" t="s">
        <v>25852</v>
      </c>
      <c r="L775" t="s">
        <v>25853</v>
      </c>
      <c r="M775" t="s">
        <v>224</v>
      </c>
    </row>
    <row r="776" spans="1:13" x14ac:dyDescent="0.25">
      <c r="A776" t="s">
        <v>29754</v>
      </c>
      <c r="B776" t="s">
        <v>13</v>
      </c>
      <c r="C776" t="s">
        <v>29749</v>
      </c>
      <c r="D776" t="s">
        <v>29755</v>
      </c>
      <c r="E776" t="s">
        <v>29756</v>
      </c>
      <c r="F776" t="s">
        <v>1129</v>
      </c>
      <c r="G776" t="s">
        <v>20822</v>
      </c>
      <c r="H776" t="s">
        <v>29656</v>
      </c>
      <c r="I776" t="s">
        <v>19</v>
      </c>
      <c r="J776" s="3" t="s">
        <v>29651</v>
      </c>
      <c r="K776" t="s">
        <v>24061</v>
      </c>
      <c r="L776" t="s">
        <v>223</v>
      </c>
      <c r="M776" t="s">
        <v>224</v>
      </c>
    </row>
    <row r="777" spans="1:13" x14ac:dyDescent="0.25">
      <c r="A777" t="s">
        <v>17438</v>
      </c>
      <c r="B777" t="s">
        <v>13</v>
      </c>
      <c r="C777" s="1">
        <v>43561</v>
      </c>
      <c r="D777" t="s">
        <v>17439</v>
      </c>
      <c r="E777" s="2" t="s">
        <v>31177</v>
      </c>
      <c r="F777" t="s">
        <v>224</v>
      </c>
      <c r="G777" t="s">
        <v>17440</v>
      </c>
      <c r="H777" t="s">
        <v>36</v>
      </c>
      <c r="I777" t="s">
        <v>19</v>
      </c>
      <c r="J777" s="3" t="s">
        <v>17441</v>
      </c>
      <c r="K777" t="s">
        <v>17442</v>
      </c>
      <c r="L777" t="s">
        <v>9789</v>
      </c>
      <c r="M777" t="s">
        <v>224</v>
      </c>
    </row>
    <row r="778" spans="1:13" x14ac:dyDescent="0.25">
      <c r="A778" t="s">
        <v>25889</v>
      </c>
      <c r="B778" t="s">
        <v>13</v>
      </c>
      <c r="C778" t="s">
        <v>25890</v>
      </c>
      <c r="D778" t="s">
        <v>25891</v>
      </c>
      <c r="E778" s="2" t="s">
        <v>32264</v>
      </c>
      <c r="F778" t="s">
        <v>1129</v>
      </c>
      <c r="G778" t="s">
        <v>25892</v>
      </c>
      <c r="H778" t="s">
        <v>489</v>
      </c>
      <c r="I778" t="s">
        <v>19</v>
      </c>
      <c r="J778" s="3" t="s">
        <v>25893</v>
      </c>
      <c r="K778" t="s">
        <v>25894</v>
      </c>
      <c r="L778" t="s">
        <v>625</v>
      </c>
      <c r="M778" t="s">
        <v>224</v>
      </c>
    </row>
    <row r="779" spans="1:13" x14ac:dyDescent="0.25">
      <c r="A779" t="s">
        <v>21321</v>
      </c>
      <c r="B779" t="s">
        <v>13</v>
      </c>
      <c r="C779" t="s">
        <v>21296</v>
      </c>
      <c r="D779" t="s">
        <v>21322</v>
      </c>
      <c r="E779" s="2" t="s">
        <v>31935</v>
      </c>
      <c r="F779" t="s">
        <v>1775</v>
      </c>
      <c r="G779" t="s">
        <v>21324</v>
      </c>
      <c r="H779" t="s">
        <v>195</v>
      </c>
      <c r="I779" t="s">
        <v>19</v>
      </c>
      <c r="J779" s="3">
        <f>55-16-33519787</f>
        <v>-33519748</v>
      </c>
      <c r="K779" t="s">
        <v>21325</v>
      </c>
      <c r="L779" t="s">
        <v>197</v>
      </c>
      <c r="M779" t="s">
        <v>1775</v>
      </c>
    </row>
    <row r="780" spans="1:13" x14ac:dyDescent="0.25">
      <c r="A780" t="s">
        <v>29352</v>
      </c>
      <c r="B780" t="s">
        <v>13</v>
      </c>
      <c r="C780" t="s">
        <v>29345</v>
      </c>
      <c r="D780" t="s">
        <v>29353</v>
      </c>
      <c r="E780" t="s">
        <v>29354</v>
      </c>
      <c r="F780" t="s">
        <v>1129</v>
      </c>
      <c r="G780" t="s">
        <v>29355</v>
      </c>
      <c r="H780" t="s">
        <v>36</v>
      </c>
      <c r="I780" t="s">
        <v>19</v>
      </c>
      <c r="J780" s="3" t="s">
        <v>29356</v>
      </c>
      <c r="K780" t="s">
        <v>29357</v>
      </c>
      <c r="L780" t="s">
        <v>8464</v>
      </c>
      <c r="M780" t="s">
        <v>224</v>
      </c>
    </row>
    <row r="781" spans="1:13" x14ac:dyDescent="0.25">
      <c r="A781" t="s">
        <v>11472</v>
      </c>
      <c r="B781" t="s">
        <v>13</v>
      </c>
      <c r="C781" s="1">
        <v>44110</v>
      </c>
      <c r="D781" t="s">
        <v>11473</v>
      </c>
      <c r="E781" t="s">
        <v>11474</v>
      </c>
      <c r="F781" t="s">
        <v>224</v>
      </c>
      <c r="G781" t="s">
        <v>11475</v>
      </c>
      <c r="H781" t="s">
        <v>36</v>
      </c>
      <c r="I781" t="s">
        <v>19</v>
      </c>
      <c r="J781" s="3" t="s">
        <v>11476</v>
      </c>
      <c r="K781" t="s">
        <v>11477</v>
      </c>
      <c r="L781" t="s">
        <v>2712</v>
      </c>
      <c r="M781" t="s">
        <v>224</v>
      </c>
    </row>
    <row r="782" spans="1:13" x14ac:dyDescent="0.25">
      <c r="A782" t="s">
        <v>27422</v>
      </c>
      <c r="B782" t="s">
        <v>13</v>
      </c>
      <c r="C782" t="s">
        <v>15195</v>
      </c>
      <c r="D782" t="s">
        <v>27423</v>
      </c>
      <c r="E782" t="s">
        <v>27424</v>
      </c>
      <c r="F782" t="s">
        <v>224</v>
      </c>
      <c r="G782" t="s">
        <v>27425</v>
      </c>
      <c r="H782" t="s">
        <v>27426</v>
      </c>
      <c r="I782" t="s">
        <v>19</v>
      </c>
      <c r="J782" s="3">
        <v>5519991119371</v>
      </c>
      <c r="K782" t="s">
        <v>27427</v>
      </c>
      <c r="L782" t="s">
        <v>439</v>
      </c>
      <c r="M782" t="s">
        <v>224</v>
      </c>
    </row>
    <row r="783" spans="1:13" x14ac:dyDescent="0.25">
      <c r="A783" t="s">
        <v>27434</v>
      </c>
      <c r="B783" t="s">
        <v>13</v>
      </c>
      <c r="C783" t="s">
        <v>27435</v>
      </c>
      <c r="D783" t="s">
        <v>27436</v>
      </c>
      <c r="E783" t="s">
        <v>27437</v>
      </c>
      <c r="F783" t="s">
        <v>1129</v>
      </c>
      <c r="G783" t="s">
        <v>27438</v>
      </c>
      <c r="H783" t="s">
        <v>36</v>
      </c>
      <c r="I783" t="s">
        <v>19</v>
      </c>
      <c r="J783" s="3" t="s">
        <v>27439</v>
      </c>
      <c r="K783" t="s">
        <v>27440</v>
      </c>
      <c r="L783" t="s">
        <v>13032</v>
      </c>
      <c r="M783" t="s">
        <v>224</v>
      </c>
    </row>
    <row r="784" spans="1:13" x14ac:dyDescent="0.25">
      <c r="A784" t="s">
        <v>29653</v>
      </c>
      <c r="B784" t="s">
        <v>13</v>
      </c>
      <c r="C784" t="s">
        <v>14184</v>
      </c>
      <c r="D784" t="s">
        <v>29654</v>
      </c>
      <c r="E784" t="s">
        <v>29655</v>
      </c>
      <c r="F784" t="s">
        <v>224</v>
      </c>
      <c r="G784" t="s">
        <v>20822</v>
      </c>
      <c r="H784" t="s">
        <v>29656</v>
      </c>
      <c r="I784" t="s">
        <v>19</v>
      </c>
      <c r="J784" s="3" t="s">
        <v>29651</v>
      </c>
      <c r="K784" t="s">
        <v>24061</v>
      </c>
      <c r="L784" t="s">
        <v>223</v>
      </c>
      <c r="M784" t="s">
        <v>224</v>
      </c>
    </row>
    <row r="785" spans="1:13" x14ac:dyDescent="0.25">
      <c r="A785" t="s">
        <v>27751</v>
      </c>
      <c r="B785" t="s">
        <v>13</v>
      </c>
      <c r="C785" t="s">
        <v>27733</v>
      </c>
      <c r="D785" t="s">
        <v>27752</v>
      </c>
      <c r="E785" t="s">
        <v>27753</v>
      </c>
      <c r="F785" t="s">
        <v>1129</v>
      </c>
      <c r="G785" t="s">
        <v>27754</v>
      </c>
      <c r="H785" t="s">
        <v>2672</v>
      </c>
      <c r="I785" t="s">
        <v>19</v>
      </c>
      <c r="J785" s="3" t="s">
        <v>27755</v>
      </c>
      <c r="K785" t="s">
        <v>27756</v>
      </c>
      <c r="L785" t="s">
        <v>223</v>
      </c>
      <c r="M785" t="s">
        <v>224</v>
      </c>
    </row>
    <row r="786" spans="1:13" x14ac:dyDescent="0.25">
      <c r="A786" t="s">
        <v>19026</v>
      </c>
      <c r="B786" t="s">
        <v>13</v>
      </c>
      <c r="C786" s="1">
        <v>43354</v>
      </c>
      <c r="D786" t="s">
        <v>19027</v>
      </c>
      <c r="E786" t="s">
        <v>19028</v>
      </c>
      <c r="F786" t="s">
        <v>10500</v>
      </c>
      <c r="G786" t="s">
        <v>3100</v>
      </c>
      <c r="H786" t="s">
        <v>1486</v>
      </c>
      <c r="I786" t="s">
        <v>19</v>
      </c>
      <c r="J786" s="3" t="s">
        <v>3102</v>
      </c>
      <c r="K786" t="s">
        <v>3103</v>
      </c>
      <c r="L786" t="s">
        <v>1489</v>
      </c>
      <c r="M786" t="s">
        <v>129</v>
      </c>
    </row>
    <row r="787" spans="1:13" x14ac:dyDescent="0.25">
      <c r="A787" t="s">
        <v>29648</v>
      </c>
      <c r="B787" t="s">
        <v>13</v>
      </c>
      <c r="C787" s="1">
        <v>41000</v>
      </c>
      <c r="D787" t="s">
        <v>29649</v>
      </c>
      <c r="E787" t="s">
        <v>29650</v>
      </c>
      <c r="F787" t="s">
        <v>1129</v>
      </c>
      <c r="G787" t="s">
        <v>20822</v>
      </c>
      <c r="H787" t="s">
        <v>36</v>
      </c>
      <c r="I787" t="s">
        <v>19</v>
      </c>
      <c r="J787" s="3" t="s">
        <v>29651</v>
      </c>
      <c r="K787" t="s">
        <v>24061</v>
      </c>
      <c r="L787" t="s">
        <v>29652</v>
      </c>
      <c r="M787" t="s">
        <v>224</v>
      </c>
    </row>
    <row r="788" spans="1:13" x14ac:dyDescent="0.25">
      <c r="A788" t="s">
        <v>6483</v>
      </c>
      <c r="B788" t="s">
        <v>13</v>
      </c>
      <c r="C788" s="1">
        <v>44417</v>
      </c>
      <c r="D788" t="s">
        <v>6484</v>
      </c>
      <c r="E788" s="2" t="s">
        <v>32265</v>
      </c>
      <c r="F788" t="s">
        <v>741</v>
      </c>
      <c r="G788" t="s">
        <v>6486</v>
      </c>
      <c r="H788" t="s">
        <v>255</v>
      </c>
      <c r="I788" t="s">
        <v>19</v>
      </c>
      <c r="J788" s="3">
        <f>55-62-981133290</f>
        <v>-981133297</v>
      </c>
      <c r="K788" t="s">
        <v>6487</v>
      </c>
      <c r="L788" t="s">
        <v>6488</v>
      </c>
      <c r="M788" t="s">
        <v>741</v>
      </c>
    </row>
    <row r="789" spans="1:13" x14ac:dyDescent="0.25">
      <c r="A789" t="s">
        <v>28051</v>
      </c>
      <c r="B789" t="s">
        <v>13</v>
      </c>
      <c r="C789" s="1">
        <v>42130</v>
      </c>
      <c r="D789" t="s">
        <v>28052</v>
      </c>
      <c r="E789" t="s">
        <v>28053</v>
      </c>
      <c r="F789" t="s">
        <v>1349</v>
      </c>
      <c r="G789" t="s">
        <v>28054</v>
      </c>
      <c r="H789" t="s">
        <v>1486</v>
      </c>
      <c r="I789" t="s">
        <v>19</v>
      </c>
      <c r="J789" s="3" t="s">
        <v>28055</v>
      </c>
      <c r="K789" t="s">
        <v>28056</v>
      </c>
      <c r="L789" t="s">
        <v>1489</v>
      </c>
      <c r="M789" t="s">
        <v>1349</v>
      </c>
    </row>
    <row r="790" spans="1:13" x14ac:dyDescent="0.25">
      <c r="A790" t="s">
        <v>25369</v>
      </c>
      <c r="B790" t="s">
        <v>13</v>
      </c>
      <c r="C790" s="1">
        <v>42470</v>
      </c>
      <c r="D790" t="s">
        <v>25370</v>
      </c>
      <c r="E790" t="s">
        <v>25371</v>
      </c>
      <c r="F790" t="s">
        <v>337</v>
      </c>
      <c r="G790" t="s">
        <v>307</v>
      </c>
      <c r="H790" t="s">
        <v>308</v>
      </c>
      <c r="I790" t="s">
        <v>309</v>
      </c>
      <c r="J790" s="3" t="s">
        <v>310</v>
      </c>
      <c r="K790" t="s">
        <v>311</v>
      </c>
      <c r="L790" t="s">
        <v>312</v>
      </c>
      <c r="M790" t="s">
        <v>337</v>
      </c>
    </row>
    <row r="791" spans="1:13" x14ac:dyDescent="0.25">
      <c r="A791" t="s">
        <v>15550</v>
      </c>
      <c r="B791" t="s">
        <v>13</v>
      </c>
      <c r="C791" s="1">
        <v>43779</v>
      </c>
      <c r="D791" t="s">
        <v>15551</v>
      </c>
      <c r="E791" t="s">
        <v>15552</v>
      </c>
      <c r="F791" t="s">
        <v>15553</v>
      </c>
      <c r="G791" t="s">
        <v>15554</v>
      </c>
      <c r="H791" t="s">
        <v>2112</v>
      </c>
      <c r="I791" t="s">
        <v>19</v>
      </c>
      <c r="J791" s="3" t="s">
        <v>15555</v>
      </c>
      <c r="K791" t="s">
        <v>3731</v>
      </c>
      <c r="L791" t="s">
        <v>15556</v>
      </c>
      <c r="M791" t="s">
        <v>337</v>
      </c>
    </row>
    <row r="792" spans="1:13" x14ac:dyDescent="0.25">
      <c r="A792" t="s">
        <v>825</v>
      </c>
      <c r="B792" t="s">
        <v>13</v>
      </c>
      <c r="C792" t="s">
        <v>803</v>
      </c>
      <c r="D792" t="s">
        <v>826</v>
      </c>
      <c r="E792" t="s">
        <v>827</v>
      </c>
      <c r="F792" t="s">
        <v>828</v>
      </c>
      <c r="G792" t="s">
        <v>829</v>
      </c>
      <c r="H792" t="s">
        <v>36</v>
      </c>
      <c r="I792" t="s">
        <v>19</v>
      </c>
      <c r="J792" s="3" t="s">
        <v>830</v>
      </c>
      <c r="K792" t="s">
        <v>831</v>
      </c>
      <c r="L792" t="s">
        <v>832</v>
      </c>
      <c r="M792" t="s">
        <v>32121</v>
      </c>
    </row>
    <row r="793" spans="1:13" x14ac:dyDescent="0.25">
      <c r="A793" t="s">
        <v>19780</v>
      </c>
      <c r="B793" t="s">
        <v>13</v>
      </c>
      <c r="C793" s="1">
        <v>43229</v>
      </c>
      <c r="D793" t="s">
        <v>19781</v>
      </c>
      <c r="E793" t="s">
        <v>19782</v>
      </c>
      <c r="F793" t="s">
        <v>129</v>
      </c>
      <c r="G793" t="s">
        <v>19783</v>
      </c>
      <c r="H793" t="s">
        <v>352</v>
      </c>
      <c r="I793" t="s">
        <v>19</v>
      </c>
      <c r="J793" s="3" t="s">
        <v>19784</v>
      </c>
      <c r="K793" t="s">
        <v>4590</v>
      </c>
      <c r="L793" t="s">
        <v>4246</v>
      </c>
      <c r="M793" t="s">
        <v>1349</v>
      </c>
    </row>
    <row r="794" spans="1:13" x14ac:dyDescent="0.25">
      <c r="A794" t="s">
        <v>16248</v>
      </c>
      <c r="B794" t="s">
        <v>13</v>
      </c>
      <c r="C794" s="1">
        <v>43747</v>
      </c>
      <c r="D794" t="s">
        <v>16249</v>
      </c>
      <c r="E794" s="2" t="s">
        <v>31842</v>
      </c>
      <c r="F794" t="s">
        <v>1349</v>
      </c>
      <c r="G794" t="s">
        <v>16250</v>
      </c>
      <c r="H794" t="s">
        <v>45</v>
      </c>
      <c r="I794" t="s">
        <v>19</v>
      </c>
      <c r="J794" s="3">
        <f>55 - 85- 999893328</f>
        <v>-999893358</v>
      </c>
      <c r="K794" t="s">
        <v>16251</v>
      </c>
      <c r="L794" t="s">
        <v>16252</v>
      </c>
      <c r="M794" t="s">
        <v>1349</v>
      </c>
    </row>
    <row r="795" spans="1:13" x14ac:dyDescent="0.25">
      <c r="A795" t="s">
        <v>20566</v>
      </c>
      <c r="B795" t="s">
        <v>13</v>
      </c>
      <c r="C795" s="1">
        <v>43441</v>
      </c>
      <c r="D795" t="s">
        <v>20567</v>
      </c>
      <c r="E795" t="s">
        <v>20568</v>
      </c>
      <c r="F795" t="s">
        <v>1349</v>
      </c>
      <c r="G795" t="s">
        <v>10514</v>
      </c>
      <c r="H795" t="s">
        <v>36</v>
      </c>
      <c r="I795" t="s">
        <v>19</v>
      </c>
      <c r="J795" s="3" t="s">
        <v>10515</v>
      </c>
      <c r="K795" t="s">
        <v>10516</v>
      </c>
      <c r="L795" t="s">
        <v>10517</v>
      </c>
      <c r="M795" t="s">
        <v>1349</v>
      </c>
    </row>
    <row r="796" spans="1:13" x14ac:dyDescent="0.25">
      <c r="A796" t="s">
        <v>15751</v>
      </c>
      <c r="B796" t="s">
        <v>13</v>
      </c>
      <c r="C796" s="1">
        <v>43497</v>
      </c>
      <c r="D796" t="s">
        <v>15752</v>
      </c>
      <c r="E796" t="s">
        <v>11176</v>
      </c>
      <c r="F796" t="s">
        <v>2036</v>
      </c>
      <c r="G796" t="s">
        <v>7652</v>
      </c>
      <c r="H796" t="s">
        <v>7653</v>
      </c>
      <c r="I796" t="s">
        <v>2059</v>
      </c>
      <c r="J796" s="3">
        <v>34627382889</v>
      </c>
      <c r="K796" t="s">
        <v>7654</v>
      </c>
      <c r="L796" t="s">
        <v>7655</v>
      </c>
      <c r="M796" t="s">
        <v>57</v>
      </c>
    </row>
    <row r="797" spans="1:13" x14ac:dyDescent="0.25">
      <c r="A797" t="s">
        <v>11174</v>
      </c>
      <c r="B797" t="s">
        <v>13</v>
      </c>
      <c r="C797" t="s">
        <v>8942</v>
      </c>
      <c r="D797" t="s">
        <v>11175</v>
      </c>
      <c r="E797" t="s">
        <v>11176</v>
      </c>
      <c r="F797" t="s">
        <v>2036</v>
      </c>
      <c r="G797" t="s">
        <v>7652</v>
      </c>
      <c r="H797" t="s">
        <v>7653</v>
      </c>
      <c r="I797" t="s">
        <v>2059</v>
      </c>
      <c r="J797" s="3">
        <v>34627382889</v>
      </c>
      <c r="K797" t="s">
        <v>7654</v>
      </c>
      <c r="L797" t="s">
        <v>7655</v>
      </c>
      <c r="M797" t="s">
        <v>57</v>
      </c>
    </row>
    <row r="798" spans="1:13" x14ac:dyDescent="0.25">
      <c r="A798" t="s">
        <v>7190</v>
      </c>
      <c r="B798" t="s">
        <v>13</v>
      </c>
      <c r="C798" s="1">
        <v>44383</v>
      </c>
      <c r="D798" t="s">
        <v>32135</v>
      </c>
      <c r="E798" s="2" t="s">
        <v>32266</v>
      </c>
      <c r="F798" t="s">
        <v>7191</v>
      </c>
      <c r="G798" t="s">
        <v>7192</v>
      </c>
      <c r="H798" t="s">
        <v>706</v>
      </c>
      <c r="I798" t="s">
        <v>19</v>
      </c>
      <c r="J798" s="3">
        <f>55-31-988837506</f>
        <v>-988837482</v>
      </c>
      <c r="K798" t="s">
        <v>7193</v>
      </c>
      <c r="L798" t="s">
        <v>32135</v>
      </c>
      <c r="M798" t="s">
        <v>129</v>
      </c>
    </row>
    <row r="799" spans="1:13" x14ac:dyDescent="0.25">
      <c r="A799" t="s">
        <v>21154</v>
      </c>
      <c r="B799" t="s">
        <v>13</v>
      </c>
      <c r="C799" s="1">
        <v>43226</v>
      </c>
      <c r="D799" t="s">
        <v>21155</v>
      </c>
      <c r="E799" s="2" t="s">
        <v>31279</v>
      </c>
      <c r="F799" t="s">
        <v>1464</v>
      </c>
      <c r="G799" t="s">
        <v>21156</v>
      </c>
      <c r="H799" t="s">
        <v>5928</v>
      </c>
      <c r="I799" t="s">
        <v>19</v>
      </c>
      <c r="J799" s="3">
        <f>55-11-972488130</f>
        <v>-972488086</v>
      </c>
      <c r="K799" t="s">
        <v>21157</v>
      </c>
      <c r="L799" t="s">
        <v>5007</v>
      </c>
      <c r="M799" t="s">
        <v>32121</v>
      </c>
    </row>
    <row r="800" spans="1:13" x14ac:dyDescent="0.25">
      <c r="A800" t="s">
        <v>18833</v>
      </c>
      <c r="B800" t="s">
        <v>13</v>
      </c>
      <c r="C800" s="1">
        <v>43385</v>
      </c>
      <c r="D800" t="s">
        <v>18834</v>
      </c>
      <c r="E800" s="2" t="s">
        <v>31212</v>
      </c>
      <c r="F800" t="s">
        <v>2036</v>
      </c>
      <c r="G800" t="s">
        <v>18426</v>
      </c>
      <c r="H800" t="s">
        <v>503</v>
      </c>
      <c r="I800" t="s">
        <v>19</v>
      </c>
      <c r="J800" s="3" t="s">
        <v>9848</v>
      </c>
      <c r="K800" t="s">
        <v>18428</v>
      </c>
      <c r="L800" t="s">
        <v>412</v>
      </c>
      <c r="M800" t="s">
        <v>57</v>
      </c>
    </row>
    <row r="801" spans="1:13" x14ac:dyDescent="0.25">
      <c r="A801" t="s">
        <v>12427</v>
      </c>
      <c r="B801" t="s">
        <v>13</v>
      </c>
      <c r="C801" s="1">
        <v>44047</v>
      </c>
      <c r="D801" t="s">
        <v>12428</v>
      </c>
      <c r="E801" t="s">
        <v>12429</v>
      </c>
      <c r="F801" t="s">
        <v>4639</v>
      </c>
      <c r="G801" t="s">
        <v>12430</v>
      </c>
      <c r="H801" t="s">
        <v>12431</v>
      </c>
      <c r="I801" t="s">
        <v>19</v>
      </c>
      <c r="J801" s="3">
        <f>55-34-999105915</f>
        <v>-999105894</v>
      </c>
      <c r="K801" t="s">
        <v>12432</v>
      </c>
      <c r="L801" t="s">
        <v>7614</v>
      </c>
      <c r="M801" t="s">
        <v>785</v>
      </c>
    </row>
    <row r="802" spans="1:13" x14ac:dyDescent="0.25">
      <c r="A802" t="s">
        <v>15347</v>
      </c>
      <c r="B802" t="s">
        <v>13</v>
      </c>
      <c r="C802" t="s">
        <v>15332</v>
      </c>
      <c r="D802" t="s">
        <v>15348</v>
      </c>
      <c r="E802" t="s">
        <v>11446</v>
      </c>
      <c r="F802" t="s">
        <v>32121</v>
      </c>
      <c r="G802" t="s">
        <v>15349</v>
      </c>
      <c r="H802" t="s">
        <v>7653</v>
      </c>
      <c r="I802" t="s">
        <v>2059</v>
      </c>
      <c r="J802" s="3">
        <f>34-955008000</f>
        <v>-955007966</v>
      </c>
      <c r="K802" t="s">
        <v>15350</v>
      </c>
      <c r="L802" t="s">
        <v>15351</v>
      </c>
      <c r="M802" t="s">
        <v>32121</v>
      </c>
    </row>
    <row r="803" spans="1:13" x14ac:dyDescent="0.25">
      <c r="A803" t="s">
        <v>15400</v>
      </c>
      <c r="B803" t="s">
        <v>13</v>
      </c>
      <c r="C803" t="s">
        <v>15394</v>
      </c>
      <c r="D803" t="s">
        <v>15401</v>
      </c>
      <c r="E803" t="s">
        <v>11446</v>
      </c>
      <c r="F803" t="s">
        <v>32121</v>
      </c>
      <c r="G803" t="s">
        <v>15402</v>
      </c>
      <c r="H803" t="s">
        <v>18</v>
      </c>
      <c r="I803" t="s">
        <v>19</v>
      </c>
      <c r="J803" s="3">
        <f>55-19-35219333</f>
        <v>-35219297</v>
      </c>
      <c r="K803" t="s">
        <v>15403</v>
      </c>
      <c r="L803" t="s">
        <v>15404</v>
      </c>
      <c r="M803" t="s">
        <v>32121</v>
      </c>
    </row>
    <row r="804" spans="1:13" x14ac:dyDescent="0.25">
      <c r="A804" t="s">
        <v>11444</v>
      </c>
      <c r="B804" t="s">
        <v>13</v>
      </c>
      <c r="C804" t="s">
        <v>11438</v>
      </c>
      <c r="D804" t="s">
        <v>11445</v>
      </c>
      <c r="E804" s="2" t="s">
        <v>31468</v>
      </c>
      <c r="F804" t="s">
        <v>32121</v>
      </c>
      <c r="G804" t="s">
        <v>1081</v>
      </c>
      <c r="H804" t="s">
        <v>11447</v>
      </c>
      <c r="I804" t="s">
        <v>19</v>
      </c>
      <c r="J804" s="3" t="s">
        <v>11448</v>
      </c>
      <c r="K804" t="s">
        <v>11449</v>
      </c>
      <c r="L804" t="s">
        <v>11450</v>
      </c>
      <c r="M804" t="s">
        <v>32121</v>
      </c>
    </row>
    <row r="805" spans="1:13" x14ac:dyDescent="0.25">
      <c r="A805" t="s">
        <v>21983</v>
      </c>
      <c r="B805" t="s">
        <v>13</v>
      </c>
      <c r="C805" t="s">
        <v>21972</v>
      </c>
      <c r="D805" t="s">
        <v>21984</v>
      </c>
      <c r="E805" s="2" t="s">
        <v>31303</v>
      </c>
      <c r="F805" t="s">
        <v>2947</v>
      </c>
      <c r="G805" t="s">
        <v>21985</v>
      </c>
      <c r="H805" t="s">
        <v>798</v>
      </c>
      <c r="I805" t="s">
        <v>19</v>
      </c>
      <c r="J805" s="3">
        <f>55-61-981907111</f>
        <v>-981907117</v>
      </c>
      <c r="K805" t="s">
        <v>21986</v>
      </c>
      <c r="L805" t="s">
        <v>7649</v>
      </c>
      <c r="M805" t="s">
        <v>771</v>
      </c>
    </row>
    <row r="806" spans="1:13" x14ac:dyDescent="0.25">
      <c r="A806" t="s">
        <v>5734</v>
      </c>
      <c r="B806" t="s">
        <v>101</v>
      </c>
      <c r="C806" s="1">
        <v>44419</v>
      </c>
      <c r="D806" t="s">
        <v>32135</v>
      </c>
      <c r="E806" t="s">
        <v>5735</v>
      </c>
      <c r="F806" t="s">
        <v>5735</v>
      </c>
      <c r="G806" t="s">
        <v>5736</v>
      </c>
      <c r="H806" t="s">
        <v>352</v>
      </c>
      <c r="I806" t="s">
        <v>19</v>
      </c>
      <c r="J806" s="3">
        <v>552138659648</v>
      </c>
      <c r="K806" t="s">
        <v>5737</v>
      </c>
      <c r="L806" t="s">
        <v>32135</v>
      </c>
      <c r="M806" t="s">
        <v>741</v>
      </c>
    </row>
    <row r="807" spans="1:13" x14ac:dyDescent="0.25">
      <c r="A807" t="s">
        <v>30414</v>
      </c>
      <c r="B807" t="s">
        <v>13</v>
      </c>
      <c r="C807" s="1">
        <v>41000</v>
      </c>
      <c r="D807" t="s">
        <v>30415</v>
      </c>
      <c r="E807" t="s">
        <v>14308</v>
      </c>
      <c r="F807" t="s">
        <v>741</v>
      </c>
      <c r="G807" t="s">
        <v>30416</v>
      </c>
      <c r="H807" t="s">
        <v>352</v>
      </c>
      <c r="I807" t="s">
        <v>19</v>
      </c>
      <c r="J807" s="3">
        <f>55-48-37216917</f>
        <v>-37216910</v>
      </c>
      <c r="K807" t="s">
        <v>30417</v>
      </c>
      <c r="L807" t="s">
        <v>1232</v>
      </c>
      <c r="M807" t="s">
        <v>741</v>
      </c>
    </row>
    <row r="808" spans="1:13" x14ac:dyDescent="0.25">
      <c r="A808" t="s">
        <v>14306</v>
      </c>
      <c r="B808" t="s">
        <v>13</v>
      </c>
      <c r="C808" s="1">
        <v>44013</v>
      </c>
      <c r="D808" t="s">
        <v>14307</v>
      </c>
      <c r="E808" t="s">
        <v>14308</v>
      </c>
      <c r="F808" t="s">
        <v>1464</v>
      </c>
      <c r="G808" t="s">
        <v>8557</v>
      </c>
      <c r="H808" t="s">
        <v>352</v>
      </c>
      <c r="I808" t="s">
        <v>19</v>
      </c>
      <c r="J808" s="3" t="s">
        <v>14309</v>
      </c>
      <c r="K808" t="s">
        <v>8559</v>
      </c>
      <c r="L808" t="s">
        <v>6181</v>
      </c>
      <c r="M808" t="s">
        <v>771</v>
      </c>
    </row>
    <row r="809" spans="1:13" x14ac:dyDescent="0.25">
      <c r="A809" t="s">
        <v>14564</v>
      </c>
      <c r="B809" t="s">
        <v>13</v>
      </c>
      <c r="C809" t="s">
        <v>14558</v>
      </c>
      <c r="D809" t="s">
        <v>14565</v>
      </c>
      <c r="E809" s="2" t="s">
        <v>31651</v>
      </c>
      <c r="G809" t="s">
        <v>14566</v>
      </c>
      <c r="H809" t="s">
        <v>265</v>
      </c>
      <c r="I809" t="s">
        <v>19</v>
      </c>
      <c r="J809" s="3">
        <f>55-16-981213090</f>
        <v>-981213051</v>
      </c>
      <c r="K809" t="s">
        <v>14567</v>
      </c>
      <c r="L809" t="s">
        <v>3558</v>
      </c>
      <c r="M809" t="s">
        <v>741</v>
      </c>
    </row>
    <row r="810" spans="1:13" x14ac:dyDescent="0.25">
      <c r="A810" t="s">
        <v>2390</v>
      </c>
      <c r="B810" t="s">
        <v>13</v>
      </c>
      <c r="C810" t="s">
        <v>2366</v>
      </c>
      <c r="D810" t="s">
        <v>2391</v>
      </c>
      <c r="E810" s="2" t="s">
        <v>30735</v>
      </c>
      <c r="F810" t="s">
        <v>2393</v>
      </c>
      <c r="G810" t="s">
        <v>2394</v>
      </c>
      <c r="H810" t="s">
        <v>2395</v>
      </c>
      <c r="I810" t="s">
        <v>19</v>
      </c>
      <c r="J810" s="3" t="s">
        <v>2396</v>
      </c>
      <c r="K810" t="s">
        <v>2397</v>
      </c>
      <c r="L810" t="s">
        <v>2398</v>
      </c>
      <c r="M810" t="s">
        <v>741</v>
      </c>
    </row>
    <row r="811" spans="1:13" x14ac:dyDescent="0.25">
      <c r="A811" t="s">
        <v>29640</v>
      </c>
      <c r="B811" t="s">
        <v>13</v>
      </c>
      <c r="C811" s="1">
        <v>41584</v>
      </c>
      <c r="D811" t="s">
        <v>29641</v>
      </c>
      <c r="E811" t="s">
        <v>29642</v>
      </c>
      <c r="F811" t="s">
        <v>6686</v>
      </c>
      <c r="G811" t="s">
        <v>29643</v>
      </c>
      <c r="H811" t="s">
        <v>1486</v>
      </c>
      <c r="I811" t="s">
        <v>19</v>
      </c>
      <c r="J811" s="3" t="s">
        <v>29644</v>
      </c>
      <c r="K811" t="s">
        <v>29645</v>
      </c>
      <c r="L811" t="s">
        <v>1489</v>
      </c>
      <c r="M811" t="s">
        <v>1349</v>
      </c>
    </row>
    <row r="812" spans="1:13" x14ac:dyDescent="0.25">
      <c r="A812" t="s">
        <v>8615</v>
      </c>
      <c r="B812" t="s">
        <v>13</v>
      </c>
      <c r="C812" s="1">
        <v>44317</v>
      </c>
      <c r="D812" t="s">
        <v>8616</v>
      </c>
      <c r="E812" t="s">
        <v>32267</v>
      </c>
      <c r="F812" t="s">
        <v>1349</v>
      </c>
      <c r="H812" t="s">
        <v>32135</v>
      </c>
      <c r="I812" s="3" t="s">
        <v>32135</v>
      </c>
      <c r="J812" t="s">
        <v>32135</v>
      </c>
      <c r="K812" t="s">
        <v>32135</v>
      </c>
      <c r="L812" t="s">
        <v>32135</v>
      </c>
      <c r="M812" t="s">
        <v>1349</v>
      </c>
    </row>
    <row r="813" spans="1:13" x14ac:dyDescent="0.25">
      <c r="A813" t="s">
        <v>5690</v>
      </c>
      <c r="B813" t="s">
        <v>13</v>
      </c>
      <c r="C813" s="1">
        <v>44480</v>
      </c>
      <c r="D813" t="s">
        <v>32135</v>
      </c>
      <c r="E813" s="2" t="s">
        <v>32268</v>
      </c>
      <c r="F813" t="s">
        <v>5691</v>
      </c>
      <c r="G813" t="s">
        <v>5692</v>
      </c>
      <c r="H813" t="s">
        <v>18</v>
      </c>
      <c r="I813" t="s">
        <v>19</v>
      </c>
      <c r="J813" s="3">
        <v>5535999491709</v>
      </c>
      <c r="K813" t="s">
        <v>5693</v>
      </c>
      <c r="L813" t="s">
        <v>32135</v>
      </c>
      <c r="M813" t="s">
        <v>1349</v>
      </c>
    </row>
    <row r="814" spans="1:13" x14ac:dyDescent="0.25">
      <c r="A814" t="s">
        <v>7369</v>
      </c>
      <c r="B814" t="s">
        <v>13</v>
      </c>
      <c r="C814" t="s">
        <v>7363</v>
      </c>
      <c r="D814" t="s">
        <v>7370</v>
      </c>
      <c r="E814" t="s">
        <v>7371</v>
      </c>
      <c r="F814" t="s">
        <v>6248</v>
      </c>
      <c r="G814" t="s">
        <v>7372</v>
      </c>
      <c r="H814" t="s">
        <v>36</v>
      </c>
      <c r="I814" t="s">
        <v>19</v>
      </c>
      <c r="J814" s="3">
        <v>551130917883</v>
      </c>
      <c r="K814" t="s">
        <v>7373</v>
      </c>
      <c r="L814" t="s">
        <v>3512</v>
      </c>
      <c r="M814" t="s">
        <v>337</v>
      </c>
    </row>
    <row r="815" spans="1:13" x14ac:dyDescent="0.25">
      <c r="A815" t="s">
        <v>19654</v>
      </c>
      <c r="B815" t="s">
        <v>13</v>
      </c>
      <c r="C815" t="s">
        <v>18199</v>
      </c>
      <c r="D815" t="s">
        <v>19655</v>
      </c>
      <c r="E815" t="s">
        <v>32269</v>
      </c>
      <c r="F815" t="s">
        <v>6656</v>
      </c>
      <c r="G815" t="s">
        <v>19656</v>
      </c>
      <c r="H815" t="s">
        <v>265</v>
      </c>
      <c r="I815" t="s">
        <v>19</v>
      </c>
      <c r="J815" s="3">
        <v>5516981417160</v>
      </c>
      <c r="K815" t="s">
        <v>19657</v>
      </c>
      <c r="L815" t="s">
        <v>3641</v>
      </c>
      <c r="M815" t="s">
        <v>6656</v>
      </c>
    </row>
    <row r="816" spans="1:13" x14ac:dyDescent="0.25">
      <c r="A816" t="s">
        <v>6231</v>
      </c>
      <c r="B816" t="s">
        <v>13</v>
      </c>
      <c r="C816" t="s">
        <v>6210</v>
      </c>
      <c r="D816" t="s">
        <v>6232</v>
      </c>
      <c r="E816" t="s">
        <v>3651</v>
      </c>
      <c r="F816" t="s">
        <v>3652</v>
      </c>
      <c r="G816" t="s">
        <v>3653</v>
      </c>
      <c r="H816" t="s">
        <v>45</v>
      </c>
      <c r="I816" t="s">
        <v>19</v>
      </c>
      <c r="J816" s="3">
        <v>5585997219653</v>
      </c>
      <c r="K816" t="s">
        <v>3654</v>
      </c>
      <c r="L816" t="s">
        <v>1909</v>
      </c>
      <c r="M816" t="s">
        <v>1775</v>
      </c>
    </row>
    <row r="817" spans="1:13" x14ac:dyDescent="0.25">
      <c r="A817" t="s">
        <v>3649</v>
      </c>
      <c r="B817" t="s">
        <v>13</v>
      </c>
      <c r="C817" s="1">
        <v>44839</v>
      </c>
      <c r="D817" t="s">
        <v>3650</v>
      </c>
      <c r="E817" t="s">
        <v>3651</v>
      </c>
      <c r="F817" t="s">
        <v>3652</v>
      </c>
      <c r="G817" t="s">
        <v>3653</v>
      </c>
      <c r="H817" t="s">
        <v>45</v>
      </c>
      <c r="I817" t="s">
        <v>19</v>
      </c>
      <c r="J817" s="3">
        <f>55-85-997219653</f>
        <v>-997219683</v>
      </c>
      <c r="K817" t="s">
        <v>3654</v>
      </c>
      <c r="L817" t="s">
        <v>1909</v>
      </c>
      <c r="M817" t="s">
        <v>1775</v>
      </c>
    </row>
    <row r="818" spans="1:13" x14ac:dyDescent="0.25">
      <c r="A818" t="s">
        <v>9960</v>
      </c>
      <c r="B818" t="s">
        <v>13</v>
      </c>
      <c r="C818" s="1">
        <v>43839</v>
      </c>
      <c r="D818" t="s">
        <v>9961</v>
      </c>
      <c r="E818" s="2" t="s">
        <v>31470</v>
      </c>
      <c r="F818" t="s">
        <v>1464</v>
      </c>
      <c r="G818" t="s">
        <v>9962</v>
      </c>
      <c r="H818" t="s">
        <v>2934</v>
      </c>
      <c r="I818" t="s">
        <v>19</v>
      </c>
      <c r="J818" s="3">
        <f>55-37-991917999</f>
        <v>-991917981</v>
      </c>
      <c r="K818" t="s">
        <v>9963</v>
      </c>
      <c r="L818" t="s">
        <v>9964</v>
      </c>
      <c r="M818" t="s">
        <v>32149</v>
      </c>
    </row>
    <row r="819" spans="1:13" x14ac:dyDescent="0.25">
      <c r="A819" t="s">
        <v>12196</v>
      </c>
      <c r="B819" t="s">
        <v>13</v>
      </c>
      <c r="C819" t="s">
        <v>7455</v>
      </c>
      <c r="D819" t="s">
        <v>12197</v>
      </c>
      <c r="E819" t="s">
        <v>9102</v>
      </c>
      <c r="F819" t="s">
        <v>6485</v>
      </c>
      <c r="G819" t="s">
        <v>6990</v>
      </c>
      <c r="H819" t="s">
        <v>12198</v>
      </c>
      <c r="I819" t="s">
        <v>19</v>
      </c>
      <c r="J819" s="3">
        <f>55-85-32156450</f>
        <v>-32156480</v>
      </c>
      <c r="K819" t="s">
        <v>6992</v>
      </c>
      <c r="L819" t="s">
        <v>4617</v>
      </c>
      <c r="M819" t="s">
        <v>741</v>
      </c>
    </row>
    <row r="820" spans="1:13" x14ac:dyDescent="0.25">
      <c r="A820" t="s">
        <v>16221</v>
      </c>
      <c r="B820" t="s">
        <v>13</v>
      </c>
      <c r="C820" s="1">
        <v>43808</v>
      </c>
      <c r="D820" t="s">
        <v>16222</v>
      </c>
      <c r="E820" t="s">
        <v>2035</v>
      </c>
      <c r="F820" t="s">
        <v>2036</v>
      </c>
      <c r="G820" t="s">
        <v>1130</v>
      </c>
      <c r="H820" t="s">
        <v>1072</v>
      </c>
      <c r="I820" t="s">
        <v>19</v>
      </c>
      <c r="J820" s="3">
        <v>5584999150043</v>
      </c>
      <c r="K820" t="s">
        <v>1132</v>
      </c>
      <c r="L820" t="s">
        <v>91</v>
      </c>
      <c r="M820" t="s">
        <v>57</v>
      </c>
    </row>
    <row r="821" spans="1:13" x14ac:dyDescent="0.25">
      <c r="A821" t="s">
        <v>23698</v>
      </c>
      <c r="B821" t="s">
        <v>13</v>
      </c>
      <c r="C821" t="s">
        <v>23692</v>
      </c>
      <c r="D821" t="s">
        <v>23699</v>
      </c>
      <c r="E821" t="s">
        <v>2035</v>
      </c>
      <c r="F821" t="s">
        <v>1464</v>
      </c>
      <c r="G821" t="s">
        <v>23700</v>
      </c>
      <c r="H821" t="s">
        <v>22644</v>
      </c>
      <c r="I821" t="s">
        <v>19</v>
      </c>
      <c r="J821" s="3" t="s">
        <v>23701</v>
      </c>
      <c r="K821" t="s">
        <v>23702</v>
      </c>
      <c r="L821" t="s">
        <v>2101</v>
      </c>
      <c r="M821" t="s">
        <v>741</v>
      </c>
    </row>
    <row r="822" spans="1:13" x14ac:dyDescent="0.25">
      <c r="A822" t="s">
        <v>14505</v>
      </c>
      <c r="B822" t="s">
        <v>101</v>
      </c>
      <c r="C822" t="s">
        <v>14500</v>
      </c>
      <c r="D822" t="s">
        <v>14506</v>
      </c>
      <c r="E822" s="2" t="s">
        <v>31920</v>
      </c>
      <c r="F822" t="s">
        <v>741</v>
      </c>
      <c r="G822" t="s">
        <v>10853</v>
      </c>
      <c r="H822" t="s">
        <v>352</v>
      </c>
      <c r="I822" t="s">
        <v>19</v>
      </c>
      <c r="J822" s="3" t="s">
        <v>10854</v>
      </c>
      <c r="K822" t="s">
        <v>10855</v>
      </c>
      <c r="L822" t="s">
        <v>10856</v>
      </c>
      <c r="M822" t="s">
        <v>741</v>
      </c>
    </row>
    <row r="823" spans="1:13" x14ac:dyDescent="0.25">
      <c r="A823" t="s">
        <v>2032</v>
      </c>
      <c r="B823" t="s">
        <v>13</v>
      </c>
      <c r="C823" t="s">
        <v>2033</v>
      </c>
      <c r="D823" t="s">
        <v>2034</v>
      </c>
      <c r="E823" s="2" t="s">
        <v>30723</v>
      </c>
      <c r="F823" t="s">
        <v>2036</v>
      </c>
      <c r="G823" t="s">
        <v>1130</v>
      </c>
      <c r="H823" t="s">
        <v>88</v>
      </c>
      <c r="I823" t="s">
        <v>19</v>
      </c>
      <c r="J823" s="3" t="s">
        <v>1131</v>
      </c>
      <c r="K823" t="s">
        <v>1132</v>
      </c>
      <c r="L823" t="s">
        <v>91</v>
      </c>
      <c r="M823" t="s">
        <v>57</v>
      </c>
    </row>
    <row r="824" spans="1:13" x14ac:dyDescent="0.25">
      <c r="A824" t="s">
        <v>18881</v>
      </c>
      <c r="B824" t="s">
        <v>13</v>
      </c>
      <c r="C824" s="1">
        <v>43202</v>
      </c>
      <c r="D824" t="s">
        <v>18882</v>
      </c>
      <c r="E824" s="2" t="s">
        <v>30723</v>
      </c>
      <c r="F824" t="s">
        <v>2036</v>
      </c>
      <c r="G824" t="s">
        <v>1130</v>
      </c>
      <c r="H824" t="s">
        <v>1072</v>
      </c>
      <c r="I824" t="s">
        <v>19</v>
      </c>
      <c r="J824" s="3">
        <f>55-84-999150043</f>
        <v>-999150072</v>
      </c>
      <c r="K824" t="s">
        <v>1132</v>
      </c>
      <c r="L824" t="s">
        <v>18883</v>
      </c>
      <c r="M824" t="s">
        <v>57</v>
      </c>
    </row>
    <row r="825" spans="1:13" x14ac:dyDescent="0.25">
      <c r="A825" t="s">
        <v>14387</v>
      </c>
      <c r="B825" t="s">
        <v>13</v>
      </c>
      <c r="C825" s="1">
        <v>43891</v>
      </c>
      <c r="D825" t="s">
        <v>14388</v>
      </c>
      <c r="E825" s="2" t="s">
        <v>31091</v>
      </c>
      <c r="F825" t="s">
        <v>3084</v>
      </c>
      <c r="G825" t="s">
        <v>14389</v>
      </c>
      <c r="H825" t="s">
        <v>45</v>
      </c>
      <c r="I825" t="s">
        <v>19</v>
      </c>
      <c r="J825" s="3" t="s">
        <v>14390</v>
      </c>
      <c r="K825" t="s">
        <v>14391</v>
      </c>
      <c r="L825" t="s">
        <v>1909</v>
      </c>
      <c r="M825" t="s">
        <v>32144</v>
      </c>
    </row>
    <row r="826" spans="1:13" x14ac:dyDescent="0.25">
      <c r="A826" t="s">
        <v>17957</v>
      </c>
      <c r="B826" t="s">
        <v>13</v>
      </c>
      <c r="C826" t="s">
        <v>16588</v>
      </c>
      <c r="D826" t="s">
        <v>17958</v>
      </c>
      <c r="E826" t="s">
        <v>8646</v>
      </c>
      <c r="F826" t="s">
        <v>6130</v>
      </c>
      <c r="G826" t="s">
        <v>8493</v>
      </c>
      <c r="H826" t="s">
        <v>1215</v>
      </c>
      <c r="I826" t="s">
        <v>19</v>
      </c>
      <c r="J826" s="3">
        <v>5518997723787</v>
      </c>
      <c r="K826" t="s">
        <v>17959</v>
      </c>
      <c r="L826" t="s">
        <v>17960</v>
      </c>
      <c r="M826" t="s">
        <v>32144</v>
      </c>
    </row>
    <row r="827" spans="1:13" x14ac:dyDescent="0.25">
      <c r="A827" t="s">
        <v>7096</v>
      </c>
      <c r="B827" t="s">
        <v>13</v>
      </c>
      <c r="C827" s="1">
        <v>44532</v>
      </c>
      <c r="D827" t="s">
        <v>7097</v>
      </c>
      <c r="E827" t="s">
        <v>1273</v>
      </c>
      <c r="F827" t="s">
        <v>5526</v>
      </c>
      <c r="G827" t="s">
        <v>7098</v>
      </c>
      <c r="H827" t="s">
        <v>265</v>
      </c>
      <c r="I827" t="s">
        <v>19</v>
      </c>
      <c r="J827" s="3" t="s">
        <v>7099</v>
      </c>
      <c r="K827" t="s">
        <v>7100</v>
      </c>
      <c r="L827" t="s">
        <v>7101</v>
      </c>
      <c r="M827" t="s">
        <v>57</v>
      </c>
    </row>
    <row r="828" spans="1:13" x14ac:dyDescent="0.25">
      <c r="A828" t="s">
        <v>8644</v>
      </c>
      <c r="B828" t="s">
        <v>13</v>
      </c>
      <c r="C828" t="s">
        <v>1703</v>
      </c>
      <c r="D828" t="s">
        <v>8645</v>
      </c>
      <c r="E828" t="s">
        <v>8646</v>
      </c>
      <c r="F828" t="s">
        <v>1464</v>
      </c>
      <c r="G828" t="s">
        <v>8647</v>
      </c>
      <c r="H828" t="s">
        <v>8648</v>
      </c>
      <c r="I828" t="s">
        <v>19</v>
      </c>
      <c r="J828" s="3" t="s">
        <v>8649</v>
      </c>
      <c r="K828" t="s">
        <v>8650</v>
      </c>
      <c r="L828" t="s">
        <v>56</v>
      </c>
      <c r="M828" t="s">
        <v>1775</v>
      </c>
    </row>
    <row r="829" spans="1:13" x14ac:dyDescent="0.25">
      <c r="A829" t="s">
        <v>25234</v>
      </c>
      <c r="B829" t="s">
        <v>13</v>
      </c>
      <c r="C829" t="s">
        <v>9337</v>
      </c>
      <c r="D829" t="s">
        <v>25235</v>
      </c>
      <c r="E829" t="s">
        <v>25236</v>
      </c>
      <c r="F829" t="s">
        <v>1129</v>
      </c>
      <c r="G829" t="s">
        <v>25237</v>
      </c>
      <c r="H829" t="s">
        <v>372</v>
      </c>
      <c r="I829" t="s">
        <v>19</v>
      </c>
      <c r="J829" s="3" t="s">
        <v>25238</v>
      </c>
      <c r="K829" t="s">
        <v>25239</v>
      </c>
      <c r="L829" t="s">
        <v>11426</v>
      </c>
      <c r="M829" t="s">
        <v>224</v>
      </c>
    </row>
    <row r="830" spans="1:13" x14ac:dyDescent="0.25">
      <c r="A830" t="s">
        <v>24983</v>
      </c>
      <c r="B830" t="s">
        <v>13</v>
      </c>
      <c r="C830" t="s">
        <v>24984</v>
      </c>
      <c r="D830" t="s">
        <v>24985</v>
      </c>
      <c r="E830" t="s">
        <v>32270</v>
      </c>
      <c r="F830" t="s">
        <v>1464</v>
      </c>
      <c r="G830" t="s">
        <v>24986</v>
      </c>
      <c r="H830" t="s">
        <v>706</v>
      </c>
      <c r="I830" t="s">
        <v>19</v>
      </c>
      <c r="J830" s="3" t="s">
        <v>24987</v>
      </c>
      <c r="K830" t="s">
        <v>24988</v>
      </c>
      <c r="L830" t="s">
        <v>24989</v>
      </c>
      <c r="M830" t="s">
        <v>32144</v>
      </c>
    </row>
    <row r="831" spans="1:13" x14ac:dyDescent="0.25">
      <c r="A831" t="s">
        <v>18512</v>
      </c>
      <c r="B831" t="s">
        <v>13</v>
      </c>
      <c r="C831" t="s">
        <v>18513</v>
      </c>
      <c r="D831" t="s">
        <v>18514</v>
      </c>
      <c r="E831" s="2" t="s">
        <v>31204</v>
      </c>
      <c r="F831" t="s">
        <v>6130</v>
      </c>
      <c r="G831" t="s">
        <v>8493</v>
      </c>
      <c r="H831" t="s">
        <v>1215</v>
      </c>
      <c r="I831" t="s">
        <v>19</v>
      </c>
      <c r="J831" s="3" t="s">
        <v>8494</v>
      </c>
      <c r="K831" t="s">
        <v>8495</v>
      </c>
      <c r="L831" t="s">
        <v>8429</v>
      </c>
      <c r="M831" t="s">
        <v>32144</v>
      </c>
    </row>
    <row r="832" spans="1:13" x14ac:dyDescent="0.25">
      <c r="A832" t="s">
        <v>18127</v>
      </c>
      <c r="B832" t="s">
        <v>101</v>
      </c>
      <c r="C832" t="s">
        <v>9547</v>
      </c>
      <c r="D832" t="s">
        <v>18128</v>
      </c>
      <c r="E832" s="2" t="s">
        <v>31627</v>
      </c>
      <c r="F832" t="s">
        <v>6130</v>
      </c>
      <c r="G832" t="s">
        <v>6196</v>
      </c>
      <c r="H832" t="s">
        <v>18129</v>
      </c>
      <c r="I832" t="s">
        <v>19</v>
      </c>
      <c r="J832" s="3" t="s">
        <v>8489</v>
      </c>
      <c r="K832" t="s">
        <v>6197</v>
      </c>
      <c r="L832" t="s">
        <v>18130</v>
      </c>
      <c r="M832" t="s">
        <v>32144</v>
      </c>
    </row>
    <row r="833" spans="1:13" x14ac:dyDescent="0.25">
      <c r="A833" t="s">
        <v>23834</v>
      </c>
      <c r="B833" t="s">
        <v>13</v>
      </c>
      <c r="C833" s="1">
        <v>42955</v>
      </c>
      <c r="D833" t="s">
        <v>23835</v>
      </c>
      <c r="E833" s="2" t="s">
        <v>31699</v>
      </c>
      <c r="F833" t="s">
        <v>306</v>
      </c>
      <c r="G833" t="s">
        <v>23836</v>
      </c>
      <c r="H833" t="s">
        <v>1656</v>
      </c>
      <c r="I833" t="s">
        <v>19</v>
      </c>
      <c r="J833" s="3" t="s">
        <v>23837</v>
      </c>
      <c r="K833" t="s">
        <v>23838</v>
      </c>
      <c r="L833" t="s">
        <v>12598</v>
      </c>
      <c r="M833" t="s">
        <v>32145</v>
      </c>
    </row>
    <row r="834" spans="1:13" x14ac:dyDescent="0.25">
      <c r="A834" t="s">
        <v>5418</v>
      </c>
      <c r="B834" t="s">
        <v>13</v>
      </c>
      <c r="C834" s="1">
        <v>44420</v>
      </c>
      <c r="D834" t="s">
        <v>5419</v>
      </c>
      <c r="E834" s="2" t="s">
        <v>31478</v>
      </c>
      <c r="F834" t="s">
        <v>5421</v>
      </c>
      <c r="G834" t="s">
        <v>5422</v>
      </c>
      <c r="H834" t="s">
        <v>409</v>
      </c>
      <c r="I834" t="s">
        <v>19</v>
      </c>
      <c r="J834" s="3" t="s">
        <v>5423</v>
      </c>
      <c r="K834" t="s">
        <v>5424</v>
      </c>
      <c r="L834" t="s">
        <v>32135</v>
      </c>
      <c r="M834" t="s">
        <v>432</v>
      </c>
    </row>
    <row r="835" spans="1:13" x14ac:dyDescent="0.25">
      <c r="A835" t="s">
        <v>27485</v>
      </c>
      <c r="B835" t="s">
        <v>13</v>
      </c>
      <c r="C835" s="1">
        <v>42317</v>
      </c>
      <c r="D835" t="s">
        <v>27486</v>
      </c>
      <c r="E835" s="2" t="s">
        <v>31957</v>
      </c>
      <c r="F835" t="s">
        <v>1775</v>
      </c>
      <c r="G835" t="s">
        <v>27487</v>
      </c>
      <c r="H835" t="s">
        <v>36</v>
      </c>
      <c r="I835" t="s">
        <v>19</v>
      </c>
      <c r="J835" s="3" t="s">
        <v>27488</v>
      </c>
      <c r="K835" t="s">
        <v>27489</v>
      </c>
      <c r="L835" t="s">
        <v>17805</v>
      </c>
      <c r="M835" t="s">
        <v>1775</v>
      </c>
    </row>
    <row r="836" spans="1:13" x14ac:dyDescent="0.25">
      <c r="A836" t="s">
        <v>20792</v>
      </c>
      <c r="B836" t="s">
        <v>13</v>
      </c>
      <c r="C836" s="1">
        <v>43138</v>
      </c>
      <c r="D836" t="s">
        <v>20793</v>
      </c>
      <c r="E836" t="s">
        <v>20794</v>
      </c>
      <c r="F836" t="s">
        <v>2036</v>
      </c>
      <c r="G836" t="s">
        <v>20795</v>
      </c>
      <c r="H836" t="s">
        <v>131</v>
      </c>
      <c r="I836" t="s">
        <v>19</v>
      </c>
      <c r="J836" s="3">
        <f>55-81994077979</f>
        <v>-81994077924</v>
      </c>
      <c r="K836" t="s">
        <v>20796</v>
      </c>
      <c r="L836" t="s">
        <v>12097</v>
      </c>
      <c r="M836" t="s">
        <v>57</v>
      </c>
    </row>
    <row r="837" spans="1:13" x14ac:dyDescent="0.25">
      <c r="A837" t="s">
        <v>24107</v>
      </c>
      <c r="B837" t="s">
        <v>13</v>
      </c>
      <c r="C837" t="s">
        <v>24102</v>
      </c>
      <c r="D837" t="s">
        <v>24108</v>
      </c>
      <c r="E837" s="2" t="s">
        <v>31396</v>
      </c>
      <c r="F837" t="s">
        <v>1464</v>
      </c>
      <c r="G837" t="s">
        <v>24109</v>
      </c>
      <c r="H837" t="s">
        <v>1802</v>
      </c>
      <c r="I837" t="s">
        <v>19</v>
      </c>
      <c r="J837" s="3" t="s">
        <v>24110</v>
      </c>
      <c r="K837" t="s">
        <v>24111</v>
      </c>
      <c r="L837" t="s">
        <v>1963</v>
      </c>
      <c r="M837" t="s">
        <v>32144</v>
      </c>
    </row>
    <row r="838" spans="1:13" x14ac:dyDescent="0.25">
      <c r="A838" t="s">
        <v>27496</v>
      </c>
      <c r="B838" t="s">
        <v>13</v>
      </c>
      <c r="C838" s="1">
        <v>42225</v>
      </c>
      <c r="D838" t="s">
        <v>27497</v>
      </c>
      <c r="E838" t="s">
        <v>20035</v>
      </c>
      <c r="F838" t="s">
        <v>3084</v>
      </c>
      <c r="G838" t="s">
        <v>27498</v>
      </c>
      <c r="H838" t="s">
        <v>428</v>
      </c>
      <c r="I838" t="s">
        <v>19</v>
      </c>
      <c r="J838" s="3" t="s">
        <v>27499</v>
      </c>
      <c r="K838" t="s">
        <v>27500</v>
      </c>
      <c r="L838" t="s">
        <v>27501</v>
      </c>
      <c r="M838" t="s">
        <v>32144</v>
      </c>
    </row>
    <row r="839" spans="1:13" x14ac:dyDescent="0.25">
      <c r="A839" t="s">
        <v>20033</v>
      </c>
      <c r="B839" t="s">
        <v>13</v>
      </c>
      <c r="C839" t="s">
        <v>20019</v>
      </c>
      <c r="D839" t="s">
        <v>20034</v>
      </c>
      <c r="E839" t="s">
        <v>20035</v>
      </c>
      <c r="F839" t="s">
        <v>3084</v>
      </c>
      <c r="G839" t="s">
        <v>19910</v>
      </c>
      <c r="H839" t="s">
        <v>36</v>
      </c>
      <c r="I839" t="s">
        <v>19</v>
      </c>
      <c r="J839" s="3">
        <v>5511983221272</v>
      </c>
      <c r="K839" t="s">
        <v>19911</v>
      </c>
      <c r="L839" t="s">
        <v>20036</v>
      </c>
      <c r="M839" t="s">
        <v>32144</v>
      </c>
    </row>
    <row r="840" spans="1:13" x14ac:dyDescent="0.25">
      <c r="A840" t="s">
        <v>22451</v>
      </c>
      <c r="B840" t="s">
        <v>13</v>
      </c>
      <c r="C840" t="s">
        <v>10219</v>
      </c>
      <c r="D840" t="s">
        <v>22452</v>
      </c>
      <c r="E840" t="s">
        <v>22453</v>
      </c>
      <c r="F840" t="s">
        <v>1464</v>
      </c>
      <c r="G840" t="s">
        <v>22454</v>
      </c>
      <c r="H840" t="s">
        <v>2186</v>
      </c>
      <c r="I840" t="s">
        <v>19</v>
      </c>
      <c r="J840" s="3" t="s">
        <v>22455</v>
      </c>
      <c r="K840" t="s">
        <v>22456</v>
      </c>
      <c r="L840" t="s">
        <v>22457</v>
      </c>
      <c r="M840" t="s">
        <v>337</v>
      </c>
    </row>
    <row r="841" spans="1:13" x14ac:dyDescent="0.25">
      <c r="A841" t="s">
        <v>20251</v>
      </c>
      <c r="B841" t="s">
        <v>13</v>
      </c>
      <c r="C841" t="s">
        <v>20252</v>
      </c>
      <c r="D841" t="s">
        <v>20253</v>
      </c>
      <c r="E841" t="s">
        <v>20254</v>
      </c>
      <c r="F841" t="s">
        <v>117</v>
      </c>
      <c r="G841" t="s">
        <v>20255</v>
      </c>
      <c r="H841" t="s">
        <v>352</v>
      </c>
      <c r="I841" t="s">
        <v>19</v>
      </c>
      <c r="J841" s="3" t="s">
        <v>20256</v>
      </c>
      <c r="K841" t="s">
        <v>20257</v>
      </c>
      <c r="L841" t="s">
        <v>20258</v>
      </c>
      <c r="M841" t="s">
        <v>32145</v>
      </c>
    </row>
    <row r="842" spans="1:13" x14ac:dyDescent="0.25">
      <c r="A842" t="s">
        <v>29376</v>
      </c>
      <c r="B842" t="s">
        <v>13</v>
      </c>
      <c r="C842" t="s">
        <v>29371</v>
      </c>
      <c r="D842" t="s">
        <v>29377</v>
      </c>
      <c r="E842" t="s">
        <v>32271</v>
      </c>
      <c r="F842" t="s">
        <v>2947</v>
      </c>
      <c r="G842" t="s">
        <v>29378</v>
      </c>
      <c r="H842" t="s">
        <v>472</v>
      </c>
      <c r="I842" t="s">
        <v>19</v>
      </c>
      <c r="J842" s="3">
        <v>21224100</v>
      </c>
      <c r="K842" t="s">
        <v>29379</v>
      </c>
      <c r="L842" t="s">
        <v>3281</v>
      </c>
      <c r="M842" t="s">
        <v>771</v>
      </c>
    </row>
    <row r="843" spans="1:13" x14ac:dyDescent="0.25">
      <c r="A843" t="s">
        <v>29931</v>
      </c>
      <c r="B843" t="s">
        <v>13</v>
      </c>
      <c r="C843" t="s">
        <v>14184</v>
      </c>
      <c r="D843" t="s">
        <v>29932</v>
      </c>
      <c r="E843" t="s">
        <v>32272</v>
      </c>
      <c r="F843" t="s">
        <v>741</v>
      </c>
      <c r="G843" t="s">
        <v>29933</v>
      </c>
      <c r="H843" t="s">
        <v>936</v>
      </c>
      <c r="I843" t="s">
        <v>19</v>
      </c>
      <c r="J843" s="3" t="s">
        <v>29934</v>
      </c>
      <c r="K843" t="s">
        <v>29935</v>
      </c>
      <c r="L843" t="s">
        <v>29936</v>
      </c>
      <c r="M843" t="s">
        <v>741</v>
      </c>
    </row>
    <row r="844" spans="1:13" x14ac:dyDescent="0.25">
      <c r="A844" t="s">
        <v>20304</v>
      </c>
      <c r="B844" t="s">
        <v>13</v>
      </c>
      <c r="C844" t="s">
        <v>15757</v>
      </c>
      <c r="D844" t="s">
        <v>20305</v>
      </c>
      <c r="E844" t="s">
        <v>20306</v>
      </c>
      <c r="F844" t="s">
        <v>771</v>
      </c>
      <c r="G844" t="s">
        <v>20307</v>
      </c>
      <c r="H844" t="s">
        <v>45</v>
      </c>
      <c r="I844" t="s">
        <v>19</v>
      </c>
      <c r="J844" s="3">
        <v>558532410990</v>
      </c>
      <c r="K844" t="s">
        <v>20308</v>
      </c>
      <c r="L844" t="s">
        <v>20309</v>
      </c>
      <c r="M844" t="s">
        <v>771</v>
      </c>
    </row>
    <row r="845" spans="1:13" x14ac:dyDescent="0.25">
      <c r="A845" t="s">
        <v>32152</v>
      </c>
      <c r="B845" t="s">
        <v>13</v>
      </c>
      <c r="C845" s="1">
        <v>43416</v>
      </c>
      <c r="D845" t="s">
        <v>18828</v>
      </c>
      <c r="E845" t="s">
        <v>18829</v>
      </c>
      <c r="F845" t="s">
        <v>1464</v>
      </c>
      <c r="G845" t="s">
        <v>18830</v>
      </c>
      <c r="H845" t="s">
        <v>1206</v>
      </c>
      <c r="I845" t="s">
        <v>19</v>
      </c>
      <c r="J845" s="3">
        <v>83999732726</v>
      </c>
      <c r="K845" t="s">
        <v>18831</v>
      </c>
      <c r="L845" t="s">
        <v>18832</v>
      </c>
      <c r="M845" t="s">
        <v>224</v>
      </c>
    </row>
    <row r="846" spans="1:13" x14ac:dyDescent="0.25">
      <c r="A846" t="s">
        <v>20819</v>
      </c>
      <c r="B846" t="s">
        <v>13</v>
      </c>
      <c r="C846" t="s">
        <v>20808</v>
      </c>
      <c r="D846" t="s">
        <v>20820</v>
      </c>
      <c r="E846" t="s">
        <v>20821</v>
      </c>
      <c r="F846" t="s">
        <v>1129</v>
      </c>
      <c r="G846" t="s">
        <v>20822</v>
      </c>
      <c r="H846" t="s">
        <v>1382</v>
      </c>
      <c r="I846" t="s">
        <v>19</v>
      </c>
      <c r="J846" s="3">
        <f>55-11-99171-6844</f>
        <v>-105971</v>
      </c>
      <c r="K846" t="s">
        <v>20823</v>
      </c>
      <c r="L846" t="s">
        <v>2712</v>
      </c>
      <c r="M846" t="s">
        <v>224</v>
      </c>
    </row>
    <row r="847" spans="1:13" x14ac:dyDescent="0.25">
      <c r="A847" t="s">
        <v>18296</v>
      </c>
      <c r="B847" t="s">
        <v>13</v>
      </c>
      <c r="C847" t="s">
        <v>7622</v>
      </c>
      <c r="D847" t="s">
        <v>18297</v>
      </c>
      <c r="E847" s="2" t="s">
        <v>31746</v>
      </c>
      <c r="F847" t="s">
        <v>538</v>
      </c>
      <c r="G847" t="s">
        <v>18298</v>
      </c>
      <c r="H847" t="s">
        <v>36</v>
      </c>
      <c r="I847" t="s">
        <v>19</v>
      </c>
      <c r="J847" s="3" t="s">
        <v>18299</v>
      </c>
      <c r="K847" t="s">
        <v>18300</v>
      </c>
      <c r="L847" t="s">
        <v>439</v>
      </c>
      <c r="M847" t="s">
        <v>224</v>
      </c>
    </row>
    <row r="848" spans="1:13" x14ac:dyDescent="0.25">
      <c r="A848" t="s">
        <v>16177</v>
      </c>
      <c r="B848" t="s">
        <v>13</v>
      </c>
      <c r="C848" t="s">
        <v>16155</v>
      </c>
      <c r="D848" t="s">
        <v>16178</v>
      </c>
      <c r="E848" t="s">
        <v>16179</v>
      </c>
      <c r="F848" t="s">
        <v>785</v>
      </c>
      <c r="G848" t="s">
        <v>16180</v>
      </c>
      <c r="H848" t="s">
        <v>265</v>
      </c>
      <c r="I848" t="s">
        <v>19</v>
      </c>
      <c r="J848" s="3" t="s">
        <v>16181</v>
      </c>
      <c r="K848" t="s">
        <v>16182</v>
      </c>
      <c r="L848" t="s">
        <v>16183</v>
      </c>
      <c r="M848" t="s">
        <v>785</v>
      </c>
    </row>
    <row r="849" spans="1:13" x14ac:dyDescent="0.25">
      <c r="A849" t="s">
        <v>12788</v>
      </c>
      <c r="B849" t="s">
        <v>13</v>
      </c>
      <c r="C849" t="s">
        <v>12765</v>
      </c>
      <c r="D849" t="s">
        <v>12789</v>
      </c>
      <c r="E849" t="s">
        <v>12790</v>
      </c>
      <c r="F849" t="s">
        <v>1464</v>
      </c>
      <c r="G849" t="s">
        <v>781</v>
      </c>
      <c r="H849" t="s">
        <v>299</v>
      </c>
      <c r="I849" t="s">
        <v>19</v>
      </c>
      <c r="J849" s="3">
        <f>55-14-38801267</f>
        <v>-38801226</v>
      </c>
      <c r="K849" t="s">
        <v>783</v>
      </c>
      <c r="L849" t="s">
        <v>12361</v>
      </c>
      <c r="M849" t="s">
        <v>785</v>
      </c>
    </row>
    <row r="850" spans="1:13" x14ac:dyDescent="0.25">
      <c r="A850" t="s">
        <v>26710</v>
      </c>
      <c r="B850" t="s">
        <v>13</v>
      </c>
      <c r="C850" t="s">
        <v>14864</v>
      </c>
      <c r="D850" t="s">
        <v>26711</v>
      </c>
      <c r="E850" t="s">
        <v>26712</v>
      </c>
      <c r="F850" t="s">
        <v>6686</v>
      </c>
      <c r="G850" t="s">
        <v>26713</v>
      </c>
      <c r="H850" t="s">
        <v>2024</v>
      </c>
      <c r="I850" t="s">
        <v>19</v>
      </c>
      <c r="J850" s="3" t="s">
        <v>26714</v>
      </c>
      <c r="K850" t="s">
        <v>26715</v>
      </c>
      <c r="L850" t="s">
        <v>2026</v>
      </c>
      <c r="M850" t="s">
        <v>337</v>
      </c>
    </row>
    <row r="851" spans="1:13" x14ac:dyDescent="0.25">
      <c r="A851" t="s">
        <v>13392</v>
      </c>
      <c r="B851" t="s">
        <v>13</v>
      </c>
      <c r="C851" t="s">
        <v>12133</v>
      </c>
      <c r="D851" t="s">
        <v>13393</v>
      </c>
      <c r="E851" s="2" t="s">
        <v>32273</v>
      </c>
      <c r="F851" t="s">
        <v>337</v>
      </c>
      <c r="G851" t="s">
        <v>13394</v>
      </c>
      <c r="H851" t="s">
        <v>1238</v>
      </c>
      <c r="I851" t="s">
        <v>19</v>
      </c>
      <c r="J851" s="3">
        <v>34999712022</v>
      </c>
      <c r="K851" t="s">
        <v>13395</v>
      </c>
      <c r="L851" t="s">
        <v>13396</v>
      </c>
      <c r="M851" t="s">
        <v>337</v>
      </c>
    </row>
    <row r="852" spans="1:13" x14ac:dyDescent="0.25">
      <c r="A852" t="s">
        <v>27210</v>
      </c>
      <c r="B852" t="s">
        <v>13</v>
      </c>
      <c r="C852" t="s">
        <v>27211</v>
      </c>
      <c r="D852" t="s">
        <v>27212</v>
      </c>
      <c r="E852" t="s">
        <v>27213</v>
      </c>
      <c r="F852" t="s">
        <v>337</v>
      </c>
      <c r="G852" t="s">
        <v>27214</v>
      </c>
      <c r="H852" t="s">
        <v>4506</v>
      </c>
      <c r="I852" t="s">
        <v>19</v>
      </c>
      <c r="J852" s="3" t="s">
        <v>27215</v>
      </c>
      <c r="K852" t="s">
        <v>27216</v>
      </c>
      <c r="L852" t="s">
        <v>1909</v>
      </c>
      <c r="M852" t="s">
        <v>337</v>
      </c>
    </row>
    <row r="853" spans="1:13" x14ac:dyDescent="0.25">
      <c r="A853" t="s">
        <v>28092</v>
      </c>
      <c r="B853" t="s">
        <v>13</v>
      </c>
      <c r="C853" s="1">
        <v>42010</v>
      </c>
      <c r="D853" t="s">
        <v>28093</v>
      </c>
      <c r="E853" t="s">
        <v>28094</v>
      </c>
      <c r="F853" t="s">
        <v>1464</v>
      </c>
      <c r="G853" t="s">
        <v>28095</v>
      </c>
      <c r="H853" t="s">
        <v>28096</v>
      </c>
      <c r="I853" t="s">
        <v>19</v>
      </c>
      <c r="J853" s="3" t="s">
        <v>28097</v>
      </c>
      <c r="K853" t="s">
        <v>28098</v>
      </c>
      <c r="L853" t="s">
        <v>28099</v>
      </c>
      <c r="M853" t="s">
        <v>32145</v>
      </c>
    </row>
    <row r="854" spans="1:13" x14ac:dyDescent="0.25">
      <c r="A854" t="s">
        <v>6299</v>
      </c>
      <c r="B854" t="s">
        <v>13</v>
      </c>
      <c r="C854" t="s">
        <v>4185</v>
      </c>
      <c r="D854" t="s">
        <v>6300</v>
      </c>
      <c r="E854" t="s">
        <v>6301</v>
      </c>
      <c r="F854" t="s">
        <v>6302</v>
      </c>
      <c r="G854" t="s">
        <v>6303</v>
      </c>
      <c r="H854" t="s">
        <v>265</v>
      </c>
      <c r="I854" t="s">
        <v>19</v>
      </c>
      <c r="J854" s="3">
        <f>55-16-36022508</f>
        <v>-36022469</v>
      </c>
      <c r="K854" t="s">
        <v>6304</v>
      </c>
      <c r="L854" t="s">
        <v>32135</v>
      </c>
      <c r="M854" t="s">
        <v>337</v>
      </c>
    </row>
    <row r="855" spans="1:13" x14ac:dyDescent="0.25">
      <c r="A855" t="s">
        <v>20830</v>
      </c>
      <c r="B855" t="s">
        <v>13</v>
      </c>
      <c r="C855" t="s">
        <v>20808</v>
      </c>
      <c r="D855" t="s">
        <v>20831</v>
      </c>
      <c r="E855" t="s">
        <v>20832</v>
      </c>
      <c r="F855" t="s">
        <v>6686</v>
      </c>
      <c r="G855" t="s">
        <v>20833</v>
      </c>
      <c r="H855" t="s">
        <v>578</v>
      </c>
      <c r="I855" t="s">
        <v>19</v>
      </c>
      <c r="J855" s="3" t="s">
        <v>20834</v>
      </c>
      <c r="K855" t="s">
        <v>20835</v>
      </c>
      <c r="L855" t="s">
        <v>20836</v>
      </c>
      <c r="M855" t="s">
        <v>337</v>
      </c>
    </row>
    <row r="856" spans="1:13" x14ac:dyDescent="0.25">
      <c r="A856" t="s">
        <v>27915</v>
      </c>
      <c r="B856" t="s">
        <v>13</v>
      </c>
      <c r="C856" t="s">
        <v>23258</v>
      </c>
      <c r="D856" t="s">
        <v>27916</v>
      </c>
      <c r="E856" t="s">
        <v>27917</v>
      </c>
      <c r="F856" t="s">
        <v>2036</v>
      </c>
      <c r="G856" t="s">
        <v>27918</v>
      </c>
      <c r="H856" t="s">
        <v>27919</v>
      </c>
      <c r="I856" t="s">
        <v>19</v>
      </c>
      <c r="J856" s="3" t="s">
        <v>27920</v>
      </c>
      <c r="K856" t="s">
        <v>20069</v>
      </c>
      <c r="L856" t="s">
        <v>27921</v>
      </c>
      <c r="M856" t="s">
        <v>57</v>
      </c>
    </row>
    <row r="857" spans="1:13" x14ac:dyDescent="0.25">
      <c r="A857" t="s">
        <v>11177</v>
      </c>
      <c r="B857" t="s">
        <v>13</v>
      </c>
      <c r="C857" t="s">
        <v>5232</v>
      </c>
      <c r="D857" t="s">
        <v>11178</v>
      </c>
      <c r="E857" t="s">
        <v>11179</v>
      </c>
      <c r="F857" t="s">
        <v>57</v>
      </c>
      <c r="G857" t="s">
        <v>11180</v>
      </c>
      <c r="H857" t="s">
        <v>11181</v>
      </c>
      <c r="I857" t="s">
        <v>19</v>
      </c>
      <c r="J857" s="3">
        <v>5562982056471</v>
      </c>
      <c r="K857" t="s">
        <v>11182</v>
      </c>
      <c r="L857" t="s">
        <v>1767</v>
      </c>
      <c r="M857" t="s">
        <v>57</v>
      </c>
    </row>
    <row r="858" spans="1:13" x14ac:dyDescent="0.25">
      <c r="A858" t="s">
        <v>29107</v>
      </c>
      <c r="B858" t="s">
        <v>13</v>
      </c>
      <c r="C858" t="s">
        <v>29108</v>
      </c>
      <c r="D858" t="s">
        <v>29109</v>
      </c>
      <c r="E858" s="2" t="s">
        <v>31362</v>
      </c>
      <c r="F858" t="s">
        <v>2036</v>
      </c>
      <c r="G858" t="s">
        <v>29110</v>
      </c>
      <c r="H858" t="s">
        <v>642</v>
      </c>
      <c r="I858" t="s">
        <v>19</v>
      </c>
      <c r="J858" s="3" t="s">
        <v>29111</v>
      </c>
      <c r="K858" t="s">
        <v>29112</v>
      </c>
      <c r="L858" t="s">
        <v>1823</v>
      </c>
      <c r="M858" t="s">
        <v>57</v>
      </c>
    </row>
    <row r="859" spans="1:13" x14ac:dyDescent="0.25">
      <c r="A859" t="s">
        <v>12199</v>
      </c>
      <c r="B859" t="s">
        <v>13</v>
      </c>
      <c r="C859" t="s">
        <v>7455</v>
      </c>
      <c r="D859" t="s">
        <v>12200</v>
      </c>
      <c r="E859" t="s">
        <v>6001</v>
      </c>
      <c r="F859" t="s">
        <v>10034</v>
      </c>
      <c r="G859" t="s">
        <v>11612</v>
      </c>
      <c r="H859" t="s">
        <v>141</v>
      </c>
      <c r="I859" t="s">
        <v>19</v>
      </c>
      <c r="J859" s="3">
        <f>55-82-988651926</f>
        <v>-988651953</v>
      </c>
      <c r="K859" t="s">
        <v>11613</v>
      </c>
      <c r="L859" t="s">
        <v>11614</v>
      </c>
      <c r="M859" t="s">
        <v>337</v>
      </c>
    </row>
    <row r="860" spans="1:13" x14ac:dyDescent="0.25">
      <c r="A860" t="s">
        <v>13202</v>
      </c>
      <c r="B860" t="s">
        <v>13</v>
      </c>
      <c r="C860" s="1">
        <v>43924</v>
      </c>
      <c r="D860" t="s">
        <v>13203</v>
      </c>
      <c r="E860" t="s">
        <v>6001</v>
      </c>
      <c r="F860" t="s">
        <v>6686</v>
      </c>
      <c r="G860" t="s">
        <v>13204</v>
      </c>
      <c r="H860" t="s">
        <v>13205</v>
      </c>
      <c r="I860" t="s">
        <v>19</v>
      </c>
      <c r="J860" s="3">
        <f>55-77-988178818</f>
        <v>-988178840</v>
      </c>
      <c r="K860" t="s">
        <v>13206</v>
      </c>
      <c r="L860" t="s">
        <v>13207</v>
      </c>
      <c r="M860" t="s">
        <v>337</v>
      </c>
    </row>
    <row r="861" spans="1:13" x14ac:dyDescent="0.25">
      <c r="A861" t="s">
        <v>16355</v>
      </c>
      <c r="B861" t="s">
        <v>13</v>
      </c>
      <c r="C861" s="1">
        <v>43350</v>
      </c>
      <c r="D861" t="s">
        <v>16356</v>
      </c>
      <c r="E861" t="s">
        <v>16357</v>
      </c>
      <c r="F861" t="s">
        <v>1464</v>
      </c>
      <c r="G861" t="s">
        <v>16358</v>
      </c>
      <c r="H861" t="s">
        <v>114</v>
      </c>
      <c r="I861" t="s">
        <v>19</v>
      </c>
      <c r="J861" s="3" t="s">
        <v>16359</v>
      </c>
      <c r="K861" t="s">
        <v>16360</v>
      </c>
      <c r="L861" t="s">
        <v>82</v>
      </c>
      <c r="M861" t="s">
        <v>337</v>
      </c>
    </row>
    <row r="862" spans="1:13" x14ac:dyDescent="0.25">
      <c r="A862" t="s">
        <v>12313</v>
      </c>
      <c r="B862" t="s">
        <v>13</v>
      </c>
      <c r="C862" t="s">
        <v>12302</v>
      </c>
      <c r="D862" t="s">
        <v>12314</v>
      </c>
      <c r="E862" t="s">
        <v>6001</v>
      </c>
      <c r="F862" t="s">
        <v>1464</v>
      </c>
      <c r="G862" t="s">
        <v>4998</v>
      </c>
      <c r="H862" t="s">
        <v>489</v>
      </c>
      <c r="I862" t="s">
        <v>19</v>
      </c>
      <c r="J862" s="3">
        <v>5547984091561</v>
      </c>
      <c r="K862" t="s">
        <v>5000</v>
      </c>
      <c r="L862" t="s">
        <v>2661</v>
      </c>
      <c r="M862" t="s">
        <v>337</v>
      </c>
    </row>
    <row r="863" spans="1:13" x14ac:dyDescent="0.25">
      <c r="A863" t="s">
        <v>7511</v>
      </c>
      <c r="B863" t="s">
        <v>13</v>
      </c>
      <c r="C863" t="s">
        <v>7499</v>
      </c>
      <c r="D863" t="s">
        <v>32135</v>
      </c>
      <c r="E863" s="2" t="s">
        <v>31672</v>
      </c>
      <c r="F863" t="s">
        <v>3785</v>
      </c>
      <c r="G863" t="s">
        <v>7512</v>
      </c>
      <c r="H863" t="s">
        <v>352</v>
      </c>
      <c r="I863" t="s">
        <v>19</v>
      </c>
      <c r="J863" s="3" t="s">
        <v>7513</v>
      </c>
      <c r="K863" t="s">
        <v>7514</v>
      </c>
      <c r="L863" t="s">
        <v>32135</v>
      </c>
      <c r="M863" t="s">
        <v>337</v>
      </c>
    </row>
    <row r="864" spans="1:13" x14ac:dyDescent="0.25">
      <c r="A864" t="s">
        <v>20088</v>
      </c>
      <c r="B864" t="s">
        <v>13</v>
      </c>
      <c r="C864" s="1">
        <v>43351</v>
      </c>
      <c r="D864" t="s">
        <v>20089</v>
      </c>
      <c r="E864" s="2" t="s">
        <v>31717</v>
      </c>
      <c r="F864" t="s">
        <v>332</v>
      </c>
      <c r="G864" t="s">
        <v>20090</v>
      </c>
      <c r="H864" t="s">
        <v>170</v>
      </c>
      <c r="I864" t="s">
        <v>19</v>
      </c>
      <c r="J864" s="3" t="s">
        <v>20091</v>
      </c>
      <c r="K864" t="s">
        <v>20092</v>
      </c>
      <c r="L864" t="s">
        <v>20093</v>
      </c>
      <c r="M864" t="s">
        <v>337</v>
      </c>
    </row>
    <row r="865" spans="1:13" x14ac:dyDescent="0.25">
      <c r="A865" t="s">
        <v>6897</v>
      </c>
      <c r="B865" t="s">
        <v>13</v>
      </c>
      <c r="C865" t="s">
        <v>6898</v>
      </c>
      <c r="D865" t="s">
        <v>32135</v>
      </c>
      <c r="E865" s="2" t="s">
        <v>30912</v>
      </c>
      <c r="F865" t="s">
        <v>6899</v>
      </c>
      <c r="G865" t="s">
        <v>6900</v>
      </c>
      <c r="H865" t="s">
        <v>36</v>
      </c>
      <c r="I865" t="s">
        <v>19</v>
      </c>
      <c r="J865" s="3">
        <v>30617301</v>
      </c>
      <c r="K865" t="s">
        <v>6901</v>
      </c>
      <c r="L865" t="s">
        <v>32135</v>
      </c>
      <c r="M865" t="s">
        <v>741</v>
      </c>
    </row>
    <row r="866" spans="1:13" x14ac:dyDescent="0.25">
      <c r="A866" t="s">
        <v>29088</v>
      </c>
      <c r="B866" t="s">
        <v>13</v>
      </c>
      <c r="C866" t="s">
        <v>29089</v>
      </c>
      <c r="D866" t="s">
        <v>29090</v>
      </c>
      <c r="E866" t="s">
        <v>32274</v>
      </c>
      <c r="F866" t="s">
        <v>11031</v>
      </c>
      <c r="G866" t="s">
        <v>29091</v>
      </c>
      <c r="H866" t="s">
        <v>936</v>
      </c>
      <c r="I866" t="s">
        <v>19</v>
      </c>
      <c r="J866" s="3">
        <v>557132816455</v>
      </c>
      <c r="K866" t="s">
        <v>29092</v>
      </c>
      <c r="L866" t="s">
        <v>28311</v>
      </c>
      <c r="M866" t="s">
        <v>741</v>
      </c>
    </row>
    <row r="867" spans="1:13" x14ac:dyDescent="0.25">
      <c r="A867" t="s">
        <v>28307</v>
      </c>
      <c r="B867" t="s">
        <v>101</v>
      </c>
      <c r="C867" t="s">
        <v>25487</v>
      </c>
      <c r="D867" t="s">
        <v>28308</v>
      </c>
      <c r="E867" t="s">
        <v>32275</v>
      </c>
      <c r="F867" t="s">
        <v>741</v>
      </c>
      <c r="G867" t="s">
        <v>28309</v>
      </c>
      <c r="H867" t="s">
        <v>936</v>
      </c>
      <c r="I867" t="s">
        <v>19</v>
      </c>
      <c r="J867" s="3">
        <v>557132816455</v>
      </c>
      <c r="K867" t="s">
        <v>28310</v>
      </c>
      <c r="L867" t="s">
        <v>28311</v>
      </c>
      <c r="M867" t="s">
        <v>741</v>
      </c>
    </row>
    <row r="868" spans="1:13" x14ac:dyDescent="0.25">
      <c r="A868" t="s">
        <v>28312</v>
      </c>
      <c r="B868" t="s">
        <v>101</v>
      </c>
      <c r="C868" t="s">
        <v>25487</v>
      </c>
      <c r="D868" t="s">
        <v>28313</v>
      </c>
      <c r="E868" t="s">
        <v>28314</v>
      </c>
      <c r="F868" t="s">
        <v>741</v>
      </c>
      <c r="G868" t="s">
        <v>28309</v>
      </c>
      <c r="H868" t="s">
        <v>936</v>
      </c>
      <c r="I868" t="s">
        <v>19</v>
      </c>
      <c r="J868" s="3">
        <v>557132816455</v>
      </c>
      <c r="K868" t="s">
        <v>28310</v>
      </c>
      <c r="L868" t="s">
        <v>28311</v>
      </c>
      <c r="M868" t="s">
        <v>741</v>
      </c>
    </row>
    <row r="869" spans="1:13" x14ac:dyDescent="0.25">
      <c r="A869" t="s">
        <v>7062</v>
      </c>
      <c r="B869" t="s">
        <v>13</v>
      </c>
      <c r="C869" t="s">
        <v>7051</v>
      </c>
      <c r="D869" t="s">
        <v>7063</v>
      </c>
      <c r="E869" s="2" t="s">
        <v>30921</v>
      </c>
      <c r="F869" t="s">
        <v>7064</v>
      </c>
      <c r="G869" t="s">
        <v>7065</v>
      </c>
      <c r="H869" t="s">
        <v>45</v>
      </c>
      <c r="I869" t="s">
        <v>19</v>
      </c>
      <c r="J869" s="3" t="s">
        <v>7066</v>
      </c>
      <c r="K869" t="s">
        <v>7067</v>
      </c>
      <c r="L869" t="s">
        <v>32135</v>
      </c>
      <c r="M869" t="s">
        <v>337</v>
      </c>
    </row>
    <row r="870" spans="1:13" x14ac:dyDescent="0.25">
      <c r="A870" t="s">
        <v>4805</v>
      </c>
      <c r="B870" t="s">
        <v>13</v>
      </c>
      <c r="C870" s="1">
        <v>44867</v>
      </c>
      <c r="D870" t="s">
        <v>32135</v>
      </c>
      <c r="E870" t="s">
        <v>4806</v>
      </c>
      <c r="F870" t="s">
        <v>2097</v>
      </c>
      <c r="G870" t="s">
        <v>4807</v>
      </c>
      <c r="H870" t="s">
        <v>4808</v>
      </c>
      <c r="I870" t="s">
        <v>19</v>
      </c>
      <c r="J870" s="3">
        <v>5551993984540</v>
      </c>
      <c r="K870" t="s">
        <v>4809</v>
      </c>
      <c r="L870" t="s">
        <v>412</v>
      </c>
      <c r="M870" t="s">
        <v>32162</v>
      </c>
    </row>
    <row r="871" spans="1:13" x14ac:dyDescent="0.25">
      <c r="A871" t="s">
        <v>5060</v>
      </c>
      <c r="B871" t="s">
        <v>13</v>
      </c>
      <c r="C871" t="s">
        <v>5054</v>
      </c>
      <c r="D871" t="s">
        <v>5061</v>
      </c>
      <c r="E871" s="2" t="s">
        <v>31945</v>
      </c>
      <c r="F871" t="s">
        <v>5062</v>
      </c>
      <c r="G871" t="s">
        <v>5063</v>
      </c>
      <c r="H871" t="s">
        <v>36</v>
      </c>
      <c r="I871" t="s">
        <v>19</v>
      </c>
      <c r="J871" s="3">
        <f>55-11-995580730</f>
        <v>-995580686</v>
      </c>
      <c r="K871" t="s">
        <v>5064</v>
      </c>
      <c r="L871" t="s">
        <v>32135</v>
      </c>
      <c r="M871" t="s">
        <v>771</v>
      </c>
    </row>
    <row r="872" spans="1:13" x14ac:dyDescent="0.25">
      <c r="A872" t="s">
        <v>15495</v>
      </c>
      <c r="B872" t="s">
        <v>13</v>
      </c>
      <c r="C872" t="s">
        <v>8873</v>
      </c>
      <c r="D872" t="s">
        <v>15496</v>
      </c>
      <c r="E872" t="s">
        <v>15497</v>
      </c>
      <c r="F872" t="s">
        <v>1464</v>
      </c>
      <c r="G872" t="s">
        <v>15498</v>
      </c>
      <c r="H872" t="s">
        <v>472</v>
      </c>
      <c r="I872" t="s">
        <v>19</v>
      </c>
      <c r="J872" s="3" t="s">
        <v>15499</v>
      </c>
      <c r="K872" t="s">
        <v>15500</v>
      </c>
      <c r="L872" t="s">
        <v>2101</v>
      </c>
      <c r="M872" t="s">
        <v>337</v>
      </c>
    </row>
    <row r="873" spans="1:13" x14ac:dyDescent="0.25">
      <c r="A873" t="s">
        <v>13850</v>
      </c>
      <c r="B873" t="s">
        <v>13</v>
      </c>
      <c r="C873" t="s">
        <v>13838</v>
      </c>
      <c r="D873" t="s">
        <v>13851</v>
      </c>
      <c r="E873" t="s">
        <v>13852</v>
      </c>
      <c r="F873" t="s">
        <v>332</v>
      </c>
      <c r="G873" t="s">
        <v>13853</v>
      </c>
      <c r="H873" t="s">
        <v>428</v>
      </c>
      <c r="I873" t="s">
        <v>19</v>
      </c>
      <c r="J873" s="3">
        <v>5551992868538</v>
      </c>
      <c r="K873" t="s">
        <v>13854</v>
      </c>
      <c r="L873" t="s">
        <v>1295</v>
      </c>
      <c r="M873" t="s">
        <v>337</v>
      </c>
    </row>
    <row r="874" spans="1:13" x14ac:dyDescent="0.25">
      <c r="A874" t="s">
        <v>15998</v>
      </c>
      <c r="B874" t="s">
        <v>13</v>
      </c>
      <c r="C874" t="s">
        <v>15974</v>
      </c>
      <c r="D874" t="s">
        <v>15999</v>
      </c>
      <c r="E874" t="s">
        <v>16000</v>
      </c>
      <c r="F874" t="s">
        <v>332</v>
      </c>
      <c r="G874" t="s">
        <v>1064</v>
      </c>
      <c r="H874" t="s">
        <v>36</v>
      </c>
      <c r="I874" t="s">
        <v>19</v>
      </c>
      <c r="J874" s="3">
        <f>55-11-30917418</f>
        <v>-30917374</v>
      </c>
      <c r="K874" t="s">
        <v>1066</v>
      </c>
      <c r="L874" t="s">
        <v>16001</v>
      </c>
      <c r="M874" t="s">
        <v>337</v>
      </c>
    </row>
    <row r="875" spans="1:13" x14ac:dyDescent="0.25">
      <c r="A875" t="s">
        <v>29657</v>
      </c>
      <c r="B875" t="s">
        <v>13</v>
      </c>
      <c r="C875" t="s">
        <v>29658</v>
      </c>
      <c r="D875" t="s">
        <v>29659</v>
      </c>
      <c r="E875" t="s">
        <v>29660</v>
      </c>
      <c r="F875" t="s">
        <v>2947</v>
      </c>
      <c r="G875" t="s">
        <v>29661</v>
      </c>
      <c r="H875" t="s">
        <v>409</v>
      </c>
      <c r="I875" t="s">
        <v>19</v>
      </c>
      <c r="J875" s="3" t="s">
        <v>29662</v>
      </c>
      <c r="K875" t="s">
        <v>29663</v>
      </c>
      <c r="L875" t="s">
        <v>29664</v>
      </c>
      <c r="M875" t="s">
        <v>771</v>
      </c>
    </row>
    <row r="876" spans="1:13" x14ac:dyDescent="0.25">
      <c r="A876" t="s">
        <v>21623</v>
      </c>
      <c r="B876" t="s">
        <v>13</v>
      </c>
      <c r="C876" s="1">
        <v>43286</v>
      </c>
      <c r="D876" t="s">
        <v>21624</v>
      </c>
      <c r="E876" t="s">
        <v>21625</v>
      </c>
      <c r="F876" t="s">
        <v>224</v>
      </c>
      <c r="G876" t="s">
        <v>21626</v>
      </c>
      <c r="H876" t="s">
        <v>195</v>
      </c>
      <c r="I876" t="s">
        <v>19</v>
      </c>
      <c r="J876" s="3">
        <v>5501633519578</v>
      </c>
      <c r="K876" t="s">
        <v>21627</v>
      </c>
      <c r="L876" t="s">
        <v>197</v>
      </c>
      <c r="M876" t="s">
        <v>224</v>
      </c>
    </row>
    <row r="877" spans="1:13" x14ac:dyDescent="0.25">
      <c r="A877" t="s">
        <v>29158</v>
      </c>
      <c r="B877" t="s">
        <v>13</v>
      </c>
      <c r="C877" t="s">
        <v>29159</v>
      </c>
      <c r="D877" t="s">
        <v>29160</v>
      </c>
      <c r="E877" t="s">
        <v>29161</v>
      </c>
      <c r="F877" t="s">
        <v>741</v>
      </c>
      <c r="G877" t="s">
        <v>29162</v>
      </c>
      <c r="H877" t="s">
        <v>1656</v>
      </c>
      <c r="I877" t="s">
        <v>19</v>
      </c>
      <c r="J877" s="3" t="s">
        <v>29163</v>
      </c>
      <c r="K877" t="s">
        <v>29164</v>
      </c>
      <c r="L877" t="s">
        <v>29165</v>
      </c>
      <c r="M877" t="s">
        <v>741</v>
      </c>
    </row>
    <row r="878" spans="1:13" x14ac:dyDescent="0.25">
      <c r="A878" t="s">
        <v>30215</v>
      </c>
      <c r="B878" t="s">
        <v>13</v>
      </c>
      <c r="C878" s="1">
        <v>41155</v>
      </c>
      <c r="D878" t="s">
        <v>30216</v>
      </c>
      <c r="E878" t="s">
        <v>30217</v>
      </c>
      <c r="F878" t="s">
        <v>2947</v>
      </c>
      <c r="G878" t="s">
        <v>30218</v>
      </c>
      <c r="H878" t="s">
        <v>88</v>
      </c>
      <c r="I878" t="s">
        <v>19</v>
      </c>
      <c r="J878" s="3" t="s">
        <v>30219</v>
      </c>
      <c r="K878" t="s">
        <v>30220</v>
      </c>
      <c r="L878" t="s">
        <v>91</v>
      </c>
      <c r="M878" t="s">
        <v>771</v>
      </c>
    </row>
    <row r="879" spans="1:13" x14ac:dyDescent="0.25">
      <c r="A879" t="s">
        <v>28027</v>
      </c>
      <c r="B879" t="s">
        <v>13</v>
      </c>
      <c r="C879" s="1">
        <v>42222</v>
      </c>
      <c r="D879" t="s">
        <v>28028</v>
      </c>
      <c r="E879" t="s">
        <v>28029</v>
      </c>
      <c r="F879" t="s">
        <v>771</v>
      </c>
      <c r="G879" t="s">
        <v>28030</v>
      </c>
      <c r="H879" t="s">
        <v>428</v>
      </c>
      <c r="I879" t="s">
        <v>19</v>
      </c>
      <c r="J879" s="3" t="s">
        <v>28031</v>
      </c>
      <c r="K879" t="s">
        <v>28032</v>
      </c>
      <c r="L879" t="s">
        <v>1269</v>
      </c>
      <c r="M879" t="s">
        <v>771</v>
      </c>
    </row>
    <row r="880" spans="1:13" x14ac:dyDescent="0.25">
      <c r="A880" t="s">
        <v>29849</v>
      </c>
      <c r="B880" t="s">
        <v>13</v>
      </c>
      <c r="C880" t="s">
        <v>14184</v>
      </c>
      <c r="D880" t="s">
        <v>29850</v>
      </c>
      <c r="E880" t="s">
        <v>5428</v>
      </c>
      <c r="F880" t="s">
        <v>129</v>
      </c>
      <c r="G880" t="s">
        <v>29851</v>
      </c>
      <c r="H880" t="s">
        <v>105</v>
      </c>
      <c r="I880" t="s">
        <v>19</v>
      </c>
      <c r="J880" s="3" t="s">
        <v>29852</v>
      </c>
      <c r="K880" t="s">
        <v>29853</v>
      </c>
      <c r="L880" t="s">
        <v>29854</v>
      </c>
      <c r="M880" t="s">
        <v>129</v>
      </c>
    </row>
    <row r="881" spans="1:13" x14ac:dyDescent="0.25">
      <c r="A881" t="s">
        <v>2668</v>
      </c>
      <c r="B881" t="s">
        <v>13</v>
      </c>
      <c r="C881" s="1">
        <v>44689</v>
      </c>
      <c r="D881" t="s">
        <v>32135</v>
      </c>
      <c r="E881" t="s">
        <v>2669</v>
      </c>
      <c r="F881" t="s">
        <v>2670</v>
      </c>
      <c r="G881" t="s">
        <v>2671</v>
      </c>
      <c r="H881" t="s">
        <v>2672</v>
      </c>
      <c r="I881" t="s">
        <v>19</v>
      </c>
      <c r="J881" s="3">
        <v>551126617167</v>
      </c>
      <c r="K881" t="s">
        <v>2673</v>
      </c>
      <c r="L881" t="s">
        <v>2674</v>
      </c>
      <c r="M881" t="s">
        <v>129</v>
      </c>
    </row>
    <row r="882" spans="1:13" x14ac:dyDescent="0.25">
      <c r="A882" t="s">
        <v>20376</v>
      </c>
      <c r="B882" t="s">
        <v>13</v>
      </c>
      <c r="C882" t="s">
        <v>12154</v>
      </c>
      <c r="D882" t="s">
        <v>20377</v>
      </c>
      <c r="E882" t="s">
        <v>5428</v>
      </c>
      <c r="F882" t="s">
        <v>8193</v>
      </c>
      <c r="G882" t="s">
        <v>20378</v>
      </c>
      <c r="H882" t="s">
        <v>472</v>
      </c>
      <c r="I882" t="s">
        <v>19</v>
      </c>
      <c r="J882" s="3">
        <f>55-81-998216093</f>
        <v>-998216119</v>
      </c>
      <c r="K882" t="s">
        <v>20379</v>
      </c>
      <c r="L882" t="s">
        <v>2101</v>
      </c>
      <c r="M882" t="s">
        <v>129</v>
      </c>
    </row>
    <row r="883" spans="1:13" x14ac:dyDescent="0.25">
      <c r="A883" t="s">
        <v>27297</v>
      </c>
      <c r="B883" t="s">
        <v>13</v>
      </c>
      <c r="C883" t="s">
        <v>27294</v>
      </c>
      <c r="D883" t="s">
        <v>27298</v>
      </c>
      <c r="E883" t="s">
        <v>23335</v>
      </c>
      <c r="F883" t="s">
        <v>1464</v>
      </c>
      <c r="G883" t="s">
        <v>27299</v>
      </c>
      <c r="H883" t="s">
        <v>428</v>
      </c>
      <c r="I883" t="s">
        <v>19</v>
      </c>
      <c r="J883" s="3" t="s">
        <v>27300</v>
      </c>
      <c r="K883" t="s">
        <v>27301</v>
      </c>
      <c r="L883" t="s">
        <v>26833</v>
      </c>
      <c r="M883" t="s">
        <v>129</v>
      </c>
    </row>
    <row r="884" spans="1:13" x14ac:dyDescent="0.25">
      <c r="A884" t="s">
        <v>17131</v>
      </c>
      <c r="B884" t="s">
        <v>13</v>
      </c>
      <c r="C884" s="1">
        <v>42372</v>
      </c>
      <c r="D884" t="s">
        <v>17132</v>
      </c>
      <c r="E884" t="s">
        <v>5428</v>
      </c>
      <c r="F884" t="s">
        <v>1464</v>
      </c>
      <c r="G884" t="s">
        <v>17133</v>
      </c>
      <c r="H884" t="s">
        <v>428</v>
      </c>
      <c r="I884" t="s">
        <v>19</v>
      </c>
      <c r="J884" s="3" t="s">
        <v>17134</v>
      </c>
      <c r="K884" t="s">
        <v>17135</v>
      </c>
      <c r="L884" t="s">
        <v>17136</v>
      </c>
      <c r="M884" t="s">
        <v>129</v>
      </c>
    </row>
    <row r="885" spans="1:13" x14ac:dyDescent="0.25">
      <c r="A885" t="s">
        <v>16087</v>
      </c>
      <c r="B885" t="s">
        <v>13</v>
      </c>
      <c r="C885" t="s">
        <v>7263</v>
      </c>
      <c r="D885" t="s">
        <v>16088</v>
      </c>
      <c r="E885" t="s">
        <v>5428</v>
      </c>
      <c r="F885" t="s">
        <v>1464</v>
      </c>
      <c r="G885" t="s">
        <v>16089</v>
      </c>
      <c r="H885" t="s">
        <v>28</v>
      </c>
      <c r="I885" t="s">
        <v>19</v>
      </c>
      <c r="J885" s="3">
        <f>55-32-2102-3843</f>
        <v>-5922</v>
      </c>
      <c r="K885" t="s">
        <v>16090</v>
      </c>
      <c r="L885" t="s">
        <v>923</v>
      </c>
      <c r="M885" t="s">
        <v>129</v>
      </c>
    </row>
    <row r="886" spans="1:13" x14ac:dyDescent="0.25">
      <c r="A886" t="s">
        <v>23652</v>
      </c>
      <c r="B886" t="s">
        <v>13</v>
      </c>
      <c r="C886" t="s">
        <v>8680</v>
      </c>
      <c r="D886" t="s">
        <v>23653</v>
      </c>
      <c r="E886" t="s">
        <v>23335</v>
      </c>
      <c r="F886" t="s">
        <v>9929</v>
      </c>
      <c r="G886" t="s">
        <v>23654</v>
      </c>
      <c r="H886" t="s">
        <v>299</v>
      </c>
      <c r="I886" t="s">
        <v>19</v>
      </c>
      <c r="J886" s="3" t="s">
        <v>23655</v>
      </c>
      <c r="K886" t="s">
        <v>23656</v>
      </c>
      <c r="L886" t="s">
        <v>3441</v>
      </c>
      <c r="M886" t="s">
        <v>129</v>
      </c>
    </row>
    <row r="887" spans="1:13" x14ac:dyDescent="0.25">
      <c r="A887" t="s">
        <v>22960</v>
      </c>
      <c r="B887" t="s">
        <v>13</v>
      </c>
      <c r="C887" s="1">
        <v>42222</v>
      </c>
      <c r="D887" t="s">
        <v>22961</v>
      </c>
      <c r="E887" t="s">
        <v>22962</v>
      </c>
      <c r="F887" t="s">
        <v>129</v>
      </c>
      <c r="G887" t="s">
        <v>22963</v>
      </c>
      <c r="H887" t="s">
        <v>53</v>
      </c>
      <c r="I887" t="s">
        <v>19</v>
      </c>
      <c r="J887" s="3" t="s">
        <v>22964</v>
      </c>
      <c r="K887" t="s">
        <v>22965</v>
      </c>
      <c r="L887" t="s">
        <v>56</v>
      </c>
      <c r="M887" t="s">
        <v>129</v>
      </c>
    </row>
    <row r="888" spans="1:13" x14ac:dyDescent="0.25">
      <c r="A888" t="s">
        <v>27116</v>
      </c>
      <c r="B888" t="s">
        <v>13</v>
      </c>
      <c r="C888" s="1">
        <v>42705</v>
      </c>
      <c r="D888" t="s">
        <v>27117</v>
      </c>
      <c r="E888" t="s">
        <v>32276</v>
      </c>
      <c r="F888" t="s">
        <v>771</v>
      </c>
      <c r="G888" t="s">
        <v>27118</v>
      </c>
      <c r="H888" t="s">
        <v>27119</v>
      </c>
      <c r="I888" t="s">
        <v>19</v>
      </c>
      <c r="J888" s="3" t="s">
        <v>27120</v>
      </c>
      <c r="K888" t="s">
        <v>27121</v>
      </c>
      <c r="L888" t="s">
        <v>27122</v>
      </c>
      <c r="M888" t="s">
        <v>771</v>
      </c>
    </row>
    <row r="889" spans="1:13" x14ac:dyDescent="0.25">
      <c r="A889" t="s">
        <v>23055</v>
      </c>
      <c r="B889" t="s">
        <v>13</v>
      </c>
      <c r="C889" t="s">
        <v>12029</v>
      </c>
      <c r="D889" t="s">
        <v>23056</v>
      </c>
      <c r="E889" t="s">
        <v>23057</v>
      </c>
      <c r="F889" t="s">
        <v>117</v>
      </c>
      <c r="G889" t="s">
        <v>23058</v>
      </c>
      <c r="H889" t="s">
        <v>2685</v>
      </c>
      <c r="I889" t="s">
        <v>19</v>
      </c>
      <c r="J889" s="3" t="s">
        <v>23059</v>
      </c>
      <c r="K889" t="s">
        <v>23060</v>
      </c>
      <c r="L889" t="s">
        <v>2621</v>
      </c>
      <c r="M889" t="s">
        <v>32145</v>
      </c>
    </row>
    <row r="890" spans="1:13" x14ac:dyDescent="0.25">
      <c r="A890" t="s">
        <v>25178</v>
      </c>
      <c r="B890" t="s">
        <v>13</v>
      </c>
      <c r="C890" s="1">
        <v>42380</v>
      </c>
      <c r="D890" t="s">
        <v>25179</v>
      </c>
      <c r="E890" t="s">
        <v>25180</v>
      </c>
      <c r="F890" t="s">
        <v>129</v>
      </c>
      <c r="G890" t="s">
        <v>25181</v>
      </c>
      <c r="H890" t="s">
        <v>114</v>
      </c>
      <c r="I890" t="s">
        <v>19</v>
      </c>
      <c r="J890" s="3" t="s">
        <v>25182</v>
      </c>
      <c r="K890" t="s">
        <v>25183</v>
      </c>
      <c r="L890" t="s">
        <v>10657</v>
      </c>
      <c r="M890" t="s">
        <v>129</v>
      </c>
    </row>
    <row r="891" spans="1:13" x14ac:dyDescent="0.25">
      <c r="A891" t="s">
        <v>12682</v>
      </c>
      <c r="B891" t="s">
        <v>13</v>
      </c>
      <c r="C891" t="s">
        <v>7663</v>
      </c>
      <c r="D891" t="s">
        <v>12683</v>
      </c>
      <c r="E891" t="s">
        <v>12684</v>
      </c>
      <c r="F891" t="s">
        <v>1464</v>
      </c>
      <c r="G891" t="s">
        <v>12685</v>
      </c>
      <c r="H891" t="s">
        <v>2395</v>
      </c>
      <c r="I891" t="s">
        <v>19</v>
      </c>
      <c r="J891" s="3">
        <v>5584998171947</v>
      </c>
      <c r="K891" t="s">
        <v>12686</v>
      </c>
      <c r="L891" t="s">
        <v>1880</v>
      </c>
      <c r="M891" t="s">
        <v>129</v>
      </c>
    </row>
    <row r="892" spans="1:13" x14ac:dyDescent="0.25">
      <c r="A892" t="s">
        <v>23257</v>
      </c>
      <c r="B892" t="s">
        <v>13</v>
      </c>
      <c r="C892" t="s">
        <v>23258</v>
      </c>
      <c r="D892" t="s">
        <v>23259</v>
      </c>
      <c r="E892" t="s">
        <v>23260</v>
      </c>
      <c r="F892" t="s">
        <v>1464</v>
      </c>
      <c r="G892" t="s">
        <v>23261</v>
      </c>
      <c r="H892" t="s">
        <v>299</v>
      </c>
      <c r="I892" t="s">
        <v>19</v>
      </c>
      <c r="J892" s="3">
        <v>5514997980427</v>
      </c>
      <c r="K892" t="s">
        <v>23262</v>
      </c>
      <c r="L892" t="s">
        <v>2621</v>
      </c>
      <c r="M892" t="s">
        <v>129</v>
      </c>
    </row>
    <row r="893" spans="1:13" x14ac:dyDescent="0.25">
      <c r="A893" t="s">
        <v>23333</v>
      </c>
      <c r="B893" t="s">
        <v>13</v>
      </c>
      <c r="C893" t="s">
        <v>23294</v>
      </c>
      <c r="D893" t="s">
        <v>23334</v>
      </c>
      <c r="E893" s="2" t="s">
        <v>31875</v>
      </c>
      <c r="F893" t="s">
        <v>129</v>
      </c>
      <c r="G893" t="s">
        <v>23336</v>
      </c>
      <c r="H893" t="s">
        <v>1027</v>
      </c>
      <c r="I893" t="s">
        <v>19</v>
      </c>
      <c r="J893" s="3" t="s">
        <v>15722</v>
      </c>
      <c r="K893" t="s">
        <v>23337</v>
      </c>
      <c r="L893" t="s">
        <v>1030</v>
      </c>
      <c r="M893" t="s">
        <v>129</v>
      </c>
    </row>
    <row r="894" spans="1:13" x14ac:dyDescent="0.25">
      <c r="A894" t="s">
        <v>6379</v>
      </c>
      <c r="B894" t="s">
        <v>13</v>
      </c>
      <c r="C894" t="s">
        <v>6375</v>
      </c>
      <c r="D894" t="s">
        <v>6380</v>
      </c>
      <c r="E894" t="s">
        <v>6381</v>
      </c>
      <c r="F894" t="s">
        <v>117</v>
      </c>
      <c r="G894" t="s">
        <v>6382</v>
      </c>
      <c r="H894" t="s">
        <v>36</v>
      </c>
      <c r="I894" t="s">
        <v>19</v>
      </c>
      <c r="J894" s="3">
        <v>1159048499</v>
      </c>
      <c r="K894" t="s">
        <v>6383</v>
      </c>
      <c r="L894" t="s">
        <v>6384</v>
      </c>
      <c r="M894" t="s">
        <v>32145</v>
      </c>
    </row>
    <row r="895" spans="1:13" x14ac:dyDescent="0.25">
      <c r="A895" t="s">
        <v>29926</v>
      </c>
      <c r="B895" t="s">
        <v>13</v>
      </c>
      <c r="C895" t="s">
        <v>14184</v>
      </c>
      <c r="D895" t="s">
        <v>29927</v>
      </c>
      <c r="E895" t="s">
        <v>29928</v>
      </c>
      <c r="F895" t="s">
        <v>1464</v>
      </c>
      <c r="G895" t="s">
        <v>29929</v>
      </c>
      <c r="H895" t="s">
        <v>36</v>
      </c>
      <c r="I895" t="s">
        <v>19</v>
      </c>
      <c r="J895" s="3">
        <v>551159048499</v>
      </c>
      <c r="K895" t="s">
        <v>6383</v>
      </c>
      <c r="L895" t="s">
        <v>29930</v>
      </c>
      <c r="M895" t="s">
        <v>129</v>
      </c>
    </row>
    <row r="896" spans="1:13" x14ac:dyDescent="0.25">
      <c r="A896" t="s">
        <v>28057</v>
      </c>
      <c r="B896" t="s">
        <v>13</v>
      </c>
      <c r="C896" s="1">
        <v>42130</v>
      </c>
      <c r="D896" t="s">
        <v>28058</v>
      </c>
      <c r="E896" t="s">
        <v>28059</v>
      </c>
      <c r="F896" t="s">
        <v>2947</v>
      </c>
      <c r="G896" t="s">
        <v>28060</v>
      </c>
      <c r="H896" t="s">
        <v>36</v>
      </c>
      <c r="I896" t="s">
        <v>19</v>
      </c>
      <c r="J896" s="3" t="s">
        <v>28061</v>
      </c>
      <c r="K896" t="s">
        <v>28062</v>
      </c>
      <c r="L896" t="s">
        <v>2725</v>
      </c>
      <c r="M896" t="s">
        <v>771</v>
      </c>
    </row>
    <row r="897" spans="1:13" x14ac:dyDescent="0.25">
      <c r="A897" t="s">
        <v>29409</v>
      </c>
      <c r="B897" t="s">
        <v>13</v>
      </c>
      <c r="C897" s="1">
        <v>41283</v>
      </c>
      <c r="D897" t="s">
        <v>29410</v>
      </c>
      <c r="E897" t="s">
        <v>11281</v>
      </c>
      <c r="F897" t="s">
        <v>1464</v>
      </c>
      <c r="G897" t="s">
        <v>29411</v>
      </c>
      <c r="H897" t="s">
        <v>36</v>
      </c>
      <c r="I897" t="s">
        <v>19</v>
      </c>
      <c r="J897" s="3" t="s">
        <v>29412</v>
      </c>
      <c r="K897" t="s">
        <v>29413</v>
      </c>
      <c r="L897" t="s">
        <v>29414</v>
      </c>
      <c r="M897" t="s">
        <v>129</v>
      </c>
    </row>
    <row r="898" spans="1:13" x14ac:dyDescent="0.25">
      <c r="A898" t="s">
        <v>11279</v>
      </c>
      <c r="B898" t="s">
        <v>13</v>
      </c>
      <c r="C898" t="s">
        <v>11266</v>
      </c>
      <c r="D898" t="s">
        <v>11280</v>
      </c>
      <c r="E898" t="s">
        <v>11281</v>
      </c>
      <c r="F898" t="s">
        <v>1464</v>
      </c>
      <c r="G898" t="s">
        <v>9040</v>
      </c>
      <c r="H898" t="s">
        <v>4808</v>
      </c>
      <c r="I898" t="s">
        <v>19</v>
      </c>
      <c r="J898" s="3">
        <f>55-51-996497380</f>
        <v>-996497376</v>
      </c>
      <c r="K898" t="s">
        <v>9041</v>
      </c>
      <c r="L898" t="s">
        <v>993</v>
      </c>
      <c r="M898" t="s">
        <v>129</v>
      </c>
    </row>
    <row r="899" spans="1:13" x14ac:dyDescent="0.25">
      <c r="A899" t="s">
        <v>5425</v>
      </c>
      <c r="B899" t="s">
        <v>13</v>
      </c>
      <c r="C899" s="1">
        <v>44420</v>
      </c>
      <c r="D899" t="s">
        <v>5426</v>
      </c>
      <c r="E899" t="s">
        <v>5427</v>
      </c>
      <c r="F899" t="s">
        <v>5428</v>
      </c>
      <c r="G899" t="s">
        <v>3254</v>
      </c>
      <c r="H899" t="s">
        <v>299</v>
      </c>
      <c r="I899" t="s">
        <v>19</v>
      </c>
      <c r="J899" s="3" t="s">
        <v>5429</v>
      </c>
      <c r="K899" t="s">
        <v>5430</v>
      </c>
      <c r="L899" t="s">
        <v>32135</v>
      </c>
      <c r="M899" t="s">
        <v>129</v>
      </c>
    </row>
    <row r="900" spans="1:13" x14ac:dyDescent="0.25">
      <c r="A900" t="s">
        <v>28764</v>
      </c>
      <c r="B900" t="s">
        <v>13</v>
      </c>
      <c r="C900" s="1">
        <v>41894</v>
      </c>
      <c r="D900" t="s">
        <v>28765</v>
      </c>
      <c r="E900" t="s">
        <v>28766</v>
      </c>
      <c r="F900" t="s">
        <v>10546</v>
      </c>
      <c r="G900" t="s">
        <v>28767</v>
      </c>
      <c r="H900" t="s">
        <v>255</v>
      </c>
      <c r="I900" t="s">
        <v>19</v>
      </c>
      <c r="J900" s="3">
        <v>6292909225</v>
      </c>
      <c r="K900" t="s">
        <v>28768</v>
      </c>
      <c r="L900" t="s">
        <v>2467</v>
      </c>
      <c r="M900" t="s">
        <v>129</v>
      </c>
    </row>
    <row r="901" spans="1:13" x14ac:dyDescent="0.25">
      <c r="A901" t="s">
        <v>7933</v>
      </c>
      <c r="B901" t="s">
        <v>13</v>
      </c>
      <c r="C901" s="1">
        <v>43075</v>
      </c>
      <c r="D901" t="s">
        <v>7934</v>
      </c>
      <c r="E901" t="s">
        <v>7935</v>
      </c>
      <c r="F901" t="s">
        <v>129</v>
      </c>
      <c r="G901" t="s">
        <v>7936</v>
      </c>
      <c r="H901" t="s">
        <v>299</v>
      </c>
      <c r="I901" t="s">
        <v>19</v>
      </c>
      <c r="J901" s="3" t="s">
        <v>7937</v>
      </c>
      <c r="K901" t="s">
        <v>7938</v>
      </c>
      <c r="L901" t="s">
        <v>7939</v>
      </c>
      <c r="M901" t="s">
        <v>129</v>
      </c>
    </row>
    <row r="902" spans="1:13" x14ac:dyDescent="0.25">
      <c r="A902" t="s">
        <v>27959</v>
      </c>
      <c r="B902" t="s">
        <v>13</v>
      </c>
      <c r="C902" t="s">
        <v>27960</v>
      </c>
      <c r="D902" t="s">
        <v>27961</v>
      </c>
      <c r="E902" t="s">
        <v>27962</v>
      </c>
      <c r="F902" t="s">
        <v>129</v>
      </c>
      <c r="G902" t="s">
        <v>27963</v>
      </c>
      <c r="H902" t="s">
        <v>255</v>
      </c>
      <c r="I902" t="s">
        <v>19</v>
      </c>
      <c r="J902" s="3" t="s">
        <v>27964</v>
      </c>
      <c r="K902" t="s">
        <v>27965</v>
      </c>
      <c r="L902" t="s">
        <v>27966</v>
      </c>
      <c r="M902" t="s">
        <v>129</v>
      </c>
    </row>
    <row r="903" spans="1:13" x14ac:dyDescent="0.25">
      <c r="A903" t="s">
        <v>27971</v>
      </c>
      <c r="B903" t="s">
        <v>13</v>
      </c>
      <c r="C903" s="1">
        <v>42344</v>
      </c>
      <c r="D903" t="s">
        <v>27972</v>
      </c>
      <c r="E903" t="s">
        <v>27973</v>
      </c>
      <c r="F903" t="s">
        <v>6686</v>
      </c>
      <c r="G903" t="s">
        <v>27974</v>
      </c>
      <c r="H903" t="s">
        <v>18</v>
      </c>
      <c r="I903" t="s">
        <v>19</v>
      </c>
      <c r="J903" s="3" t="s">
        <v>27975</v>
      </c>
      <c r="K903" t="s">
        <v>27976</v>
      </c>
      <c r="L903" t="s">
        <v>12159</v>
      </c>
      <c r="M903" t="s">
        <v>337</v>
      </c>
    </row>
    <row r="904" spans="1:13" x14ac:dyDescent="0.25">
      <c r="A904" t="s">
        <v>2007</v>
      </c>
      <c r="B904" t="s">
        <v>13</v>
      </c>
      <c r="C904" t="s">
        <v>1980</v>
      </c>
      <c r="D904" t="s">
        <v>2008</v>
      </c>
      <c r="E904" t="s">
        <v>2009</v>
      </c>
      <c r="F904" t="s">
        <v>210</v>
      </c>
      <c r="G904" t="s">
        <v>2010</v>
      </c>
      <c r="H904" t="s">
        <v>28</v>
      </c>
      <c r="I904" t="s">
        <v>19</v>
      </c>
      <c r="J904" s="3">
        <f>55-32-40095322</f>
        <v>-40095299</v>
      </c>
      <c r="K904" t="s">
        <v>2011</v>
      </c>
      <c r="L904" t="s">
        <v>2012</v>
      </c>
      <c r="M904" t="s">
        <v>32147</v>
      </c>
    </row>
    <row r="905" spans="1:13" x14ac:dyDescent="0.25">
      <c r="A905" t="s">
        <v>3238</v>
      </c>
      <c r="B905" t="s">
        <v>13</v>
      </c>
      <c r="C905" t="s">
        <v>3239</v>
      </c>
      <c r="D905" t="s">
        <v>32135</v>
      </c>
      <c r="E905" t="s">
        <v>3240</v>
      </c>
      <c r="F905" t="s">
        <v>2056</v>
      </c>
      <c r="G905" t="s">
        <v>3241</v>
      </c>
      <c r="H905" t="s">
        <v>489</v>
      </c>
      <c r="I905" t="s">
        <v>19</v>
      </c>
      <c r="J905" s="3">
        <v>5541999944080</v>
      </c>
      <c r="K905" t="s">
        <v>3242</v>
      </c>
      <c r="L905" t="s">
        <v>625</v>
      </c>
      <c r="M905" t="s">
        <v>57</v>
      </c>
    </row>
    <row r="906" spans="1:13" x14ac:dyDescent="0.25">
      <c r="A906" t="s">
        <v>22803</v>
      </c>
      <c r="B906" t="s">
        <v>13</v>
      </c>
      <c r="C906" t="s">
        <v>22753</v>
      </c>
      <c r="D906" t="s">
        <v>22804</v>
      </c>
      <c r="E906" t="s">
        <v>22805</v>
      </c>
      <c r="F906" t="s">
        <v>2036</v>
      </c>
      <c r="G906" t="s">
        <v>18426</v>
      </c>
      <c r="H906" t="s">
        <v>503</v>
      </c>
      <c r="I906" t="s">
        <v>19</v>
      </c>
      <c r="J906" s="3" t="s">
        <v>9848</v>
      </c>
      <c r="K906" t="s">
        <v>18428</v>
      </c>
      <c r="L906" t="s">
        <v>412</v>
      </c>
      <c r="M906" t="s">
        <v>57</v>
      </c>
    </row>
    <row r="907" spans="1:13" x14ac:dyDescent="0.25">
      <c r="A907" t="s">
        <v>29584</v>
      </c>
      <c r="B907" t="s">
        <v>13</v>
      </c>
      <c r="C907" t="s">
        <v>29585</v>
      </c>
      <c r="D907" t="s">
        <v>29586</v>
      </c>
      <c r="E907" t="s">
        <v>3240</v>
      </c>
      <c r="F907" t="s">
        <v>2036</v>
      </c>
      <c r="G907" t="s">
        <v>29587</v>
      </c>
      <c r="H907" t="s">
        <v>36</v>
      </c>
      <c r="I907" t="s">
        <v>19</v>
      </c>
      <c r="J907" s="3" t="s">
        <v>29588</v>
      </c>
      <c r="K907" t="s">
        <v>29589</v>
      </c>
      <c r="L907" t="s">
        <v>14188</v>
      </c>
      <c r="M907" t="s">
        <v>57</v>
      </c>
    </row>
    <row r="908" spans="1:13" x14ac:dyDescent="0.25">
      <c r="A908" t="s">
        <v>29869</v>
      </c>
      <c r="B908" t="s">
        <v>13</v>
      </c>
      <c r="C908" s="1">
        <v>40705</v>
      </c>
      <c r="D908" t="s">
        <v>29870</v>
      </c>
      <c r="E908" t="s">
        <v>29871</v>
      </c>
      <c r="F908" t="s">
        <v>2036</v>
      </c>
      <c r="G908" t="s">
        <v>29587</v>
      </c>
      <c r="H908" t="s">
        <v>36</v>
      </c>
      <c r="I908" t="s">
        <v>19</v>
      </c>
      <c r="J908" s="3" t="s">
        <v>29588</v>
      </c>
      <c r="K908" t="s">
        <v>29589</v>
      </c>
      <c r="L908" t="s">
        <v>14188</v>
      </c>
      <c r="M908" t="s">
        <v>57</v>
      </c>
    </row>
    <row r="909" spans="1:13" x14ac:dyDescent="0.25">
      <c r="A909" t="s">
        <v>9371</v>
      </c>
      <c r="B909" t="s">
        <v>13</v>
      </c>
      <c r="C909" t="s">
        <v>9372</v>
      </c>
      <c r="D909" t="s">
        <v>9373</v>
      </c>
      <c r="E909" t="s">
        <v>32769</v>
      </c>
      <c r="F909" t="s">
        <v>57</v>
      </c>
      <c r="G909" t="s">
        <v>9374</v>
      </c>
      <c r="H909" t="s">
        <v>45</v>
      </c>
      <c r="I909" t="s">
        <v>19</v>
      </c>
      <c r="J909" s="3" t="s">
        <v>1907</v>
      </c>
      <c r="K909" t="s">
        <v>9375</v>
      </c>
      <c r="L909" t="s">
        <v>1909</v>
      </c>
      <c r="M909" t="s">
        <v>57</v>
      </c>
    </row>
    <row r="910" spans="1:13" x14ac:dyDescent="0.25">
      <c r="A910" t="s">
        <v>10882</v>
      </c>
      <c r="B910" t="s">
        <v>13</v>
      </c>
      <c r="C910" t="s">
        <v>10027</v>
      </c>
      <c r="D910" t="s">
        <v>10883</v>
      </c>
      <c r="E910" t="s">
        <v>10884</v>
      </c>
      <c r="F910" t="s">
        <v>1349</v>
      </c>
      <c r="G910" t="s">
        <v>10885</v>
      </c>
      <c r="H910" t="s">
        <v>18</v>
      </c>
      <c r="I910" t="s">
        <v>19</v>
      </c>
      <c r="J910" s="3" t="s">
        <v>10886</v>
      </c>
      <c r="K910" t="s">
        <v>10887</v>
      </c>
      <c r="L910" t="s">
        <v>10888</v>
      </c>
      <c r="M910" t="s">
        <v>1349</v>
      </c>
    </row>
    <row r="911" spans="1:13" x14ac:dyDescent="0.25">
      <c r="A911" t="s">
        <v>14527</v>
      </c>
      <c r="B911" t="s">
        <v>13</v>
      </c>
      <c r="C911" t="s">
        <v>7069</v>
      </c>
      <c r="D911" t="s">
        <v>14528</v>
      </c>
      <c r="E911" t="s">
        <v>14529</v>
      </c>
      <c r="F911" t="s">
        <v>9327</v>
      </c>
      <c r="G911" t="s">
        <v>14530</v>
      </c>
      <c r="H911" t="s">
        <v>265</v>
      </c>
      <c r="I911" t="s">
        <v>19</v>
      </c>
      <c r="J911" s="3" t="s">
        <v>14531</v>
      </c>
      <c r="K911" t="s">
        <v>14532</v>
      </c>
      <c r="L911" t="s">
        <v>14533</v>
      </c>
      <c r="M911" t="s">
        <v>1304</v>
      </c>
    </row>
    <row r="912" spans="1:13" x14ac:dyDescent="0.25">
      <c r="A912" t="s">
        <v>19298</v>
      </c>
      <c r="B912" t="s">
        <v>13</v>
      </c>
      <c r="C912" s="1">
        <v>43383</v>
      </c>
      <c r="D912" t="s">
        <v>19299</v>
      </c>
      <c r="E912" t="s">
        <v>14529</v>
      </c>
      <c r="F912" t="s">
        <v>19300</v>
      </c>
      <c r="G912" t="s">
        <v>12249</v>
      </c>
      <c r="H912" t="s">
        <v>18</v>
      </c>
      <c r="I912" t="s">
        <v>19</v>
      </c>
      <c r="J912" s="3">
        <f>55-19-3521-8665</f>
        <v>-12150</v>
      </c>
      <c r="K912" t="s">
        <v>6417</v>
      </c>
      <c r="L912" t="s">
        <v>19301</v>
      </c>
      <c r="M912" t="s">
        <v>1304</v>
      </c>
    </row>
    <row r="913" spans="1:13" x14ac:dyDescent="0.25">
      <c r="A913" t="s">
        <v>29625</v>
      </c>
      <c r="B913" t="s">
        <v>13</v>
      </c>
      <c r="C913" s="1">
        <v>41312</v>
      </c>
      <c r="D913" t="s">
        <v>29626</v>
      </c>
      <c r="E913" t="s">
        <v>29627</v>
      </c>
      <c r="F913" t="s">
        <v>2036</v>
      </c>
      <c r="G913" t="s">
        <v>29628</v>
      </c>
      <c r="H913" t="s">
        <v>1047</v>
      </c>
      <c r="I913" t="s">
        <v>19</v>
      </c>
      <c r="J913" s="3" t="s">
        <v>29629</v>
      </c>
      <c r="K913" t="s">
        <v>29630</v>
      </c>
      <c r="L913" t="s">
        <v>29631</v>
      </c>
      <c r="M913" t="s">
        <v>57</v>
      </c>
    </row>
    <row r="914" spans="1:13" x14ac:dyDescent="0.25">
      <c r="A914" t="s">
        <v>22168</v>
      </c>
      <c r="B914" t="s">
        <v>13</v>
      </c>
      <c r="C914" t="s">
        <v>22153</v>
      </c>
      <c r="D914" t="s">
        <v>22169</v>
      </c>
      <c r="E914" t="s">
        <v>22170</v>
      </c>
      <c r="F914" t="s">
        <v>2036</v>
      </c>
      <c r="G914" t="s">
        <v>22171</v>
      </c>
      <c r="H914" t="s">
        <v>6100</v>
      </c>
      <c r="I914" t="s">
        <v>19</v>
      </c>
      <c r="J914" s="3" t="s">
        <v>22172</v>
      </c>
      <c r="K914" t="s">
        <v>22173</v>
      </c>
      <c r="L914" t="s">
        <v>22174</v>
      </c>
      <c r="M914" t="s">
        <v>57</v>
      </c>
    </row>
    <row r="915" spans="1:13" x14ac:dyDescent="0.25">
      <c r="A915" t="s">
        <v>16002</v>
      </c>
      <c r="B915" t="s">
        <v>13</v>
      </c>
      <c r="C915" t="s">
        <v>16003</v>
      </c>
      <c r="D915" t="s">
        <v>16004</v>
      </c>
      <c r="E915" s="2" t="s">
        <v>32101</v>
      </c>
      <c r="F915" t="s">
        <v>1775</v>
      </c>
      <c r="G915" t="s">
        <v>16005</v>
      </c>
      <c r="H915" t="s">
        <v>706</v>
      </c>
      <c r="I915" t="s">
        <v>19</v>
      </c>
      <c r="J915" s="3" t="s">
        <v>16006</v>
      </c>
      <c r="K915" t="s">
        <v>6632</v>
      </c>
      <c r="L915" t="s">
        <v>3966</v>
      </c>
      <c r="M915" t="s">
        <v>1349</v>
      </c>
    </row>
    <row r="916" spans="1:13" x14ac:dyDescent="0.25">
      <c r="A916" t="s">
        <v>19279</v>
      </c>
      <c r="B916" t="s">
        <v>13</v>
      </c>
      <c r="C916" s="1">
        <v>43414</v>
      </c>
      <c r="D916" t="s">
        <v>19280</v>
      </c>
      <c r="E916" t="s">
        <v>19281</v>
      </c>
      <c r="F916" t="s">
        <v>1464</v>
      </c>
      <c r="G916" t="s">
        <v>8026</v>
      </c>
      <c r="H916" t="s">
        <v>6091</v>
      </c>
      <c r="I916" t="s">
        <v>19</v>
      </c>
      <c r="J916" s="3">
        <f>55-992101-202</f>
        <v>-992248</v>
      </c>
      <c r="K916" t="s">
        <v>8028</v>
      </c>
      <c r="L916" t="s">
        <v>19282</v>
      </c>
      <c r="M916" t="s">
        <v>1775</v>
      </c>
    </row>
    <row r="917" spans="1:13" x14ac:dyDescent="0.25">
      <c r="A917" t="s">
        <v>26825</v>
      </c>
      <c r="B917" t="s">
        <v>13</v>
      </c>
      <c r="C917" s="1">
        <v>42463</v>
      </c>
      <c r="D917" t="s">
        <v>26826</v>
      </c>
      <c r="E917" t="s">
        <v>26827</v>
      </c>
      <c r="F917" t="s">
        <v>432</v>
      </c>
      <c r="G917" t="s">
        <v>2803</v>
      </c>
      <c r="H917" t="s">
        <v>753</v>
      </c>
      <c r="I917" t="s">
        <v>19</v>
      </c>
      <c r="J917" s="3" t="s">
        <v>17146</v>
      </c>
      <c r="K917" t="s">
        <v>2805</v>
      </c>
      <c r="L917" t="s">
        <v>17147</v>
      </c>
      <c r="M917" t="s">
        <v>432</v>
      </c>
    </row>
    <row r="918" spans="1:13" x14ac:dyDescent="0.25">
      <c r="A918" t="s">
        <v>7798</v>
      </c>
      <c r="B918" t="s">
        <v>13</v>
      </c>
      <c r="C918" s="1">
        <v>44412</v>
      </c>
      <c r="D918" t="s">
        <v>32135</v>
      </c>
      <c r="E918" t="s">
        <v>2280</v>
      </c>
      <c r="F918" t="s">
        <v>6925</v>
      </c>
      <c r="G918" t="s">
        <v>7799</v>
      </c>
      <c r="H918" t="s">
        <v>7800</v>
      </c>
      <c r="I918" t="s">
        <v>19</v>
      </c>
      <c r="J918" s="3">
        <v>5521979431356</v>
      </c>
      <c r="K918" t="s">
        <v>7801</v>
      </c>
      <c r="L918" t="s">
        <v>32135</v>
      </c>
      <c r="M918" t="s">
        <v>432</v>
      </c>
    </row>
    <row r="919" spans="1:13" x14ac:dyDescent="0.25">
      <c r="A919" t="s">
        <v>30135</v>
      </c>
      <c r="B919" t="s">
        <v>13</v>
      </c>
      <c r="C919" t="s">
        <v>30136</v>
      </c>
      <c r="D919" t="s">
        <v>30137</v>
      </c>
      <c r="E919" t="s">
        <v>2857</v>
      </c>
      <c r="F919" t="s">
        <v>432</v>
      </c>
      <c r="G919" t="s">
        <v>30138</v>
      </c>
      <c r="H919" t="s">
        <v>1215</v>
      </c>
      <c r="I919" t="s">
        <v>19</v>
      </c>
      <c r="J919" s="3" t="s">
        <v>30139</v>
      </c>
      <c r="K919" t="s">
        <v>9210</v>
      </c>
      <c r="L919" t="s">
        <v>30140</v>
      </c>
      <c r="M919" t="s">
        <v>432</v>
      </c>
    </row>
    <row r="920" spans="1:13" x14ac:dyDescent="0.25">
      <c r="A920" t="s">
        <v>25917</v>
      </c>
      <c r="B920" t="s">
        <v>13</v>
      </c>
      <c r="C920" s="1">
        <v>42497</v>
      </c>
      <c r="D920" t="s">
        <v>25918</v>
      </c>
      <c r="E920" t="s">
        <v>2857</v>
      </c>
      <c r="F920" t="s">
        <v>432</v>
      </c>
      <c r="G920" t="s">
        <v>25281</v>
      </c>
      <c r="H920" t="s">
        <v>16411</v>
      </c>
      <c r="I920" t="s">
        <v>19</v>
      </c>
      <c r="J920" s="3" t="s">
        <v>25282</v>
      </c>
      <c r="K920" t="s">
        <v>25283</v>
      </c>
      <c r="L920" t="s">
        <v>25284</v>
      </c>
      <c r="M920" t="s">
        <v>432</v>
      </c>
    </row>
    <row r="921" spans="1:13" x14ac:dyDescent="0.25">
      <c r="A921" t="s">
        <v>22653</v>
      </c>
      <c r="B921" t="s">
        <v>13</v>
      </c>
      <c r="C921" t="s">
        <v>22654</v>
      </c>
      <c r="D921" t="s">
        <v>22655</v>
      </c>
      <c r="E921" t="s">
        <v>2280</v>
      </c>
      <c r="F921" t="s">
        <v>432</v>
      </c>
      <c r="G921" t="s">
        <v>2282</v>
      </c>
      <c r="H921" t="s">
        <v>53</v>
      </c>
      <c r="I921" t="s">
        <v>19</v>
      </c>
      <c r="J921" s="3" t="s">
        <v>22656</v>
      </c>
      <c r="K921" t="s">
        <v>22657</v>
      </c>
      <c r="L921" t="s">
        <v>56</v>
      </c>
      <c r="M921" t="s">
        <v>432</v>
      </c>
    </row>
    <row r="922" spans="1:13" x14ac:dyDescent="0.25">
      <c r="A922" t="s">
        <v>18896</v>
      </c>
      <c r="B922" t="s">
        <v>13</v>
      </c>
      <c r="C922" s="1">
        <v>43171</v>
      </c>
      <c r="D922" t="s">
        <v>18897</v>
      </c>
      <c r="E922" t="s">
        <v>2857</v>
      </c>
      <c r="F922" t="s">
        <v>432</v>
      </c>
      <c r="G922" t="s">
        <v>18898</v>
      </c>
      <c r="H922" t="s">
        <v>6322</v>
      </c>
      <c r="I922" t="s">
        <v>19</v>
      </c>
      <c r="J922" s="3">
        <v>55011982841515</v>
      </c>
      <c r="K922" t="s">
        <v>13172</v>
      </c>
      <c r="L922" t="s">
        <v>13173</v>
      </c>
      <c r="M922" t="s">
        <v>432</v>
      </c>
    </row>
    <row r="923" spans="1:13" x14ac:dyDescent="0.25">
      <c r="A923" t="s">
        <v>28388</v>
      </c>
      <c r="B923" t="s">
        <v>13</v>
      </c>
      <c r="C923" t="s">
        <v>28389</v>
      </c>
      <c r="D923" t="s">
        <v>28390</v>
      </c>
      <c r="E923" t="s">
        <v>2280</v>
      </c>
      <c r="F923" t="s">
        <v>432</v>
      </c>
      <c r="G923" t="s">
        <v>28391</v>
      </c>
      <c r="H923" t="s">
        <v>753</v>
      </c>
      <c r="I923" t="s">
        <v>19</v>
      </c>
      <c r="J923" s="3">
        <v>556792910441</v>
      </c>
      <c r="K923" t="s">
        <v>2805</v>
      </c>
      <c r="L923" t="s">
        <v>2762</v>
      </c>
      <c r="M923" t="s">
        <v>432</v>
      </c>
    </row>
    <row r="924" spans="1:13" x14ac:dyDescent="0.25">
      <c r="A924" t="s">
        <v>27550</v>
      </c>
      <c r="B924" t="s">
        <v>13</v>
      </c>
      <c r="C924" t="s">
        <v>27551</v>
      </c>
      <c r="D924" t="s">
        <v>27552</v>
      </c>
      <c r="E924" t="s">
        <v>5322</v>
      </c>
      <c r="F924" t="s">
        <v>432</v>
      </c>
      <c r="G924" t="s">
        <v>27553</v>
      </c>
      <c r="H924" t="s">
        <v>753</v>
      </c>
      <c r="I924" t="s">
        <v>19</v>
      </c>
      <c r="J924" s="3">
        <v>556733453149</v>
      </c>
      <c r="K924" t="s">
        <v>27554</v>
      </c>
      <c r="L924" t="s">
        <v>27555</v>
      </c>
      <c r="M924" t="s">
        <v>432</v>
      </c>
    </row>
    <row r="925" spans="1:13" x14ac:dyDescent="0.25">
      <c r="A925" t="s">
        <v>16524</v>
      </c>
      <c r="B925" t="s">
        <v>13</v>
      </c>
      <c r="C925" t="s">
        <v>16520</v>
      </c>
      <c r="D925" t="s">
        <v>16525</v>
      </c>
      <c r="E925" t="s">
        <v>2857</v>
      </c>
      <c r="F925" t="s">
        <v>432</v>
      </c>
      <c r="G925" t="s">
        <v>16526</v>
      </c>
      <c r="H925" t="s">
        <v>352</v>
      </c>
      <c r="I925" t="s">
        <v>19</v>
      </c>
      <c r="J925" s="3">
        <v>552128688332</v>
      </c>
      <c r="K925" t="s">
        <v>16527</v>
      </c>
      <c r="L925" t="s">
        <v>550</v>
      </c>
      <c r="M925" t="s">
        <v>432</v>
      </c>
    </row>
    <row r="926" spans="1:13" x14ac:dyDescent="0.25">
      <c r="A926" t="s">
        <v>13169</v>
      </c>
      <c r="B926" t="s">
        <v>13</v>
      </c>
      <c r="C926" s="1">
        <v>43924</v>
      </c>
      <c r="D926">
        <v>111112489481</v>
      </c>
      <c r="E926" t="s">
        <v>2857</v>
      </c>
      <c r="F926" t="s">
        <v>432</v>
      </c>
      <c r="G926" t="s">
        <v>13170</v>
      </c>
      <c r="H926" t="s">
        <v>13171</v>
      </c>
      <c r="I926" t="s">
        <v>19</v>
      </c>
      <c r="J926" s="3">
        <v>11984158410</v>
      </c>
      <c r="K926" t="s">
        <v>13172</v>
      </c>
      <c r="L926" t="s">
        <v>13173</v>
      </c>
      <c r="M926" t="s">
        <v>432</v>
      </c>
    </row>
    <row r="927" spans="1:13" x14ac:dyDescent="0.25">
      <c r="A927" t="s">
        <v>19602</v>
      </c>
      <c r="B927" t="s">
        <v>13</v>
      </c>
      <c r="C927" t="s">
        <v>19584</v>
      </c>
      <c r="D927" t="s">
        <v>19603</v>
      </c>
      <c r="E927" t="s">
        <v>2280</v>
      </c>
      <c r="F927" t="s">
        <v>432</v>
      </c>
      <c r="G927" t="s">
        <v>19604</v>
      </c>
      <c r="H927" t="s">
        <v>893</v>
      </c>
      <c r="I927" t="s">
        <v>19</v>
      </c>
      <c r="J927" s="3">
        <f>55-98-3272-8000</f>
        <v>-11315</v>
      </c>
      <c r="K927" t="s">
        <v>19605</v>
      </c>
      <c r="L927" t="s">
        <v>1727</v>
      </c>
      <c r="M927" t="s">
        <v>432</v>
      </c>
    </row>
    <row r="928" spans="1:13" x14ac:dyDescent="0.25">
      <c r="A928" t="s">
        <v>14189</v>
      </c>
      <c r="B928" t="s">
        <v>13</v>
      </c>
      <c r="C928" t="s">
        <v>14184</v>
      </c>
      <c r="D928" t="s">
        <v>14190</v>
      </c>
      <c r="E928" t="s">
        <v>2280</v>
      </c>
      <c r="F928" t="s">
        <v>432</v>
      </c>
      <c r="G928" t="s">
        <v>14191</v>
      </c>
      <c r="H928" t="s">
        <v>428</v>
      </c>
      <c r="I928" t="s">
        <v>19</v>
      </c>
      <c r="J928" s="3">
        <f>55-53-3359-8304</f>
        <v>-11661</v>
      </c>
      <c r="K928" t="s">
        <v>14192</v>
      </c>
      <c r="L928" t="s">
        <v>14193</v>
      </c>
      <c r="M928" t="s">
        <v>432</v>
      </c>
    </row>
    <row r="929" spans="1:13" x14ac:dyDescent="0.25">
      <c r="A929" t="s">
        <v>15968</v>
      </c>
      <c r="B929" t="s">
        <v>13</v>
      </c>
      <c r="C929" t="s">
        <v>12286</v>
      </c>
      <c r="D929" t="s">
        <v>15969</v>
      </c>
      <c r="E929" t="s">
        <v>2280</v>
      </c>
      <c r="F929" t="s">
        <v>432</v>
      </c>
      <c r="G929" t="s">
        <v>15970</v>
      </c>
      <c r="H929" t="s">
        <v>45</v>
      </c>
      <c r="I929" t="s">
        <v>19</v>
      </c>
      <c r="J929" s="3">
        <f>55-85-986778284</f>
        <v>-986778314</v>
      </c>
      <c r="K929" t="s">
        <v>15971</v>
      </c>
      <c r="L929" t="s">
        <v>15972</v>
      </c>
      <c r="M929" t="s">
        <v>432</v>
      </c>
    </row>
    <row r="930" spans="1:13" x14ac:dyDescent="0.25">
      <c r="A930" t="s">
        <v>15811</v>
      </c>
      <c r="B930" t="s">
        <v>13</v>
      </c>
      <c r="C930" s="1">
        <v>43506</v>
      </c>
      <c r="D930" t="s">
        <v>15812</v>
      </c>
      <c r="E930" t="s">
        <v>2280</v>
      </c>
      <c r="F930" t="s">
        <v>432</v>
      </c>
      <c r="G930" t="s">
        <v>15813</v>
      </c>
      <c r="H930" t="s">
        <v>229</v>
      </c>
      <c r="I930" t="s">
        <v>19</v>
      </c>
      <c r="J930" s="3">
        <v>5511998895977</v>
      </c>
      <c r="K930" t="s">
        <v>15814</v>
      </c>
      <c r="L930" t="s">
        <v>13173</v>
      </c>
      <c r="M930" t="s">
        <v>432</v>
      </c>
    </row>
    <row r="931" spans="1:13" x14ac:dyDescent="0.25">
      <c r="A931" t="s">
        <v>10015</v>
      </c>
      <c r="B931" t="s">
        <v>13</v>
      </c>
      <c r="C931" t="s">
        <v>7112</v>
      </c>
      <c r="D931" t="s">
        <v>10016</v>
      </c>
      <c r="E931" t="s">
        <v>2280</v>
      </c>
      <c r="F931" t="s">
        <v>432</v>
      </c>
      <c r="G931" t="s">
        <v>10017</v>
      </c>
      <c r="H931" t="s">
        <v>10018</v>
      </c>
      <c r="I931" t="s">
        <v>19</v>
      </c>
      <c r="J931" s="3">
        <v>55042988613743</v>
      </c>
      <c r="K931" t="s">
        <v>10019</v>
      </c>
      <c r="L931" t="s">
        <v>9001</v>
      </c>
      <c r="M931" t="s">
        <v>432</v>
      </c>
    </row>
    <row r="932" spans="1:13" x14ac:dyDescent="0.25">
      <c r="A932" t="s">
        <v>19996</v>
      </c>
      <c r="B932" t="s">
        <v>101</v>
      </c>
      <c r="C932" t="s">
        <v>5016</v>
      </c>
      <c r="D932" t="s">
        <v>19997</v>
      </c>
      <c r="E932" t="s">
        <v>2857</v>
      </c>
      <c r="F932" t="s">
        <v>1464</v>
      </c>
      <c r="G932" t="s">
        <v>19998</v>
      </c>
      <c r="H932" t="s">
        <v>6322</v>
      </c>
      <c r="I932" t="s">
        <v>19</v>
      </c>
      <c r="J932" s="3">
        <f>55-11-996697554</f>
        <v>-996697510</v>
      </c>
      <c r="K932" t="s">
        <v>19999</v>
      </c>
      <c r="L932" t="s">
        <v>13173</v>
      </c>
      <c r="M932" t="s">
        <v>432</v>
      </c>
    </row>
    <row r="933" spans="1:13" x14ac:dyDescent="0.25">
      <c r="A933" t="s">
        <v>23986</v>
      </c>
      <c r="B933" t="s">
        <v>13</v>
      </c>
      <c r="C933" t="s">
        <v>22977</v>
      </c>
      <c r="D933" t="s">
        <v>23987</v>
      </c>
      <c r="E933" t="s">
        <v>2857</v>
      </c>
      <c r="F933" t="s">
        <v>1190</v>
      </c>
      <c r="G933" t="s">
        <v>23988</v>
      </c>
      <c r="H933" t="s">
        <v>45</v>
      </c>
      <c r="I933" t="s">
        <v>19</v>
      </c>
      <c r="J933" s="3" t="s">
        <v>23989</v>
      </c>
      <c r="K933" t="s">
        <v>23990</v>
      </c>
      <c r="L933" t="s">
        <v>1909</v>
      </c>
      <c r="M933" t="s">
        <v>432</v>
      </c>
    </row>
    <row r="934" spans="1:13" x14ac:dyDescent="0.25">
      <c r="A934" t="s">
        <v>25114</v>
      </c>
      <c r="B934" t="s">
        <v>13</v>
      </c>
      <c r="C934" t="s">
        <v>25115</v>
      </c>
      <c r="D934" t="s">
        <v>25116</v>
      </c>
      <c r="E934" t="s">
        <v>2280</v>
      </c>
      <c r="F934" t="s">
        <v>1190</v>
      </c>
      <c r="G934" t="s">
        <v>25117</v>
      </c>
      <c r="H934" t="s">
        <v>88</v>
      </c>
      <c r="I934" t="s">
        <v>19</v>
      </c>
      <c r="J934" s="3" t="s">
        <v>25118</v>
      </c>
      <c r="K934" t="s">
        <v>25119</v>
      </c>
      <c r="L934" t="s">
        <v>25120</v>
      </c>
      <c r="M934" t="s">
        <v>432</v>
      </c>
    </row>
    <row r="935" spans="1:13" x14ac:dyDescent="0.25">
      <c r="A935" t="s">
        <v>27302</v>
      </c>
      <c r="B935" t="s">
        <v>13</v>
      </c>
      <c r="C935" t="s">
        <v>27294</v>
      </c>
      <c r="D935" t="s">
        <v>27303</v>
      </c>
      <c r="E935" t="s">
        <v>2280</v>
      </c>
      <c r="F935" t="s">
        <v>1190</v>
      </c>
      <c r="G935" t="s">
        <v>27304</v>
      </c>
      <c r="H935" t="s">
        <v>753</v>
      </c>
      <c r="I935" t="s">
        <v>19</v>
      </c>
      <c r="J935" s="3" t="s">
        <v>27305</v>
      </c>
      <c r="K935" t="s">
        <v>27306</v>
      </c>
      <c r="L935" t="s">
        <v>27307</v>
      </c>
      <c r="M935" t="s">
        <v>432</v>
      </c>
    </row>
    <row r="936" spans="1:13" x14ac:dyDescent="0.25">
      <c r="A936" t="s">
        <v>24241</v>
      </c>
      <c r="B936" t="s">
        <v>13</v>
      </c>
      <c r="C936" t="s">
        <v>24242</v>
      </c>
      <c r="D936" t="s">
        <v>24243</v>
      </c>
      <c r="E936" t="s">
        <v>2857</v>
      </c>
      <c r="F936" t="s">
        <v>1190</v>
      </c>
      <c r="G936" t="s">
        <v>22610</v>
      </c>
      <c r="H936" t="s">
        <v>1802</v>
      </c>
      <c r="I936" t="s">
        <v>19</v>
      </c>
      <c r="J936" s="3" t="s">
        <v>24244</v>
      </c>
      <c r="K936" t="s">
        <v>22612</v>
      </c>
      <c r="L936" t="s">
        <v>14212</v>
      </c>
      <c r="M936" t="s">
        <v>432</v>
      </c>
    </row>
    <row r="937" spans="1:13" x14ac:dyDescent="0.25">
      <c r="A937" t="s">
        <v>24382</v>
      </c>
      <c r="B937" t="s">
        <v>13</v>
      </c>
      <c r="C937" s="1">
        <v>43043</v>
      </c>
      <c r="D937" t="s">
        <v>24383</v>
      </c>
      <c r="E937" t="s">
        <v>2857</v>
      </c>
      <c r="F937" t="s">
        <v>1190</v>
      </c>
      <c r="G937" t="s">
        <v>17043</v>
      </c>
      <c r="H937" t="s">
        <v>4808</v>
      </c>
      <c r="I937" t="s">
        <v>19</v>
      </c>
      <c r="J937" s="3" t="s">
        <v>24384</v>
      </c>
      <c r="K937" t="s">
        <v>17044</v>
      </c>
      <c r="L937" t="s">
        <v>1030</v>
      </c>
      <c r="M937" t="s">
        <v>432</v>
      </c>
    </row>
    <row r="938" spans="1:13" x14ac:dyDescent="0.25">
      <c r="A938" t="s">
        <v>27353</v>
      </c>
      <c r="B938" t="s">
        <v>13</v>
      </c>
      <c r="C938" t="s">
        <v>27354</v>
      </c>
      <c r="D938" t="s">
        <v>27355</v>
      </c>
      <c r="E938" t="s">
        <v>2280</v>
      </c>
      <c r="F938" t="s">
        <v>1190</v>
      </c>
      <c r="G938" t="s">
        <v>27356</v>
      </c>
      <c r="H938" t="s">
        <v>36</v>
      </c>
      <c r="I938" t="s">
        <v>19</v>
      </c>
      <c r="J938" s="3" t="s">
        <v>27357</v>
      </c>
      <c r="K938" t="s">
        <v>27358</v>
      </c>
      <c r="L938" t="s">
        <v>439</v>
      </c>
      <c r="M938" t="s">
        <v>432</v>
      </c>
    </row>
    <row r="939" spans="1:13" x14ac:dyDescent="0.25">
      <c r="A939" t="s">
        <v>20355</v>
      </c>
      <c r="B939" t="s">
        <v>13</v>
      </c>
      <c r="C939" t="s">
        <v>12154</v>
      </c>
      <c r="D939" t="s">
        <v>20356</v>
      </c>
      <c r="E939" t="s">
        <v>2857</v>
      </c>
      <c r="F939" t="s">
        <v>1190</v>
      </c>
      <c r="G939" t="s">
        <v>8512</v>
      </c>
      <c r="H939" t="s">
        <v>489</v>
      </c>
      <c r="I939" t="s">
        <v>19</v>
      </c>
      <c r="J939" s="3">
        <f>55-41-33611799</f>
        <v>-33611785</v>
      </c>
      <c r="K939" t="s">
        <v>6857</v>
      </c>
      <c r="L939" t="s">
        <v>8513</v>
      </c>
      <c r="M939" t="s">
        <v>432</v>
      </c>
    </row>
    <row r="940" spans="1:13" x14ac:dyDescent="0.25">
      <c r="A940" t="s">
        <v>8509</v>
      </c>
      <c r="B940" t="s">
        <v>13</v>
      </c>
      <c r="C940" t="s">
        <v>8510</v>
      </c>
      <c r="D940" t="s">
        <v>8511</v>
      </c>
      <c r="E940" t="s">
        <v>2857</v>
      </c>
      <c r="F940" t="s">
        <v>1190</v>
      </c>
      <c r="G940" t="s">
        <v>8512</v>
      </c>
      <c r="H940" t="s">
        <v>489</v>
      </c>
      <c r="I940" t="s">
        <v>19</v>
      </c>
      <c r="J940" s="3">
        <f>55-41-33611799</f>
        <v>-33611785</v>
      </c>
      <c r="K940" t="s">
        <v>6857</v>
      </c>
      <c r="L940" t="s">
        <v>8513</v>
      </c>
      <c r="M940" t="s">
        <v>432</v>
      </c>
    </row>
    <row r="941" spans="1:13" x14ac:dyDescent="0.25">
      <c r="A941" t="s">
        <v>12687</v>
      </c>
      <c r="B941" t="s">
        <v>13</v>
      </c>
      <c r="C941" t="s">
        <v>7663</v>
      </c>
      <c r="D941" t="s">
        <v>12688</v>
      </c>
      <c r="E941" t="s">
        <v>2280</v>
      </c>
      <c r="F941" t="s">
        <v>1190</v>
      </c>
      <c r="G941" t="s">
        <v>12504</v>
      </c>
      <c r="H941" t="s">
        <v>444</v>
      </c>
      <c r="I941" t="s">
        <v>19</v>
      </c>
      <c r="J941" s="3">
        <f>55-87-21016856</f>
        <v>-21016888</v>
      </c>
      <c r="K941" t="s">
        <v>12505</v>
      </c>
      <c r="L941" t="s">
        <v>447</v>
      </c>
      <c r="M941" t="s">
        <v>432</v>
      </c>
    </row>
    <row r="942" spans="1:13" x14ac:dyDescent="0.25">
      <c r="A942" t="s">
        <v>22857</v>
      </c>
      <c r="B942" t="s">
        <v>13</v>
      </c>
      <c r="C942" s="1">
        <v>42928</v>
      </c>
      <c r="D942" t="s">
        <v>22858</v>
      </c>
      <c r="E942" t="s">
        <v>22859</v>
      </c>
      <c r="F942" t="s">
        <v>432</v>
      </c>
      <c r="G942" t="s">
        <v>13128</v>
      </c>
      <c r="H942" t="s">
        <v>1090</v>
      </c>
      <c r="I942" t="s">
        <v>19</v>
      </c>
      <c r="J942" s="3" t="s">
        <v>22860</v>
      </c>
      <c r="K942" t="s">
        <v>6387</v>
      </c>
      <c r="L942" t="s">
        <v>1092</v>
      </c>
      <c r="M942" t="s">
        <v>432</v>
      </c>
    </row>
    <row r="943" spans="1:13" x14ac:dyDescent="0.25">
      <c r="A943" t="s">
        <v>28371</v>
      </c>
      <c r="B943" t="s">
        <v>13</v>
      </c>
      <c r="C943" s="1">
        <v>42159</v>
      </c>
      <c r="D943" t="s">
        <v>28372</v>
      </c>
      <c r="E943" t="s">
        <v>22859</v>
      </c>
      <c r="F943" t="s">
        <v>1190</v>
      </c>
      <c r="G943" t="s">
        <v>28373</v>
      </c>
      <c r="H943" t="s">
        <v>1802</v>
      </c>
      <c r="I943" t="s">
        <v>19</v>
      </c>
      <c r="J943" s="3" t="s">
        <v>21681</v>
      </c>
      <c r="K943" t="s">
        <v>21682</v>
      </c>
      <c r="L943" t="s">
        <v>14212</v>
      </c>
      <c r="M943" t="s">
        <v>432</v>
      </c>
    </row>
    <row r="944" spans="1:13" x14ac:dyDescent="0.25">
      <c r="A944" t="s">
        <v>23486</v>
      </c>
      <c r="B944" t="s">
        <v>13</v>
      </c>
      <c r="C944" t="s">
        <v>23479</v>
      </c>
      <c r="D944" t="s">
        <v>23487</v>
      </c>
      <c r="E944" t="s">
        <v>23488</v>
      </c>
      <c r="F944" t="s">
        <v>432</v>
      </c>
      <c r="G944" t="s">
        <v>23489</v>
      </c>
      <c r="H944" t="s">
        <v>299</v>
      </c>
      <c r="I944" t="s">
        <v>19</v>
      </c>
      <c r="J944" s="3" t="s">
        <v>14129</v>
      </c>
      <c r="K944" t="s">
        <v>23490</v>
      </c>
      <c r="L944" t="s">
        <v>23491</v>
      </c>
      <c r="M944" t="s">
        <v>432</v>
      </c>
    </row>
    <row r="945" spans="1:13" x14ac:dyDescent="0.25">
      <c r="A945" t="s">
        <v>7548</v>
      </c>
      <c r="B945" t="s">
        <v>13</v>
      </c>
      <c r="C945" t="s">
        <v>7549</v>
      </c>
      <c r="D945" t="s">
        <v>7550</v>
      </c>
      <c r="E945" t="s">
        <v>7551</v>
      </c>
      <c r="F945" t="s">
        <v>432</v>
      </c>
      <c r="G945" t="s">
        <v>7552</v>
      </c>
      <c r="H945" t="s">
        <v>7553</v>
      </c>
      <c r="I945" t="s">
        <v>19</v>
      </c>
      <c r="J945" s="3">
        <f>55-19-981875080</f>
        <v>-981875044</v>
      </c>
      <c r="K945" t="s">
        <v>7554</v>
      </c>
      <c r="L945" t="s">
        <v>7555</v>
      </c>
      <c r="M945" t="s">
        <v>432</v>
      </c>
    </row>
    <row r="946" spans="1:13" x14ac:dyDescent="0.25">
      <c r="A946" t="s">
        <v>12664</v>
      </c>
      <c r="B946" t="s">
        <v>13</v>
      </c>
      <c r="C946" t="s">
        <v>7663</v>
      </c>
      <c r="D946" t="s">
        <v>12665</v>
      </c>
      <c r="E946" t="s">
        <v>12666</v>
      </c>
      <c r="F946" t="s">
        <v>432</v>
      </c>
      <c r="G946" t="s">
        <v>12667</v>
      </c>
      <c r="H946" t="s">
        <v>299</v>
      </c>
      <c r="I946" t="s">
        <v>19</v>
      </c>
      <c r="J946" s="3">
        <v>55014981711636</v>
      </c>
      <c r="K946" t="s">
        <v>12668</v>
      </c>
      <c r="L946" t="s">
        <v>12669</v>
      </c>
      <c r="M946" t="s">
        <v>432</v>
      </c>
    </row>
    <row r="947" spans="1:13" x14ac:dyDescent="0.25">
      <c r="A947" t="s">
        <v>20329</v>
      </c>
      <c r="B947" t="s">
        <v>101</v>
      </c>
      <c r="C947" t="s">
        <v>20322</v>
      </c>
      <c r="D947" t="s">
        <v>20330</v>
      </c>
      <c r="E947" s="2" t="s">
        <v>31626</v>
      </c>
      <c r="F947" t="s">
        <v>432</v>
      </c>
      <c r="G947" t="s">
        <v>20332</v>
      </c>
      <c r="H947" t="s">
        <v>20333</v>
      </c>
      <c r="I947" t="s">
        <v>19</v>
      </c>
      <c r="J947" s="3">
        <f>55-14-991435533</f>
        <v>-991435492</v>
      </c>
      <c r="K947" t="s">
        <v>20334</v>
      </c>
      <c r="L947" t="s">
        <v>20335</v>
      </c>
      <c r="M947" t="s">
        <v>432</v>
      </c>
    </row>
    <row r="948" spans="1:13" x14ac:dyDescent="0.25">
      <c r="A948" t="s">
        <v>15486</v>
      </c>
      <c r="B948" t="s">
        <v>13</v>
      </c>
      <c r="C948" t="s">
        <v>8873</v>
      </c>
      <c r="D948" t="s">
        <v>15487</v>
      </c>
      <c r="E948" s="2" t="s">
        <v>32001</v>
      </c>
      <c r="F948" t="s">
        <v>1190</v>
      </c>
      <c r="G948" t="s">
        <v>15488</v>
      </c>
      <c r="H948" t="s">
        <v>45</v>
      </c>
      <c r="I948" t="s">
        <v>19</v>
      </c>
      <c r="J948" s="3">
        <v>5585982101100</v>
      </c>
      <c r="K948" t="s">
        <v>15489</v>
      </c>
      <c r="L948" t="s">
        <v>15490</v>
      </c>
      <c r="M948" t="s">
        <v>432</v>
      </c>
    </row>
    <row r="949" spans="1:13" x14ac:dyDescent="0.25">
      <c r="A949" t="s">
        <v>14392</v>
      </c>
      <c r="B949" t="s">
        <v>13</v>
      </c>
      <c r="C949" t="s">
        <v>14393</v>
      </c>
      <c r="D949" t="s">
        <v>14394</v>
      </c>
      <c r="E949" s="2" t="s">
        <v>31888</v>
      </c>
      <c r="F949" t="s">
        <v>1190</v>
      </c>
      <c r="G949" t="s">
        <v>14395</v>
      </c>
      <c r="H949" t="s">
        <v>5292</v>
      </c>
      <c r="I949" t="s">
        <v>19</v>
      </c>
      <c r="J949" s="3" t="s">
        <v>14396</v>
      </c>
      <c r="K949" t="s">
        <v>14397</v>
      </c>
      <c r="L949" t="s">
        <v>1269</v>
      </c>
      <c r="M949" t="s">
        <v>432</v>
      </c>
    </row>
    <row r="950" spans="1:13" x14ac:dyDescent="0.25">
      <c r="A950" t="s">
        <v>2278</v>
      </c>
      <c r="B950" t="s">
        <v>13</v>
      </c>
      <c r="C950" s="1">
        <v>44570</v>
      </c>
      <c r="D950" t="s">
        <v>2279</v>
      </c>
      <c r="E950" s="2" t="s">
        <v>30730</v>
      </c>
      <c r="F950" t="s">
        <v>2281</v>
      </c>
      <c r="G950" t="s">
        <v>2282</v>
      </c>
      <c r="H950" t="s">
        <v>53</v>
      </c>
      <c r="I950" t="s">
        <v>19</v>
      </c>
      <c r="J950" s="3" t="s">
        <v>2283</v>
      </c>
      <c r="K950" t="s">
        <v>2284</v>
      </c>
      <c r="L950" t="s">
        <v>56</v>
      </c>
      <c r="M950" t="s">
        <v>432</v>
      </c>
    </row>
    <row r="951" spans="1:13" x14ac:dyDescent="0.25">
      <c r="A951" t="s">
        <v>13475</v>
      </c>
      <c r="B951" t="s">
        <v>101</v>
      </c>
      <c r="C951" s="1">
        <v>42832</v>
      </c>
      <c r="D951" t="s">
        <v>13476</v>
      </c>
      <c r="E951" t="s">
        <v>13477</v>
      </c>
      <c r="F951" t="s">
        <v>432</v>
      </c>
      <c r="G951" t="s">
        <v>13478</v>
      </c>
      <c r="H951" t="s">
        <v>299</v>
      </c>
      <c r="I951" t="s">
        <v>19</v>
      </c>
      <c r="J951" s="3" t="s">
        <v>13479</v>
      </c>
      <c r="K951" t="s">
        <v>13480</v>
      </c>
      <c r="L951" t="s">
        <v>13481</v>
      </c>
      <c r="M951" t="s">
        <v>432</v>
      </c>
    </row>
    <row r="952" spans="1:13" x14ac:dyDescent="0.25">
      <c r="A952" t="s">
        <v>5321</v>
      </c>
      <c r="B952" t="s">
        <v>13</v>
      </c>
      <c r="C952" t="s">
        <v>5311</v>
      </c>
      <c r="D952" t="s">
        <v>32135</v>
      </c>
      <c r="E952" s="2" t="s">
        <v>32111</v>
      </c>
      <c r="F952" t="s">
        <v>426</v>
      </c>
      <c r="G952" t="s">
        <v>5323</v>
      </c>
      <c r="H952" t="s">
        <v>32135</v>
      </c>
      <c r="I952" t="s">
        <v>19</v>
      </c>
      <c r="J952" s="3">
        <v>553134094777</v>
      </c>
      <c r="K952" t="s">
        <v>5324</v>
      </c>
      <c r="L952" t="s">
        <v>32135</v>
      </c>
      <c r="M952" t="s">
        <v>432</v>
      </c>
    </row>
    <row r="953" spans="1:13" x14ac:dyDescent="0.25">
      <c r="A953" t="s">
        <v>30057</v>
      </c>
      <c r="B953" t="s">
        <v>13</v>
      </c>
      <c r="C953" t="s">
        <v>14184</v>
      </c>
      <c r="D953" t="s">
        <v>30058</v>
      </c>
      <c r="E953" t="s">
        <v>30059</v>
      </c>
      <c r="F953" t="s">
        <v>1190</v>
      </c>
      <c r="G953" t="s">
        <v>307</v>
      </c>
      <c r="H953" t="s">
        <v>308</v>
      </c>
      <c r="I953" t="s">
        <v>309</v>
      </c>
      <c r="J953" s="3" t="s">
        <v>310</v>
      </c>
      <c r="K953" t="s">
        <v>311</v>
      </c>
      <c r="L953" t="s">
        <v>312</v>
      </c>
      <c r="M953" t="s">
        <v>432</v>
      </c>
    </row>
    <row r="954" spans="1:13" x14ac:dyDescent="0.25">
      <c r="A954" t="s">
        <v>18465</v>
      </c>
      <c r="B954" t="s">
        <v>13</v>
      </c>
      <c r="C954" t="s">
        <v>18466</v>
      </c>
      <c r="D954" t="s">
        <v>18467</v>
      </c>
      <c r="E954" t="s">
        <v>18468</v>
      </c>
      <c r="F954" t="s">
        <v>432</v>
      </c>
      <c r="G954" t="s">
        <v>18469</v>
      </c>
      <c r="H954" t="s">
        <v>428</v>
      </c>
      <c r="I954" t="s">
        <v>19</v>
      </c>
      <c r="J954" s="3">
        <v>555199617331</v>
      </c>
      <c r="K954" t="s">
        <v>18470</v>
      </c>
      <c r="L954" t="s">
        <v>4056</v>
      </c>
      <c r="M954" t="s">
        <v>432</v>
      </c>
    </row>
    <row r="955" spans="1:13" x14ac:dyDescent="0.25">
      <c r="A955" t="s">
        <v>18044</v>
      </c>
      <c r="B955" t="s">
        <v>13</v>
      </c>
      <c r="C955" s="1">
        <v>43195</v>
      </c>
      <c r="D955" t="s">
        <v>18045</v>
      </c>
      <c r="E955" t="s">
        <v>18046</v>
      </c>
      <c r="F955" t="s">
        <v>1190</v>
      </c>
      <c r="G955" t="s">
        <v>8121</v>
      </c>
      <c r="H955" t="s">
        <v>1215</v>
      </c>
      <c r="I955" t="s">
        <v>19</v>
      </c>
      <c r="J955" s="3" t="s">
        <v>18047</v>
      </c>
      <c r="K955" t="s">
        <v>14838</v>
      </c>
      <c r="L955" t="s">
        <v>18048</v>
      </c>
      <c r="M955" t="s">
        <v>432</v>
      </c>
    </row>
    <row r="956" spans="1:13" x14ac:dyDescent="0.25">
      <c r="A956" t="s">
        <v>7289</v>
      </c>
      <c r="B956" t="s">
        <v>13</v>
      </c>
      <c r="C956" t="s">
        <v>7290</v>
      </c>
      <c r="D956" t="s">
        <v>7291</v>
      </c>
      <c r="E956" t="s">
        <v>7292</v>
      </c>
      <c r="F956" t="s">
        <v>1190</v>
      </c>
      <c r="G956" t="s">
        <v>7293</v>
      </c>
      <c r="H956" t="s">
        <v>7294</v>
      </c>
      <c r="I956" t="s">
        <v>19</v>
      </c>
      <c r="J956" s="3">
        <v>556181907111</v>
      </c>
      <c r="K956" t="s">
        <v>7295</v>
      </c>
      <c r="L956" t="s">
        <v>4378</v>
      </c>
      <c r="M956" t="s">
        <v>432</v>
      </c>
    </row>
    <row r="957" spans="1:13" x14ac:dyDescent="0.25">
      <c r="A957" t="s">
        <v>12760</v>
      </c>
      <c r="B957" t="s">
        <v>13</v>
      </c>
      <c r="C957" t="s">
        <v>12753</v>
      </c>
      <c r="D957" t="s">
        <v>12761</v>
      </c>
      <c r="E957" s="2" t="s">
        <v>31712</v>
      </c>
      <c r="F957" t="s">
        <v>432</v>
      </c>
      <c r="G957" t="s">
        <v>12762</v>
      </c>
      <c r="H957" t="s">
        <v>195</v>
      </c>
      <c r="I957" t="s">
        <v>19</v>
      </c>
      <c r="J957" s="3">
        <f>55-16-33518448</f>
        <v>-33518409</v>
      </c>
      <c r="K957" t="s">
        <v>12763</v>
      </c>
      <c r="L957" t="s">
        <v>197</v>
      </c>
      <c r="M957" t="s">
        <v>432</v>
      </c>
    </row>
    <row r="958" spans="1:13" x14ac:dyDescent="0.25">
      <c r="A958" t="s">
        <v>4048</v>
      </c>
      <c r="B958" t="s">
        <v>13</v>
      </c>
      <c r="C958" s="1">
        <v>44655</v>
      </c>
      <c r="D958" t="s">
        <v>4049</v>
      </c>
      <c r="E958" t="s">
        <v>210</v>
      </c>
      <c r="F958" t="s">
        <v>3482</v>
      </c>
      <c r="G958" t="s">
        <v>1130</v>
      </c>
      <c r="H958" t="s">
        <v>1072</v>
      </c>
      <c r="I958" t="s">
        <v>19</v>
      </c>
      <c r="J958" s="3">
        <v>5584999150043</v>
      </c>
      <c r="K958" t="s">
        <v>1132</v>
      </c>
      <c r="L958" t="s">
        <v>91</v>
      </c>
      <c r="M958" t="s">
        <v>129</v>
      </c>
    </row>
    <row r="959" spans="1:13" x14ac:dyDescent="0.25">
      <c r="A959" t="s">
        <v>20228</v>
      </c>
      <c r="B959" t="s">
        <v>13</v>
      </c>
      <c r="C959" t="s">
        <v>20229</v>
      </c>
      <c r="D959" t="s">
        <v>20230</v>
      </c>
      <c r="E959" t="s">
        <v>210</v>
      </c>
      <c r="F959" t="s">
        <v>1464</v>
      </c>
      <c r="G959" t="s">
        <v>20231</v>
      </c>
      <c r="H959" t="s">
        <v>936</v>
      </c>
      <c r="I959" t="s">
        <v>19</v>
      </c>
      <c r="J959" s="3">
        <v>5571992068617</v>
      </c>
      <c r="K959" t="s">
        <v>20232</v>
      </c>
      <c r="L959" t="s">
        <v>9443</v>
      </c>
      <c r="M959" t="s">
        <v>1775</v>
      </c>
    </row>
    <row r="960" spans="1:13" x14ac:dyDescent="0.25">
      <c r="A960" t="s">
        <v>1841</v>
      </c>
      <c r="B960" t="s">
        <v>13</v>
      </c>
      <c r="C960" s="1">
        <v>44661</v>
      </c>
      <c r="D960" t="s">
        <v>1842</v>
      </c>
      <c r="E960" t="s">
        <v>210</v>
      </c>
      <c r="F960" t="s">
        <v>1843</v>
      </c>
      <c r="G960" t="s">
        <v>1130</v>
      </c>
      <c r="H960" t="s">
        <v>88</v>
      </c>
      <c r="I960" t="s">
        <v>19</v>
      </c>
      <c r="J960" s="3" t="s">
        <v>1131</v>
      </c>
      <c r="K960" t="s">
        <v>1132</v>
      </c>
      <c r="L960" t="s">
        <v>91</v>
      </c>
      <c r="M960" t="s">
        <v>129</v>
      </c>
    </row>
    <row r="961" spans="1:13" x14ac:dyDescent="0.25">
      <c r="A961" t="s">
        <v>20470</v>
      </c>
      <c r="B961" t="s">
        <v>13</v>
      </c>
      <c r="C961" t="s">
        <v>10511</v>
      </c>
      <c r="D961" t="s">
        <v>20471</v>
      </c>
      <c r="E961" t="s">
        <v>687</v>
      </c>
      <c r="F961" t="s">
        <v>32147</v>
      </c>
      <c r="G961" t="s">
        <v>14226</v>
      </c>
      <c r="H961" t="s">
        <v>1802</v>
      </c>
      <c r="I961" t="s">
        <v>19</v>
      </c>
      <c r="J961" s="3">
        <f>55-14-32241040</f>
        <v>-32240999</v>
      </c>
      <c r="K961" t="s">
        <v>14227</v>
      </c>
      <c r="L961" t="s">
        <v>14228</v>
      </c>
      <c r="M961" t="s">
        <v>32147</v>
      </c>
    </row>
    <row r="962" spans="1:13" x14ac:dyDescent="0.25">
      <c r="A962" t="s">
        <v>18802</v>
      </c>
      <c r="B962" t="s">
        <v>13</v>
      </c>
      <c r="C962" s="1">
        <v>43446</v>
      </c>
      <c r="D962" t="s">
        <v>18803</v>
      </c>
      <c r="E962" s="2" t="s">
        <v>32277</v>
      </c>
      <c r="F962" t="s">
        <v>57</v>
      </c>
      <c r="G962" t="s">
        <v>18804</v>
      </c>
      <c r="H962" t="s">
        <v>1466</v>
      </c>
      <c r="I962" t="s">
        <v>19</v>
      </c>
      <c r="J962" s="3">
        <v>55353988868188</v>
      </c>
      <c r="K962" t="s">
        <v>18805</v>
      </c>
      <c r="L962" t="s">
        <v>1469</v>
      </c>
      <c r="M962" t="s">
        <v>57</v>
      </c>
    </row>
    <row r="963" spans="1:13" x14ac:dyDescent="0.25">
      <c r="A963" t="s">
        <v>3955</v>
      </c>
      <c r="B963" t="s">
        <v>13</v>
      </c>
      <c r="C963" t="s">
        <v>3949</v>
      </c>
      <c r="D963" t="s">
        <v>3956</v>
      </c>
      <c r="E963" s="2" t="s">
        <v>30795</v>
      </c>
      <c r="F963" t="s">
        <v>3957</v>
      </c>
      <c r="G963" t="s">
        <v>3958</v>
      </c>
      <c r="H963" t="s">
        <v>472</v>
      </c>
      <c r="I963" t="s">
        <v>19</v>
      </c>
      <c r="J963" s="3" t="s">
        <v>3959</v>
      </c>
      <c r="K963" t="s">
        <v>3960</v>
      </c>
      <c r="L963" t="s">
        <v>2101</v>
      </c>
      <c r="M963" t="s">
        <v>741</v>
      </c>
    </row>
    <row r="964" spans="1:13" x14ac:dyDescent="0.25">
      <c r="A964" t="s">
        <v>5347</v>
      </c>
      <c r="B964" t="s">
        <v>13</v>
      </c>
      <c r="C964" t="s">
        <v>4935</v>
      </c>
      <c r="D964" t="s">
        <v>32135</v>
      </c>
      <c r="E964" s="2" t="s">
        <v>30843</v>
      </c>
      <c r="F964" t="s">
        <v>812</v>
      </c>
      <c r="G964" t="s">
        <v>5348</v>
      </c>
      <c r="H964" t="s">
        <v>3618</v>
      </c>
      <c r="I964" t="s">
        <v>19</v>
      </c>
      <c r="J964" s="3" t="s">
        <v>3619</v>
      </c>
      <c r="K964" t="s">
        <v>3620</v>
      </c>
      <c r="L964" t="s">
        <v>32135</v>
      </c>
      <c r="M964" t="s">
        <v>57</v>
      </c>
    </row>
    <row r="965" spans="1:13" x14ac:dyDescent="0.25">
      <c r="A965" t="s">
        <v>9023</v>
      </c>
      <c r="B965" t="s">
        <v>101</v>
      </c>
      <c r="C965" t="s">
        <v>499</v>
      </c>
      <c r="D965" t="s">
        <v>9024</v>
      </c>
      <c r="E965" t="s">
        <v>32278</v>
      </c>
      <c r="F965" t="s">
        <v>687</v>
      </c>
      <c r="G965" t="s">
        <v>9025</v>
      </c>
      <c r="H965" t="s">
        <v>9026</v>
      </c>
      <c r="I965" t="s">
        <v>19</v>
      </c>
      <c r="J965" s="3">
        <f>55-12-991187568</f>
        <v>-991187525</v>
      </c>
      <c r="K965" t="s">
        <v>9027</v>
      </c>
      <c r="L965" t="s">
        <v>9028</v>
      </c>
      <c r="M965" t="s">
        <v>57</v>
      </c>
    </row>
    <row r="966" spans="1:13" x14ac:dyDescent="0.25">
      <c r="A966" t="s">
        <v>17164</v>
      </c>
      <c r="B966" t="s">
        <v>13</v>
      </c>
      <c r="C966" s="1">
        <v>43744</v>
      </c>
      <c r="D966" t="s">
        <v>17165</v>
      </c>
      <c r="E966" t="s">
        <v>17166</v>
      </c>
      <c r="F966" t="s">
        <v>57</v>
      </c>
      <c r="G966" t="s">
        <v>17167</v>
      </c>
      <c r="H966" t="s">
        <v>36</v>
      </c>
      <c r="I966" t="s">
        <v>19</v>
      </c>
      <c r="J966" s="3">
        <v>551155764848</v>
      </c>
      <c r="K966" t="s">
        <v>17168</v>
      </c>
      <c r="L966" t="s">
        <v>439</v>
      </c>
      <c r="M966" t="s">
        <v>57</v>
      </c>
    </row>
    <row r="967" spans="1:13" x14ac:dyDescent="0.25">
      <c r="A967" t="s">
        <v>28807</v>
      </c>
      <c r="B967" t="s">
        <v>13</v>
      </c>
      <c r="C967" t="s">
        <v>28808</v>
      </c>
      <c r="D967" t="s">
        <v>28809</v>
      </c>
      <c r="E967" t="s">
        <v>28810</v>
      </c>
      <c r="F967" t="s">
        <v>2036</v>
      </c>
      <c r="G967" t="s">
        <v>14154</v>
      </c>
      <c r="H967" t="s">
        <v>3416</v>
      </c>
      <c r="I967" t="s">
        <v>19</v>
      </c>
      <c r="J967" s="3" t="s">
        <v>26842</v>
      </c>
      <c r="K967" t="s">
        <v>14155</v>
      </c>
      <c r="L967" t="s">
        <v>2548</v>
      </c>
      <c r="M967" t="s">
        <v>57</v>
      </c>
    </row>
    <row r="968" spans="1:13" x14ac:dyDescent="0.25">
      <c r="A968" t="s">
        <v>11947</v>
      </c>
      <c r="B968" t="s">
        <v>13</v>
      </c>
      <c r="C968" t="s">
        <v>9003</v>
      </c>
      <c r="D968" t="s">
        <v>11948</v>
      </c>
      <c r="E968" t="s">
        <v>11949</v>
      </c>
      <c r="F968" t="s">
        <v>2036</v>
      </c>
      <c r="G968" t="s">
        <v>11950</v>
      </c>
      <c r="H968" t="s">
        <v>45</v>
      </c>
      <c r="I968" t="s">
        <v>19</v>
      </c>
      <c r="J968" s="3" t="s">
        <v>11951</v>
      </c>
      <c r="K968" t="s">
        <v>11952</v>
      </c>
      <c r="L968" t="s">
        <v>11953</v>
      </c>
      <c r="M968" t="s">
        <v>57</v>
      </c>
    </row>
    <row r="969" spans="1:13" x14ac:dyDescent="0.25">
      <c r="A969" t="s">
        <v>28836</v>
      </c>
      <c r="B969" t="s">
        <v>101</v>
      </c>
      <c r="C969" s="1">
        <v>41770</v>
      </c>
      <c r="D969" t="s">
        <v>28837</v>
      </c>
      <c r="E969" t="s">
        <v>28838</v>
      </c>
      <c r="F969" t="s">
        <v>32147</v>
      </c>
      <c r="G969" t="s">
        <v>28839</v>
      </c>
      <c r="H969" t="s">
        <v>265</v>
      </c>
      <c r="I969" t="s">
        <v>19</v>
      </c>
      <c r="J969" s="3" t="s">
        <v>28840</v>
      </c>
      <c r="K969" t="s">
        <v>28841</v>
      </c>
      <c r="L969" t="s">
        <v>28842</v>
      </c>
      <c r="M969" t="s">
        <v>32147</v>
      </c>
    </row>
    <row r="970" spans="1:13" x14ac:dyDescent="0.25">
      <c r="A970" t="s">
        <v>15905</v>
      </c>
      <c r="B970" t="s">
        <v>13</v>
      </c>
      <c r="C970" t="s">
        <v>15322</v>
      </c>
      <c r="D970" t="s">
        <v>15906</v>
      </c>
      <c r="E970" t="s">
        <v>6455</v>
      </c>
      <c r="F970" t="s">
        <v>741</v>
      </c>
      <c r="G970" t="s">
        <v>15907</v>
      </c>
      <c r="H970" t="s">
        <v>352</v>
      </c>
      <c r="I970" t="s">
        <v>19</v>
      </c>
      <c r="J970" s="3" t="s">
        <v>15908</v>
      </c>
      <c r="K970" t="s">
        <v>15909</v>
      </c>
      <c r="L970" t="s">
        <v>15910</v>
      </c>
      <c r="M970" t="s">
        <v>741</v>
      </c>
    </row>
    <row r="971" spans="1:13" x14ac:dyDescent="0.25">
      <c r="A971" t="s">
        <v>14229</v>
      </c>
      <c r="B971" t="s">
        <v>13</v>
      </c>
      <c r="C971" t="s">
        <v>11940</v>
      </c>
      <c r="D971" t="s">
        <v>14230</v>
      </c>
      <c r="E971" t="s">
        <v>2241</v>
      </c>
      <c r="F971" t="s">
        <v>337</v>
      </c>
      <c r="G971" t="s">
        <v>14231</v>
      </c>
      <c r="H971" t="s">
        <v>3416</v>
      </c>
      <c r="I971" t="s">
        <v>19</v>
      </c>
      <c r="J971" s="3" t="s">
        <v>14232</v>
      </c>
      <c r="K971" t="s">
        <v>14233</v>
      </c>
      <c r="L971" t="s">
        <v>14234</v>
      </c>
      <c r="M971" t="s">
        <v>337</v>
      </c>
    </row>
    <row r="972" spans="1:13" x14ac:dyDescent="0.25">
      <c r="A972" t="s">
        <v>14983</v>
      </c>
      <c r="B972" t="s">
        <v>13</v>
      </c>
      <c r="C972" t="s">
        <v>14967</v>
      </c>
      <c r="D972" t="s">
        <v>14984</v>
      </c>
      <c r="E972" t="s">
        <v>6455</v>
      </c>
      <c r="F972" t="s">
        <v>337</v>
      </c>
      <c r="G972" t="s">
        <v>14985</v>
      </c>
      <c r="H972" t="s">
        <v>36</v>
      </c>
      <c r="I972" t="s">
        <v>19</v>
      </c>
      <c r="J972" s="3">
        <f>55-11-30917833</f>
        <v>-30917789</v>
      </c>
      <c r="K972" t="s">
        <v>14986</v>
      </c>
      <c r="L972" t="s">
        <v>14987</v>
      </c>
      <c r="M972" t="s">
        <v>337</v>
      </c>
    </row>
    <row r="973" spans="1:13" x14ac:dyDescent="0.25">
      <c r="A973" t="s">
        <v>23246</v>
      </c>
      <c r="B973" t="s">
        <v>13</v>
      </c>
      <c r="C973" t="s">
        <v>8472</v>
      </c>
      <c r="D973" t="s">
        <v>23247</v>
      </c>
      <c r="E973" t="s">
        <v>11611</v>
      </c>
      <c r="F973" t="s">
        <v>1464</v>
      </c>
      <c r="G973" t="s">
        <v>23248</v>
      </c>
      <c r="H973" t="s">
        <v>706</v>
      </c>
      <c r="I973" t="s">
        <v>19</v>
      </c>
      <c r="J973" s="3" t="s">
        <v>23249</v>
      </c>
      <c r="K973" t="s">
        <v>23250</v>
      </c>
      <c r="L973" t="s">
        <v>565</v>
      </c>
      <c r="M973" t="s">
        <v>337</v>
      </c>
    </row>
    <row r="974" spans="1:13" x14ac:dyDescent="0.25">
      <c r="A974" t="s">
        <v>12517</v>
      </c>
      <c r="B974" t="s">
        <v>13</v>
      </c>
      <c r="C974" s="1">
        <v>43894</v>
      </c>
      <c r="D974" t="s">
        <v>12518</v>
      </c>
      <c r="E974" t="s">
        <v>2241</v>
      </c>
      <c r="F974" t="s">
        <v>1464</v>
      </c>
      <c r="G974" t="s">
        <v>12519</v>
      </c>
      <c r="H974" t="s">
        <v>255</v>
      </c>
      <c r="I974" t="s">
        <v>19</v>
      </c>
      <c r="J974" s="3" t="s">
        <v>12520</v>
      </c>
      <c r="K974" t="s">
        <v>12521</v>
      </c>
      <c r="L974" t="s">
        <v>2467</v>
      </c>
      <c r="M974" t="s">
        <v>337</v>
      </c>
    </row>
    <row r="975" spans="1:13" x14ac:dyDescent="0.25">
      <c r="A975" t="s">
        <v>2239</v>
      </c>
      <c r="B975" t="s">
        <v>13</v>
      </c>
      <c r="C975" s="1">
        <v>44690</v>
      </c>
      <c r="D975" t="s">
        <v>2240</v>
      </c>
      <c r="E975" t="s">
        <v>2241</v>
      </c>
      <c r="F975" t="s">
        <v>2242</v>
      </c>
      <c r="G975" t="s">
        <v>2243</v>
      </c>
      <c r="H975" t="s">
        <v>2215</v>
      </c>
      <c r="I975" t="s">
        <v>19</v>
      </c>
      <c r="J975" s="3" t="s">
        <v>2244</v>
      </c>
      <c r="K975" t="s">
        <v>2245</v>
      </c>
      <c r="L975" t="s">
        <v>2218</v>
      </c>
      <c r="M975" t="s">
        <v>337</v>
      </c>
    </row>
    <row r="976" spans="1:13" x14ac:dyDescent="0.25">
      <c r="A976" t="s">
        <v>29271</v>
      </c>
      <c r="B976" t="s">
        <v>13</v>
      </c>
      <c r="C976" t="s">
        <v>29272</v>
      </c>
      <c r="D976" t="s">
        <v>29273</v>
      </c>
      <c r="E976" t="s">
        <v>2241</v>
      </c>
      <c r="F976" t="s">
        <v>332</v>
      </c>
      <c r="G976" t="s">
        <v>29274</v>
      </c>
      <c r="H976" t="s">
        <v>2112</v>
      </c>
      <c r="I976" t="s">
        <v>19</v>
      </c>
      <c r="J976" s="3" t="s">
        <v>29275</v>
      </c>
      <c r="K976" t="s">
        <v>29276</v>
      </c>
      <c r="L976" t="s">
        <v>29277</v>
      </c>
      <c r="M976" t="s">
        <v>337</v>
      </c>
    </row>
    <row r="977" spans="1:13" x14ac:dyDescent="0.25">
      <c r="A977" t="s">
        <v>6453</v>
      </c>
      <c r="B977" t="s">
        <v>13</v>
      </c>
      <c r="C977" s="1">
        <v>43718</v>
      </c>
      <c r="D977" t="s">
        <v>6454</v>
      </c>
      <c r="E977" t="s">
        <v>6455</v>
      </c>
      <c r="F977" t="s">
        <v>332</v>
      </c>
      <c r="G977" t="s">
        <v>6456</v>
      </c>
      <c r="H977" t="s">
        <v>88</v>
      </c>
      <c r="I977" t="s">
        <v>19</v>
      </c>
      <c r="J977" s="3" t="s">
        <v>6457</v>
      </c>
      <c r="K977" t="s">
        <v>6458</v>
      </c>
      <c r="L977" t="s">
        <v>6459</v>
      </c>
      <c r="M977" t="s">
        <v>337</v>
      </c>
    </row>
    <row r="978" spans="1:13" x14ac:dyDescent="0.25">
      <c r="A978" t="s">
        <v>476</v>
      </c>
      <c r="B978" t="s">
        <v>13</v>
      </c>
      <c r="C978" t="s">
        <v>457</v>
      </c>
      <c r="D978" t="s">
        <v>477</v>
      </c>
      <c r="E978" t="s">
        <v>478</v>
      </c>
      <c r="F978" t="s">
        <v>479</v>
      </c>
      <c r="G978" t="s">
        <v>480</v>
      </c>
      <c r="H978" t="s">
        <v>352</v>
      </c>
      <c r="I978" t="s">
        <v>19</v>
      </c>
      <c r="J978" s="3">
        <v>552128688282</v>
      </c>
      <c r="K978" t="s">
        <v>481</v>
      </c>
      <c r="L978" t="s">
        <v>482</v>
      </c>
      <c r="M978" t="s">
        <v>337</v>
      </c>
    </row>
    <row r="979" spans="1:13" x14ac:dyDescent="0.25">
      <c r="A979" t="s">
        <v>20128</v>
      </c>
      <c r="B979" t="s">
        <v>13</v>
      </c>
      <c r="C979" s="1">
        <v>43259</v>
      </c>
      <c r="D979" t="s">
        <v>20129</v>
      </c>
      <c r="E979" t="s">
        <v>20130</v>
      </c>
      <c r="F979" t="s">
        <v>332</v>
      </c>
      <c r="G979" t="s">
        <v>6723</v>
      </c>
      <c r="H979" t="s">
        <v>714</v>
      </c>
      <c r="I979" t="s">
        <v>19</v>
      </c>
      <c r="J979" s="3">
        <f>55-18-36363200</f>
        <v>-36363163</v>
      </c>
      <c r="K979" t="s">
        <v>20131</v>
      </c>
      <c r="L979" t="s">
        <v>20132</v>
      </c>
      <c r="M979" t="s">
        <v>337</v>
      </c>
    </row>
    <row r="980" spans="1:13" x14ac:dyDescent="0.25">
      <c r="A980" t="s">
        <v>9316</v>
      </c>
      <c r="B980" t="s">
        <v>13</v>
      </c>
      <c r="C980" s="1">
        <v>44053</v>
      </c>
      <c r="D980" t="s">
        <v>9317</v>
      </c>
      <c r="E980" s="2" t="s">
        <v>30973</v>
      </c>
      <c r="F980" t="s">
        <v>117</v>
      </c>
      <c r="G980" t="s">
        <v>9318</v>
      </c>
      <c r="H980" t="s">
        <v>170</v>
      </c>
      <c r="I980" t="s">
        <v>19</v>
      </c>
      <c r="J980" s="3">
        <f>55-12-39479046</f>
        <v>-39479003</v>
      </c>
      <c r="K980" t="s">
        <v>9319</v>
      </c>
      <c r="L980" t="s">
        <v>2548</v>
      </c>
      <c r="M980" t="s">
        <v>32145</v>
      </c>
    </row>
    <row r="981" spans="1:13" x14ac:dyDescent="0.25">
      <c r="A981" t="s">
        <v>14847</v>
      </c>
      <c r="B981" t="s">
        <v>13</v>
      </c>
      <c r="C981" s="1">
        <v>42493</v>
      </c>
      <c r="D981" t="s">
        <v>14848</v>
      </c>
      <c r="E981" t="s">
        <v>14849</v>
      </c>
      <c r="F981" t="s">
        <v>1464</v>
      </c>
      <c r="G981" t="s">
        <v>14850</v>
      </c>
      <c r="H981" t="s">
        <v>798</v>
      </c>
      <c r="I981" t="s">
        <v>19</v>
      </c>
      <c r="J981" s="3">
        <v>556133072268</v>
      </c>
      <c r="K981" t="s">
        <v>14851</v>
      </c>
      <c r="L981" t="s">
        <v>1767</v>
      </c>
      <c r="M981" t="s">
        <v>337</v>
      </c>
    </row>
    <row r="982" spans="1:13" x14ac:dyDescent="0.25">
      <c r="A982" t="s">
        <v>11608</v>
      </c>
      <c r="B982" t="s">
        <v>13</v>
      </c>
      <c r="C982" t="s">
        <v>11609</v>
      </c>
      <c r="D982" t="s">
        <v>11610</v>
      </c>
      <c r="E982" s="2" t="s">
        <v>31018</v>
      </c>
      <c r="F982" t="s">
        <v>10034</v>
      </c>
      <c r="G982" t="s">
        <v>11612</v>
      </c>
      <c r="H982" t="s">
        <v>141</v>
      </c>
      <c r="I982" t="s">
        <v>19</v>
      </c>
      <c r="J982" s="3">
        <f>55-82-988651926</f>
        <v>-988651953</v>
      </c>
      <c r="K982" t="s">
        <v>11613</v>
      </c>
      <c r="L982" t="s">
        <v>11614</v>
      </c>
      <c r="M982" t="s">
        <v>337</v>
      </c>
    </row>
    <row r="983" spans="1:13" x14ac:dyDescent="0.25">
      <c r="A983" t="s">
        <v>19240</v>
      </c>
      <c r="B983" t="s">
        <v>13</v>
      </c>
      <c r="C983" t="s">
        <v>19229</v>
      </c>
      <c r="D983" t="s">
        <v>19241</v>
      </c>
      <c r="E983" t="s">
        <v>19242</v>
      </c>
      <c r="F983" t="s">
        <v>332</v>
      </c>
      <c r="G983" t="s">
        <v>19243</v>
      </c>
      <c r="H983" t="s">
        <v>352</v>
      </c>
      <c r="I983" t="s">
        <v>19</v>
      </c>
      <c r="J983" s="3" t="s">
        <v>19244</v>
      </c>
      <c r="K983" t="s">
        <v>19245</v>
      </c>
      <c r="L983" t="s">
        <v>19246</v>
      </c>
      <c r="M983" t="s">
        <v>337</v>
      </c>
    </row>
    <row r="984" spans="1:13" x14ac:dyDescent="0.25">
      <c r="A984" t="s">
        <v>13161</v>
      </c>
      <c r="B984" t="s">
        <v>13</v>
      </c>
      <c r="C984" s="1">
        <v>43985</v>
      </c>
      <c r="D984" t="s">
        <v>13162</v>
      </c>
      <c r="E984" s="2" t="s">
        <v>31064</v>
      </c>
      <c r="F984" t="s">
        <v>332</v>
      </c>
      <c r="G984" t="s">
        <v>6723</v>
      </c>
      <c r="H984" t="s">
        <v>714</v>
      </c>
      <c r="I984" t="s">
        <v>19</v>
      </c>
      <c r="J984" s="3">
        <f>55-18-36362860</f>
        <v>-36362823</v>
      </c>
      <c r="K984" t="s">
        <v>6724</v>
      </c>
      <c r="L984" t="s">
        <v>6725</v>
      </c>
      <c r="M984" t="s">
        <v>337</v>
      </c>
    </row>
    <row r="985" spans="1:13" x14ac:dyDescent="0.25">
      <c r="A985" t="s">
        <v>15773</v>
      </c>
      <c r="B985" t="s">
        <v>13</v>
      </c>
      <c r="C985" s="1">
        <v>43534</v>
      </c>
      <c r="D985" t="s">
        <v>15774</v>
      </c>
      <c r="E985" s="2" t="s">
        <v>31884</v>
      </c>
      <c r="F985" t="s">
        <v>332</v>
      </c>
      <c r="G985" t="s">
        <v>15775</v>
      </c>
      <c r="H985" t="s">
        <v>2215</v>
      </c>
      <c r="I985" t="s">
        <v>19</v>
      </c>
      <c r="J985" s="3" t="s">
        <v>15776</v>
      </c>
      <c r="K985" t="s">
        <v>15777</v>
      </c>
      <c r="L985" t="s">
        <v>2218</v>
      </c>
      <c r="M985" t="s">
        <v>337</v>
      </c>
    </row>
    <row r="986" spans="1:13" x14ac:dyDescent="0.25">
      <c r="A986" t="s">
        <v>29257</v>
      </c>
      <c r="B986" t="s">
        <v>13</v>
      </c>
      <c r="C986" s="1">
        <v>41529</v>
      </c>
      <c r="D986" t="s">
        <v>29258</v>
      </c>
      <c r="E986" t="s">
        <v>21696</v>
      </c>
      <c r="F986" t="s">
        <v>129</v>
      </c>
      <c r="G986" t="s">
        <v>29259</v>
      </c>
      <c r="H986" t="s">
        <v>608</v>
      </c>
      <c r="I986" t="s">
        <v>19</v>
      </c>
      <c r="J986" s="3" t="s">
        <v>29260</v>
      </c>
      <c r="K986" t="s">
        <v>29261</v>
      </c>
      <c r="L986" t="s">
        <v>610</v>
      </c>
      <c r="M986" t="s">
        <v>129</v>
      </c>
    </row>
    <row r="987" spans="1:13" x14ac:dyDescent="0.25">
      <c r="A987" t="s">
        <v>21694</v>
      </c>
      <c r="B987" t="s">
        <v>13</v>
      </c>
      <c r="C987" s="1">
        <v>43164</v>
      </c>
      <c r="D987" t="s">
        <v>21695</v>
      </c>
      <c r="E987" t="s">
        <v>21696</v>
      </c>
      <c r="F987" t="s">
        <v>1464</v>
      </c>
      <c r="G987" t="s">
        <v>8308</v>
      </c>
      <c r="H987" t="s">
        <v>1466</v>
      </c>
      <c r="I987" t="s">
        <v>19</v>
      </c>
      <c r="J987" s="3" t="s">
        <v>21697</v>
      </c>
      <c r="K987" t="s">
        <v>8309</v>
      </c>
      <c r="L987" t="s">
        <v>21698</v>
      </c>
      <c r="M987" t="s">
        <v>129</v>
      </c>
    </row>
    <row r="988" spans="1:13" x14ac:dyDescent="0.25">
      <c r="A988" t="s">
        <v>26878</v>
      </c>
      <c r="B988" t="s">
        <v>13</v>
      </c>
      <c r="C988" s="1">
        <v>42372</v>
      </c>
      <c r="D988" t="s">
        <v>26879</v>
      </c>
      <c r="E988" t="s">
        <v>32279</v>
      </c>
      <c r="F988" t="s">
        <v>129</v>
      </c>
      <c r="G988" t="s">
        <v>26880</v>
      </c>
      <c r="H988" t="s">
        <v>1466</v>
      </c>
      <c r="I988" t="s">
        <v>19</v>
      </c>
      <c r="J988" s="3">
        <v>553532991381</v>
      </c>
      <c r="K988" t="s">
        <v>24883</v>
      </c>
      <c r="L988" t="s">
        <v>1469</v>
      </c>
      <c r="M988" t="s">
        <v>129</v>
      </c>
    </row>
    <row r="989" spans="1:13" x14ac:dyDescent="0.25">
      <c r="A989" t="s">
        <v>28381</v>
      </c>
      <c r="B989" t="s">
        <v>13</v>
      </c>
      <c r="C989" s="1">
        <v>42008</v>
      </c>
      <c r="D989" t="s">
        <v>28382</v>
      </c>
      <c r="E989" t="s">
        <v>28383</v>
      </c>
      <c r="F989" t="s">
        <v>129</v>
      </c>
      <c r="G989" t="s">
        <v>28384</v>
      </c>
      <c r="H989" t="s">
        <v>28385</v>
      </c>
      <c r="I989" t="s">
        <v>19</v>
      </c>
      <c r="J989" s="3" t="s">
        <v>28386</v>
      </c>
      <c r="K989" t="s">
        <v>28387</v>
      </c>
      <c r="L989" t="s">
        <v>610</v>
      </c>
      <c r="M989" t="s">
        <v>129</v>
      </c>
    </row>
    <row r="990" spans="1:13" x14ac:dyDescent="0.25">
      <c r="A990" t="s">
        <v>13256</v>
      </c>
      <c r="B990" t="s">
        <v>13</v>
      </c>
      <c r="C990" s="1">
        <v>43864</v>
      </c>
      <c r="D990" t="s">
        <v>13257</v>
      </c>
      <c r="E990" s="2" t="s">
        <v>31067</v>
      </c>
      <c r="F990" t="s">
        <v>2947</v>
      </c>
      <c r="G990" t="s">
        <v>13258</v>
      </c>
      <c r="H990" t="s">
        <v>1802</v>
      </c>
      <c r="I990" t="s">
        <v>19</v>
      </c>
      <c r="J990" s="3" t="s">
        <v>13259</v>
      </c>
      <c r="K990" t="s">
        <v>13260</v>
      </c>
      <c r="L990" t="s">
        <v>13261</v>
      </c>
      <c r="M990" t="s">
        <v>771</v>
      </c>
    </row>
    <row r="991" spans="1:13" x14ac:dyDescent="0.25">
      <c r="A991" t="s">
        <v>21756</v>
      </c>
      <c r="B991" t="s">
        <v>13</v>
      </c>
      <c r="C991" t="s">
        <v>15951</v>
      </c>
      <c r="D991" t="s">
        <v>21757</v>
      </c>
      <c r="E991" t="s">
        <v>21758</v>
      </c>
      <c r="F991" t="s">
        <v>129</v>
      </c>
      <c r="G991" t="s">
        <v>21759</v>
      </c>
      <c r="H991" t="s">
        <v>255</v>
      </c>
      <c r="I991" t="s">
        <v>19</v>
      </c>
      <c r="J991" s="3" t="s">
        <v>21760</v>
      </c>
      <c r="K991" t="s">
        <v>21761</v>
      </c>
      <c r="L991" t="s">
        <v>9587</v>
      </c>
      <c r="M991" t="s">
        <v>129</v>
      </c>
    </row>
    <row r="992" spans="1:13" x14ac:dyDescent="0.25">
      <c r="A992" t="s">
        <v>27990</v>
      </c>
      <c r="B992" t="s">
        <v>13</v>
      </c>
      <c r="C992" s="1">
        <v>41000</v>
      </c>
      <c r="D992" t="s">
        <v>27991</v>
      </c>
      <c r="E992" t="s">
        <v>27992</v>
      </c>
      <c r="F992" t="s">
        <v>1464</v>
      </c>
      <c r="G992" t="s">
        <v>27993</v>
      </c>
      <c r="H992" t="s">
        <v>36</v>
      </c>
      <c r="I992" t="s">
        <v>19</v>
      </c>
      <c r="J992" s="3" t="s">
        <v>27994</v>
      </c>
      <c r="K992" t="s">
        <v>27995</v>
      </c>
      <c r="L992" t="s">
        <v>27996</v>
      </c>
      <c r="M992" t="s">
        <v>337</v>
      </c>
    </row>
    <row r="993" spans="1:13" x14ac:dyDescent="0.25">
      <c r="A993" t="s">
        <v>14598</v>
      </c>
      <c r="B993" t="s">
        <v>13</v>
      </c>
      <c r="C993" s="1">
        <v>43811</v>
      </c>
      <c r="D993" t="s">
        <v>14599</v>
      </c>
      <c r="E993" s="2" t="s">
        <v>32005</v>
      </c>
      <c r="F993" t="s">
        <v>129</v>
      </c>
      <c r="G993" t="s">
        <v>14600</v>
      </c>
      <c r="H993" t="s">
        <v>255</v>
      </c>
      <c r="I993" t="s">
        <v>19</v>
      </c>
      <c r="J993" s="3">
        <f>55-62-3209-6270</f>
        <v>-9486</v>
      </c>
      <c r="K993" t="s">
        <v>14601</v>
      </c>
      <c r="L993" t="s">
        <v>14602</v>
      </c>
      <c r="M993" t="s">
        <v>129</v>
      </c>
    </row>
    <row r="994" spans="1:13" x14ac:dyDescent="0.25">
      <c r="A994" t="s">
        <v>27100</v>
      </c>
      <c r="B994" t="s">
        <v>13</v>
      </c>
      <c r="C994" t="s">
        <v>27097</v>
      </c>
      <c r="D994" t="s">
        <v>27101</v>
      </c>
      <c r="E994" t="s">
        <v>27102</v>
      </c>
      <c r="F994" t="s">
        <v>129</v>
      </c>
      <c r="G994" t="s">
        <v>27103</v>
      </c>
      <c r="H994" t="s">
        <v>88</v>
      </c>
      <c r="I994" t="s">
        <v>19</v>
      </c>
      <c r="J994" s="3" t="s">
        <v>27104</v>
      </c>
      <c r="K994" t="s">
        <v>27105</v>
      </c>
      <c r="L994" t="s">
        <v>91</v>
      </c>
      <c r="M994" t="s">
        <v>129</v>
      </c>
    </row>
    <row r="995" spans="1:13" x14ac:dyDescent="0.25">
      <c r="A995" t="s">
        <v>25758</v>
      </c>
      <c r="B995" t="s">
        <v>13</v>
      </c>
      <c r="C995" s="1">
        <v>42437</v>
      </c>
      <c r="D995" t="s">
        <v>25759</v>
      </c>
      <c r="E995" t="s">
        <v>1558</v>
      </c>
      <c r="F995" t="s">
        <v>1464</v>
      </c>
      <c r="G995" t="s">
        <v>25760</v>
      </c>
      <c r="H995" t="s">
        <v>299</v>
      </c>
      <c r="I995" t="s">
        <v>19</v>
      </c>
      <c r="J995" s="3" t="s">
        <v>14129</v>
      </c>
      <c r="K995" t="s">
        <v>23262</v>
      </c>
      <c r="L995" t="s">
        <v>13988</v>
      </c>
      <c r="M995" t="s">
        <v>129</v>
      </c>
    </row>
    <row r="996" spans="1:13" x14ac:dyDescent="0.25">
      <c r="A996" t="s">
        <v>25929</v>
      </c>
      <c r="B996" t="s">
        <v>13</v>
      </c>
      <c r="C996" s="1">
        <v>42681</v>
      </c>
      <c r="D996" t="s">
        <v>25930</v>
      </c>
      <c r="E996" t="s">
        <v>25931</v>
      </c>
      <c r="F996" t="s">
        <v>4639</v>
      </c>
      <c r="G996" t="s">
        <v>8729</v>
      </c>
      <c r="H996" t="s">
        <v>299</v>
      </c>
      <c r="I996" t="s">
        <v>19</v>
      </c>
      <c r="J996" s="3" t="s">
        <v>25932</v>
      </c>
      <c r="K996" t="s">
        <v>8731</v>
      </c>
      <c r="L996" t="s">
        <v>2621</v>
      </c>
      <c r="M996" t="s">
        <v>785</v>
      </c>
    </row>
    <row r="997" spans="1:13" x14ac:dyDescent="0.25">
      <c r="A997" t="s">
        <v>23371</v>
      </c>
      <c r="B997" t="s">
        <v>13</v>
      </c>
      <c r="C997" s="1">
        <v>42865</v>
      </c>
      <c r="D997" t="s">
        <v>23372</v>
      </c>
      <c r="E997" t="s">
        <v>23373</v>
      </c>
      <c r="F997" t="s">
        <v>129</v>
      </c>
      <c r="G997" t="s">
        <v>23374</v>
      </c>
      <c r="H997" t="s">
        <v>1486</v>
      </c>
      <c r="I997" t="s">
        <v>19</v>
      </c>
      <c r="J997" s="3">
        <f>55-34-33122215</f>
        <v>-33122194</v>
      </c>
      <c r="K997" t="s">
        <v>23375</v>
      </c>
      <c r="L997" t="s">
        <v>1489</v>
      </c>
      <c r="M997" t="s">
        <v>129</v>
      </c>
    </row>
    <row r="998" spans="1:13" x14ac:dyDescent="0.25">
      <c r="A998" t="s">
        <v>20099</v>
      </c>
      <c r="B998" t="s">
        <v>13</v>
      </c>
      <c r="C998" s="1">
        <v>43351</v>
      </c>
      <c r="D998" t="s">
        <v>20100</v>
      </c>
      <c r="E998" s="2" t="s">
        <v>31242</v>
      </c>
      <c r="F998" t="s">
        <v>1464</v>
      </c>
      <c r="G998" t="s">
        <v>20101</v>
      </c>
      <c r="H998" t="s">
        <v>472</v>
      </c>
      <c r="I998" t="s">
        <v>19</v>
      </c>
      <c r="J998" s="3">
        <v>55081996693769</v>
      </c>
      <c r="K998" t="s">
        <v>20102</v>
      </c>
      <c r="L998" t="s">
        <v>20103</v>
      </c>
      <c r="M998" t="s">
        <v>129</v>
      </c>
    </row>
    <row r="999" spans="1:13" x14ac:dyDescent="0.25">
      <c r="A999" t="s">
        <v>16759</v>
      </c>
      <c r="B999" t="s">
        <v>13</v>
      </c>
      <c r="C999" t="s">
        <v>7914</v>
      </c>
      <c r="D999" t="s">
        <v>16760</v>
      </c>
      <c r="E999" t="s">
        <v>16761</v>
      </c>
      <c r="F999" t="s">
        <v>129</v>
      </c>
      <c r="G999" t="s">
        <v>6382</v>
      </c>
      <c r="H999" t="s">
        <v>36</v>
      </c>
      <c r="I999" t="s">
        <v>19</v>
      </c>
      <c r="J999" s="3" t="s">
        <v>16762</v>
      </c>
      <c r="K999" t="s">
        <v>6383</v>
      </c>
      <c r="L999" t="s">
        <v>3083</v>
      </c>
      <c r="M999" t="s">
        <v>129</v>
      </c>
    </row>
    <row r="1000" spans="1:13" x14ac:dyDescent="0.25">
      <c r="A1000" t="s">
        <v>21300</v>
      </c>
      <c r="B1000" t="s">
        <v>101</v>
      </c>
      <c r="C1000" t="s">
        <v>21296</v>
      </c>
      <c r="D1000" t="s">
        <v>21301</v>
      </c>
      <c r="E1000" s="2" t="s">
        <v>31803</v>
      </c>
      <c r="F1000" t="s">
        <v>129</v>
      </c>
      <c r="G1000" t="s">
        <v>21302</v>
      </c>
      <c r="H1000" t="s">
        <v>706</v>
      </c>
      <c r="I1000" t="s">
        <v>19</v>
      </c>
      <c r="J1000" s="3">
        <f>55-31-991049267</f>
        <v>-991049243</v>
      </c>
      <c r="K1000" t="s">
        <v>21303</v>
      </c>
      <c r="L1000" t="s">
        <v>565</v>
      </c>
      <c r="M1000" t="s">
        <v>129</v>
      </c>
    </row>
    <row r="1001" spans="1:13" x14ac:dyDescent="0.25">
      <c r="A1001" t="s">
        <v>19053</v>
      </c>
      <c r="B1001" t="s">
        <v>13</v>
      </c>
      <c r="C1001" s="1">
        <v>43354</v>
      </c>
      <c r="D1001" t="s">
        <v>19054</v>
      </c>
      <c r="E1001" t="s">
        <v>19055</v>
      </c>
      <c r="F1001" t="s">
        <v>129</v>
      </c>
      <c r="G1001" t="s">
        <v>19056</v>
      </c>
      <c r="H1001" t="s">
        <v>893</v>
      </c>
      <c r="I1001" t="s">
        <v>19</v>
      </c>
      <c r="J1001" s="3">
        <f>55-98-988316697</f>
        <v>-988316740</v>
      </c>
      <c r="K1001" t="s">
        <v>19057</v>
      </c>
      <c r="L1001" t="s">
        <v>13342</v>
      </c>
      <c r="M1001" t="s">
        <v>129</v>
      </c>
    </row>
    <row r="1002" spans="1:13" x14ac:dyDescent="0.25">
      <c r="A1002" t="s">
        <v>4823</v>
      </c>
      <c r="B1002" t="s">
        <v>13</v>
      </c>
      <c r="C1002" s="1">
        <v>44867</v>
      </c>
      <c r="D1002" t="s">
        <v>32135</v>
      </c>
      <c r="E1002" s="2" t="s">
        <v>31388</v>
      </c>
      <c r="F1002" t="s">
        <v>4824</v>
      </c>
      <c r="G1002" t="s">
        <v>4825</v>
      </c>
      <c r="H1002" t="s">
        <v>4826</v>
      </c>
      <c r="I1002" t="s">
        <v>19</v>
      </c>
      <c r="J1002" s="3" t="s">
        <v>4827</v>
      </c>
      <c r="K1002" t="s">
        <v>4828</v>
      </c>
      <c r="L1002" t="s">
        <v>4829</v>
      </c>
      <c r="M1002" t="s">
        <v>432</v>
      </c>
    </row>
    <row r="1003" spans="1:13" x14ac:dyDescent="0.25">
      <c r="A1003" t="s">
        <v>22433</v>
      </c>
      <c r="B1003" t="s">
        <v>13</v>
      </c>
      <c r="C1003" t="s">
        <v>16682</v>
      </c>
      <c r="D1003" t="s">
        <v>22434</v>
      </c>
      <c r="E1003" t="s">
        <v>22435</v>
      </c>
      <c r="F1003" t="s">
        <v>432</v>
      </c>
      <c r="G1003" t="s">
        <v>22436</v>
      </c>
      <c r="H1003" t="s">
        <v>105</v>
      </c>
      <c r="I1003" t="s">
        <v>19</v>
      </c>
      <c r="J1003" s="3">
        <v>552126299254</v>
      </c>
      <c r="K1003" t="s">
        <v>22437</v>
      </c>
      <c r="L1003" t="s">
        <v>11360</v>
      </c>
      <c r="M1003" t="s">
        <v>432</v>
      </c>
    </row>
    <row r="1004" spans="1:13" x14ac:dyDescent="0.25">
      <c r="A1004" t="s">
        <v>28296</v>
      </c>
      <c r="B1004" t="s">
        <v>13</v>
      </c>
      <c r="C1004" t="s">
        <v>28284</v>
      </c>
      <c r="D1004" t="s">
        <v>28297</v>
      </c>
      <c r="E1004" t="s">
        <v>11747</v>
      </c>
      <c r="F1004" t="s">
        <v>432</v>
      </c>
      <c r="G1004" t="s">
        <v>28298</v>
      </c>
      <c r="H1004" t="s">
        <v>265</v>
      </c>
      <c r="I1004" t="s">
        <v>19</v>
      </c>
      <c r="J1004" s="3" t="s">
        <v>28299</v>
      </c>
      <c r="K1004" t="s">
        <v>28300</v>
      </c>
      <c r="L1004" t="s">
        <v>22357</v>
      </c>
      <c r="M1004" t="s">
        <v>432</v>
      </c>
    </row>
    <row r="1005" spans="1:13" x14ac:dyDescent="0.25">
      <c r="A1005" t="s">
        <v>11745</v>
      </c>
      <c r="B1005" t="s">
        <v>13</v>
      </c>
      <c r="C1005" t="s">
        <v>11721</v>
      </c>
      <c r="D1005" t="s">
        <v>11746</v>
      </c>
      <c r="E1005" t="s">
        <v>11747</v>
      </c>
      <c r="F1005" t="s">
        <v>432</v>
      </c>
      <c r="G1005" t="s">
        <v>11748</v>
      </c>
      <c r="H1005" t="s">
        <v>36</v>
      </c>
      <c r="I1005" t="s">
        <v>19</v>
      </c>
      <c r="J1005" s="3">
        <f>55-11-5539-7358</f>
        <v>-12853</v>
      </c>
      <c r="K1005" t="s">
        <v>11749</v>
      </c>
      <c r="L1005" t="s">
        <v>439</v>
      </c>
      <c r="M1005" t="s">
        <v>432</v>
      </c>
    </row>
    <row r="1006" spans="1:13" x14ac:dyDescent="0.25">
      <c r="A1006" t="s">
        <v>10896</v>
      </c>
      <c r="B1006" t="s">
        <v>13</v>
      </c>
      <c r="C1006" t="s">
        <v>10579</v>
      </c>
      <c r="D1006" t="s">
        <v>10897</v>
      </c>
      <c r="E1006" t="s">
        <v>10898</v>
      </c>
      <c r="F1006" t="s">
        <v>6308</v>
      </c>
      <c r="G1006" t="s">
        <v>8847</v>
      </c>
      <c r="H1006" t="s">
        <v>1335</v>
      </c>
      <c r="I1006" t="s">
        <v>19</v>
      </c>
      <c r="J1006" s="3">
        <v>554330291436</v>
      </c>
      <c r="K1006" t="s">
        <v>8848</v>
      </c>
      <c r="L1006" t="s">
        <v>8849</v>
      </c>
      <c r="M1006" t="s">
        <v>432</v>
      </c>
    </row>
    <row r="1007" spans="1:13" x14ac:dyDescent="0.25">
      <c r="A1007" t="s">
        <v>17261</v>
      </c>
      <c r="B1007" t="s">
        <v>13</v>
      </c>
      <c r="C1007" s="1">
        <v>43622</v>
      </c>
      <c r="D1007" t="s">
        <v>17262</v>
      </c>
      <c r="E1007" t="s">
        <v>17263</v>
      </c>
      <c r="F1007" t="s">
        <v>2036</v>
      </c>
      <c r="G1007" t="s">
        <v>13537</v>
      </c>
      <c r="H1007" t="s">
        <v>927</v>
      </c>
      <c r="I1007" t="s">
        <v>19</v>
      </c>
      <c r="J1007" s="3" t="s">
        <v>17264</v>
      </c>
      <c r="K1007" t="s">
        <v>13538</v>
      </c>
      <c r="L1007" t="s">
        <v>3083</v>
      </c>
      <c r="M1007" t="s">
        <v>57</v>
      </c>
    </row>
    <row r="1008" spans="1:13" x14ac:dyDescent="0.25">
      <c r="A1008" t="s">
        <v>27943</v>
      </c>
      <c r="B1008" t="s">
        <v>13</v>
      </c>
      <c r="C1008" t="s">
        <v>27932</v>
      </c>
      <c r="D1008" t="s">
        <v>27944</v>
      </c>
      <c r="E1008" t="s">
        <v>17263</v>
      </c>
      <c r="F1008" t="s">
        <v>2036</v>
      </c>
      <c r="G1008" t="s">
        <v>2940</v>
      </c>
      <c r="H1008" t="s">
        <v>265</v>
      </c>
      <c r="I1008" t="s">
        <v>19</v>
      </c>
      <c r="J1008" s="3">
        <v>551633150737</v>
      </c>
      <c r="K1008" t="s">
        <v>2942</v>
      </c>
      <c r="L1008" t="s">
        <v>321</v>
      </c>
      <c r="M1008" t="s">
        <v>57</v>
      </c>
    </row>
    <row r="1009" spans="1:13" x14ac:dyDescent="0.25">
      <c r="A1009" t="s">
        <v>15003</v>
      </c>
      <c r="B1009" t="s">
        <v>13</v>
      </c>
      <c r="C1009" s="1">
        <v>42832</v>
      </c>
      <c r="D1009" t="s">
        <v>15004</v>
      </c>
      <c r="E1009" t="s">
        <v>15005</v>
      </c>
      <c r="F1009" t="s">
        <v>432</v>
      </c>
      <c r="G1009" t="s">
        <v>15006</v>
      </c>
      <c r="H1009" t="s">
        <v>28</v>
      </c>
      <c r="I1009" t="s">
        <v>19</v>
      </c>
      <c r="J1009" s="3" t="s">
        <v>15007</v>
      </c>
      <c r="K1009" t="s">
        <v>15008</v>
      </c>
      <c r="L1009" t="s">
        <v>923</v>
      </c>
      <c r="M1009" t="s">
        <v>432</v>
      </c>
    </row>
    <row r="1010" spans="1:13" x14ac:dyDescent="0.25">
      <c r="A1010" t="s">
        <v>19496</v>
      </c>
      <c r="B1010" t="s">
        <v>13</v>
      </c>
      <c r="C1010" t="s">
        <v>19478</v>
      </c>
      <c r="D1010" t="s">
        <v>19497</v>
      </c>
      <c r="E1010" s="2" t="s">
        <v>31227</v>
      </c>
      <c r="F1010" t="s">
        <v>6308</v>
      </c>
      <c r="G1010" t="s">
        <v>19498</v>
      </c>
      <c r="H1010" t="s">
        <v>36</v>
      </c>
      <c r="I1010" t="s">
        <v>19</v>
      </c>
      <c r="J1010" s="3">
        <f>55-11-55397358</f>
        <v>-55397314</v>
      </c>
      <c r="K1010" t="s">
        <v>19499</v>
      </c>
      <c r="L1010" t="s">
        <v>3083</v>
      </c>
      <c r="M1010" t="s">
        <v>432</v>
      </c>
    </row>
    <row r="1011" spans="1:13" x14ac:dyDescent="0.25">
      <c r="A1011" t="s">
        <v>3670</v>
      </c>
      <c r="B1011" t="s">
        <v>13</v>
      </c>
      <c r="C1011" s="1">
        <v>44839</v>
      </c>
      <c r="D1011" t="s">
        <v>3671</v>
      </c>
      <c r="E1011" s="2" t="s">
        <v>30787</v>
      </c>
      <c r="F1011" t="s">
        <v>3673</v>
      </c>
      <c r="G1011" t="s">
        <v>3674</v>
      </c>
      <c r="H1011" t="s">
        <v>53</v>
      </c>
      <c r="I1011" t="s">
        <v>19</v>
      </c>
      <c r="J1011" s="3" t="s">
        <v>3675</v>
      </c>
      <c r="K1011" t="s">
        <v>3676</v>
      </c>
      <c r="L1011" t="s">
        <v>2979</v>
      </c>
      <c r="M1011" t="s">
        <v>32149</v>
      </c>
    </row>
    <row r="1012" spans="1:13" x14ac:dyDescent="0.25">
      <c r="A1012" t="s">
        <v>26185</v>
      </c>
      <c r="B1012" t="s">
        <v>13</v>
      </c>
      <c r="C1012" t="s">
        <v>9515</v>
      </c>
      <c r="D1012" t="s">
        <v>26186</v>
      </c>
      <c r="E1012" t="s">
        <v>26187</v>
      </c>
      <c r="F1012" t="s">
        <v>57</v>
      </c>
      <c r="G1012" t="s">
        <v>26188</v>
      </c>
      <c r="H1012" t="s">
        <v>798</v>
      </c>
      <c r="I1012" t="s">
        <v>19</v>
      </c>
      <c r="J1012" s="3" t="s">
        <v>26189</v>
      </c>
      <c r="K1012" t="s">
        <v>26190</v>
      </c>
      <c r="L1012" t="s">
        <v>4378</v>
      </c>
      <c r="M1012" t="s">
        <v>57</v>
      </c>
    </row>
    <row r="1013" spans="1:13" x14ac:dyDescent="0.25">
      <c r="A1013" t="s">
        <v>27260</v>
      </c>
      <c r="B1013" t="s">
        <v>13</v>
      </c>
      <c r="C1013" t="s">
        <v>27261</v>
      </c>
      <c r="D1013" t="s">
        <v>27262</v>
      </c>
      <c r="E1013" t="s">
        <v>27263</v>
      </c>
      <c r="F1013" t="s">
        <v>332</v>
      </c>
      <c r="G1013" t="s">
        <v>27264</v>
      </c>
      <c r="H1013" t="s">
        <v>3865</v>
      </c>
      <c r="I1013" t="s">
        <v>19</v>
      </c>
      <c r="J1013" s="3" t="s">
        <v>27265</v>
      </c>
      <c r="K1013" t="s">
        <v>27266</v>
      </c>
      <c r="L1013" t="s">
        <v>27267</v>
      </c>
      <c r="M1013" t="s">
        <v>337</v>
      </c>
    </row>
    <row r="1014" spans="1:13" x14ac:dyDescent="0.25">
      <c r="A1014" t="s">
        <v>18232</v>
      </c>
      <c r="B1014" t="s">
        <v>13</v>
      </c>
      <c r="C1014" s="1">
        <v>43468</v>
      </c>
      <c r="D1014" t="s">
        <v>18233</v>
      </c>
      <c r="E1014" t="s">
        <v>32153</v>
      </c>
      <c r="F1014" t="s">
        <v>1464</v>
      </c>
      <c r="G1014" t="s">
        <v>18234</v>
      </c>
      <c r="H1014" t="s">
        <v>1802</v>
      </c>
      <c r="I1014" t="s">
        <v>19</v>
      </c>
      <c r="J1014" s="3">
        <f>55-14-997200079</f>
        <v>-997200038</v>
      </c>
      <c r="K1014" t="s">
        <v>18235</v>
      </c>
      <c r="L1014" t="s">
        <v>2621</v>
      </c>
      <c r="M1014" t="s">
        <v>785</v>
      </c>
    </row>
    <row r="1015" spans="1:13" x14ac:dyDescent="0.25">
      <c r="A1015" t="s">
        <v>20204</v>
      </c>
      <c r="B1015" t="s">
        <v>13</v>
      </c>
      <c r="C1015" s="1">
        <v>43108</v>
      </c>
      <c r="D1015" t="s">
        <v>20205</v>
      </c>
      <c r="E1015" t="s">
        <v>20206</v>
      </c>
      <c r="F1015" t="s">
        <v>2947</v>
      </c>
      <c r="G1015" t="s">
        <v>20207</v>
      </c>
      <c r="H1015" t="s">
        <v>3618</v>
      </c>
      <c r="I1015" t="s">
        <v>19</v>
      </c>
      <c r="J1015" s="3">
        <f>55-79-99152-9392</f>
        <v>-108568</v>
      </c>
      <c r="K1015" t="s">
        <v>20208</v>
      </c>
      <c r="L1015" t="s">
        <v>82</v>
      </c>
      <c r="M1015" t="s">
        <v>771</v>
      </c>
    </row>
    <row r="1016" spans="1:13" x14ac:dyDescent="0.25">
      <c r="A1016" t="s">
        <v>25466</v>
      </c>
      <c r="B1016" t="s">
        <v>13</v>
      </c>
      <c r="C1016" t="s">
        <v>25122</v>
      </c>
      <c r="D1016" t="s">
        <v>25467</v>
      </c>
      <c r="E1016" t="s">
        <v>25468</v>
      </c>
      <c r="F1016" t="s">
        <v>771</v>
      </c>
      <c r="G1016" t="s">
        <v>25469</v>
      </c>
      <c r="H1016" t="s">
        <v>88</v>
      </c>
      <c r="I1016" t="s">
        <v>19</v>
      </c>
      <c r="J1016" s="3" t="s">
        <v>25470</v>
      </c>
      <c r="K1016" t="s">
        <v>25471</v>
      </c>
      <c r="L1016" t="s">
        <v>91</v>
      </c>
      <c r="M1016" t="s">
        <v>771</v>
      </c>
    </row>
    <row r="1017" spans="1:13" x14ac:dyDescent="0.25">
      <c r="A1017" t="s">
        <v>28191</v>
      </c>
      <c r="B1017" t="s">
        <v>13</v>
      </c>
      <c r="C1017" t="s">
        <v>28192</v>
      </c>
      <c r="D1017" t="s">
        <v>28193</v>
      </c>
      <c r="E1017" t="s">
        <v>25468</v>
      </c>
      <c r="F1017" t="s">
        <v>771</v>
      </c>
      <c r="G1017" t="s">
        <v>19182</v>
      </c>
      <c r="H1017" t="s">
        <v>2305</v>
      </c>
      <c r="I1017" t="s">
        <v>19</v>
      </c>
      <c r="J1017" s="3" t="s">
        <v>28013</v>
      </c>
      <c r="K1017" t="s">
        <v>2790</v>
      </c>
      <c r="L1017" t="s">
        <v>28014</v>
      </c>
      <c r="M1017" t="s">
        <v>771</v>
      </c>
    </row>
    <row r="1018" spans="1:13" x14ac:dyDescent="0.25">
      <c r="A1018" t="s">
        <v>28234</v>
      </c>
      <c r="B1018" t="s">
        <v>13</v>
      </c>
      <c r="C1018" s="1">
        <v>42221</v>
      </c>
      <c r="D1018" t="s">
        <v>28235</v>
      </c>
      <c r="E1018" t="s">
        <v>20206</v>
      </c>
      <c r="F1018" t="s">
        <v>771</v>
      </c>
      <c r="G1018" t="s">
        <v>19182</v>
      </c>
      <c r="H1018" t="s">
        <v>2305</v>
      </c>
      <c r="I1018" t="s">
        <v>19</v>
      </c>
      <c r="J1018" s="3" t="s">
        <v>28013</v>
      </c>
      <c r="K1018" t="s">
        <v>2790</v>
      </c>
      <c r="L1018" t="s">
        <v>28014</v>
      </c>
      <c r="M1018" t="s">
        <v>771</v>
      </c>
    </row>
    <row r="1019" spans="1:13" x14ac:dyDescent="0.25">
      <c r="A1019" t="s">
        <v>21330</v>
      </c>
      <c r="B1019" t="s">
        <v>13</v>
      </c>
      <c r="C1019" t="s">
        <v>7645</v>
      </c>
      <c r="D1019" t="s">
        <v>21331</v>
      </c>
      <c r="E1019" s="2" t="s">
        <v>31285</v>
      </c>
      <c r="F1019" t="s">
        <v>741</v>
      </c>
      <c r="G1019" t="s">
        <v>6486</v>
      </c>
      <c r="H1019" t="s">
        <v>255</v>
      </c>
      <c r="I1019" t="s">
        <v>19</v>
      </c>
      <c r="J1019" s="3">
        <f>55-62-981133290</f>
        <v>-981133297</v>
      </c>
      <c r="K1019" t="s">
        <v>6487</v>
      </c>
      <c r="L1019" t="s">
        <v>6488</v>
      </c>
      <c r="M1019" t="s">
        <v>741</v>
      </c>
    </row>
    <row r="1020" spans="1:13" x14ac:dyDescent="0.25">
      <c r="A1020" t="s">
        <v>19588</v>
      </c>
      <c r="B1020" t="s">
        <v>13</v>
      </c>
      <c r="C1020" t="s">
        <v>19584</v>
      </c>
      <c r="D1020" t="s">
        <v>19589</v>
      </c>
      <c r="E1020" t="s">
        <v>19590</v>
      </c>
      <c r="F1020" t="s">
        <v>2947</v>
      </c>
      <c r="G1020" t="s">
        <v>19591</v>
      </c>
      <c r="H1020" t="s">
        <v>105</v>
      </c>
      <c r="I1020" t="s">
        <v>19</v>
      </c>
      <c r="J1020" s="3" t="s">
        <v>19592</v>
      </c>
      <c r="K1020" t="s">
        <v>19593</v>
      </c>
      <c r="L1020" t="s">
        <v>108</v>
      </c>
      <c r="M1020" t="s">
        <v>771</v>
      </c>
    </row>
    <row r="1021" spans="1:13" x14ac:dyDescent="0.25">
      <c r="A1021" t="s">
        <v>26252</v>
      </c>
      <c r="B1021" t="s">
        <v>13</v>
      </c>
      <c r="C1021" t="s">
        <v>26253</v>
      </c>
      <c r="D1021" t="s">
        <v>26254</v>
      </c>
      <c r="E1021" t="s">
        <v>26255</v>
      </c>
      <c r="F1021" t="s">
        <v>4639</v>
      </c>
      <c r="G1021" t="s">
        <v>26256</v>
      </c>
      <c r="H1021" t="s">
        <v>26257</v>
      </c>
      <c r="I1021" t="s">
        <v>26258</v>
      </c>
      <c r="J1021" s="3" t="s">
        <v>26259</v>
      </c>
      <c r="K1021" t="s">
        <v>26260</v>
      </c>
      <c r="L1021" t="s">
        <v>26261</v>
      </c>
      <c r="M1021" t="s">
        <v>785</v>
      </c>
    </row>
    <row r="1022" spans="1:13" x14ac:dyDescent="0.25">
      <c r="A1022" t="s">
        <v>6391</v>
      </c>
      <c r="B1022" t="s">
        <v>101</v>
      </c>
      <c r="C1022" t="s">
        <v>5170</v>
      </c>
      <c r="D1022" t="s">
        <v>32135</v>
      </c>
      <c r="E1022" t="s">
        <v>6392</v>
      </c>
      <c r="F1022" t="s">
        <v>6393</v>
      </c>
      <c r="G1022" t="s">
        <v>6394</v>
      </c>
      <c r="H1022" t="s">
        <v>1047</v>
      </c>
      <c r="I1022" t="s">
        <v>19</v>
      </c>
      <c r="J1022" s="3" t="s">
        <v>6395</v>
      </c>
      <c r="K1022" t="s">
        <v>6396</v>
      </c>
      <c r="L1022" t="s">
        <v>32135</v>
      </c>
      <c r="M1022" t="s">
        <v>1349</v>
      </c>
    </row>
    <row r="1023" spans="1:13" x14ac:dyDescent="0.25">
      <c r="A1023" t="s">
        <v>28934</v>
      </c>
      <c r="B1023" t="s">
        <v>13</v>
      </c>
      <c r="C1023" t="s">
        <v>28935</v>
      </c>
      <c r="D1023" t="s">
        <v>28936</v>
      </c>
      <c r="E1023" t="s">
        <v>28937</v>
      </c>
      <c r="F1023" t="s">
        <v>432</v>
      </c>
      <c r="G1023" t="s">
        <v>28938</v>
      </c>
      <c r="H1023" t="s">
        <v>1215</v>
      </c>
      <c r="I1023" t="s">
        <v>19</v>
      </c>
      <c r="J1023" s="3" t="s">
        <v>28939</v>
      </c>
      <c r="K1023" t="s">
        <v>28940</v>
      </c>
      <c r="L1023" t="s">
        <v>17459</v>
      </c>
      <c r="M1023" t="s">
        <v>432</v>
      </c>
    </row>
    <row r="1024" spans="1:13" x14ac:dyDescent="0.25">
      <c r="A1024" t="s">
        <v>17657</v>
      </c>
      <c r="B1024" t="s">
        <v>13</v>
      </c>
      <c r="C1024" t="s">
        <v>16631</v>
      </c>
      <c r="D1024" t="s">
        <v>17658</v>
      </c>
      <c r="E1024" s="2" t="s">
        <v>32280</v>
      </c>
      <c r="F1024" t="s">
        <v>1464</v>
      </c>
      <c r="G1024" t="s">
        <v>17659</v>
      </c>
      <c r="H1024" t="s">
        <v>472</v>
      </c>
      <c r="I1024" t="s">
        <v>19</v>
      </c>
      <c r="J1024" s="3">
        <f>55813097-5880</f>
        <v>55807217</v>
      </c>
      <c r="K1024" t="s">
        <v>17660</v>
      </c>
      <c r="L1024" t="s">
        <v>17661</v>
      </c>
      <c r="M1024" t="s">
        <v>32144</v>
      </c>
    </row>
    <row r="1025" spans="1:14" x14ac:dyDescent="0.25">
      <c r="A1025" t="s">
        <v>25407</v>
      </c>
      <c r="B1025" t="s">
        <v>13</v>
      </c>
      <c r="C1025" t="s">
        <v>25401</v>
      </c>
      <c r="D1025" t="s">
        <v>25408</v>
      </c>
      <c r="E1025" t="s">
        <v>32281</v>
      </c>
      <c r="F1025" t="s">
        <v>1464</v>
      </c>
      <c r="G1025" t="s">
        <v>21680</v>
      </c>
      <c r="H1025" t="s">
        <v>1802</v>
      </c>
      <c r="I1025" t="s">
        <v>19</v>
      </c>
      <c r="J1025" s="3" t="s">
        <v>21681</v>
      </c>
      <c r="K1025" t="s">
        <v>21682</v>
      </c>
      <c r="L1025" t="s">
        <v>14212</v>
      </c>
      <c r="M1025" t="s">
        <v>771</v>
      </c>
    </row>
    <row r="1026" spans="1:14" x14ac:dyDescent="0.25">
      <c r="A1026" t="s">
        <v>17862</v>
      </c>
      <c r="B1026" t="s">
        <v>13</v>
      </c>
      <c r="C1026" s="1">
        <v>43559</v>
      </c>
      <c r="D1026" t="s">
        <v>17863</v>
      </c>
      <c r="E1026" t="s">
        <v>17864</v>
      </c>
      <c r="F1026" t="s">
        <v>337</v>
      </c>
      <c r="G1026" t="s">
        <v>17865</v>
      </c>
      <c r="H1026" t="s">
        <v>7753</v>
      </c>
      <c r="I1026" t="s">
        <v>19</v>
      </c>
      <c r="J1026" s="3">
        <v>5554991490409</v>
      </c>
      <c r="K1026" t="s">
        <v>17866</v>
      </c>
      <c r="L1026" t="s">
        <v>15392</v>
      </c>
      <c r="M1026" t="s">
        <v>337</v>
      </c>
    </row>
    <row r="1027" spans="1:14" x14ac:dyDescent="0.25">
      <c r="A1027" t="s">
        <v>7615</v>
      </c>
      <c r="B1027" t="s">
        <v>13</v>
      </c>
      <c r="C1027" s="1">
        <v>43989</v>
      </c>
      <c r="D1027" t="s">
        <v>7616</v>
      </c>
      <c r="E1027" t="s">
        <v>7617</v>
      </c>
      <c r="F1027" t="s">
        <v>1464</v>
      </c>
      <c r="G1027" t="s">
        <v>7618</v>
      </c>
      <c r="H1027" t="s">
        <v>462</v>
      </c>
      <c r="I1027" t="s">
        <v>19</v>
      </c>
      <c r="J1027" s="3">
        <v>554430276360</v>
      </c>
      <c r="K1027" t="s">
        <v>7619</v>
      </c>
      <c r="L1027" t="s">
        <v>7620</v>
      </c>
      <c r="M1027" t="s">
        <v>32145</v>
      </c>
    </row>
    <row r="1028" spans="1:14" x14ac:dyDescent="0.25">
      <c r="A1028" t="s">
        <v>13731</v>
      </c>
      <c r="B1028" t="s">
        <v>13</v>
      </c>
      <c r="C1028" s="1">
        <v>43984</v>
      </c>
      <c r="D1028" t="s">
        <v>13732</v>
      </c>
      <c r="E1028" s="2" t="s">
        <v>31370</v>
      </c>
      <c r="F1028" t="s">
        <v>1464</v>
      </c>
      <c r="G1028" t="s">
        <v>13733</v>
      </c>
      <c r="H1028" t="s">
        <v>114</v>
      </c>
      <c r="I1028" t="s">
        <v>19</v>
      </c>
      <c r="J1028" s="3">
        <v>5579999913218</v>
      </c>
      <c r="K1028" t="s">
        <v>13734</v>
      </c>
      <c r="L1028" t="s">
        <v>82</v>
      </c>
      <c r="M1028" t="s">
        <v>337</v>
      </c>
    </row>
    <row r="1029" spans="1:14" x14ac:dyDescent="0.25">
      <c r="A1029" t="s">
        <v>16160</v>
      </c>
      <c r="B1029" t="s">
        <v>13</v>
      </c>
      <c r="C1029" t="s">
        <v>16155</v>
      </c>
      <c r="D1029" t="s">
        <v>16161</v>
      </c>
      <c r="E1029" t="s">
        <v>16162</v>
      </c>
      <c r="F1029" t="s">
        <v>117</v>
      </c>
      <c r="G1029" t="s">
        <v>16163</v>
      </c>
      <c r="H1029" t="s">
        <v>428</v>
      </c>
      <c r="I1029" t="s">
        <v>19</v>
      </c>
      <c r="J1029" s="3">
        <v>555133598011</v>
      </c>
      <c r="K1029" t="s">
        <v>16164</v>
      </c>
      <c r="L1029" t="s">
        <v>1295</v>
      </c>
      <c r="M1029" t="s">
        <v>32145</v>
      </c>
    </row>
    <row r="1030" spans="1:14" x14ac:dyDescent="0.25">
      <c r="A1030" t="s">
        <v>10197</v>
      </c>
      <c r="B1030" t="s">
        <v>13</v>
      </c>
      <c r="C1030" t="s">
        <v>10191</v>
      </c>
      <c r="D1030" t="s">
        <v>10198</v>
      </c>
      <c r="E1030" t="s">
        <v>10199</v>
      </c>
      <c r="F1030" t="s">
        <v>2036</v>
      </c>
      <c r="G1030" t="s">
        <v>10200</v>
      </c>
      <c r="H1030" t="s">
        <v>642</v>
      </c>
      <c r="I1030" t="s">
        <v>19</v>
      </c>
      <c r="J1030" s="3">
        <v>5548999733201</v>
      </c>
      <c r="K1030" t="s">
        <v>10201</v>
      </c>
      <c r="L1030" t="s">
        <v>10202</v>
      </c>
      <c r="M1030" t="s">
        <v>57</v>
      </c>
    </row>
    <row r="1031" spans="1:14" x14ac:dyDescent="0.25">
      <c r="A1031" t="s">
        <v>6123</v>
      </c>
      <c r="B1031" t="s">
        <v>13</v>
      </c>
      <c r="C1031" s="1">
        <v>43901</v>
      </c>
      <c r="D1031" t="s">
        <v>6124</v>
      </c>
      <c r="E1031" s="2" t="s">
        <v>30874</v>
      </c>
      <c r="F1031" t="s">
        <v>2036</v>
      </c>
      <c r="G1031" t="s">
        <v>6125</v>
      </c>
      <c r="H1031" t="s">
        <v>28</v>
      </c>
      <c r="I1031" t="s">
        <v>19</v>
      </c>
      <c r="J1031" s="3">
        <v>5532985104433</v>
      </c>
      <c r="K1031" t="s">
        <v>6126</v>
      </c>
      <c r="L1031" t="s">
        <v>2012</v>
      </c>
      <c r="M1031" t="s">
        <v>57</v>
      </c>
    </row>
    <row r="1032" spans="1:14" x14ac:dyDescent="0.25">
      <c r="A1032" t="s">
        <v>25937</v>
      </c>
      <c r="B1032" t="s">
        <v>13</v>
      </c>
      <c r="C1032" s="1">
        <v>42681</v>
      </c>
      <c r="D1032" t="s">
        <v>25938</v>
      </c>
      <c r="E1032" t="s">
        <v>32282</v>
      </c>
      <c r="F1032" t="s">
        <v>332</v>
      </c>
      <c r="G1032" t="s">
        <v>25939</v>
      </c>
      <c r="H1032" t="s">
        <v>1802</v>
      </c>
      <c r="I1032" t="s">
        <v>19</v>
      </c>
      <c r="J1032" s="3" t="s">
        <v>25940</v>
      </c>
      <c r="K1032" t="s">
        <v>25941</v>
      </c>
      <c r="L1032" t="s">
        <v>25942</v>
      </c>
      <c r="M1032" t="s">
        <v>337</v>
      </c>
    </row>
    <row r="1033" spans="1:14" x14ac:dyDescent="0.25">
      <c r="A1033" t="s">
        <v>16048</v>
      </c>
      <c r="B1033" t="s">
        <v>13</v>
      </c>
      <c r="C1033" t="s">
        <v>10388</v>
      </c>
      <c r="D1033" t="s">
        <v>16049</v>
      </c>
      <c r="E1033" t="s">
        <v>16050</v>
      </c>
      <c r="F1033" t="s">
        <v>2036</v>
      </c>
      <c r="G1033" t="s">
        <v>16051</v>
      </c>
      <c r="H1033" t="s">
        <v>2479</v>
      </c>
      <c r="I1033" t="s">
        <v>19</v>
      </c>
      <c r="J1033" s="3">
        <v>5551993344284</v>
      </c>
      <c r="K1033" t="s">
        <v>16052</v>
      </c>
      <c r="L1033" t="s">
        <v>1113</v>
      </c>
      <c r="M1033" t="s">
        <v>57</v>
      </c>
    </row>
    <row r="1034" spans="1:14" x14ac:dyDescent="0.25">
      <c r="A1034" t="s">
        <v>4050</v>
      </c>
      <c r="B1034" t="s">
        <v>13</v>
      </c>
      <c r="C1034" s="1">
        <v>44565</v>
      </c>
      <c r="D1034" t="s">
        <v>4051</v>
      </c>
      <c r="E1034" s="2" t="s">
        <v>31607</v>
      </c>
      <c r="F1034" t="s">
        <v>4052</v>
      </c>
      <c r="G1034" t="s">
        <v>4053</v>
      </c>
      <c r="H1034" t="s">
        <v>428</v>
      </c>
      <c r="I1034" t="s">
        <v>19</v>
      </c>
      <c r="J1034" s="3" t="s">
        <v>4054</v>
      </c>
      <c r="K1034" t="s">
        <v>4055</v>
      </c>
      <c r="L1034" t="s">
        <v>4056</v>
      </c>
      <c r="M1034" t="s">
        <v>32155</v>
      </c>
    </row>
    <row r="1035" spans="1:14" x14ac:dyDescent="0.25">
      <c r="A1035" t="s">
        <v>834</v>
      </c>
      <c r="B1035" t="s">
        <v>13</v>
      </c>
      <c r="C1035" t="s">
        <v>835</v>
      </c>
      <c r="D1035" t="s">
        <v>836</v>
      </c>
      <c r="E1035" t="s">
        <v>650</v>
      </c>
      <c r="F1035" t="s">
        <v>837</v>
      </c>
      <c r="G1035" t="s">
        <v>838</v>
      </c>
      <c r="H1035" t="s">
        <v>18</v>
      </c>
      <c r="I1035" t="s">
        <v>19</v>
      </c>
      <c r="J1035" s="3" t="s">
        <v>839</v>
      </c>
      <c r="K1035" t="s">
        <v>840</v>
      </c>
      <c r="L1035" t="s">
        <v>841</v>
      </c>
      <c r="M1035" t="s">
        <v>129</v>
      </c>
      <c r="N1035" t="s">
        <v>32151</v>
      </c>
    </row>
    <row r="1036" spans="1:14" x14ac:dyDescent="0.25">
      <c r="A1036" t="s">
        <v>12634</v>
      </c>
      <c r="B1036" t="s">
        <v>13</v>
      </c>
      <c r="C1036" t="s">
        <v>7461</v>
      </c>
      <c r="D1036" t="s">
        <v>12635</v>
      </c>
      <c r="E1036" s="2" t="s">
        <v>32061</v>
      </c>
      <c r="F1036" t="s">
        <v>129</v>
      </c>
      <c r="G1036" t="s">
        <v>12636</v>
      </c>
      <c r="H1036" t="s">
        <v>7504</v>
      </c>
      <c r="I1036" t="s">
        <v>19</v>
      </c>
      <c r="J1036" s="3" t="s">
        <v>12637</v>
      </c>
      <c r="K1036" t="s">
        <v>12638</v>
      </c>
      <c r="L1036" t="s">
        <v>12639</v>
      </c>
      <c r="M1036" t="s">
        <v>129</v>
      </c>
    </row>
    <row r="1037" spans="1:14" x14ac:dyDescent="0.25">
      <c r="A1037" t="s">
        <v>22930</v>
      </c>
      <c r="B1037" t="s">
        <v>13</v>
      </c>
      <c r="C1037" t="s">
        <v>11826</v>
      </c>
      <c r="D1037" t="s">
        <v>22931</v>
      </c>
      <c r="E1037" t="s">
        <v>22932</v>
      </c>
      <c r="F1037" t="s">
        <v>8193</v>
      </c>
      <c r="G1037" t="s">
        <v>22933</v>
      </c>
      <c r="H1037" t="s">
        <v>1802</v>
      </c>
      <c r="I1037" t="s">
        <v>19</v>
      </c>
      <c r="J1037" s="3" t="s">
        <v>22934</v>
      </c>
      <c r="K1037" t="s">
        <v>22935</v>
      </c>
      <c r="L1037" t="s">
        <v>22936</v>
      </c>
      <c r="M1037" t="s">
        <v>129</v>
      </c>
    </row>
    <row r="1038" spans="1:14" x14ac:dyDescent="0.25">
      <c r="A1038" t="s">
        <v>12277</v>
      </c>
      <c r="B1038" t="s">
        <v>13</v>
      </c>
      <c r="C1038" t="s">
        <v>12278</v>
      </c>
      <c r="D1038" t="s">
        <v>12279</v>
      </c>
      <c r="E1038" s="2" t="s">
        <v>31036</v>
      </c>
      <c r="F1038" t="s">
        <v>1464</v>
      </c>
      <c r="G1038" t="s">
        <v>12280</v>
      </c>
      <c r="H1038" t="s">
        <v>12281</v>
      </c>
      <c r="I1038" t="s">
        <v>19</v>
      </c>
      <c r="J1038" s="3" t="s">
        <v>12282</v>
      </c>
      <c r="K1038" t="s">
        <v>12283</v>
      </c>
      <c r="L1038" t="s">
        <v>12284</v>
      </c>
      <c r="M1038" t="s">
        <v>129</v>
      </c>
    </row>
    <row r="1039" spans="1:14" x14ac:dyDescent="0.25">
      <c r="A1039" t="s">
        <v>19510</v>
      </c>
      <c r="B1039" t="s">
        <v>13</v>
      </c>
      <c r="C1039" t="s">
        <v>19478</v>
      </c>
      <c r="D1039" t="s">
        <v>19511</v>
      </c>
      <c r="E1039" s="2" t="s">
        <v>31621</v>
      </c>
      <c r="F1039" t="s">
        <v>2036</v>
      </c>
      <c r="G1039" t="s">
        <v>19512</v>
      </c>
      <c r="H1039" t="s">
        <v>428</v>
      </c>
      <c r="I1039" t="s">
        <v>19</v>
      </c>
      <c r="J1039" s="3">
        <v>555133574100</v>
      </c>
      <c r="K1039" t="s">
        <v>19513</v>
      </c>
      <c r="L1039" t="s">
        <v>19514</v>
      </c>
      <c r="M1039" t="s">
        <v>57</v>
      </c>
    </row>
    <row r="1040" spans="1:14" x14ac:dyDescent="0.25">
      <c r="A1040" t="s">
        <v>26089</v>
      </c>
      <c r="B1040" t="s">
        <v>13</v>
      </c>
      <c r="C1040" s="1">
        <v>42588</v>
      </c>
      <c r="D1040" t="s">
        <v>26090</v>
      </c>
      <c r="E1040" t="s">
        <v>26091</v>
      </c>
      <c r="F1040" t="s">
        <v>1464</v>
      </c>
      <c r="G1040" t="s">
        <v>26092</v>
      </c>
      <c r="H1040" t="s">
        <v>352</v>
      </c>
      <c r="I1040" t="s">
        <v>19</v>
      </c>
      <c r="J1040" s="3" t="s">
        <v>26093</v>
      </c>
      <c r="K1040" t="s">
        <v>26094</v>
      </c>
      <c r="L1040" t="s">
        <v>26095</v>
      </c>
      <c r="M1040" t="s">
        <v>32144</v>
      </c>
    </row>
    <row r="1041" spans="1:13" x14ac:dyDescent="0.25">
      <c r="A1041" t="s">
        <v>13997</v>
      </c>
      <c r="B1041" t="s">
        <v>13</v>
      </c>
      <c r="C1041" t="s">
        <v>6128</v>
      </c>
      <c r="D1041" t="s">
        <v>13998</v>
      </c>
      <c r="E1041" t="s">
        <v>13999</v>
      </c>
      <c r="F1041" t="s">
        <v>1464</v>
      </c>
      <c r="G1041" t="s">
        <v>14000</v>
      </c>
      <c r="H1041" t="s">
        <v>14001</v>
      </c>
      <c r="I1041" t="s">
        <v>19</v>
      </c>
      <c r="J1041" s="3" t="s">
        <v>14002</v>
      </c>
      <c r="K1041" t="s">
        <v>14003</v>
      </c>
      <c r="L1041" t="s">
        <v>14004</v>
      </c>
      <c r="M1041" t="s">
        <v>337</v>
      </c>
    </row>
    <row r="1042" spans="1:13" x14ac:dyDescent="0.25">
      <c r="A1042" t="s">
        <v>2903</v>
      </c>
      <c r="B1042" t="s">
        <v>13</v>
      </c>
      <c r="C1042" t="s">
        <v>2898</v>
      </c>
      <c r="D1042" t="s">
        <v>2904</v>
      </c>
      <c r="E1042" t="s">
        <v>2905</v>
      </c>
      <c r="F1042" t="s">
        <v>2906</v>
      </c>
      <c r="G1042" t="s">
        <v>2907</v>
      </c>
      <c r="H1042" t="s">
        <v>18</v>
      </c>
      <c r="I1042" t="s">
        <v>19</v>
      </c>
      <c r="J1042" s="3" t="s">
        <v>2908</v>
      </c>
      <c r="K1042" t="s">
        <v>2909</v>
      </c>
      <c r="L1042" t="s">
        <v>2910</v>
      </c>
      <c r="M1042" t="s">
        <v>1775</v>
      </c>
    </row>
    <row r="1043" spans="1:13" x14ac:dyDescent="0.25">
      <c r="A1043" t="s">
        <v>8140</v>
      </c>
      <c r="B1043" t="s">
        <v>13</v>
      </c>
      <c r="C1043" s="1">
        <v>44532</v>
      </c>
      <c r="D1043" t="s">
        <v>32135</v>
      </c>
      <c r="E1043" t="s">
        <v>8141</v>
      </c>
      <c r="F1043" t="s">
        <v>8142</v>
      </c>
      <c r="G1043" t="s">
        <v>1692</v>
      </c>
      <c r="H1043" t="s">
        <v>88</v>
      </c>
      <c r="I1043" t="s">
        <v>19</v>
      </c>
      <c r="J1043" s="3">
        <f>55-84-32154130</f>
        <v>-32154159</v>
      </c>
      <c r="K1043" t="s">
        <v>8143</v>
      </c>
      <c r="L1043" t="s">
        <v>32135</v>
      </c>
      <c r="M1043" t="s">
        <v>337</v>
      </c>
    </row>
    <row r="1044" spans="1:13" x14ac:dyDescent="0.25">
      <c r="A1044" t="s">
        <v>8176</v>
      </c>
      <c r="B1044" t="s">
        <v>13</v>
      </c>
      <c r="C1044" s="1">
        <v>44471</v>
      </c>
      <c r="D1044" t="s">
        <v>32135</v>
      </c>
      <c r="E1044" s="2" t="s">
        <v>30950</v>
      </c>
      <c r="F1044" t="s">
        <v>8177</v>
      </c>
      <c r="G1044" t="s">
        <v>8178</v>
      </c>
      <c r="H1044" t="s">
        <v>1802</v>
      </c>
      <c r="I1044" t="s">
        <v>19</v>
      </c>
      <c r="J1044" s="3" t="s">
        <v>8179</v>
      </c>
      <c r="K1044" t="s">
        <v>8180</v>
      </c>
      <c r="L1044" t="s">
        <v>32135</v>
      </c>
      <c r="M1044" t="s">
        <v>337</v>
      </c>
    </row>
    <row r="1045" spans="1:13" x14ac:dyDescent="0.25">
      <c r="A1045" t="s">
        <v>18649</v>
      </c>
      <c r="B1045" t="s">
        <v>13</v>
      </c>
      <c r="C1045" t="s">
        <v>8477</v>
      </c>
      <c r="D1045" t="s">
        <v>18650</v>
      </c>
      <c r="E1045" t="s">
        <v>18651</v>
      </c>
      <c r="F1045" t="s">
        <v>1464</v>
      </c>
      <c r="G1045" t="s">
        <v>18652</v>
      </c>
      <c r="H1045" t="s">
        <v>2564</v>
      </c>
      <c r="I1045" t="s">
        <v>19</v>
      </c>
      <c r="J1045" s="3">
        <v>65999872300</v>
      </c>
      <c r="K1045" t="s">
        <v>18653</v>
      </c>
      <c r="L1045" t="s">
        <v>18654</v>
      </c>
      <c r="M1045" t="s">
        <v>32121</v>
      </c>
    </row>
    <row r="1046" spans="1:13" x14ac:dyDescent="0.25">
      <c r="A1046" t="s">
        <v>29385</v>
      </c>
      <c r="B1046" t="s">
        <v>13</v>
      </c>
      <c r="C1046" t="s">
        <v>14184</v>
      </c>
      <c r="D1046" t="s">
        <v>29386</v>
      </c>
      <c r="E1046" t="s">
        <v>29387</v>
      </c>
      <c r="F1046" t="s">
        <v>741</v>
      </c>
      <c r="G1046" t="s">
        <v>29388</v>
      </c>
      <c r="H1046" t="s">
        <v>36</v>
      </c>
      <c r="I1046" t="s">
        <v>19</v>
      </c>
      <c r="J1046" s="3" t="s">
        <v>25505</v>
      </c>
      <c r="K1046" t="s">
        <v>17714</v>
      </c>
      <c r="L1046" t="s">
        <v>17715</v>
      </c>
      <c r="M1046" t="s">
        <v>741</v>
      </c>
    </row>
    <row r="1047" spans="1:13" x14ac:dyDescent="0.25">
      <c r="A1047" t="s">
        <v>7408</v>
      </c>
      <c r="B1047" t="s">
        <v>13</v>
      </c>
      <c r="C1047" t="s">
        <v>7041</v>
      </c>
      <c r="D1047" t="s">
        <v>7409</v>
      </c>
      <c r="E1047" s="2" t="s">
        <v>30930</v>
      </c>
      <c r="F1047" t="s">
        <v>7410</v>
      </c>
      <c r="G1047" t="s">
        <v>7411</v>
      </c>
      <c r="H1047" t="s">
        <v>36</v>
      </c>
      <c r="I1047" t="s">
        <v>19</v>
      </c>
      <c r="J1047" s="3">
        <f>55-11-36446248</f>
        <v>-36446204</v>
      </c>
      <c r="K1047" t="s">
        <v>7412</v>
      </c>
      <c r="L1047" t="s">
        <v>32135</v>
      </c>
      <c r="M1047" t="s">
        <v>337</v>
      </c>
    </row>
    <row r="1048" spans="1:13" x14ac:dyDescent="0.25">
      <c r="A1048" t="s">
        <v>29632</v>
      </c>
      <c r="B1048" t="s">
        <v>13</v>
      </c>
      <c r="C1048" t="s">
        <v>29633</v>
      </c>
      <c r="D1048" t="s">
        <v>29634</v>
      </c>
      <c r="E1048" t="s">
        <v>29635</v>
      </c>
      <c r="F1048" t="s">
        <v>29254</v>
      </c>
      <c r="G1048" t="s">
        <v>29636</v>
      </c>
      <c r="H1048" t="s">
        <v>29637</v>
      </c>
      <c r="I1048" t="s">
        <v>19</v>
      </c>
      <c r="J1048" s="3" t="s">
        <v>29638</v>
      </c>
      <c r="K1048" t="s">
        <v>29639</v>
      </c>
      <c r="L1048" t="s">
        <v>22402</v>
      </c>
      <c r="M1048" t="s">
        <v>32144</v>
      </c>
    </row>
    <row r="1049" spans="1:13" x14ac:dyDescent="0.25">
      <c r="A1049" t="s">
        <v>27674</v>
      </c>
      <c r="B1049" t="s">
        <v>13</v>
      </c>
      <c r="C1049" s="1">
        <v>42043</v>
      </c>
      <c r="D1049" t="s">
        <v>27675</v>
      </c>
      <c r="E1049" t="s">
        <v>27676</v>
      </c>
      <c r="F1049" t="s">
        <v>3084</v>
      </c>
      <c r="G1049" t="s">
        <v>15122</v>
      </c>
      <c r="H1049" t="s">
        <v>195</v>
      </c>
      <c r="I1049" t="s">
        <v>19</v>
      </c>
      <c r="J1049" s="3" t="s">
        <v>27677</v>
      </c>
      <c r="K1049" t="s">
        <v>15124</v>
      </c>
      <c r="L1049" t="s">
        <v>15125</v>
      </c>
      <c r="M1049" t="s">
        <v>32144</v>
      </c>
    </row>
    <row r="1050" spans="1:13" x14ac:dyDescent="0.25">
      <c r="A1050" t="s">
        <v>29971</v>
      </c>
      <c r="B1050" t="s">
        <v>13</v>
      </c>
      <c r="C1050" t="s">
        <v>14184</v>
      </c>
      <c r="D1050" t="s">
        <v>29972</v>
      </c>
      <c r="E1050" t="s">
        <v>29973</v>
      </c>
      <c r="F1050" t="s">
        <v>3084</v>
      </c>
      <c r="G1050" t="s">
        <v>29974</v>
      </c>
      <c r="H1050" t="s">
        <v>36</v>
      </c>
      <c r="I1050" t="s">
        <v>19</v>
      </c>
      <c r="J1050" s="3" t="s">
        <v>29975</v>
      </c>
      <c r="K1050" t="s">
        <v>29976</v>
      </c>
      <c r="L1050" t="s">
        <v>29977</v>
      </c>
      <c r="M1050" t="s">
        <v>32144</v>
      </c>
    </row>
    <row r="1051" spans="1:13" x14ac:dyDescent="0.25">
      <c r="A1051" t="s">
        <v>5150</v>
      </c>
      <c r="B1051" t="s">
        <v>13</v>
      </c>
      <c r="C1051" s="1">
        <v>44713</v>
      </c>
      <c r="D1051" t="s">
        <v>5151</v>
      </c>
      <c r="E1051" t="s">
        <v>5152</v>
      </c>
      <c r="F1051" t="s">
        <v>5153</v>
      </c>
      <c r="G1051" t="s">
        <v>5154</v>
      </c>
      <c r="H1051" t="s">
        <v>36</v>
      </c>
      <c r="I1051" t="s">
        <v>19</v>
      </c>
      <c r="J1051" s="3" t="s">
        <v>5155</v>
      </c>
      <c r="K1051" t="s">
        <v>5156</v>
      </c>
      <c r="L1051" t="s">
        <v>32135</v>
      </c>
      <c r="M1051" t="s">
        <v>32144</v>
      </c>
    </row>
    <row r="1052" spans="1:13" x14ac:dyDescent="0.25">
      <c r="A1052" t="s">
        <v>1579</v>
      </c>
      <c r="B1052" t="s">
        <v>101</v>
      </c>
      <c r="C1052" t="s">
        <v>1580</v>
      </c>
      <c r="D1052" t="s">
        <v>1581</v>
      </c>
      <c r="E1052" t="s">
        <v>1159</v>
      </c>
      <c r="F1052" t="s">
        <v>1582</v>
      </c>
      <c r="G1052" t="s">
        <v>1583</v>
      </c>
      <c r="H1052" t="s">
        <v>1090</v>
      </c>
      <c r="I1052" t="s">
        <v>19</v>
      </c>
      <c r="J1052" s="3" t="s">
        <v>1584</v>
      </c>
      <c r="K1052" t="s">
        <v>1585</v>
      </c>
      <c r="L1052" t="s">
        <v>1092</v>
      </c>
      <c r="M1052" t="s">
        <v>32144</v>
      </c>
    </row>
    <row r="1053" spans="1:13" x14ac:dyDescent="0.25">
      <c r="A1053" t="s">
        <v>1157</v>
      </c>
      <c r="B1053" t="s">
        <v>13</v>
      </c>
      <c r="C1053" t="s">
        <v>1149</v>
      </c>
      <c r="D1053" t="s">
        <v>1158</v>
      </c>
      <c r="E1053" t="s">
        <v>1159</v>
      </c>
      <c r="F1053" t="s">
        <v>1160</v>
      </c>
      <c r="G1053" t="s">
        <v>1161</v>
      </c>
      <c r="H1053" t="s">
        <v>540</v>
      </c>
      <c r="I1053" t="s">
        <v>19</v>
      </c>
      <c r="J1053" s="3" t="s">
        <v>1162</v>
      </c>
      <c r="K1053" t="s">
        <v>1163</v>
      </c>
      <c r="L1053" t="s">
        <v>1164</v>
      </c>
      <c r="M1053" t="s">
        <v>32144</v>
      </c>
    </row>
    <row r="1054" spans="1:13" x14ac:dyDescent="0.25">
      <c r="A1054" t="s">
        <v>19667</v>
      </c>
      <c r="B1054" t="s">
        <v>13</v>
      </c>
      <c r="C1054" t="s">
        <v>8719</v>
      </c>
      <c r="D1054" t="s">
        <v>19668</v>
      </c>
      <c r="E1054" s="2" t="s">
        <v>32770</v>
      </c>
      <c r="F1054" t="s">
        <v>1464</v>
      </c>
      <c r="G1054" t="s">
        <v>17749</v>
      </c>
      <c r="H1054" t="s">
        <v>88</v>
      </c>
      <c r="I1054" t="s">
        <v>19</v>
      </c>
      <c r="J1054" s="3">
        <f>55-84-98989800</f>
        <v>-98989829</v>
      </c>
      <c r="K1054" t="s">
        <v>17750</v>
      </c>
      <c r="L1054" t="s">
        <v>764</v>
      </c>
      <c r="M1054" t="s">
        <v>1775</v>
      </c>
    </row>
    <row r="1055" spans="1:13" x14ac:dyDescent="0.25">
      <c r="A1055" t="s">
        <v>11093</v>
      </c>
      <c r="B1055" t="s">
        <v>13</v>
      </c>
      <c r="C1055" s="1">
        <v>44081</v>
      </c>
      <c r="D1055" t="s">
        <v>11094</v>
      </c>
      <c r="E1055" s="2" t="s">
        <v>31460</v>
      </c>
      <c r="F1055" t="s">
        <v>1464</v>
      </c>
      <c r="G1055" t="s">
        <v>11095</v>
      </c>
      <c r="H1055" t="s">
        <v>489</v>
      </c>
      <c r="I1055" t="s">
        <v>19</v>
      </c>
      <c r="J1055" s="3" t="s">
        <v>11096</v>
      </c>
      <c r="K1055" t="s">
        <v>11097</v>
      </c>
      <c r="L1055" t="s">
        <v>625</v>
      </c>
      <c r="M1055" t="s">
        <v>1775</v>
      </c>
    </row>
    <row r="1056" spans="1:13" x14ac:dyDescent="0.25">
      <c r="A1056" t="s">
        <v>5001</v>
      </c>
      <c r="B1056" t="s">
        <v>13</v>
      </c>
      <c r="C1056" t="s">
        <v>4986</v>
      </c>
      <c r="D1056" t="s">
        <v>5002</v>
      </c>
      <c r="E1056" s="2" t="s">
        <v>30831</v>
      </c>
      <c r="F1056" t="s">
        <v>5003</v>
      </c>
      <c r="G1056" t="s">
        <v>5004</v>
      </c>
      <c r="H1056" t="s">
        <v>36</v>
      </c>
      <c r="I1056" t="s">
        <v>19</v>
      </c>
      <c r="J1056" s="3" t="s">
        <v>5005</v>
      </c>
      <c r="K1056" t="s">
        <v>5006</v>
      </c>
      <c r="L1056" t="s">
        <v>5007</v>
      </c>
      <c r="M1056" t="s">
        <v>1775</v>
      </c>
    </row>
    <row r="1057" spans="1:13" x14ac:dyDescent="0.25">
      <c r="A1057" t="s">
        <v>22386</v>
      </c>
      <c r="B1057" t="s">
        <v>13</v>
      </c>
      <c r="C1057" t="s">
        <v>7092</v>
      </c>
      <c r="D1057" t="s">
        <v>22387</v>
      </c>
      <c r="E1057" s="2" t="s">
        <v>32771</v>
      </c>
      <c r="F1057" t="s">
        <v>3084</v>
      </c>
      <c r="G1057" t="s">
        <v>16140</v>
      </c>
      <c r="H1057" t="s">
        <v>472</v>
      </c>
      <c r="I1057" t="s">
        <v>19</v>
      </c>
      <c r="J1057" s="3">
        <f>55-81-31833500</f>
        <v>-31833526</v>
      </c>
      <c r="K1057" t="s">
        <v>16141</v>
      </c>
      <c r="L1057" t="s">
        <v>1193</v>
      </c>
      <c r="M1057" t="s">
        <v>32144</v>
      </c>
    </row>
    <row r="1058" spans="1:13" x14ac:dyDescent="0.25">
      <c r="A1058" t="s">
        <v>17217</v>
      </c>
      <c r="B1058" t="s">
        <v>13</v>
      </c>
      <c r="C1058" s="1">
        <v>43652</v>
      </c>
      <c r="D1058" t="s">
        <v>17218</v>
      </c>
      <c r="E1058" t="s">
        <v>17219</v>
      </c>
      <c r="F1058" t="s">
        <v>1464</v>
      </c>
      <c r="G1058" t="s">
        <v>17220</v>
      </c>
      <c r="H1058" t="s">
        <v>409</v>
      </c>
      <c r="I1058" t="s">
        <v>19</v>
      </c>
      <c r="J1058" s="3" t="s">
        <v>17221</v>
      </c>
      <c r="K1058" t="s">
        <v>17222</v>
      </c>
      <c r="L1058" t="s">
        <v>17223</v>
      </c>
      <c r="M1058" t="s">
        <v>1775</v>
      </c>
    </row>
    <row r="1059" spans="1:13" x14ac:dyDescent="0.25">
      <c r="A1059" t="s">
        <v>22343</v>
      </c>
      <c r="B1059" t="s">
        <v>13</v>
      </c>
      <c r="C1059" s="1">
        <v>43102</v>
      </c>
      <c r="D1059" t="s">
        <v>22344</v>
      </c>
      <c r="E1059" t="s">
        <v>32283</v>
      </c>
      <c r="F1059" t="s">
        <v>3084</v>
      </c>
      <c r="G1059" t="s">
        <v>22345</v>
      </c>
      <c r="H1059" t="s">
        <v>927</v>
      </c>
      <c r="I1059" t="s">
        <v>19</v>
      </c>
      <c r="J1059" s="3">
        <v>5511996895763</v>
      </c>
      <c r="K1059" t="s">
        <v>22346</v>
      </c>
      <c r="L1059" t="s">
        <v>22347</v>
      </c>
      <c r="M1059" t="s">
        <v>32144</v>
      </c>
    </row>
    <row r="1060" spans="1:13" x14ac:dyDescent="0.25">
      <c r="A1060" t="s">
        <v>27609</v>
      </c>
      <c r="B1060" t="s">
        <v>13</v>
      </c>
      <c r="C1060" t="s">
        <v>27591</v>
      </c>
      <c r="D1060" t="s">
        <v>27610</v>
      </c>
      <c r="E1060" t="s">
        <v>27611</v>
      </c>
      <c r="F1060" t="s">
        <v>1464</v>
      </c>
      <c r="G1060" t="s">
        <v>17220</v>
      </c>
      <c r="H1060" t="s">
        <v>409</v>
      </c>
      <c r="I1060" t="s">
        <v>19</v>
      </c>
      <c r="J1060" s="3" t="s">
        <v>17221</v>
      </c>
      <c r="K1060" t="s">
        <v>17222</v>
      </c>
      <c r="L1060" t="s">
        <v>17223</v>
      </c>
      <c r="M1060" t="s">
        <v>1775</v>
      </c>
    </row>
    <row r="1061" spans="1:13" x14ac:dyDescent="0.25">
      <c r="A1061" t="s">
        <v>18284</v>
      </c>
      <c r="B1061" t="s">
        <v>13</v>
      </c>
      <c r="C1061" t="s">
        <v>11846</v>
      </c>
      <c r="D1061" t="s">
        <v>18285</v>
      </c>
      <c r="E1061" t="s">
        <v>5003</v>
      </c>
      <c r="F1061" t="s">
        <v>1129</v>
      </c>
      <c r="G1061" t="s">
        <v>18286</v>
      </c>
      <c r="H1061" t="s">
        <v>18287</v>
      </c>
      <c r="I1061" t="s">
        <v>19</v>
      </c>
      <c r="J1061" s="3" t="s">
        <v>18288</v>
      </c>
      <c r="K1061" t="s">
        <v>18289</v>
      </c>
      <c r="L1061" t="s">
        <v>285</v>
      </c>
      <c r="M1061" t="s">
        <v>224</v>
      </c>
    </row>
    <row r="1062" spans="1:13" x14ac:dyDescent="0.25">
      <c r="A1062" t="s">
        <v>13075</v>
      </c>
      <c r="B1062" t="s">
        <v>13</v>
      </c>
      <c r="C1062" s="1">
        <v>44107</v>
      </c>
      <c r="D1062" t="s">
        <v>13076</v>
      </c>
      <c r="E1062" s="2" t="s">
        <v>31060</v>
      </c>
      <c r="F1062" t="s">
        <v>1129</v>
      </c>
      <c r="G1062" t="s">
        <v>13077</v>
      </c>
      <c r="H1062" t="s">
        <v>13078</v>
      </c>
      <c r="I1062" t="s">
        <v>19</v>
      </c>
      <c r="J1062" s="3">
        <v>5522988129605</v>
      </c>
      <c r="K1062" t="s">
        <v>13079</v>
      </c>
      <c r="L1062" t="s">
        <v>13080</v>
      </c>
      <c r="M1062" t="s">
        <v>224</v>
      </c>
    </row>
    <row r="1063" spans="1:13" x14ac:dyDescent="0.25">
      <c r="A1063" t="s">
        <v>23001</v>
      </c>
      <c r="B1063" t="s">
        <v>13</v>
      </c>
      <c r="C1063" t="s">
        <v>22997</v>
      </c>
      <c r="D1063" t="s">
        <v>23002</v>
      </c>
      <c r="E1063" s="2" t="s">
        <v>31527</v>
      </c>
      <c r="F1063" t="s">
        <v>1464</v>
      </c>
      <c r="G1063" t="s">
        <v>23003</v>
      </c>
      <c r="H1063" t="s">
        <v>23004</v>
      </c>
      <c r="I1063" t="s">
        <v>19</v>
      </c>
      <c r="J1063" s="3">
        <v>5581986497831</v>
      </c>
      <c r="K1063" t="s">
        <v>23005</v>
      </c>
      <c r="L1063" t="s">
        <v>23006</v>
      </c>
      <c r="M1063" t="s">
        <v>1775</v>
      </c>
    </row>
    <row r="1064" spans="1:13" x14ac:dyDescent="0.25">
      <c r="A1064" t="s">
        <v>14194</v>
      </c>
      <c r="B1064" t="s">
        <v>13</v>
      </c>
      <c r="C1064" t="s">
        <v>10297</v>
      </c>
      <c r="D1064" t="s">
        <v>14195</v>
      </c>
      <c r="E1064" s="2" t="s">
        <v>32284</v>
      </c>
      <c r="F1064" t="s">
        <v>3084</v>
      </c>
      <c r="G1064" t="s">
        <v>14196</v>
      </c>
      <c r="H1064" t="s">
        <v>36</v>
      </c>
      <c r="I1064" t="s">
        <v>19</v>
      </c>
      <c r="J1064" s="3" t="s">
        <v>14197</v>
      </c>
      <c r="K1064" t="s">
        <v>14198</v>
      </c>
      <c r="L1064" t="s">
        <v>14199</v>
      </c>
      <c r="M1064" t="s">
        <v>32144</v>
      </c>
    </row>
    <row r="1065" spans="1:13" x14ac:dyDescent="0.25">
      <c r="A1065" t="s">
        <v>4170</v>
      </c>
      <c r="B1065" t="s">
        <v>13</v>
      </c>
      <c r="C1065" t="s">
        <v>4171</v>
      </c>
      <c r="D1065" t="s">
        <v>4172</v>
      </c>
      <c r="E1065" t="s">
        <v>4173</v>
      </c>
      <c r="F1065" t="s">
        <v>34</v>
      </c>
      <c r="G1065" t="s">
        <v>4174</v>
      </c>
      <c r="H1065" t="s">
        <v>444</v>
      </c>
      <c r="I1065" t="s">
        <v>19</v>
      </c>
      <c r="J1065" s="3" t="s">
        <v>4175</v>
      </c>
      <c r="K1065" t="s">
        <v>4176</v>
      </c>
      <c r="L1065" t="s">
        <v>4177</v>
      </c>
      <c r="M1065" t="s">
        <v>1775</v>
      </c>
    </row>
    <row r="1066" spans="1:13" x14ac:dyDescent="0.25">
      <c r="A1066" t="s">
        <v>15170</v>
      </c>
      <c r="B1066" t="s">
        <v>13</v>
      </c>
      <c r="C1066" t="s">
        <v>15171</v>
      </c>
      <c r="D1066" t="s">
        <v>15172</v>
      </c>
      <c r="E1066" t="s">
        <v>819</v>
      </c>
      <c r="F1066" t="s">
        <v>1129</v>
      </c>
      <c r="G1066" t="s">
        <v>15173</v>
      </c>
      <c r="H1066" t="s">
        <v>9625</v>
      </c>
      <c r="I1066" t="s">
        <v>19</v>
      </c>
      <c r="J1066" s="3">
        <v>554935512026</v>
      </c>
      <c r="K1066" t="s">
        <v>15174</v>
      </c>
      <c r="L1066" t="s">
        <v>15175</v>
      </c>
      <c r="M1066" t="s">
        <v>224</v>
      </c>
    </row>
    <row r="1067" spans="1:13" x14ac:dyDescent="0.25">
      <c r="A1067" t="s">
        <v>19251</v>
      </c>
      <c r="B1067" t="s">
        <v>13</v>
      </c>
      <c r="C1067" s="1">
        <v>43350</v>
      </c>
      <c r="D1067" t="s">
        <v>19252</v>
      </c>
      <c r="E1067" t="s">
        <v>819</v>
      </c>
      <c r="F1067" t="s">
        <v>1464</v>
      </c>
      <c r="G1067" t="s">
        <v>4600</v>
      </c>
      <c r="H1067" t="s">
        <v>444</v>
      </c>
      <c r="I1067" t="s">
        <v>19</v>
      </c>
      <c r="J1067" s="3">
        <f>55-87-3866-6496</f>
        <v>-10394</v>
      </c>
      <c r="K1067" t="s">
        <v>4601</v>
      </c>
      <c r="L1067" t="s">
        <v>4602</v>
      </c>
      <c r="M1067" t="s">
        <v>32147</v>
      </c>
    </row>
    <row r="1068" spans="1:13" x14ac:dyDescent="0.25">
      <c r="A1068" t="s">
        <v>2630</v>
      </c>
      <c r="B1068" t="s">
        <v>13</v>
      </c>
      <c r="C1068" s="1">
        <v>44812</v>
      </c>
      <c r="D1068" t="s">
        <v>32135</v>
      </c>
      <c r="E1068" s="2" t="s">
        <v>31856</v>
      </c>
      <c r="F1068" t="s">
        <v>2631</v>
      </c>
      <c r="G1068" t="s">
        <v>2632</v>
      </c>
      <c r="H1068" t="s">
        <v>28</v>
      </c>
      <c r="I1068" t="s">
        <v>19</v>
      </c>
      <c r="J1068" s="3">
        <v>553221023117</v>
      </c>
      <c r="K1068" t="s">
        <v>2633</v>
      </c>
      <c r="L1068" t="s">
        <v>923</v>
      </c>
      <c r="M1068" t="s">
        <v>32166</v>
      </c>
    </row>
    <row r="1069" spans="1:13" x14ac:dyDescent="0.25">
      <c r="A1069" t="s">
        <v>4597</v>
      </c>
      <c r="B1069" t="s">
        <v>13</v>
      </c>
      <c r="C1069" t="s">
        <v>4598</v>
      </c>
      <c r="D1069" t="s">
        <v>4599</v>
      </c>
      <c r="E1069" s="2" t="s">
        <v>30812</v>
      </c>
      <c r="F1069" t="s">
        <v>34</v>
      </c>
      <c r="G1069" t="s">
        <v>4600</v>
      </c>
      <c r="H1069" t="s">
        <v>444</v>
      </c>
      <c r="I1069" t="s">
        <v>19</v>
      </c>
      <c r="J1069" s="3">
        <f>55-87-3866-6496</f>
        <v>-10394</v>
      </c>
      <c r="K1069" t="s">
        <v>4601</v>
      </c>
      <c r="L1069" t="s">
        <v>4602</v>
      </c>
      <c r="M1069" t="s">
        <v>1775</v>
      </c>
    </row>
    <row r="1070" spans="1:13" x14ac:dyDescent="0.25">
      <c r="A1070" t="s">
        <v>817</v>
      </c>
      <c r="B1070" t="s">
        <v>13</v>
      </c>
      <c r="C1070" s="1">
        <v>44413</v>
      </c>
      <c r="D1070" t="s">
        <v>818</v>
      </c>
      <c r="E1070" s="2" t="s">
        <v>30690</v>
      </c>
      <c r="F1070" t="s">
        <v>820</v>
      </c>
      <c r="G1070" t="s">
        <v>821</v>
      </c>
      <c r="H1070" t="s">
        <v>472</v>
      </c>
      <c r="I1070" t="s">
        <v>19</v>
      </c>
      <c r="J1070" s="3" t="s">
        <v>822</v>
      </c>
      <c r="K1070" t="s">
        <v>823</v>
      </c>
      <c r="L1070" t="s">
        <v>824</v>
      </c>
      <c r="M1070" t="s">
        <v>32144</v>
      </c>
    </row>
    <row r="1071" spans="1:13" x14ac:dyDescent="0.25">
      <c r="A1071" t="s">
        <v>25299</v>
      </c>
      <c r="B1071" t="s">
        <v>13</v>
      </c>
      <c r="C1071" t="s">
        <v>25286</v>
      </c>
      <c r="D1071" t="s">
        <v>25300</v>
      </c>
      <c r="E1071" t="s">
        <v>25301</v>
      </c>
      <c r="F1071" t="s">
        <v>3084</v>
      </c>
      <c r="G1071" t="s">
        <v>25302</v>
      </c>
      <c r="H1071" t="s">
        <v>428</v>
      </c>
      <c r="I1071" t="s">
        <v>19</v>
      </c>
      <c r="J1071" s="3" t="s">
        <v>25303</v>
      </c>
      <c r="K1071" t="s">
        <v>25304</v>
      </c>
      <c r="L1071" t="s">
        <v>5709</v>
      </c>
      <c r="M1071" t="s">
        <v>32144</v>
      </c>
    </row>
    <row r="1072" spans="1:13" x14ac:dyDescent="0.25">
      <c r="A1072" t="s">
        <v>6726</v>
      </c>
      <c r="B1072" t="s">
        <v>13</v>
      </c>
      <c r="C1072" s="1">
        <v>44508</v>
      </c>
      <c r="D1072" t="s">
        <v>6727</v>
      </c>
      <c r="E1072" t="s">
        <v>6728</v>
      </c>
      <c r="F1072" t="s">
        <v>6729</v>
      </c>
      <c r="G1072" t="s">
        <v>6730</v>
      </c>
      <c r="H1072" t="s">
        <v>265</v>
      </c>
      <c r="I1072" t="s">
        <v>19</v>
      </c>
      <c r="J1072" s="3" t="s">
        <v>6731</v>
      </c>
      <c r="K1072" t="s">
        <v>6732</v>
      </c>
      <c r="L1072" t="s">
        <v>32135</v>
      </c>
      <c r="M1072" t="s">
        <v>32144</v>
      </c>
    </row>
    <row r="1073" spans="1:13" x14ac:dyDescent="0.25">
      <c r="A1073" t="s">
        <v>19948</v>
      </c>
      <c r="B1073" t="s">
        <v>13</v>
      </c>
      <c r="C1073" t="s">
        <v>19946</v>
      </c>
      <c r="D1073" t="s">
        <v>19949</v>
      </c>
      <c r="E1073" s="2" t="s">
        <v>31238</v>
      </c>
      <c r="F1073" t="s">
        <v>19950</v>
      </c>
      <c r="G1073" t="s">
        <v>19951</v>
      </c>
      <c r="H1073" t="s">
        <v>18</v>
      </c>
      <c r="I1073" t="s">
        <v>19</v>
      </c>
      <c r="J1073" s="3">
        <f>55-19-35218936</f>
        <v>-35218900</v>
      </c>
      <c r="K1073" t="s">
        <v>4210</v>
      </c>
      <c r="L1073" t="s">
        <v>19952</v>
      </c>
      <c r="M1073" t="s">
        <v>32149</v>
      </c>
    </row>
    <row r="1074" spans="1:13" x14ac:dyDescent="0.25">
      <c r="A1074" t="s">
        <v>4205</v>
      </c>
      <c r="B1074" t="s">
        <v>13</v>
      </c>
      <c r="C1074" t="s">
        <v>4206</v>
      </c>
      <c r="D1074" t="s">
        <v>4207</v>
      </c>
      <c r="E1074" s="2" t="s">
        <v>32285</v>
      </c>
      <c r="F1074" t="s">
        <v>211</v>
      </c>
      <c r="G1074" t="s">
        <v>4208</v>
      </c>
      <c r="H1074" t="s">
        <v>18</v>
      </c>
      <c r="I1074" t="s">
        <v>19</v>
      </c>
      <c r="J1074" s="3" t="s">
        <v>4209</v>
      </c>
      <c r="K1074" t="s">
        <v>4210</v>
      </c>
      <c r="L1074" t="s">
        <v>4211</v>
      </c>
      <c r="M1074" t="s">
        <v>741</v>
      </c>
    </row>
    <row r="1075" spans="1:13" x14ac:dyDescent="0.25">
      <c r="A1075" t="s">
        <v>5710</v>
      </c>
      <c r="B1075" t="s">
        <v>13</v>
      </c>
      <c r="C1075" s="1">
        <v>44480</v>
      </c>
      <c r="D1075" t="s">
        <v>5711</v>
      </c>
      <c r="E1075" t="s">
        <v>5712</v>
      </c>
      <c r="F1075" t="s">
        <v>5713</v>
      </c>
      <c r="G1075" t="s">
        <v>4640</v>
      </c>
      <c r="H1075" t="s">
        <v>299</v>
      </c>
      <c r="I1075" t="s">
        <v>19</v>
      </c>
      <c r="J1075" s="3">
        <f>55-14-99671-5656</f>
        <v>-105286</v>
      </c>
      <c r="K1075" t="s">
        <v>5714</v>
      </c>
      <c r="L1075" t="s">
        <v>4641</v>
      </c>
      <c r="M1075" t="s">
        <v>785</v>
      </c>
    </row>
    <row r="1076" spans="1:13" x14ac:dyDescent="0.25">
      <c r="A1076" t="s">
        <v>12907</v>
      </c>
      <c r="B1076" t="s">
        <v>13</v>
      </c>
      <c r="C1076" t="s">
        <v>6569</v>
      </c>
      <c r="D1076" t="s">
        <v>12908</v>
      </c>
      <c r="E1076" t="s">
        <v>12909</v>
      </c>
      <c r="F1076" t="s">
        <v>57</v>
      </c>
      <c r="G1076" t="s">
        <v>2461</v>
      </c>
      <c r="H1076" t="s">
        <v>669</v>
      </c>
      <c r="I1076" t="s">
        <v>670</v>
      </c>
      <c r="J1076" s="3">
        <v>5697122483</v>
      </c>
      <c r="K1076" t="s">
        <v>671</v>
      </c>
      <c r="L1076" t="s">
        <v>672</v>
      </c>
      <c r="M1076" t="s">
        <v>57</v>
      </c>
    </row>
    <row r="1077" spans="1:13" x14ac:dyDescent="0.25">
      <c r="A1077" t="s">
        <v>9551</v>
      </c>
      <c r="B1077" t="s">
        <v>13</v>
      </c>
      <c r="C1077" s="1">
        <v>42865</v>
      </c>
      <c r="D1077" t="s">
        <v>9552</v>
      </c>
      <c r="E1077" s="2" t="s">
        <v>31827</v>
      </c>
      <c r="F1077" t="s">
        <v>6686</v>
      </c>
      <c r="G1077" t="s">
        <v>9553</v>
      </c>
      <c r="H1077" t="s">
        <v>2564</v>
      </c>
      <c r="I1077" t="s">
        <v>19</v>
      </c>
      <c r="J1077" s="3">
        <v>556536487575</v>
      </c>
      <c r="K1077" t="s">
        <v>9554</v>
      </c>
      <c r="L1077" t="s">
        <v>9555</v>
      </c>
      <c r="M1077" t="s">
        <v>337</v>
      </c>
    </row>
    <row r="1078" spans="1:13" x14ac:dyDescent="0.25">
      <c r="A1078" t="s">
        <v>11320</v>
      </c>
      <c r="B1078" t="s">
        <v>13</v>
      </c>
      <c r="C1078" t="s">
        <v>11304</v>
      </c>
      <c r="D1078" t="s">
        <v>11321</v>
      </c>
      <c r="E1078" t="s">
        <v>11322</v>
      </c>
      <c r="F1078" t="s">
        <v>332</v>
      </c>
      <c r="G1078" t="s">
        <v>307</v>
      </c>
      <c r="H1078" t="s">
        <v>308</v>
      </c>
      <c r="I1078" t="s">
        <v>309</v>
      </c>
      <c r="J1078" s="3" t="s">
        <v>310</v>
      </c>
      <c r="K1078" t="s">
        <v>311</v>
      </c>
      <c r="L1078" t="s">
        <v>312</v>
      </c>
      <c r="M1078" t="s">
        <v>337</v>
      </c>
    </row>
    <row r="1079" spans="1:13" x14ac:dyDescent="0.25">
      <c r="A1079" t="s">
        <v>25076</v>
      </c>
      <c r="B1079" t="s">
        <v>13</v>
      </c>
      <c r="C1079" s="1">
        <v>42159</v>
      </c>
      <c r="D1079" t="s">
        <v>25077</v>
      </c>
      <c r="E1079" t="s">
        <v>25078</v>
      </c>
      <c r="F1079" t="s">
        <v>1775</v>
      </c>
      <c r="G1079" t="s">
        <v>25079</v>
      </c>
      <c r="H1079" t="s">
        <v>1656</v>
      </c>
      <c r="I1079" t="s">
        <v>19</v>
      </c>
      <c r="J1079" s="3" t="s">
        <v>25080</v>
      </c>
      <c r="K1079" t="s">
        <v>25081</v>
      </c>
      <c r="L1079" t="s">
        <v>12598</v>
      </c>
      <c r="M1079" t="s">
        <v>1775</v>
      </c>
    </row>
    <row r="1080" spans="1:13" x14ac:dyDescent="0.25">
      <c r="A1080" t="s">
        <v>13234</v>
      </c>
      <c r="B1080" t="s">
        <v>13</v>
      </c>
      <c r="C1080" s="1">
        <v>43893</v>
      </c>
      <c r="D1080" t="s">
        <v>13235</v>
      </c>
      <c r="E1080" s="2" t="s">
        <v>31066</v>
      </c>
      <c r="F1080" t="s">
        <v>1464</v>
      </c>
      <c r="G1080" t="s">
        <v>13236</v>
      </c>
      <c r="H1080" t="s">
        <v>372</v>
      </c>
      <c r="I1080" t="s">
        <v>19</v>
      </c>
      <c r="J1080" s="3">
        <v>55119983060175</v>
      </c>
      <c r="K1080" t="s">
        <v>13237</v>
      </c>
      <c r="L1080" t="s">
        <v>13238</v>
      </c>
      <c r="M1080" t="s">
        <v>337</v>
      </c>
    </row>
    <row r="1081" spans="1:13" x14ac:dyDescent="0.25">
      <c r="A1081" t="s">
        <v>26502</v>
      </c>
      <c r="B1081" t="s">
        <v>13</v>
      </c>
      <c r="C1081" t="s">
        <v>13644</v>
      </c>
      <c r="D1081" t="s">
        <v>26503</v>
      </c>
      <c r="E1081" t="s">
        <v>26504</v>
      </c>
      <c r="F1081" t="s">
        <v>1349</v>
      </c>
      <c r="G1081" t="s">
        <v>26505</v>
      </c>
      <c r="H1081" t="s">
        <v>428</v>
      </c>
      <c r="I1081" t="s">
        <v>19</v>
      </c>
      <c r="J1081" s="3" t="s">
        <v>26506</v>
      </c>
      <c r="K1081" t="s">
        <v>26507</v>
      </c>
      <c r="L1081" t="s">
        <v>4257</v>
      </c>
      <c r="M1081" t="s">
        <v>1349</v>
      </c>
    </row>
    <row r="1082" spans="1:13" x14ac:dyDescent="0.25">
      <c r="A1082" t="s">
        <v>26020</v>
      </c>
      <c r="B1082" t="s">
        <v>13</v>
      </c>
      <c r="C1082" t="s">
        <v>26021</v>
      </c>
      <c r="D1082" t="s">
        <v>26022</v>
      </c>
      <c r="E1082" t="s">
        <v>26023</v>
      </c>
      <c r="F1082" t="s">
        <v>6686</v>
      </c>
      <c r="G1082" t="s">
        <v>26024</v>
      </c>
      <c r="H1082" t="s">
        <v>7504</v>
      </c>
      <c r="I1082" t="s">
        <v>19</v>
      </c>
      <c r="J1082" s="3" t="s">
        <v>26025</v>
      </c>
      <c r="K1082" t="s">
        <v>26026</v>
      </c>
      <c r="L1082" t="s">
        <v>26027</v>
      </c>
      <c r="M1082" t="s">
        <v>337</v>
      </c>
    </row>
    <row r="1083" spans="1:13" x14ac:dyDescent="0.25">
      <c r="A1083" t="s">
        <v>12847</v>
      </c>
      <c r="B1083" t="s">
        <v>13</v>
      </c>
      <c r="C1083" t="s">
        <v>12842</v>
      </c>
      <c r="D1083" t="s">
        <v>12848</v>
      </c>
      <c r="E1083" t="s">
        <v>12849</v>
      </c>
      <c r="F1083" t="s">
        <v>337</v>
      </c>
      <c r="G1083" t="s">
        <v>12850</v>
      </c>
      <c r="H1083" t="s">
        <v>936</v>
      </c>
      <c r="I1083" t="s">
        <v>19</v>
      </c>
      <c r="J1083" s="3">
        <f>55-71-999777224</f>
        <v>-999777240</v>
      </c>
      <c r="K1083" t="s">
        <v>12851</v>
      </c>
      <c r="L1083" t="s">
        <v>4132</v>
      </c>
      <c r="M1083" t="s">
        <v>1349</v>
      </c>
    </row>
    <row r="1084" spans="1:13" x14ac:dyDescent="0.25">
      <c r="A1084" t="s">
        <v>7019</v>
      </c>
      <c r="B1084" t="s">
        <v>13</v>
      </c>
      <c r="C1084" t="s">
        <v>7020</v>
      </c>
      <c r="D1084" t="s">
        <v>32135</v>
      </c>
      <c r="E1084" s="2" t="s">
        <v>30918</v>
      </c>
      <c r="F1084" t="s">
        <v>7021</v>
      </c>
      <c r="G1084" t="s">
        <v>7022</v>
      </c>
      <c r="H1084" t="s">
        <v>706</v>
      </c>
      <c r="I1084" t="s">
        <v>19</v>
      </c>
      <c r="J1084" s="3">
        <f>55-31-989331999</f>
        <v>-989331975</v>
      </c>
      <c r="K1084" t="s">
        <v>7023</v>
      </c>
      <c r="L1084" t="s">
        <v>32135</v>
      </c>
      <c r="M1084" t="s">
        <v>1349</v>
      </c>
    </row>
    <row r="1085" spans="1:13" x14ac:dyDescent="0.25">
      <c r="A1085" t="s">
        <v>2922</v>
      </c>
      <c r="B1085" t="s">
        <v>13</v>
      </c>
      <c r="C1085" t="s">
        <v>2923</v>
      </c>
      <c r="D1085" t="s">
        <v>2924</v>
      </c>
      <c r="E1085" t="s">
        <v>2925</v>
      </c>
      <c r="F1085" t="s">
        <v>2926</v>
      </c>
      <c r="G1085" t="s">
        <v>2927</v>
      </c>
      <c r="H1085" t="s">
        <v>36</v>
      </c>
      <c r="I1085" t="s">
        <v>19</v>
      </c>
      <c r="J1085" s="3" t="s">
        <v>2928</v>
      </c>
      <c r="K1085" t="s">
        <v>2929</v>
      </c>
      <c r="L1085" t="s">
        <v>2930</v>
      </c>
      <c r="M1085" t="s">
        <v>1349</v>
      </c>
    </row>
    <row r="1086" spans="1:13" x14ac:dyDescent="0.25">
      <c r="A1086" t="s">
        <v>18868</v>
      </c>
      <c r="B1086" t="s">
        <v>13</v>
      </c>
      <c r="C1086" s="1">
        <v>43202</v>
      </c>
      <c r="D1086" t="s">
        <v>18869</v>
      </c>
      <c r="E1086" t="s">
        <v>18870</v>
      </c>
      <c r="F1086" t="s">
        <v>1349</v>
      </c>
      <c r="G1086" t="s">
        <v>18871</v>
      </c>
      <c r="H1086" t="s">
        <v>18872</v>
      </c>
      <c r="I1086" t="s">
        <v>19</v>
      </c>
      <c r="J1086" s="3">
        <v>555399715710</v>
      </c>
      <c r="K1086" t="s">
        <v>18873</v>
      </c>
      <c r="L1086" t="s">
        <v>18874</v>
      </c>
      <c r="M1086" t="s">
        <v>1349</v>
      </c>
    </row>
    <row r="1087" spans="1:13" x14ac:dyDescent="0.25">
      <c r="A1087" t="s">
        <v>8124</v>
      </c>
      <c r="B1087" t="s">
        <v>13</v>
      </c>
      <c r="C1087" s="1">
        <v>44532</v>
      </c>
      <c r="D1087" t="s">
        <v>32135</v>
      </c>
      <c r="E1087" s="2" t="s">
        <v>31847</v>
      </c>
      <c r="F1087" t="s">
        <v>2925</v>
      </c>
      <c r="G1087" t="s">
        <v>8125</v>
      </c>
      <c r="H1087" t="s">
        <v>1949</v>
      </c>
      <c r="I1087" t="s">
        <v>19</v>
      </c>
      <c r="J1087" s="3" t="s">
        <v>8126</v>
      </c>
      <c r="K1087" t="s">
        <v>8127</v>
      </c>
      <c r="L1087" t="s">
        <v>32135</v>
      </c>
      <c r="M1087" t="s">
        <v>1349</v>
      </c>
    </row>
    <row r="1088" spans="1:13" x14ac:dyDescent="0.25">
      <c r="A1088" t="s">
        <v>3621</v>
      </c>
      <c r="B1088" t="s">
        <v>13</v>
      </c>
      <c r="C1088" t="s">
        <v>3614</v>
      </c>
      <c r="D1088" t="s">
        <v>3622</v>
      </c>
      <c r="E1088" t="s">
        <v>3623</v>
      </c>
      <c r="F1088" t="s">
        <v>3624</v>
      </c>
      <c r="G1088" t="s">
        <v>3483</v>
      </c>
      <c r="H1088" t="s">
        <v>1949</v>
      </c>
      <c r="I1088" t="s">
        <v>19</v>
      </c>
      <c r="J1088" s="3">
        <f>55-55-999224402</f>
        <v>-999224402</v>
      </c>
      <c r="K1088" t="s">
        <v>3484</v>
      </c>
      <c r="L1088" t="s">
        <v>3485</v>
      </c>
      <c r="M1088" t="s">
        <v>432</v>
      </c>
    </row>
    <row r="1089" spans="1:13" x14ac:dyDescent="0.25">
      <c r="A1089" t="s">
        <v>20247</v>
      </c>
      <c r="B1089" t="s">
        <v>13</v>
      </c>
      <c r="C1089" t="s">
        <v>20229</v>
      </c>
      <c r="D1089" t="s">
        <v>20248</v>
      </c>
      <c r="E1089" t="s">
        <v>996</v>
      </c>
      <c r="F1089" t="s">
        <v>8193</v>
      </c>
      <c r="G1089" t="s">
        <v>20249</v>
      </c>
      <c r="H1089" t="s">
        <v>472</v>
      </c>
      <c r="I1089" t="s">
        <v>19</v>
      </c>
      <c r="J1089" s="3">
        <f>55-81-992628299</f>
        <v>-992628325</v>
      </c>
      <c r="K1089" t="s">
        <v>20250</v>
      </c>
      <c r="L1089" t="s">
        <v>18143</v>
      </c>
      <c r="M1089" t="s">
        <v>129</v>
      </c>
    </row>
    <row r="1090" spans="1:13" x14ac:dyDescent="0.25">
      <c r="A1090" t="s">
        <v>994</v>
      </c>
      <c r="B1090" t="s">
        <v>13</v>
      </c>
      <c r="C1090" s="1">
        <v>44604</v>
      </c>
      <c r="D1090" t="s">
        <v>995</v>
      </c>
      <c r="E1090" s="2" t="s">
        <v>30695</v>
      </c>
      <c r="F1090" t="s">
        <v>997</v>
      </c>
      <c r="G1090" t="s">
        <v>998</v>
      </c>
      <c r="H1090" t="s">
        <v>53</v>
      </c>
      <c r="I1090" t="s">
        <v>19</v>
      </c>
      <c r="J1090" s="3" t="s">
        <v>999</v>
      </c>
      <c r="K1090" t="s">
        <v>1000</v>
      </c>
      <c r="L1090" t="s">
        <v>1001</v>
      </c>
      <c r="M1090" t="s">
        <v>1775</v>
      </c>
    </row>
    <row r="1091" spans="1:13" x14ac:dyDescent="0.25">
      <c r="A1091" t="s">
        <v>7143</v>
      </c>
      <c r="B1091" t="s">
        <v>101</v>
      </c>
      <c r="C1091" s="1">
        <v>44445</v>
      </c>
      <c r="D1091" t="s">
        <v>32135</v>
      </c>
      <c r="E1091" s="2" t="s">
        <v>30922</v>
      </c>
      <c r="F1091" t="s">
        <v>7144</v>
      </c>
      <c r="G1091" t="s">
        <v>7145</v>
      </c>
      <c r="H1091" t="s">
        <v>7146</v>
      </c>
      <c r="I1091" t="s">
        <v>19</v>
      </c>
      <c r="J1091" s="3" t="s">
        <v>7147</v>
      </c>
      <c r="K1091" t="s">
        <v>7148</v>
      </c>
      <c r="L1091" t="s">
        <v>32135</v>
      </c>
      <c r="M1091" t="s">
        <v>32162</v>
      </c>
    </row>
    <row r="1092" spans="1:13" x14ac:dyDescent="0.25">
      <c r="A1092" t="s">
        <v>15928</v>
      </c>
      <c r="B1092" t="s">
        <v>13</v>
      </c>
      <c r="C1092" t="s">
        <v>15322</v>
      </c>
      <c r="D1092" t="s">
        <v>15929</v>
      </c>
      <c r="E1092" t="s">
        <v>15930</v>
      </c>
      <c r="F1092" t="s">
        <v>1464</v>
      </c>
      <c r="G1092" t="s">
        <v>15931</v>
      </c>
      <c r="H1092" t="s">
        <v>195</v>
      </c>
      <c r="I1092" t="s">
        <v>19</v>
      </c>
      <c r="J1092" s="3" t="s">
        <v>15932</v>
      </c>
      <c r="K1092" t="s">
        <v>15933</v>
      </c>
      <c r="L1092" t="s">
        <v>8674</v>
      </c>
      <c r="M1092" t="s">
        <v>337</v>
      </c>
    </row>
    <row r="1093" spans="1:13" x14ac:dyDescent="0.25">
      <c r="A1093" t="s">
        <v>14150</v>
      </c>
      <c r="B1093" t="s">
        <v>13</v>
      </c>
      <c r="C1093" t="s">
        <v>14151</v>
      </c>
      <c r="D1093" t="s">
        <v>14152</v>
      </c>
      <c r="E1093" t="s">
        <v>14153</v>
      </c>
      <c r="F1093" t="s">
        <v>1464</v>
      </c>
      <c r="G1093" t="s">
        <v>14154</v>
      </c>
      <c r="H1093" t="s">
        <v>3416</v>
      </c>
      <c r="I1093" t="s">
        <v>19</v>
      </c>
      <c r="J1093" s="3">
        <f>55-16-33016411</f>
        <v>-33016372</v>
      </c>
      <c r="K1093" t="s">
        <v>14155</v>
      </c>
      <c r="L1093" t="s">
        <v>2548</v>
      </c>
      <c r="M1093" t="s">
        <v>337</v>
      </c>
    </row>
    <row r="1094" spans="1:13" x14ac:dyDescent="0.25">
      <c r="A1094" t="s">
        <v>6760</v>
      </c>
      <c r="B1094" t="s">
        <v>13</v>
      </c>
      <c r="C1094" s="1">
        <v>44324</v>
      </c>
      <c r="D1094" t="s">
        <v>6761</v>
      </c>
      <c r="E1094" s="2" t="s">
        <v>31385</v>
      </c>
      <c r="F1094" t="s">
        <v>1464</v>
      </c>
      <c r="G1094" t="s">
        <v>4110</v>
      </c>
      <c r="H1094" t="s">
        <v>3416</v>
      </c>
      <c r="I1094" t="s">
        <v>19</v>
      </c>
      <c r="J1094" s="3">
        <f>55-16-33016423</f>
        <v>-33016384</v>
      </c>
      <c r="K1094" t="s">
        <v>4111</v>
      </c>
      <c r="L1094" t="s">
        <v>2548</v>
      </c>
      <c r="M1094" t="s">
        <v>32185</v>
      </c>
    </row>
    <row r="1095" spans="1:13" x14ac:dyDescent="0.25">
      <c r="A1095" t="s">
        <v>2806</v>
      </c>
      <c r="B1095" t="s">
        <v>13</v>
      </c>
      <c r="C1095" t="s">
        <v>2787</v>
      </c>
      <c r="D1095" t="s">
        <v>2807</v>
      </c>
      <c r="E1095" s="2" t="s">
        <v>30752</v>
      </c>
      <c r="F1095" t="s">
        <v>2213</v>
      </c>
      <c r="G1095" t="s">
        <v>2808</v>
      </c>
      <c r="H1095" t="s">
        <v>714</v>
      </c>
      <c r="I1095" t="s">
        <v>19</v>
      </c>
      <c r="J1095" s="3" t="s">
        <v>2809</v>
      </c>
      <c r="K1095" t="s">
        <v>2810</v>
      </c>
      <c r="L1095" t="s">
        <v>2811</v>
      </c>
      <c r="M1095" t="s">
        <v>337</v>
      </c>
    </row>
    <row r="1096" spans="1:13" x14ac:dyDescent="0.25">
      <c r="A1096" t="s">
        <v>12675</v>
      </c>
      <c r="B1096" t="s">
        <v>13</v>
      </c>
      <c r="C1096" t="s">
        <v>7663</v>
      </c>
      <c r="D1096" t="s">
        <v>12676</v>
      </c>
      <c r="E1096" s="2" t="s">
        <v>31049</v>
      </c>
      <c r="F1096" t="s">
        <v>332</v>
      </c>
      <c r="G1096" t="s">
        <v>12677</v>
      </c>
      <c r="H1096" t="s">
        <v>7467</v>
      </c>
      <c r="I1096" t="s">
        <v>19</v>
      </c>
      <c r="J1096" s="3">
        <v>5581988506972</v>
      </c>
      <c r="K1096" t="s">
        <v>1192</v>
      </c>
      <c r="L1096" t="s">
        <v>1193</v>
      </c>
      <c r="M1096" t="s">
        <v>337</v>
      </c>
    </row>
    <row r="1097" spans="1:13" x14ac:dyDescent="0.25">
      <c r="A1097" t="s">
        <v>18569</v>
      </c>
      <c r="B1097" t="s">
        <v>13</v>
      </c>
      <c r="C1097" s="1">
        <v>43647</v>
      </c>
      <c r="D1097" t="s">
        <v>18570</v>
      </c>
      <c r="E1097" t="s">
        <v>18571</v>
      </c>
      <c r="F1097" t="s">
        <v>1464</v>
      </c>
      <c r="G1097" t="s">
        <v>4110</v>
      </c>
      <c r="H1097" t="s">
        <v>3416</v>
      </c>
      <c r="I1097" t="s">
        <v>19</v>
      </c>
      <c r="J1097" s="3">
        <f>55-16-33016423</f>
        <v>-33016384</v>
      </c>
      <c r="K1097" t="s">
        <v>4111</v>
      </c>
      <c r="L1097" t="s">
        <v>18572</v>
      </c>
      <c r="M1097" t="s">
        <v>337</v>
      </c>
    </row>
    <row r="1098" spans="1:13" x14ac:dyDescent="0.25">
      <c r="A1098" t="s">
        <v>21221</v>
      </c>
      <c r="B1098" t="s">
        <v>13</v>
      </c>
      <c r="C1098" t="s">
        <v>21222</v>
      </c>
      <c r="D1098" t="s">
        <v>21223</v>
      </c>
      <c r="E1098" t="s">
        <v>21224</v>
      </c>
      <c r="F1098" t="s">
        <v>1464</v>
      </c>
      <c r="G1098" t="s">
        <v>14154</v>
      </c>
      <c r="H1098" t="s">
        <v>3416</v>
      </c>
      <c r="I1098" t="s">
        <v>19</v>
      </c>
      <c r="J1098" s="3">
        <f>55-16-33016411</f>
        <v>-33016372</v>
      </c>
      <c r="K1098" t="s">
        <v>14155</v>
      </c>
      <c r="L1098" t="s">
        <v>2548</v>
      </c>
      <c r="M1098" t="s">
        <v>337</v>
      </c>
    </row>
    <row r="1099" spans="1:13" x14ac:dyDescent="0.25">
      <c r="A1099" t="s">
        <v>18116</v>
      </c>
      <c r="B1099" t="s">
        <v>13</v>
      </c>
      <c r="C1099" t="s">
        <v>9547</v>
      </c>
      <c r="D1099" t="s">
        <v>18117</v>
      </c>
      <c r="E1099" t="s">
        <v>18118</v>
      </c>
      <c r="F1099" t="s">
        <v>32121</v>
      </c>
      <c r="G1099" t="s">
        <v>18119</v>
      </c>
      <c r="H1099" t="s">
        <v>1622</v>
      </c>
      <c r="I1099" t="s">
        <v>19</v>
      </c>
      <c r="J1099" s="3" t="s">
        <v>18120</v>
      </c>
      <c r="K1099" t="s">
        <v>18121</v>
      </c>
      <c r="L1099" t="s">
        <v>8972</v>
      </c>
      <c r="M1099" t="s">
        <v>32121</v>
      </c>
    </row>
    <row r="1100" spans="1:13" x14ac:dyDescent="0.25">
      <c r="A1100" t="s">
        <v>12795</v>
      </c>
      <c r="B1100" t="s">
        <v>101</v>
      </c>
      <c r="C1100" t="s">
        <v>12765</v>
      </c>
      <c r="D1100" t="s">
        <v>12796</v>
      </c>
      <c r="E1100" s="2" t="s">
        <v>32004</v>
      </c>
      <c r="F1100" t="s">
        <v>1464</v>
      </c>
      <c r="G1100" t="s">
        <v>12797</v>
      </c>
      <c r="H1100" t="s">
        <v>255</v>
      </c>
      <c r="I1100" t="s">
        <v>19</v>
      </c>
      <c r="J1100" s="3">
        <v>556232394000</v>
      </c>
      <c r="K1100" t="s">
        <v>12798</v>
      </c>
      <c r="L1100" t="s">
        <v>12797</v>
      </c>
      <c r="M1100" t="s">
        <v>337</v>
      </c>
    </row>
    <row r="1101" spans="1:13" x14ac:dyDescent="0.25">
      <c r="A1101" t="s">
        <v>19581</v>
      </c>
      <c r="B1101" t="s">
        <v>13</v>
      </c>
      <c r="C1101" t="s">
        <v>19574</v>
      </c>
      <c r="D1101" t="s">
        <v>19582</v>
      </c>
      <c r="E1101" s="2" t="s">
        <v>32029</v>
      </c>
      <c r="F1101" t="s">
        <v>3084</v>
      </c>
      <c r="G1101" t="s">
        <v>13827</v>
      </c>
      <c r="H1101" t="s">
        <v>265</v>
      </c>
      <c r="I1101" t="s">
        <v>19</v>
      </c>
      <c r="J1101" s="3">
        <v>55016981243839</v>
      </c>
      <c r="K1101" t="s">
        <v>13830</v>
      </c>
      <c r="L1101" t="s">
        <v>13831</v>
      </c>
      <c r="M1101" t="s">
        <v>32144</v>
      </c>
    </row>
    <row r="1102" spans="1:13" x14ac:dyDescent="0.25">
      <c r="A1102" t="s">
        <v>10672</v>
      </c>
      <c r="B1102" t="s">
        <v>13</v>
      </c>
      <c r="C1102" t="s">
        <v>1703</v>
      </c>
      <c r="D1102" t="s">
        <v>10673</v>
      </c>
      <c r="E1102" t="s">
        <v>10674</v>
      </c>
      <c r="F1102" t="s">
        <v>10674</v>
      </c>
      <c r="G1102" t="s">
        <v>10675</v>
      </c>
      <c r="H1102" t="s">
        <v>1301</v>
      </c>
      <c r="I1102" t="s">
        <v>19</v>
      </c>
      <c r="J1102" s="3" t="s">
        <v>10676</v>
      </c>
      <c r="K1102" t="s">
        <v>10677</v>
      </c>
      <c r="L1102" t="s">
        <v>10678</v>
      </c>
      <c r="M1102" t="s">
        <v>771</v>
      </c>
    </row>
    <row r="1103" spans="1:13" x14ac:dyDescent="0.25">
      <c r="A1103" t="s">
        <v>17897</v>
      </c>
      <c r="B1103" t="s">
        <v>13</v>
      </c>
      <c r="C1103" s="1">
        <v>43469</v>
      </c>
      <c r="D1103" t="s">
        <v>17898</v>
      </c>
      <c r="E1103" t="s">
        <v>32286</v>
      </c>
      <c r="F1103" t="s">
        <v>2758</v>
      </c>
      <c r="G1103" t="s">
        <v>17899</v>
      </c>
      <c r="H1103" t="s">
        <v>17445</v>
      </c>
      <c r="I1103" t="s">
        <v>19</v>
      </c>
      <c r="J1103" s="3">
        <v>5562992652572</v>
      </c>
      <c r="K1103" t="s">
        <v>17900</v>
      </c>
      <c r="L1103" t="s">
        <v>1767</v>
      </c>
      <c r="M1103" t="s">
        <v>32149</v>
      </c>
    </row>
    <row r="1104" spans="1:13" x14ac:dyDescent="0.25">
      <c r="A1104" t="s">
        <v>30505</v>
      </c>
      <c r="B1104" t="s">
        <v>13</v>
      </c>
      <c r="C1104" s="1">
        <v>40705</v>
      </c>
      <c r="D1104" t="s">
        <v>30506</v>
      </c>
      <c r="E1104" t="s">
        <v>30507</v>
      </c>
      <c r="F1104" t="s">
        <v>8193</v>
      </c>
      <c r="G1104" t="s">
        <v>30508</v>
      </c>
      <c r="H1104" t="s">
        <v>5982</v>
      </c>
      <c r="I1104" t="s">
        <v>19</v>
      </c>
      <c r="J1104" s="3" t="s">
        <v>30509</v>
      </c>
      <c r="K1104" t="s">
        <v>30510</v>
      </c>
      <c r="L1104" t="s">
        <v>2467</v>
      </c>
      <c r="M1104" t="s">
        <v>129</v>
      </c>
    </row>
    <row r="1105" spans="1:13" x14ac:dyDescent="0.25">
      <c r="A1105" t="s">
        <v>14652</v>
      </c>
      <c r="B1105" t="s">
        <v>13</v>
      </c>
      <c r="C1105" s="1">
        <v>43750</v>
      </c>
      <c r="D1105" t="s">
        <v>14653</v>
      </c>
      <c r="E1105" s="2" t="s">
        <v>31102</v>
      </c>
      <c r="F1105" t="s">
        <v>1349</v>
      </c>
      <c r="G1105" t="s">
        <v>14654</v>
      </c>
      <c r="H1105" t="s">
        <v>36</v>
      </c>
      <c r="I1105" t="s">
        <v>19</v>
      </c>
      <c r="J1105" s="3">
        <f>55-11-26616467</f>
        <v>-26616423</v>
      </c>
      <c r="K1105" t="s">
        <v>14655</v>
      </c>
      <c r="L1105" t="s">
        <v>14656</v>
      </c>
      <c r="M1105" t="s">
        <v>1349</v>
      </c>
    </row>
    <row r="1106" spans="1:13" x14ac:dyDescent="0.25">
      <c r="A1106" t="s">
        <v>5673</v>
      </c>
      <c r="B1106" t="s">
        <v>13</v>
      </c>
      <c r="C1106" s="1">
        <v>44541</v>
      </c>
      <c r="D1106" t="s">
        <v>5674</v>
      </c>
      <c r="E1106" s="2" t="s">
        <v>32077</v>
      </c>
      <c r="F1106" t="s">
        <v>5675</v>
      </c>
      <c r="G1106" t="s">
        <v>5676</v>
      </c>
      <c r="H1106" t="s">
        <v>352</v>
      </c>
      <c r="I1106" t="s">
        <v>19</v>
      </c>
      <c r="J1106" s="3">
        <v>552122857935</v>
      </c>
      <c r="K1106" t="s">
        <v>5677</v>
      </c>
      <c r="L1106" t="s">
        <v>32135</v>
      </c>
      <c r="M1106" t="s">
        <v>129</v>
      </c>
    </row>
    <row r="1107" spans="1:13" x14ac:dyDescent="0.25">
      <c r="A1107" t="s">
        <v>4649</v>
      </c>
      <c r="B1107" t="s">
        <v>13</v>
      </c>
      <c r="C1107" t="s">
        <v>4625</v>
      </c>
      <c r="D1107" t="s">
        <v>4650</v>
      </c>
      <c r="E1107" s="2" t="s">
        <v>30815</v>
      </c>
      <c r="F1107" t="s">
        <v>4651</v>
      </c>
      <c r="G1107" t="s">
        <v>4640</v>
      </c>
      <c r="H1107" t="s">
        <v>299</v>
      </c>
      <c r="I1107" t="s">
        <v>19</v>
      </c>
      <c r="J1107" s="3">
        <f>55-14-99671-5656</f>
        <v>-105286</v>
      </c>
      <c r="K1107" t="s">
        <v>783</v>
      </c>
      <c r="L1107" t="s">
        <v>4641</v>
      </c>
      <c r="M1107" t="s">
        <v>741</v>
      </c>
    </row>
    <row r="1108" spans="1:13" x14ac:dyDescent="0.25">
      <c r="A1108" t="s">
        <v>3442</v>
      </c>
      <c r="B1108" t="s">
        <v>13</v>
      </c>
      <c r="C1108" s="1">
        <v>44776</v>
      </c>
      <c r="D1108" t="s">
        <v>3443</v>
      </c>
      <c r="E1108" t="s">
        <v>3444</v>
      </c>
      <c r="F1108" t="s">
        <v>3445</v>
      </c>
      <c r="G1108" t="s">
        <v>3446</v>
      </c>
      <c r="H1108" t="s">
        <v>150</v>
      </c>
      <c r="I1108" t="s">
        <v>19</v>
      </c>
      <c r="J1108" s="3">
        <v>551126615695</v>
      </c>
      <c r="K1108" t="s">
        <v>3447</v>
      </c>
      <c r="L1108" t="s">
        <v>3448</v>
      </c>
      <c r="M1108" t="s">
        <v>771</v>
      </c>
    </row>
    <row r="1109" spans="1:13" x14ac:dyDescent="0.25">
      <c r="A1109" t="s">
        <v>21924</v>
      </c>
      <c r="B1109" t="s">
        <v>13</v>
      </c>
      <c r="C1109" s="1">
        <v>43408</v>
      </c>
      <c r="D1109" t="s">
        <v>21925</v>
      </c>
      <c r="E1109" t="s">
        <v>21926</v>
      </c>
      <c r="F1109" t="s">
        <v>771</v>
      </c>
      <c r="G1109" t="s">
        <v>21927</v>
      </c>
      <c r="H1109" t="s">
        <v>991</v>
      </c>
      <c r="I1109" t="s">
        <v>19</v>
      </c>
      <c r="J1109" s="3" t="s">
        <v>21928</v>
      </c>
      <c r="K1109" t="s">
        <v>21929</v>
      </c>
      <c r="L1109" t="s">
        <v>15532</v>
      </c>
      <c r="M1109" t="s">
        <v>771</v>
      </c>
    </row>
    <row r="1110" spans="1:13" x14ac:dyDescent="0.25">
      <c r="A1110" t="s">
        <v>765</v>
      </c>
      <c r="B1110" t="s">
        <v>13</v>
      </c>
      <c r="C1110" t="s">
        <v>758</v>
      </c>
      <c r="D1110" t="s">
        <v>766</v>
      </c>
      <c r="E1110" t="s">
        <v>767</v>
      </c>
      <c r="F1110" t="s">
        <v>546</v>
      </c>
      <c r="G1110" t="s">
        <v>768</v>
      </c>
      <c r="H1110" t="s">
        <v>265</v>
      </c>
      <c r="I1110" t="s">
        <v>19</v>
      </c>
      <c r="J1110" s="3">
        <v>551636022477</v>
      </c>
      <c r="K1110" t="s">
        <v>769</v>
      </c>
      <c r="L1110" t="s">
        <v>770</v>
      </c>
      <c r="M1110" t="s">
        <v>771</v>
      </c>
    </row>
    <row r="1111" spans="1:13" x14ac:dyDescent="0.25">
      <c r="A1111" t="s">
        <v>26136</v>
      </c>
      <c r="B1111" t="s">
        <v>13</v>
      </c>
      <c r="C1111" t="s">
        <v>26115</v>
      </c>
      <c r="D1111" t="s">
        <v>26137</v>
      </c>
      <c r="E1111" t="s">
        <v>26138</v>
      </c>
      <c r="F1111" t="s">
        <v>12383</v>
      </c>
      <c r="G1111" t="s">
        <v>26139</v>
      </c>
      <c r="H1111" t="s">
        <v>36</v>
      </c>
      <c r="I1111" t="s">
        <v>19</v>
      </c>
      <c r="J1111" s="3">
        <v>5511981222432</v>
      </c>
      <c r="K1111" t="s">
        <v>26140</v>
      </c>
      <c r="L1111" t="s">
        <v>321</v>
      </c>
      <c r="M1111" t="s">
        <v>32155</v>
      </c>
    </row>
    <row r="1112" spans="1:13" x14ac:dyDescent="0.25">
      <c r="A1112" t="s">
        <v>14840</v>
      </c>
      <c r="B1112" t="s">
        <v>101</v>
      </c>
      <c r="C1112" s="1">
        <v>42555</v>
      </c>
      <c r="D1112" t="s">
        <v>14841</v>
      </c>
      <c r="E1112" t="s">
        <v>14842</v>
      </c>
      <c r="F1112" t="s">
        <v>10500</v>
      </c>
      <c r="G1112" t="s">
        <v>14843</v>
      </c>
      <c r="H1112" t="s">
        <v>18</v>
      </c>
      <c r="I1112" t="s">
        <v>19</v>
      </c>
      <c r="J1112" s="3" t="s">
        <v>14844</v>
      </c>
      <c r="K1112" t="s">
        <v>14845</v>
      </c>
      <c r="L1112" t="s">
        <v>14846</v>
      </c>
      <c r="M1112" t="s">
        <v>1349</v>
      </c>
    </row>
    <row r="1113" spans="1:13" x14ac:dyDescent="0.25">
      <c r="A1113" t="s">
        <v>10498</v>
      </c>
      <c r="B1113" t="s">
        <v>13</v>
      </c>
      <c r="C1113" s="1">
        <v>44143</v>
      </c>
      <c r="D1113" t="s">
        <v>10499</v>
      </c>
      <c r="E1113" t="s">
        <v>32287</v>
      </c>
      <c r="F1113" t="s">
        <v>10500</v>
      </c>
      <c r="G1113" t="s">
        <v>10501</v>
      </c>
      <c r="H1113" t="s">
        <v>10502</v>
      </c>
      <c r="I1113" t="s">
        <v>19</v>
      </c>
      <c r="J1113" s="3">
        <f>55-11-970258397</f>
        <v>-970258353</v>
      </c>
      <c r="K1113" t="s">
        <v>10503</v>
      </c>
      <c r="L1113" t="s">
        <v>10504</v>
      </c>
      <c r="M1113" t="s">
        <v>32155</v>
      </c>
    </row>
    <row r="1114" spans="1:13" x14ac:dyDescent="0.25">
      <c r="A1114" t="s">
        <v>28283</v>
      </c>
      <c r="B1114" t="s">
        <v>13</v>
      </c>
      <c r="C1114" t="s">
        <v>28284</v>
      </c>
      <c r="D1114" t="s">
        <v>28285</v>
      </c>
      <c r="E1114" t="s">
        <v>32288</v>
      </c>
      <c r="F1114" t="s">
        <v>2947</v>
      </c>
      <c r="G1114" t="s">
        <v>2431</v>
      </c>
      <c r="H1114" t="s">
        <v>798</v>
      </c>
      <c r="I1114" t="s">
        <v>19</v>
      </c>
      <c r="J1114" s="3">
        <v>556199667264</v>
      </c>
      <c r="K1114" t="s">
        <v>2433</v>
      </c>
      <c r="L1114" t="s">
        <v>1767</v>
      </c>
      <c r="M1114" t="s">
        <v>771</v>
      </c>
    </row>
    <row r="1115" spans="1:13" x14ac:dyDescent="0.25">
      <c r="A1115" t="s">
        <v>17968</v>
      </c>
      <c r="B1115" t="s">
        <v>13</v>
      </c>
      <c r="C1115" t="s">
        <v>16588</v>
      </c>
      <c r="D1115" t="s">
        <v>17969</v>
      </c>
      <c r="E1115" s="2" t="s">
        <v>31619</v>
      </c>
      <c r="F1115" t="s">
        <v>1464</v>
      </c>
      <c r="G1115" t="s">
        <v>17970</v>
      </c>
      <c r="H1115" t="s">
        <v>428</v>
      </c>
      <c r="I1115" t="s">
        <v>19</v>
      </c>
      <c r="J1115" s="3">
        <v>55051999037724</v>
      </c>
      <c r="K1115" t="s">
        <v>17971</v>
      </c>
      <c r="L1115" t="s">
        <v>17972</v>
      </c>
      <c r="M1115" t="s">
        <v>337</v>
      </c>
    </row>
    <row r="1116" spans="1:13" x14ac:dyDescent="0.25">
      <c r="A1116" t="s">
        <v>9954</v>
      </c>
      <c r="B1116" t="s">
        <v>13</v>
      </c>
      <c r="C1116" s="1">
        <v>43839</v>
      </c>
      <c r="D1116" t="s">
        <v>9955</v>
      </c>
      <c r="E1116" s="2" t="s">
        <v>32020</v>
      </c>
      <c r="F1116" t="s">
        <v>1464</v>
      </c>
      <c r="G1116" t="s">
        <v>1309</v>
      </c>
      <c r="H1116" t="s">
        <v>88</v>
      </c>
      <c r="I1116" t="s">
        <v>19</v>
      </c>
      <c r="J1116" s="3">
        <f>55-84-33422006</f>
        <v>-33422035</v>
      </c>
      <c r="K1116" t="s">
        <v>1310</v>
      </c>
      <c r="L1116" t="s">
        <v>9956</v>
      </c>
      <c r="M1116" t="s">
        <v>32144</v>
      </c>
    </row>
    <row r="1117" spans="1:13" x14ac:dyDescent="0.25">
      <c r="A1117" t="s">
        <v>16603</v>
      </c>
      <c r="B1117" t="s">
        <v>13</v>
      </c>
      <c r="C1117" t="s">
        <v>16601</v>
      </c>
      <c r="D1117" t="s">
        <v>16604</v>
      </c>
      <c r="E1117" t="s">
        <v>1762</v>
      </c>
      <c r="F1117" t="s">
        <v>6686</v>
      </c>
      <c r="G1117" t="s">
        <v>16605</v>
      </c>
      <c r="H1117" t="s">
        <v>4948</v>
      </c>
      <c r="I1117" t="s">
        <v>19</v>
      </c>
      <c r="J1117" s="3" t="s">
        <v>16606</v>
      </c>
      <c r="K1117" t="s">
        <v>16607</v>
      </c>
      <c r="L1117" t="s">
        <v>16608</v>
      </c>
      <c r="M1117" t="s">
        <v>337</v>
      </c>
    </row>
    <row r="1118" spans="1:13" x14ac:dyDescent="0.25">
      <c r="A1118" t="s">
        <v>22022</v>
      </c>
      <c r="B1118" t="s">
        <v>13</v>
      </c>
      <c r="C1118" t="s">
        <v>22023</v>
      </c>
      <c r="D1118" t="s">
        <v>22024</v>
      </c>
      <c r="E1118" t="s">
        <v>1762</v>
      </c>
      <c r="F1118" t="s">
        <v>1464</v>
      </c>
      <c r="G1118" t="s">
        <v>22025</v>
      </c>
      <c r="H1118" t="s">
        <v>299</v>
      </c>
      <c r="I1118" t="s">
        <v>19</v>
      </c>
      <c r="J1118" s="3" t="s">
        <v>22026</v>
      </c>
      <c r="K1118" t="s">
        <v>22027</v>
      </c>
      <c r="L1118" t="s">
        <v>22028</v>
      </c>
      <c r="M1118" t="s">
        <v>337</v>
      </c>
    </row>
    <row r="1119" spans="1:13" x14ac:dyDescent="0.25">
      <c r="A1119" t="s">
        <v>2812</v>
      </c>
      <c r="B1119" t="s">
        <v>13</v>
      </c>
      <c r="C1119" t="s">
        <v>2813</v>
      </c>
      <c r="D1119" t="s">
        <v>2814</v>
      </c>
      <c r="E1119" s="2" t="s">
        <v>31409</v>
      </c>
      <c r="F1119" t="s">
        <v>2815</v>
      </c>
      <c r="G1119" t="s">
        <v>2816</v>
      </c>
      <c r="H1119" t="s">
        <v>299</v>
      </c>
      <c r="I1119" t="s">
        <v>19</v>
      </c>
      <c r="J1119" s="3" t="s">
        <v>2817</v>
      </c>
      <c r="K1119" t="s">
        <v>2818</v>
      </c>
      <c r="L1119" t="s">
        <v>2819</v>
      </c>
      <c r="M1119" t="s">
        <v>337</v>
      </c>
    </row>
    <row r="1120" spans="1:13" x14ac:dyDescent="0.25">
      <c r="A1120" t="s">
        <v>21478</v>
      </c>
      <c r="B1120" t="s">
        <v>13</v>
      </c>
      <c r="C1120" t="s">
        <v>21479</v>
      </c>
      <c r="D1120" t="s">
        <v>21480</v>
      </c>
      <c r="E1120" s="2" t="s">
        <v>32062</v>
      </c>
      <c r="F1120" t="s">
        <v>6686</v>
      </c>
      <c r="G1120" t="s">
        <v>21481</v>
      </c>
      <c r="H1120" t="s">
        <v>18</v>
      </c>
      <c r="I1120" t="s">
        <v>19</v>
      </c>
      <c r="J1120" s="3">
        <f>55-19-35217883</f>
        <v>-35217847</v>
      </c>
      <c r="K1120" t="s">
        <v>21482</v>
      </c>
      <c r="L1120" t="s">
        <v>12159</v>
      </c>
      <c r="M1120" t="s">
        <v>337</v>
      </c>
    </row>
    <row r="1121" spans="1:13" x14ac:dyDescent="0.25">
      <c r="A1121" t="s">
        <v>27925</v>
      </c>
      <c r="B1121" t="s">
        <v>13</v>
      </c>
      <c r="C1121" t="s">
        <v>27923</v>
      </c>
      <c r="D1121" t="s">
        <v>27926</v>
      </c>
      <c r="E1121" t="s">
        <v>27927</v>
      </c>
      <c r="F1121" t="s">
        <v>1464</v>
      </c>
      <c r="G1121" t="s">
        <v>27928</v>
      </c>
      <c r="H1121" t="s">
        <v>5077</v>
      </c>
      <c r="I1121" t="s">
        <v>19</v>
      </c>
      <c r="J1121" s="3" t="s">
        <v>27929</v>
      </c>
      <c r="K1121" t="s">
        <v>27930</v>
      </c>
      <c r="L1121" t="s">
        <v>439</v>
      </c>
      <c r="M1121" t="s">
        <v>337</v>
      </c>
    </row>
    <row r="1122" spans="1:13" x14ac:dyDescent="0.25">
      <c r="A1122" t="s">
        <v>15863</v>
      </c>
      <c r="B1122" t="s">
        <v>13</v>
      </c>
      <c r="C1122" t="s">
        <v>13040</v>
      </c>
      <c r="D1122" t="s">
        <v>15864</v>
      </c>
      <c r="E1122" s="2" t="s">
        <v>31414</v>
      </c>
      <c r="F1122" t="s">
        <v>1464</v>
      </c>
      <c r="G1122" t="s">
        <v>15865</v>
      </c>
      <c r="H1122" t="s">
        <v>299</v>
      </c>
      <c r="I1122" t="s">
        <v>19</v>
      </c>
      <c r="J1122" s="3">
        <f>55-14-997402119</f>
        <v>-997402078</v>
      </c>
      <c r="K1122" t="s">
        <v>15866</v>
      </c>
      <c r="L1122" t="s">
        <v>8732</v>
      </c>
      <c r="M1122" t="s">
        <v>337</v>
      </c>
    </row>
    <row r="1123" spans="1:13" x14ac:dyDescent="0.25">
      <c r="A1123" t="s">
        <v>20561</v>
      </c>
      <c r="B1123" t="s">
        <v>13</v>
      </c>
      <c r="C1123" t="s">
        <v>10976</v>
      </c>
      <c r="D1123" t="s">
        <v>20562</v>
      </c>
      <c r="E1123" s="2" t="s">
        <v>31255</v>
      </c>
      <c r="F1123" t="s">
        <v>8193</v>
      </c>
      <c r="G1123" t="s">
        <v>20563</v>
      </c>
      <c r="H1123" t="s">
        <v>195</v>
      </c>
      <c r="I1123" t="s">
        <v>19</v>
      </c>
      <c r="J1123" s="3" t="s">
        <v>20564</v>
      </c>
      <c r="K1123" t="s">
        <v>20565</v>
      </c>
      <c r="L1123" t="s">
        <v>197</v>
      </c>
      <c r="M1123" t="s">
        <v>129</v>
      </c>
    </row>
    <row r="1124" spans="1:13" x14ac:dyDescent="0.25">
      <c r="A1124" t="s">
        <v>5143</v>
      </c>
      <c r="B1124" t="s">
        <v>13</v>
      </c>
      <c r="C1124" s="1">
        <v>44713</v>
      </c>
      <c r="D1124" t="s">
        <v>5144</v>
      </c>
      <c r="E1124" t="s">
        <v>5145</v>
      </c>
      <c r="F1124" t="s">
        <v>5146</v>
      </c>
      <c r="G1124" t="s">
        <v>5147</v>
      </c>
      <c r="H1124" t="s">
        <v>18</v>
      </c>
      <c r="I1124" t="s">
        <v>19</v>
      </c>
      <c r="J1124" s="3" t="s">
        <v>5148</v>
      </c>
      <c r="K1124" t="s">
        <v>5149</v>
      </c>
      <c r="L1124" t="s">
        <v>32135</v>
      </c>
      <c r="M1124" t="s">
        <v>785</v>
      </c>
    </row>
    <row r="1125" spans="1:13" x14ac:dyDescent="0.25">
      <c r="A1125" t="s">
        <v>21848</v>
      </c>
      <c r="B1125" t="s">
        <v>13</v>
      </c>
      <c r="C1125" t="s">
        <v>21849</v>
      </c>
      <c r="D1125" t="s">
        <v>21850</v>
      </c>
      <c r="E1125" t="s">
        <v>5145</v>
      </c>
      <c r="F1125" t="s">
        <v>4639</v>
      </c>
      <c r="G1125" t="s">
        <v>1621</v>
      </c>
      <c r="H1125" t="s">
        <v>1622</v>
      </c>
      <c r="I1125" t="s">
        <v>19</v>
      </c>
      <c r="J1125" s="3" t="s">
        <v>18998</v>
      </c>
      <c r="K1125" t="s">
        <v>1624</v>
      </c>
      <c r="L1125" t="s">
        <v>10697</v>
      </c>
      <c r="M1125" t="s">
        <v>785</v>
      </c>
    </row>
    <row r="1126" spans="1:13" x14ac:dyDescent="0.25">
      <c r="A1126" t="s">
        <v>16435</v>
      </c>
      <c r="B1126" t="s">
        <v>13</v>
      </c>
      <c r="C1126" t="s">
        <v>16436</v>
      </c>
      <c r="D1126" t="s">
        <v>16437</v>
      </c>
      <c r="E1126" s="2" t="s">
        <v>31156</v>
      </c>
      <c r="F1126" t="s">
        <v>741</v>
      </c>
      <c r="G1126" t="s">
        <v>16438</v>
      </c>
      <c r="H1126" t="s">
        <v>352</v>
      </c>
      <c r="I1126" t="s">
        <v>19</v>
      </c>
      <c r="J1126" s="3" t="s">
        <v>16439</v>
      </c>
      <c r="K1126" t="s">
        <v>16440</v>
      </c>
      <c r="L1126" t="s">
        <v>4617</v>
      </c>
      <c r="M1126" t="s">
        <v>741</v>
      </c>
    </row>
    <row r="1127" spans="1:13" x14ac:dyDescent="0.25">
      <c r="A1127" t="s">
        <v>6325</v>
      </c>
      <c r="B1127" t="s">
        <v>13</v>
      </c>
      <c r="C1127" t="s">
        <v>4185</v>
      </c>
      <c r="D1127" t="s">
        <v>6326</v>
      </c>
      <c r="E1127" t="s">
        <v>6327</v>
      </c>
      <c r="F1127" t="s">
        <v>6327</v>
      </c>
      <c r="G1127" t="s">
        <v>6328</v>
      </c>
      <c r="H1127" t="s">
        <v>6322</v>
      </c>
      <c r="I1127" t="s">
        <v>19</v>
      </c>
      <c r="J1127" s="3">
        <v>551149935426</v>
      </c>
      <c r="K1127" t="s">
        <v>6329</v>
      </c>
      <c r="L1127" t="s">
        <v>32135</v>
      </c>
      <c r="M1127" t="s">
        <v>1775</v>
      </c>
    </row>
    <row r="1128" spans="1:13" x14ac:dyDescent="0.25">
      <c r="A1128" t="s">
        <v>16630</v>
      </c>
      <c r="B1128" t="s">
        <v>101</v>
      </c>
      <c r="C1128" t="s">
        <v>16631</v>
      </c>
      <c r="D1128" t="s">
        <v>16632</v>
      </c>
      <c r="E1128" t="s">
        <v>5657</v>
      </c>
      <c r="F1128" t="s">
        <v>1775</v>
      </c>
      <c r="G1128" t="s">
        <v>5904</v>
      </c>
      <c r="H1128" t="s">
        <v>18</v>
      </c>
      <c r="I1128" t="s">
        <v>19</v>
      </c>
      <c r="J1128" s="3" t="s">
        <v>16633</v>
      </c>
      <c r="K1128" t="s">
        <v>16634</v>
      </c>
      <c r="L1128" t="s">
        <v>16635</v>
      </c>
      <c r="M1128" t="s">
        <v>1775</v>
      </c>
    </row>
    <row r="1129" spans="1:13" x14ac:dyDescent="0.25">
      <c r="A1129" t="s">
        <v>5656</v>
      </c>
      <c r="B1129" t="s">
        <v>13</v>
      </c>
      <c r="C1129" s="1">
        <v>44541</v>
      </c>
      <c r="D1129" t="s">
        <v>32135</v>
      </c>
      <c r="E1129" s="2" t="s">
        <v>31429</v>
      </c>
      <c r="F1129" t="s">
        <v>5658</v>
      </c>
      <c r="G1129" t="s">
        <v>5659</v>
      </c>
      <c r="H1129" t="s">
        <v>18</v>
      </c>
      <c r="I1129" t="s">
        <v>19</v>
      </c>
      <c r="J1129" s="3">
        <v>5583999044648</v>
      </c>
      <c r="K1129" t="s">
        <v>5660</v>
      </c>
      <c r="L1129" t="s">
        <v>32135</v>
      </c>
      <c r="M1129" t="s">
        <v>1775</v>
      </c>
    </row>
    <row r="1130" spans="1:13" x14ac:dyDescent="0.25">
      <c r="A1130" t="s">
        <v>7246</v>
      </c>
      <c r="B1130" t="s">
        <v>13</v>
      </c>
      <c r="C1130" s="1">
        <v>44233</v>
      </c>
      <c r="D1130" t="s">
        <v>32135</v>
      </c>
      <c r="E1130" t="s">
        <v>7247</v>
      </c>
      <c r="F1130" t="s">
        <v>6342</v>
      </c>
      <c r="G1130" t="s">
        <v>7248</v>
      </c>
      <c r="H1130" t="s">
        <v>936</v>
      </c>
      <c r="I1130" t="s">
        <v>19</v>
      </c>
      <c r="J1130" s="3" t="s">
        <v>7249</v>
      </c>
      <c r="K1130" t="s">
        <v>7250</v>
      </c>
      <c r="L1130" t="s">
        <v>32135</v>
      </c>
      <c r="M1130" t="s">
        <v>1775</v>
      </c>
    </row>
    <row r="1131" spans="1:13" x14ac:dyDescent="0.25">
      <c r="A1131" t="s">
        <v>1812</v>
      </c>
      <c r="B1131" t="s">
        <v>13</v>
      </c>
      <c r="C1131" s="1">
        <v>44722</v>
      </c>
      <c r="D1131" t="s">
        <v>1813</v>
      </c>
      <c r="E1131" t="s">
        <v>1814</v>
      </c>
      <c r="F1131" t="s">
        <v>1815</v>
      </c>
      <c r="G1131" t="s">
        <v>1816</v>
      </c>
      <c r="H1131" t="s">
        <v>706</v>
      </c>
      <c r="I1131" t="s">
        <v>19</v>
      </c>
      <c r="J1131" s="3">
        <v>5531999048564</v>
      </c>
      <c r="K1131" t="s">
        <v>1817</v>
      </c>
      <c r="L1131" t="s">
        <v>565</v>
      </c>
      <c r="M1131" t="s">
        <v>771</v>
      </c>
    </row>
    <row r="1132" spans="1:13" x14ac:dyDescent="0.25">
      <c r="A1132" t="s">
        <v>17839</v>
      </c>
      <c r="B1132" t="s">
        <v>13</v>
      </c>
      <c r="C1132" s="1">
        <v>43742</v>
      </c>
      <c r="D1132" t="s">
        <v>17840</v>
      </c>
      <c r="E1132" t="s">
        <v>32289</v>
      </c>
      <c r="F1132" t="s">
        <v>2036</v>
      </c>
      <c r="G1132" t="s">
        <v>1966</v>
      </c>
      <c r="H1132" t="s">
        <v>1967</v>
      </c>
      <c r="I1132" t="s">
        <v>19</v>
      </c>
      <c r="J1132" s="3">
        <f>55-51-35911265</f>
        <v>-35911261</v>
      </c>
      <c r="K1132" t="s">
        <v>1969</v>
      </c>
      <c r="L1132" t="s">
        <v>1970</v>
      </c>
      <c r="M1132" t="s">
        <v>57</v>
      </c>
    </row>
    <row r="1133" spans="1:13" x14ac:dyDescent="0.25">
      <c r="A1133" t="s">
        <v>14091</v>
      </c>
      <c r="B1133" t="s">
        <v>13</v>
      </c>
      <c r="C1133" t="s">
        <v>7928</v>
      </c>
      <c r="D1133" t="s">
        <v>14092</v>
      </c>
      <c r="E1133" t="s">
        <v>14093</v>
      </c>
      <c r="F1133" t="s">
        <v>57</v>
      </c>
      <c r="G1133" t="s">
        <v>6099</v>
      </c>
      <c r="H1133" t="s">
        <v>6100</v>
      </c>
      <c r="I1133" t="s">
        <v>19</v>
      </c>
      <c r="J1133" s="3" t="s">
        <v>14094</v>
      </c>
      <c r="K1133" t="s">
        <v>6101</v>
      </c>
      <c r="L1133" t="s">
        <v>9430</v>
      </c>
      <c r="M1133" t="s">
        <v>57</v>
      </c>
    </row>
    <row r="1134" spans="1:13" x14ac:dyDescent="0.25">
      <c r="A1134" t="s">
        <v>23742</v>
      </c>
      <c r="B1134" t="s">
        <v>13</v>
      </c>
      <c r="C1134" t="s">
        <v>8676</v>
      </c>
      <c r="D1134" t="s">
        <v>23743</v>
      </c>
      <c r="E1134" t="s">
        <v>32290</v>
      </c>
      <c r="F1134" t="s">
        <v>332</v>
      </c>
      <c r="G1134" t="s">
        <v>23744</v>
      </c>
      <c r="H1134" t="s">
        <v>255</v>
      </c>
      <c r="I1134" t="s">
        <v>19</v>
      </c>
      <c r="J1134" s="3" t="s">
        <v>23745</v>
      </c>
      <c r="K1134" t="s">
        <v>23746</v>
      </c>
      <c r="L1134" t="s">
        <v>23747</v>
      </c>
      <c r="M1134" t="s">
        <v>337</v>
      </c>
    </row>
    <row r="1135" spans="1:13" x14ac:dyDescent="0.25">
      <c r="A1135" t="s">
        <v>4335</v>
      </c>
      <c r="B1135" t="s">
        <v>101</v>
      </c>
      <c r="C1135" s="1">
        <v>44505</v>
      </c>
      <c r="D1135" t="s">
        <v>4336</v>
      </c>
      <c r="E1135" t="s">
        <v>4337</v>
      </c>
      <c r="F1135" t="s">
        <v>4338</v>
      </c>
      <c r="G1135" t="s">
        <v>4339</v>
      </c>
      <c r="H1135" t="s">
        <v>798</v>
      </c>
      <c r="I1135" t="s">
        <v>19</v>
      </c>
      <c r="J1135" s="3">
        <f>55-61-991390860</f>
        <v>-991390866</v>
      </c>
      <c r="K1135" t="s">
        <v>4340</v>
      </c>
      <c r="L1135" t="s">
        <v>1767</v>
      </c>
      <c r="M1135" t="s">
        <v>1432</v>
      </c>
    </row>
    <row r="1136" spans="1:13" x14ac:dyDescent="0.25">
      <c r="A1136" t="s">
        <v>4642</v>
      </c>
      <c r="B1136" t="s">
        <v>13</v>
      </c>
      <c r="C1136" t="s">
        <v>4643</v>
      </c>
      <c r="D1136" t="s">
        <v>4644</v>
      </c>
      <c r="E1136" t="s">
        <v>4645</v>
      </c>
      <c r="F1136" t="s">
        <v>4646</v>
      </c>
      <c r="G1136" t="s">
        <v>4647</v>
      </c>
      <c r="H1136" t="s">
        <v>352</v>
      </c>
      <c r="I1136" t="s">
        <v>19</v>
      </c>
      <c r="J1136" s="3">
        <v>5521982986166</v>
      </c>
      <c r="K1136" t="s">
        <v>4648</v>
      </c>
      <c r="L1136" t="s">
        <v>4617</v>
      </c>
      <c r="M1136" t="s">
        <v>741</v>
      </c>
    </row>
    <row r="1137" spans="1:13" x14ac:dyDescent="0.25">
      <c r="A1137" t="s">
        <v>27732</v>
      </c>
      <c r="B1137" t="s">
        <v>13</v>
      </c>
      <c r="C1137" t="s">
        <v>27733</v>
      </c>
      <c r="D1137" t="s">
        <v>27734</v>
      </c>
      <c r="E1137" t="s">
        <v>27735</v>
      </c>
      <c r="F1137" t="s">
        <v>2947</v>
      </c>
      <c r="G1137" t="s">
        <v>27736</v>
      </c>
      <c r="H1137" t="s">
        <v>4236</v>
      </c>
      <c r="I1137" t="s">
        <v>19</v>
      </c>
      <c r="J1137" s="3" t="s">
        <v>27737</v>
      </c>
      <c r="K1137" t="s">
        <v>27738</v>
      </c>
      <c r="L1137" t="s">
        <v>13342</v>
      </c>
      <c r="M1137" t="s">
        <v>771</v>
      </c>
    </row>
    <row r="1138" spans="1:13" x14ac:dyDescent="0.25">
      <c r="A1138" t="s">
        <v>28753</v>
      </c>
      <c r="B1138" t="s">
        <v>13</v>
      </c>
      <c r="C1138" s="1">
        <v>41894</v>
      </c>
      <c r="D1138" t="s">
        <v>28754</v>
      </c>
      <c r="E1138" t="s">
        <v>28755</v>
      </c>
      <c r="F1138" t="s">
        <v>2947</v>
      </c>
      <c r="G1138" t="s">
        <v>28756</v>
      </c>
      <c r="H1138" t="s">
        <v>195</v>
      </c>
      <c r="I1138" t="s">
        <v>19</v>
      </c>
      <c r="J1138" s="3" t="s">
        <v>22554</v>
      </c>
      <c r="K1138" t="s">
        <v>28757</v>
      </c>
      <c r="L1138" t="s">
        <v>197</v>
      </c>
      <c r="M1138" t="s">
        <v>32145</v>
      </c>
    </row>
    <row r="1139" spans="1:13" x14ac:dyDescent="0.25">
      <c r="A1139" t="s">
        <v>21704</v>
      </c>
      <c r="B1139" t="s">
        <v>13</v>
      </c>
      <c r="C1139" s="1">
        <v>43136</v>
      </c>
      <c r="D1139" t="s">
        <v>21705</v>
      </c>
      <c r="E1139" s="2" t="s">
        <v>31296</v>
      </c>
      <c r="F1139" t="s">
        <v>2947</v>
      </c>
      <c r="G1139" t="s">
        <v>21706</v>
      </c>
      <c r="H1139" t="s">
        <v>7181</v>
      </c>
      <c r="I1139" t="s">
        <v>19</v>
      </c>
      <c r="J1139" s="3">
        <f>55-35-36973500</f>
        <v>-36973480</v>
      </c>
      <c r="K1139" t="s">
        <v>21707</v>
      </c>
      <c r="L1139" t="s">
        <v>21708</v>
      </c>
      <c r="M1139" t="s">
        <v>771</v>
      </c>
    </row>
    <row r="1140" spans="1:13" x14ac:dyDescent="0.25">
      <c r="A1140" t="s">
        <v>23348</v>
      </c>
      <c r="B1140" t="s">
        <v>13</v>
      </c>
      <c r="C1140" t="s">
        <v>23345</v>
      </c>
      <c r="D1140" t="s">
        <v>23349</v>
      </c>
      <c r="E1140" s="2" t="s">
        <v>31328</v>
      </c>
      <c r="F1140" t="s">
        <v>2947</v>
      </c>
      <c r="G1140" t="s">
        <v>23350</v>
      </c>
      <c r="H1140" t="s">
        <v>1967</v>
      </c>
      <c r="I1140" t="s">
        <v>19</v>
      </c>
      <c r="J1140" s="3" t="s">
        <v>23351</v>
      </c>
      <c r="K1140" t="s">
        <v>23352</v>
      </c>
      <c r="L1140" t="s">
        <v>23353</v>
      </c>
      <c r="M1140" t="s">
        <v>771</v>
      </c>
    </row>
    <row r="1141" spans="1:13" x14ac:dyDescent="0.25">
      <c r="A1141" t="s">
        <v>29619</v>
      </c>
      <c r="B1141" t="s">
        <v>13</v>
      </c>
      <c r="C1141" s="1">
        <v>41340</v>
      </c>
      <c r="D1141" t="s">
        <v>29620</v>
      </c>
      <c r="E1141" t="s">
        <v>29621</v>
      </c>
      <c r="F1141" t="s">
        <v>771</v>
      </c>
      <c r="G1141" t="s">
        <v>29622</v>
      </c>
      <c r="H1141" t="s">
        <v>18</v>
      </c>
      <c r="I1141" t="s">
        <v>19</v>
      </c>
      <c r="J1141" s="3" t="s">
        <v>29623</v>
      </c>
      <c r="K1141" t="s">
        <v>29624</v>
      </c>
      <c r="L1141" t="s">
        <v>285</v>
      </c>
      <c r="M1141" t="s">
        <v>771</v>
      </c>
    </row>
    <row r="1142" spans="1:13" x14ac:dyDescent="0.25">
      <c r="A1142" t="s">
        <v>28726</v>
      </c>
      <c r="B1142" t="s">
        <v>101</v>
      </c>
      <c r="C1142" s="1">
        <v>42125</v>
      </c>
      <c r="D1142" t="s">
        <v>28727</v>
      </c>
      <c r="E1142" t="s">
        <v>28728</v>
      </c>
      <c r="F1142" t="s">
        <v>771</v>
      </c>
      <c r="G1142" t="s">
        <v>28729</v>
      </c>
      <c r="H1142" t="s">
        <v>265</v>
      </c>
      <c r="I1142" t="s">
        <v>19</v>
      </c>
      <c r="J1142" s="3" t="s">
        <v>28730</v>
      </c>
      <c r="K1142" t="s">
        <v>28731</v>
      </c>
      <c r="L1142" t="s">
        <v>3558</v>
      </c>
      <c r="M1142" t="s">
        <v>771</v>
      </c>
    </row>
    <row r="1143" spans="1:13" x14ac:dyDescent="0.25">
      <c r="A1143" t="s">
        <v>30591</v>
      </c>
      <c r="B1143" t="s">
        <v>13</v>
      </c>
      <c r="C1143" t="s">
        <v>30592</v>
      </c>
      <c r="D1143" t="s">
        <v>30593</v>
      </c>
      <c r="E1143" t="s">
        <v>30594</v>
      </c>
      <c r="F1143" t="s">
        <v>2947</v>
      </c>
      <c r="G1143" t="s">
        <v>30595</v>
      </c>
      <c r="H1143" t="s">
        <v>36</v>
      </c>
      <c r="I1143" t="s">
        <v>19</v>
      </c>
      <c r="J1143" s="3" t="s">
        <v>30596</v>
      </c>
      <c r="K1143" t="s">
        <v>30597</v>
      </c>
      <c r="L1143" t="s">
        <v>30598</v>
      </c>
      <c r="M1143" t="s">
        <v>771</v>
      </c>
    </row>
    <row r="1144" spans="1:13" x14ac:dyDescent="0.25">
      <c r="A1144" t="s">
        <v>5032</v>
      </c>
      <c r="B1144" t="s">
        <v>13</v>
      </c>
      <c r="C1144" t="s">
        <v>5026</v>
      </c>
      <c r="D1144" t="s">
        <v>32135</v>
      </c>
      <c r="E1144" t="s">
        <v>1136</v>
      </c>
      <c r="F1144" t="s">
        <v>530</v>
      </c>
      <c r="G1144" t="s">
        <v>5033</v>
      </c>
      <c r="H1144" t="s">
        <v>472</v>
      </c>
      <c r="I1144" t="s">
        <v>19</v>
      </c>
      <c r="J1144" s="3">
        <v>5581997120325</v>
      </c>
      <c r="K1144" t="s">
        <v>5034</v>
      </c>
      <c r="L1144" t="s">
        <v>32135</v>
      </c>
      <c r="M1144" t="s">
        <v>32144</v>
      </c>
    </row>
    <row r="1145" spans="1:13" x14ac:dyDescent="0.25">
      <c r="A1145" t="s">
        <v>16549</v>
      </c>
      <c r="B1145" t="s">
        <v>13</v>
      </c>
      <c r="C1145" s="1">
        <v>43716</v>
      </c>
      <c r="D1145" t="s">
        <v>16550</v>
      </c>
      <c r="E1145" t="s">
        <v>8822</v>
      </c>
      <c r="F1145" t="s">
        <v>2947</v>
      </c>
      <c r="G1145" t="s">
        <v>16551</v>
      </c>
      <c r="H1145" t="s">
        <v>1215</v>
      </c>
      <c r="I1145" t="s">
        <v>19</v>
      </c>
      <c r="J1145" s="3" t="s">
        <v>16552</v>
      </c>
      <c r="K1145" t="s">
        <v>16553</v>
      </c>
      <c r="L1145" t="s">
        <v>16554</v>
      </c>
      <c r="M1145" t="s">
        <v>771</v>
      </c>
    </row>
    <row r="1146" spans="1:13" x14ac:dyDescent="0.25">
      <c r="A1146" t="s">
        <v>8820</v>
      </c>
      <c r="B1146" t="s">
        <v>13</v>
      </c>
      <c r="C1146" s="1">
        <v>43534</v>
      </c>
      <c r="D1146" t="s">
        <v>8821</v>
      </c>
      <c r="E1146" t="s">
        <v>8822</v>
      </c>
      <c r="F1146" t="s">
        <v>2947</v>
      </c>
      <c r="G1146" t="s">
        <v>8823</v>
      </c>
      <c r="H1146" t="s">
        <v>18</v>
      </c>
      <c r="I1146" t="s">
        <v>19</v>
      </c>
      <c r="J1146" s="3">
        <f>55-19-35218833</f>
        <v>-35218797</v>
      </c>
      <c r="K1146" t="s">
        <v>8824</v>
      </c>
      <c r="L1146" t="s">
        <v>285</v>
      </c>
      <c r="M1146" t="s">
        <v>771</v>
      </c>
    </row>
    <row r="1147" spans="1:13" x14ac:dyDescent="0.25">
      <c r="A1147" t="s">
        <v>14612</v>
      </c>
      <c r="B1147" t="s">
        <v>101</v>
      </c>
      <c r="C1147" s="1">
        <v>43811</v>
      </c>
      <c r="D1147" t="s">
        <v>14613</v>
      </c>
      <c r="E1147" s="2" t="s">
        <v>32034</v>
      </c>
      <c r="F1147" t="s">
        <v>2947</v>
      </c>
      <c r="G1147" t="s">
        <v>14614</v>
      </c>
      <c r="H1147" t="s">
        <v>195</v>
      </c>
      <c r="I1147" t="s">
        <v>19</v>
      </c>
      <c r="J1147" s="3">
        <f>55-16-981059852</f>
        <v>-981059813</v>
      </c>
      <c r="K1147" t="s">
        <v>14615</v>
      </c>
      <c r="L1147" t="s">
        <v>1606</v>
      </c>
      <c r="M1147" t="s">
        <v>771</v>
      </c>
    </row>
    <row r="1148" spans="1:13" x14ac:dyDescent="0.25">
      <c r="A1148" t="s">
        <v>25911</v>
      </c>
      <c r="B1148" t="s">
        <v>13</v>
      </c>
      <c r="C1148" s="1">
        <v>42711</v>
      </c>
      <c r="D1148" t="s">
        <v>25912</v>
      </c>
      <c r="E1148" t="s">
        <v>25913</v>
      </c>
      <c r="F1148" t="s">
        <v>771</v>
      </c>
      <c r="G1148" t="s">
        <v>25914</v>
      </c>
      <c r="H1148" t="s">
        <v>489</v>
      </c>
      <c r="I1148" t="s">
        <v>19</v>
      </c>
      <c r="J1148" s="3" t="s">
        <v>25915</v>
      </c>
      <c r="K1148" t="s">
        <v>7085</v>
      </c>
      <c r="L1148" t="s">
        <v>25916</v>
      </c>
      <c r="M1148" t="s">
        <v>771</v>
      </c>
    </row>
    <row r="1149" spans="1:13" x14ac:dyDescent="0.25">
      <c r="A1149" t="s">
        <v>11006</v>
      </c>
      <c r="B1149" t="s">
        <v>13</v>
      </c>
      <c r="C1149" t="s">
        <v>11007</v>
      </c>
      <c r="D1149" t="s">
        <v>11008</v>
      </c>
      <c r="E1149" t="s">
        <v>1730</v>
      </c>
      <c r="F1149" t="s">
        <v>741</v>
      </c>
      <c r="G1149" t="s">
        <v>11009</v>
      </c>
      <c r="H1149" t="s">
        <v>706</v>
      </c>
      <c r="I1149" t="s">
        <v>19</v>
      </c>
      <c r="J1149" s="3" t="s">
        <v>11010</v>
      </c>
      <c r="K1149" t="s">
        <v>11011</v>
      </c>
      <c r="L1149" t="s">
        <v>11012</v>
      </c>
      <c r="M1149" t="s">
        <v>741</v>
      </c>
    </row>
    <row r="1150" spans="1:13" x14ac:dyDescent="0.25">
      <c r="A1150" t="s">
        <v>10970</v>
      </c>
      <c r="B1150" t="s">
        <v>101</v>
      </c>
      <c r="C1150" t="s">
        <v>10963</v>
      </c>
      <c r="D1150" t="s">
        <v>10971</v>
      </c>
      <c r="E1150" t="s">
        <v>8528</v>
      </c>
      <c r="F1150" t="s">
        <v>741</v>
      </c>
      <c r="G1150" t="s">
        <v>10972</v>
      </c>
      <c r="H1150" t="s">
        <v>798</v>
      </c>
      <c r="I1150" t="s">
        <v>19</v>
      </c>
      <c r="J1150" s="3" t="s">
        <v>10973</v>
      </c>
      <c r="K1150" t="s">
        <v>10974</v>
      </c>
      <c r="L1150" t="s">
        <v>1767</v>
      </c>
      <c r="M1150" t="s">
        <v>741</v>
      </c>
    </row>
    <row r="1151" spans="1:13" x14ac:dyDescent="0.25">
      <c r="A1151" t="s">
        <v>6842</v>
      </c>
      <c r="B1151" t="s">
        <v>13</v>
      </c>
      <c r="C1151" t="s">
        <v>6843</v>
      </c>
      <c r="D1151" t="s">
        <v>6844</v>
      </c>
      <c r="E1151" t="s">
        <v>1730</v>
      </c>
      <c r="F1151" t="s">
        <v>1190</v>
      </c>
      <c r="G1151" t="s">
        <v>6845</v>
      </c>
      <c r="H1151" t="s">
        <v>608</v>
      </c>
      <c r="I1151" t="s">
        <v>19</v>
      </c>
      <c r="J1151" s="3" t="s">
        <v>6846</v>
      </c>
      <c r="K1151" t="s">
        <v>6847</v>
      </c>
      <c r="L1151" t="s">
        <v>6848</v>
      </c>
      <c r="M1151" t="s">
        <v>432</v>
      </c>
    </row>
    <row r="1152" spans="1:13" x14ac:dyDescent="0.25">
      <c r="A1152" t="s">
        <v>6881</v>
      </c>
      <c r="B1152" t="s">
        <v>13</v>
      </c>
      <c r="C1152" t="s">
        <v>6868</v>
      </c>
      <c r="D1152" t="s">
        <v>32135</v>
      </c>
      <c r="E1152" t="s">
        <v>6882</v>
      </c>
      <c r="F1152" t="s">
        <v>6883</v>
      </c>
      <c r="G1152" t="s">
        <v>6884</v>
      </c>
      <c r="H1152" t="s">
        <v>936</v>
      </c>
      <c r="I1152" t="s">
        <v>19</v>
      </c>
      <c r="J1152" s="3">
        <v>5571991027000</v>
      </c>
      <c r="K1152" t="s">
        <v>6885</v>
      </c>
      <c r="L1152" t="s">
        <v>32135</v>
      </c>
      <c r="M1152" t="s">
        <v>32165</v>
      </c>
    </row>
    <row r="1153" spans="1:13" x14ac:dyDescent="0.25">
      <c r="A1153" t="s">
        <v>10255</v>
      </c>
      <c r="B1153" t="s">
        <v>13</v>
      </c>
      <c r="C1153" t="s">
        <v>9229</v>
      </c>
      <c r="D1153" t="s">
        <v>10256</v>
      </c>
      <c r="E1153" s="2" t="s">
        <v>30988</v>
      </c>
      <c r="F1153" t="s">
        <v>1464</v>
      </c>
      <c r="G1153" t="s">
        <v>9232</v>
      </c>
      <c r="H1153" t="s">
        <v>352</v>
      </c>
      <c r="I1153" t="s">
        <v>19</v>
      </c>
      <c r="J1153" s="3">
        <f>55-21-997929400</f>
        <v>-997929366</v>
      </c>
      <c r="K1153" t="s">
        <v>9233</v>
      </c>
      <c r="L1153" t="s">
        <v>9234</v>
      </c>
      <c r="M1153" t="s">
        <v>32165</v>
      </c>
    </row>
    <row r="1154" spans="1:13" x14ac:dyDescent="0.25">
      <c r="A1154" t="s">
        <v>11493</v>
      </c>
      <c r="B1154" t="s">
        <v>13</v>
      </c>
      <c r="C1154" s="1">
        <v>44049</v>
      </c>
      <c r="D1154" t="s">
        <v>11494</v>
      </c>
      <c r="E1154" t="s">
        <v>11495</v>
      </c>
      <c r="F1154" t="s">
        <v>741</v>
      </c>
      <c r="G1154" t="s">
        <v>11496</v>
      </c>
      <c r="H1154" t="s">
        <v>265</v>
      </c>
      <c r="I1154" t="s">
        <v>19</v>
      </c>
      <c r="J1154" s="3" t="s">
        <v>11497</v>
      </c>
      <c r="K1154" t="s">
        <v>11498</v>
      </c>
      <c r="L1154" t="s">
        <v>3641</v>
      </c>
      <c r="M1154" t="s">
        <v>741</v>
      </c>
    </row>
    <row r="1155" spans="1:13" x14ac:dyDescent="0.25">
      <c r="A1155" t="s">
        <v>6804</v>
      </c>
      <c r="B1155" t="s">
        <v>13</v>
      </c>
      <c r="C1155" t="s">
        <v>1703</v>
      </c>
      <c r="D1155" t="s">
        <v>6805</v>
      </c>
      <c r="E1155" t="s">
        <v>6222</v>
      </c>
      <c r="F1155" t="s">
        <v>6806</v>
      </c>
      <c r="G1155" t="s">
        <v>6807</v>
      </c>
      <c r="H1155" t="s">
        <v>265</v>
      </c>
      <c r="I1155" t="s">
        <v>19</v>
      </c>
      <c r="J1155" s="3">
        <f>55-16-36022717</f>
        <v>-36022678</v>
      </c>
      <c r="K1155" t="s">
        <v>6225</v>
      </c>
      <c r="L1155" t="s">
        <v>4334</v>
      </c>
      <c r="M1155" t="s">
        <v>32169</v>
      </c>
    </row>
    <row r="1156" spans="1:13" x14ac:dyDescent="0.25">
      <c r="A1156" t="s">
        <v>6221</v>
      </c>
      <c r="B1156" t="s">
        <v>13</v>
      </c>
      <c r="C1156" t="s">
        <v>6210</v>
      </c>
      <c r="D1156" t="s">
        <v>32135</v>
      </c>
      <c r="E1156" t="s">
        <v>6222</v>
      </c>
      <c r="F1156" t="s">
        <v>6223</v>
      </c>
      <c r="G1156" t="s">
        <v>6224</v>
      </c>
      <c r="H1156" t="s">
        <v>265</v>
      </c>
      <c r="I1156" t="s">
        <v>19</v>
      </c>
      <c r="J1156" s="3">
        <f>55-16-36022766</f>
        <v>-36022727</v>
      </c>
      <c r="K1156" t="s">
        <v>6225</v>
      </c>
      <c r="L1156" t="s">
        <v>32135</v>
      </c>
      <c r="M1156" t="s">
        <v>32169</v>
      </c>
    </row>
    <row r="1157" spans="1:13" x14ac:dyDescent="0.25">
      <c r="A1157" t="s">
        <v>10851</v>
      </c>
      <c r="B1157" t="s">
        <v>101</v>
      </c>
      <c r="C1157" t="s">
        <v>7057</v>
      </c>
      <c r="D1157" t="s">
        <v>10852</v>
      </c>
      <c r="E1157" s="2" t="s">
        <v>31919</v>
      </c>
      <c r="F1157" t="s">
        <v>2530</v>
      </c>
      <c r="G1157" t="s">
        <v>10853</v>
      </c>
      <c r="H1157" t="s">
        <v>352</v>
      </c>
      <c r="I1157" t="s">
        <v>19</v>
      </c>
      <c r="J1157" s="3" t="s">
        <v>10854</v>
      </c>
      <c r="K1157" t="s">
        <v>10855</v>
      </c>
      <c r="L1157" t="s">
        <v>10856</v>
      </c>
      <c r="M1157" t="s">
        <v>32162</v>
      </c>
    </row>
    <row r="1158" spans="1:13" x14ac:dyDescent="0.25">
      <c r="A1158" t="s">
        <v>4654</v>
      </c>
      <c r="B1158" t="s">
        <v>13</v>
      </c>
      <c r="C1158" t="s">
        <v>4495</v>
      </c>
      <c r="D1158" t="s">
        <v>4655</v>
      </c>
      <c r="E1158" t="s">
        <v>4656</v>
      </c>
      <c r="F1158" t="s">
        <v>4103</v>
      </c>
      <c r="G1158" t="s">
        <v>4657</v>
      </c>
      <c r="H1158" t="s">
        <v>36</v>
      </c>
      <c r="I1158" t="s">
        <v>19</v>
      </c>
      <c r="J1158" s="3" t="s">
        <v>4658</v>
      </c>
      <c r="K1158" t="s">
        <v>4659</v>
      </c>
      <c r="L1158" t="s">
        <v>344</v>
      </c>
      <c r="M1158" t="s">
        <v>741</v>
      </c>
    </row>
    <row r="1159" spans="1:13" x14ac:dyDescent="0.25">
      <c r="A1159" t="s">
        <v>4479</v>
      </c>
      <c r="B1159" t="s">
        <v>13</v>
      </c>
      <c r="C1159" s="1">
        <v>44623</v>
      </c>
      <c r="D1159" t="s">
        <v>4480</v>
      </c>
      <c r="E1159" t="s">
        <v>3951</v>
      </c>
      <c r="F1159" t="s">
        <v>4481</v>
      </c>
      <c r="G1159" t="s">
        <v>4482</v>
      </c>
      <c r="H1159" t="s">
        <v>489</v>
      </c>
      <c r="I1159" t="s">
        <v>19</v>
      </c>
      <c r="J1159" s="3">
        <v>554132711858</v>
      </c>
      <c r="K1159" t="s">
        <v>4483</v>
      </c>
      <c r="L1159" t="s">
        <v>2661</v>
      </c>
      <c r="M1159" t="s">
        <v>432</v>
      </c>
    </row>
    <row r="1160" spans="1:13" x14ac:dyDescent="0.25">
      <c r="A1160" t="s">
        <v>11565</v>
      </c>
      <c r="B1160" t="s">
        <v>13</v>
      </c>
      <c r="C1160" s="1">
        <v>44047</v>
      </c>
      <c r="D1160" t="s">
        <v>11566</v>
      </c>
      <c r="E1160" t="s">
        <v>3951</v>
      </c>
      <c r="F1160" t="s">
        <v>1190</v>
      </c>
      <c r="G1160" t="s">
        <v>10646</v>
      </c>
      <c r="H1160" t="s">
        <v>36</v>
      </c>
      <c r="I1160" t="s">
        <v>19</v>
      </c>
      <c r="J1160" s="3">
        <v>551135490395</v>
      </c>
      <c r="K1160" t="s">
        <v>10647</v>
      </c>
      <c r="L1160" t="s">
        <v>10410</v>
      </c>
      <c r="M1160" t="s">
        <v>32165</v>
      </c>
    </row>
    <row r="1161" spans="1:13" x14ac:dyDescent="0.25">
      <c r="A1161" t="s">
        <v>8575</v>
      </c>
      <c r="B1161" t="s">
        <v>13</v>
      </c>
      <c r="C1161" s="1">
        <v>44348</v>
      </c>
      <c r="D1161" t="s">
        <v>8576</v>
      </c>
      <c r="E1161" t="s">
        <v>8577</v>
      </c>
      <c r="F1161" t="s">
        <v>1357</v>
      </c>
      <c r="G1161" t="s">
        <v>8578</v>
      </c>
      <c r="H1161" t="s">
        <v>18</v>
      </c>
      <c r="I1161" t="s">
        <v>19</v>
      </c>
      <c r="J1161" s="3">
        <f>55-19-32427133</f>
        <v>-32427097</v>
      </c>
      <c r="K1161" t="s">
        <v>8579</v>
      </c>
      <c r="L1161" t="s">
        <v>32135</v>
      </c>
      <c r="M1161" t="s">
        <v>432</v>
      </c>
    </row>
    <row r="1162" spans="1:13" x14ac:dyDescent="0.25">
      <c r="A1162" t="s">
        <v>7594</v>
      </c>
      <c r="B1162" t="s">
        <v>13</v>
      </c>
      <c r="C1162" t="s">
        <v>7595</v>
      </c>
      <c r="D1162" t="s">
        <v>7596</v>
      </c>
      <c r="E1162" t="s">
        <v>4103</v>
      </c>
      <c r="F1162" t="s">
        <v>3951</v>
      </c>
      <c r="G1162" t="s">
        <v>7597</v>
      </c>
      <c r="H1162" t="s">
        <v>36</v>
      </c>
      <c r="I1162" t="s">
        <v>19</v>
      </c>
      <c r="J1162" s="3">
        <f>55-11-32552600</f>
        <v>-32552556</v>
      </c>
      <c r="K1162" t="s">
        <v>7598</v>
      </c>
      <c r="L1162" t="s">
        <v>7599</v>
      </c>
      <c r="M1162" t="s">
        <v>32165</v>
      </c>
    </row>
    <row r="1163" spans="1:13" x14ac:dyDescent="0.25">
      <c r="A1163" t="s">
        <v>6795</v>
      </c>
      <c r="B1163" t="s">
        <v>13</v>
      </c>
      <c r="C1163" s="1">
        <v>44263</v>
      </c>
      <c r="D1163" t="s">
        <v>32135</v>
      </c>
      <c r="E1163" t="s">
        <v>4103</v>
      </c>
      <c r="F1163" t="s">
        <v>4103</v>
      </c>
      <c r="G1163" t="s">
        <v>6796</v>
      </c>
      <c r="H1163" t="s">
        <v>32135</v>
      </c>
      <c r="I1163" t="s">
        <v>19</v>
      </c>
      <c r="J1163" s="3">
        <f>55-16-33518343</f>
        <v>-33518304</v>
      </c>
      <c r="K1163" t="s">
        <v>6797</v>
      </c>
      <c r="L1163" t="s">
        <v>32135</v>
      </c>
      <c r="M1163" t="s">
        <v>32165</v>
      </c>
    </row>
    <row r="1164" spans="1:13" x14ac:dyDescent="0.25">
      <c r="A1164" t="s">
        <v>7506</v>
      </c>
      <c r="B1164" t="s">
        <v>101</v>
      </c>
      <c r="C1164" t="s">
        <v>7499</v>
      </c>
      <c r="D1164" t="s">
        <v>7507</v>
      </c>
      <c r="E1164" t="s">
        <v>4103</v>
      </c>
      <c r="F1164" t="s">
        <v>7508</v>
      </c>
      <c r="G1164" t="s">
        <v>7509</v>
      </c>
      <c r="H1164" t="s">
        <v>615</v>
      </c>
      <c r="I1164" t="s">
        <v>19</v>
      </c>
      <c r="J1164" s="3">
        <f>553499192-6961</f>
        <v>553492231</v>
      </c>
      <c r="K1164" t="s">
        <v>7510</v>
      </c>
      <c r="L1164" t="s">
        <v>32135</v>
      </c>
      <c r="M1164" t="s">
        <v>32165</v>
      </c>
    </row>
    <row r="1165" spans="1:13" x14ac:dyDescent="0.25">
      <c r="A1165" t="s">
        <v>8330</v>
      </c>
      <c r="B1165" t="s">
        <v>13</v>
      </c>
      <c r="C1165" s="1">
        <v>44288</v>
      </c>
      <c r="D1165" t="s">
        <v>32135</v>
      </c>
      <c r="E1165" t="s">
        <v>4103</v>
      </c>
      <c r="F1165" t="s">
        <v>8331</v>
      </c>
      <c r="G1165" t="s">
        <v>8332</v>
      </c>
      <c r="H1165" t="s">
        <v>352</v>
      </c>
      <c r="I1165" t="s">
        <v>19</v>
      </c>
      <c r="J1165" s="3" t="s">
        <v>8333</v>
      </c>
      <c r="K1165" t="s">
        <v>8334</v>
      </c>
      <c r="L1165" t="s">
        <v>32135</v>
      </c>
      <c r="M1165" t="s">
        <v>32165</v>
      </c>
    </row>
    <row r="1166" spans="1:13" x14ac:dyDescent="0.25">
      <c r="A1166" t="s">
        <v>4980</v>
      </c>
      <c r="B1166" t="s">
        <v>13</v>
      </c>
      <c r="C1166" t="s">
        <v>4959</v>
      </c>
      <c r="D1166" t="s">
        <v>32135</v>
      </c>
      <c r="E1166" s="2" t="s">
        <v>31636</v>
      </c>
      <c r="F1166" t="s">
        <v>4981</v>
      </c>
      <c r="G1166" t="s">
        <v>4982</v>
      </c>
      <c r="H1166" t="s">
        <v>472</v>
      </c>
      <c r="I1166" t="s">
        <v>19</v>
      </c>
      <c r="J1166" s="3" t="s">
        <v>4983</v>
      </c>
      <c r="K1166" t="s">
        <v>4984</v>
      </c>
      <c r="L1166" t="s">
        <v>32135</v>
      </c>
      <c r="M1166" t="s">
        <v>32165</v>
      </c>
    </row>
    <row r="1167" spans="1:13" x14ac:dyDescent="0.25">
      <c r="A1167" t="s">
        <v>10806</v>
      </c>
      <c r="B1167" t="s">
        <v>13</v>
      </c>
      <c r="C1167" t="s">
        <v>7057</v>
      </c>
      <c r="D1167" t="s">
        <v>10807</v>
      </c>
      <c r="E1167" t="s">
        <v>10808</v>
      </c>
      <c r="F1167" t="s">
        <v>741</v>
      </c>
      <c r="G1167" t="s">
        <v>10809</v>
      </c>
      <c r="H1167" t="s">
        <v>352</v>
      </c>
      <c r="I1167" t="s">
        <v>19</v>
      </c>
      <c r="J1167" s="3">
        <v>5502139382887</v>
      </c>
      <c r="K1167" t="s">
        <v>10810</v>
      </c>
      <c r="L1167" t="s">
        <v>10811</v>
      </c>
      <c r="M1167" t="s">
        <v>741</v>
      </c>
    </row>
    <row r="1168" spans="1:13" x14ac:dyDescent="0.25">
      <c r="A1168" t="s">
        <v>11855</v>
      </c>
      <c r="B1168" t="s">
        <v>13</v>
      </c>
      <c r="C1168" t="s">
        <v>11856</v>
      </c>
      <c r="D1168" t="s">
        <v>11857</v>
      </c>
      <c r="E1168" s="2" t="s">
        <v>31029</v>
      </c>
      <c r="F1168" t="s">
        <v>2530</v>
      </c>
      <c r="G1168" t="s">
        <v>11858</v>
      </c>
      <c r="H1168" t="s">
        <v>11859</v>
      </c>
      <c r="I1168" t="s">
        <v>19</v>
      </c>
      <c r="J1168" s="3">
        <v>2122779352</v>
      </c>
      <c r="K1168" t="s">
        <v>11860</v>
      </c>
      <c r="L1168" t="s">
        <v>11861</v>
      </c>
      <c r="M1168" t="s">
        <v>741</v>
      </c>
    </row>
    <row r="1169" spans="1:13" x14ac:dyDescent="0.25">
      <c r="A1169" t="s">
        <v>7974</v>
      </c>
      <c r="B1169" t="s">
        <v>13</v>
      </c>
      <c r="C1169" t="s">
        <v>7975</v>
      </c>
      <c r="D1169" t="s">
        <v>7976</v>
      </c>
      <c r="E1169" t="s">
        <v>7977</v>
      </c>
      <c r="F1169" t="s">
        <v>1464</v>
      </c>
      <c r="G1169" t="s">
        <v>7978</v>
      </c>
      <c r="H1169" t="s">
        <v>265</v>
      </c>
      <c r="I1169" t="s">
        <v>19</v>
      </c>
      <c r="J1169" s="3">
        <f>55-16-21019300</f>
        <v>-21019261</v>
      </c>
      <c r="K1169" t="s">
        <v>7979</v>
      </c>
      <c r="L1169" t="s">
        <v>7980</v>
      </c>
      <c r="M1169" t="s">
        <v>741</v>
      </c>
    </row>
    <row r="1170" spans="1:13" x14ac:dyDescent="0.25">
      <c r="A1170" t="s">
        <v>10684</v>
      </c>
      <c r="B1170" t="s">
        <v>101</v>
      </c>
      <c r="C1170" t="s">
        <v>1703</v>
      </c>
      <c r="D1170" t="s">
        <v>10685</v>
      </c>
      <c r="E1170" t="s">
        <v>7794</v>
      </c>
      <c r="F1170" t="s">
        <v>741</v>
      </c>
      <c r="G1170" t="s">
        <v>10686</v>
      </c>
      <c r="H1170" t="s">
        <v>150</v>
      </c>
      <c r="I1170" t="s">
        <v>19</v>
      </c>
      <c r="J1170" s="3">
        <f>55-11-26618116</f>
        <v>-26618072</v>
      </c>
      <c r="K1170" t="s">
        <v>10687</v>
      </c>
      <c r="L1170" t="s">
        <v>9093</v>
      </c>
      <c r="M1170" t="s">
        <v>741</v>
      </c>
    </row>
    <row r="1171" spans="1:13" x14ac:dyDescent="0.25">
      <c r="A1171" t="s">
        <v>10406</v>
      </c>
      <c r="B1171" t="s">
        <v>13</v>
      </c>
      <c r="C1171" t="s">
        <v>9982</v>
      </c>
      <c r="D1171" t="s">
        <v>10407</v>
      </c>
      <c r="E1171" t="s">
        <v>7794</v>
      </c>
      <c r="F1171" t="s">
        <v>741</v>
      </c>
      <c r="G1171" t="s">
        <v>10408</v>
      </c>
      <c r="H1171" t="s">
        <v>36</v>
      </c>
      <c r="I1171" t="s">
        <v>19</v>
      </c>
      <c r="J1171" s="3">
        <v>551135490729</v>
      </c>
      <c r="K1171" t="s">
        <v>10409</v>
      </c>
      <c r="L1171" t="s">
        <v>10410</v>
      </c>
      <c r="M1171" t="s">
        <v>741</v>
      </c>
    </row>
    <row r="1172" spans="1:13" x14ac:dyDescent="0.25">
      <c r="A1172" t="s">
        <v>9228</v>
      </c>
      <c r="B1172" t="s">
        <v>13</v>
      </c>
      <c r="C1172" t="s">
        <v>9229</v>
      </c>
      <c r="D1172" t="s">
        <v>9230</v>
      </c>
      <c r="E1172" t="s">
        <v>9231</v>
      </c>
      <c r="F1172" t="s">
        <v>741</v>
      </c>
      <c r="G1172" t="s">
        <v>9232</v>
      </c>
      <c r="H1172" t="s">
        <v>352</v>
      </c>
      <c r="I1172" t="s">
        <v>19</v>
      </c>
      <c r="J1172" s="3">
        <v>2139386530</v>
      </c>
      <c r="K1172" t="s">
        <v>9233</v>
      </c>
      <c r="L1172" t="s">
        <v>9234</v>
      </c>
      <c r="M1172" t="s">
        <v>741</v>
      </c>
    </row>
    <row r="1173" spans="1:13" x14ac:dyDescent="0.25">
      <c r="A1173" t="s">
        <v>10274</v>
      </c>
      <c r="B1173" t="s">
        <v>13</v>
      </c>
      <c r="C1173" t="s">
        <v>10275</v>
      </c>
      <c r="D1173" t="s">
        <v>10276</v>
      </c>
      <c r="E1173" s="2" t="s">
        <v>30989</v>
      </c>
      <c r="F1173" t="s">
        <v>1464</v>
      </c>
      <c r="G1173" t="s">
        <v>10278</v>
      </c>
      <c r="H1173" t="s">
        <v>299</v>
      </c>
      <c r="I1173" t="s">
        <v>19</v>
      </c>
      <c r="J1173" s="3" t="s">
        <v>10279</v>
      </c>
      <c r="K1173" t="s">
        <v>10280</v>
      </c>
      <c r="L1173" t="s">
        <v>10281</v>
      </c>
      <c r="M1173" t="s">
        <v>741</v>
      </c>
    </row>
    <row r="1174" spans="1:13" x14ac:dyDescent="0.25">
      <c r="A1174" t="s">
        <v>10571</v>
      </c>
      <c r="B1174" t="s">
        <v>101</v>
      </c>
      <c r="C1174" s="1">
        <v>43990</v>
      </c>
      <c r="D1174" t="s">
        <v>10572</v>
      </c>
      <c r="E1174" t="s">
        <v>10573</v>
      </c>
      <c r="F1174" t="s">
        <v>741</v>
      </c>
      <c r="G1174" t="s">
        <v>10574</v>
      </c>
      <c r="H1174" t="s">
        <v>36</v>
      </c>
      <c r="I1174" t="s">
        <v>19</v>
      </c>
      <c r="J1174" s="3" t="s">
        <v>10575</v>
      </c>
      <c r="K1174" t="s">
        <v>10576</v>
      </c>
      <c r="L1174" t="s">
        <v>10577</v>
      </c>
      <c r="M1174" t="s">
        <v>741</v>
      </c>
    </row>
    <row r="1175" spans="1:13" x14ac:dyDescent="0.25">
      <c r="A1175" t="s">
        <v>10010</v>
      </c>
      <c r="B1175" t="s">
        <v>13</v>
      </c>
      <c r="C1175" s="1">
        <v>43989</v>
      </c>
      <c r="D1175" t="s">
        <v>10011</v>
      </c>
      <c r="E1175" s="2" t="s">
        <v>31801</v>
      </c>
      <c r="F1175" t="s">
        <v>741</v>
      </c>
      <c r="G1175" t="s">
        <v>10012</v>
      </c>
      <c r="H1175" t="s">
        <v>4925</v>
      </c>
      <c r="I1175" t="s">
        <v>19</v>
      </c>
      <c r="J1175" s="3">
        <v>5531986730331</v>
      </c>
      <c r="K1175" t="s">
        <v>10013</v>
      </c>
      <c r="L1175" t="s">
        <v>10014</v>
      </c>
      <c r="M1175" t="s">
        <v>741</v>
      </c>
    </row>
    <row r="1176" spans="1:13" x14ac:dyDescent="0.25">
      <c r="A1176" t="s">
        <v>10631</v>
      </c>
      <c r="B1176" t="s">
        <v>101</v>
      </c>
      <c r="C1176" s="1">
        <v>43929</v>
      </c>
      <c r="D1176" t="s">
        <v>10632</v>
      </c>
      <c r="E1176" t="s">
        <v>10633</v>
      </c>
      <c r="F1176" t="s">
        <v>741</v>
      </c>
      <c r="G1176" t="s">
        <v>10634</v>
      </c>
      <c r="H1176" t="s">
        <v>36</v>
      </c>
      <c r="I1176" t="s">
        <v>19</v>
      </c>
      <c r="J1176" s="3">
        <v>5521997639072</v>
      </c>
      <c r="K1176" t="s">
        <v>10635</v>
      </c>
      <c r="L1176" t="s">
        <v>10636</v>
      </c>
      <c r="M1176" t="s">
        <v>741</v>
      </c>
    </row>
    <row r="1177" spans="1:13" x14ac:dyDescent="0.25">
      <c r="A1177" t="s">
        <v>498</v>
      </c>
      <c r="B1177" t="s">
        <v>13</v>
      </c>
      <c r="C1177" t="s">
        <v>499</v>
      </c>
      <c r="D1177" t="s">
        <v>500</v>
      </c>
      <c r="E1177" t="s">
        <v>148</v>
      </c>
      <c r="F1177" t="s">
        <v>501</v>
      </c>
      <c r="G1177" t="s">
        <v>502</v>
      </c>
      <c r="H1177" t="s">
        <v>503</v>
      </c>
      <c r="I1177" t="s">
        <v>19</v>
      </c>
      <c r="J1177" s="3">
        <f>55-48-996473639</f>
        <v>-996473632</v>
      </c>
      <c r="K1177" t="s">
        <v>504</v>
      </c>
      <c r="L1177" t="s">
        <v>412</v>
      </c>
      <c r="M1177" t="s">
        <v>741</v>
      </c>
    </row>
    <row r="1178" spans="1:13" x14ac:dyDescent="0.25">
      <c r="A1178" t="s">
        <v>7995</v>
      </c>
      <c r="B1178" t="s">
        <v>13</v>
      </c>
      <c r="C1178" t="s">
        <v>2756</v>
      </c>
      <c r="D1178" t="s">
        <v>7996</v>
      </c>
      <c r="E1178" t="s">
        <v>148</v>
      </c>
      <c r="F1178" t="s">
        <v>7997</v>
      </c>
      <c r="G1178" t="s">
        <v>7998</v>
      </c>
      <c r="H1178" t="s">
        <v>936</v>
      </c>
      <c r="I1178" t="s">
        <v>19</v>
      </c>
      <c r="J1178" s="3">
        <v>55071991224543</v>
      </c>
      <c r="K1178" t="s">
        <v>7999</v>
      </c>
      <c r="L1178" t="s">
        <v>32135</v>
      </c>
      <c r="M1178" t="s">
        <v>741</v>
      </c>
    </row>
    <row r="1179" spans="1:13" x14ac:dyDescent="0.25">
      <c r="A1179" t="s">
        <v>10079</v>
      </c>
      <c r="B1179" t="s">
        <v>13</v>
      </c>
      <c r="C1179" t="s">
        <v>10074</v>
      </c>
      <c r="D1179" t="s">
        <v>10080</v>
      </c>
      <c r="E1179" t="s">
        <v>148</v>
      </c>
      <c r="F1179" t="s">
        <v>8653</v>
      </c>
      <c r="G1179" t="s">
        <v>10081</v>
      </c>
      <c r="H1179" t="s">
        <v>10082</v>
      </c>
      <c r="I1179" t="s">
        <v>19</v>
      </c>
      <c r="J1179" s="3">
        <v>554132811000</v>
      </c>
      <c r="K1179" t="s">
        <v>10083</v>
      </c>
      <c r="L1179" t="s">
        <v>10084</v>
      </c>
      <c r="M1179" t="s">
        <v>741</v>
      </c>
    </row>
    <row r="1180" spans="1:13" x14ac:dyDescent="0.25">
      <c r="A1180" t="s">
        <v>10518</v>
      </c>
      <c r="B1180" t="s">
        <v>13</v>
      </c>
      <c r="C1180" t="s">
        <v>10519</v>
      </c>
      <c r="D1180" t="s">
        <v>10520</v>
      </c>
      <c r="E1180" t="s">
        <v>148</v>
      </c>
      <c r="F1180" t="s">
        <v>7794</v>
      </c>
      <c r="G1180" t="s">
        <v>10521</v>
      </c>
      <c r="H1180" t="s">
        <v>195</v>
      </c>
      <c r="I1180" t="s">
        <v>19</v>
      </c>
      <c r="J1180" s="3" t="s">
        <v>10522</v>
      </c>
      <c r="K1180" t="s">
        <v>10523</v>
      </c>
      <c r="L1180" t="s">
        <v>10524</v>
      </c>
      <c r="M1180" t="s">
        <v>741</v>
      </c>
    </row>
    <row r="1181" spans="1:13" x14ac:dyDescent="0.25">
      <c r="A1181" t="s">
        <v>6279</v>
      </c>
      <c r="B1181" t="s">
        <v>101</v>
      </c>
      <c r="C1181" t="s">
        <v>6268</v>
      </c>
      <c r="D1181" t="s">
        <v>32135</v>
      </c>
      <c r="E1181" t="s">
        <v>148</v>
      </c>
      <c r="F1181" t="s">
        <v>6280</v>
      </c>
      <c r="G1181" t="s">
        <v>6281</v>
      </c>
      <c r="H1181" t="s">
        <v>1215</v>
      </c>
      <c r="I1181" t="s">
        <v>19</v>
      </c>
      <c r="J1181" s="3">
        <f>55-18-32295826</f>
        <v>-32295789</v>
      </c>
      <c r="K1181" t="s">
        <v>6282</v>
      </c>
      <c r="L1181" t="s">
        <v>32135</v>
      </c>
      <c r="M1181" t="s">
        <v>741</v>
      </c>
    </row>
    <row r="1182" spans="1:13" x14ac:dyDescent="0.25">
      <c r="A1182" t="s">
        <v>7265</v>
      </c>
      <c r="B1182" t="s">
        <v>13</v>
      </c>
      <c r="C1182" s="1">
        <v>44471</v>
      </c>
      <c r="D1182" t="s">
        <v>7266</v>
      </c>
      <c r="E1182" t="s">
        <v>148</v>
      </c>
      <c r="F1182" t="s">
        <v>7267</v>
      </c>
      <c r="G1182" t="s">
        <v>7268</v>
      </c>
      <c r="H1182" t="s">
        <v>299</v>
      </c>
      <c r="I1182" t="s">
        <v>19</v>
      </c>
      <c r="J1182" s="3">
        <v>551438806305</v>
      </c>
      <c r="K1182" t="s">
        <v>7269</v>
      </c>
      <c r="L1182" t="s">
        <v>32135</v>
      </c>
      <c r="M1182" t="s">
        <v>741</v>
      </c>
    </row>
    <row r="1183" spans="1:13" x14ac:dyDescent="0.25">
      <c r="A1183" t="s">
        <v>7990</v>
      </c>
      <c r="B1183" t="s">
        <v>13</v>
      </c>
      <c r="C1183" t="s">
        <v>2756</v>
      </c>
      <c r="D1183" t="s">
        <v>32135</v>
      </c>
      <c r="E1183" t="s">
        <v>148</v>
      </c>
      <c r="F1183" t="s">
        <v>7991</v>
      </c>
      <c r="G1183" t="s">
        <v>7992</v>
      </c>
      <c r="H1183" t="s">
        <v>7993</v>
      </c>
      <c r="I1183" t="s">
        <v>3017</v>
      </c>
      <c r="J1183" s="3">
        <v>933398126</v>
      </c>
      <c r="K1183" t="s">
        <v>7994</v>
      </c>
      <c r="L1183" t="s">
        <v>32135</v>
      </c>
      <c r="M1183" t="s">
        <v>741</v>
      </c>
    </row>
    <row r="1184" spans="1:13" x14ac:dyDescent="0.25">
      <c r="A1184" t="s">
        <v>12127</v>
      </c>
      <c r="B1184" t="s">
        <v>13</v>
      </c>
      <c r="C1184" t="s">
        <v>9668</v>
      </c>
      <c r="D1184" t="s">
        <v>12128</v>
      </c>
      <c r="E1184" t="s">
        <v>148</v>
      </c>
      <c r="F1184" t="s">
        <v>2530</v>
      </c>
      <c r="G1184" t="s">
        <v>12129</v>
      </c>
      <c r="H1184" t="s">
        <v>7504</v>
      </c>
      <c r="I1184" t="s">
        <v>19</v>
      </c>
      <c r="J1184" s="3" t="s">
        <v>12130</v>
      </c>
      <c r="K1184" t="s">
        <v>12131</v>
      </c>
      <c r="L1184" t="s">
        <v>9743</v>
      </c>
      <c r="M1184" t="s">
        <v>741</v>
      </c>
    </row>
    <row r="1185" spans="1:13" x14ac:dyDescent="0.25">
      <c r="A1185" t="s">
        <v>11047</v>
      </c>
      <c r="B1185" t="s">
        <v>101</v>
      </c>
      <c r="C1185" s="1">
        <v>44111</v>
      </c>
      <c r="D1185" t="s">
        <v>11048</v>
      </c>
      <c r="E1185" t="s">
        <v>148</v>
      </c>
      <c r="F1185" t="s">
        <v>1464</v>
      </c>
      <c r="G1185" t="s">
        <v>11049</v>
      </c>
      <c r="H1185" t="s">
        <v>2206</v>
      </c>
      <c r="I1185" t="s">
        <v>19</v>
      </c>
      <c r="J1185" s="3" t="s">
        <v>11050</v>
      </c>
      <c r="K1185" t="s">
        <v>11051</v>
      </c>
      <c r="L1185" t="s">
        <v>11052</v>
      </c>
      <c r="M1185" t="s">
        <v>741</v>
      </c>
    </row>
    <row r="1186" spans="1:13" x14ac:dyDescent="0.25">
      <c r="A1186" t="s">
        <v>6957</v>
      </c>
      <c r="B1186" t="s">
        <v>101</v>
      </c>
      <c r="C1186" s="1">
        <v>44384</v>
      </c>
      <c r="D1186" t="s">
        <v>6958</v>
      </c>
      <c r="E1186" t="s">
        <v>148</v>
      </c>
      <c r="F1186" t="s">
        <v>4631</v>
      </c>
      <c r="G1186" t="s">
        <v>6959</v>
      </c>
      <c r="H1186" t="s">
        <v>1335</v>
      </c>
      <c r="I1186" t="s">
        <v>19</v>
      </c>
      <c r="J1186" s="3" t="s">
        <v>6960</v>
      </c>
      <c r="K1186" t="s">
        <v>6961</v>
      </c>
      <c r="L1186" t="s">
        <v>32135</v>
      </c>
      <c r="M1186" t="s">
        <v>741</v>
      </c>
    </row>
    <row r="1187" spans="1:13" x14ac:dyDescent="0.25">
      <c r="A1187" t="s">
        <v>6808</v>
      </c>
      <c r="B1187" t="s">
        <v>101</v>
      </c>
      <c r="C1187" t="s">
        <v>6799</v>
      </c>
      <c r="D1187" t="s">
        <v>32135</v>
      </c>
      <c r="E1187" t="s">
        <v>148</v>
      </c>
      <c r="F1187" t="s">
        <v>6809</v>
      </c>
      <c r="G1187" t="s">
        <v>6810</v>
      </c>
      <c r="H1187" t="s">
        <v>36</v>
      </c>
      <c r="I1187" t="s">
        <v>19</v>
      </c>
      <c r="J1187" s="3">
        <v>5511992918512</v>
      </c>
      <c r="K1187" t="s">
        <v>6811</v>
      </c>
      <c r="L1187" t="s">
        <v>32135</v>
      </c>
      <c r="M1187" t="s">
        <v>741</v>
      </c>
    </row>
    <row r="1188" spans="1:13" x14ac:dyDescent="0.25">
      <c r="A1188" t="s">
        <v>7213</v>
      </c>
      <c r="B1188" t="s">
        <v>13</v>
      </c>
      <c r="C1188" s="1">
        <v>44383</v>
      </c>
      <c r="D1188" t="s">
        <v>32135</v>
      </c>
      <c r="E1188" t="s">
        <v>148</v>
      </c>
      <c r="F1188" t="s">
        <v>7214</v>
      </c>
      <c r="G1188" t="s">
        <v>7215</v>
      </c>
      <c r="H1188" t="s">
        <v>36</v>
      </c>
      <c r="I1188" t="s">
        <v>19</v>
      </c>
      <c r="J1188" s="3">
        <f>55-11-973440380</f>
        <v>-973440336</v>
      </c>
      <c r="K1188" t="s">
        <v>7216</v>
      </c>
      <c r="L1188" t="s">
        <v>32135</v>
      </c>
      <c r="M1188" t="s">
        <v>741</v>
      </c>
    </row>
    <row r="1189" spans="1:13" x14ac:dyDescent="0.25">
      <c r="A1189" t="s">
        <v>6646</v>
      </c>
      <c r="B1189" t="s">
        <v>13</v>
      </c>
      <c r="C1189" t="s">
        <v>6647</v>
      </c>
      <c r="D1189" t="s">
        <v>6648</v>
      </c>
      <c r="E1189" s="2" t="s">
        <v>30903</v>
      </c>
      <c r="F1189" t="s">
        <v>741</v>
      </c>
      <c r="G1189" t="s">
        <v>6650</v>
      </c>
      <c r="H1189" t="s">
        <v>706</v>
      </c>
      <c r="I1189" t="s">
        <v>19</v>
      </c>
      <c r="J1189" s="3">
        <v>5531994981096</v>
      </c>
      <c r="K1189" t="s">
        <v>6651</v>
      </c>
      <c r="L1189" t="s">
        <v>6652</v>
      </c>
      <c r="M1189" t="s">
        <v>741</v>
      </c>
    </row>
    <row r="1190" spans="1:13" x14ac:dyDescent="0.25">
      <c r="A1190" t="s">
        <v>11274</v>
      </c>
      <c r="B1190" t="s">
        <v>13</v>
      </c>
      <c r="C1190" t="s">
        <v>11266</v>
      </c>
      <c r="D1190" t="s">
        <v>11275</v>
      </c>
      <c r="E1190" s="2" t="s">
        <v>31515</v>
      </c>
      <c r="F1190" t="s">
        <v>2530</v>
      </c>
      <c r="G1190" t="s">
        <v>11276</v>
      </c>
      <c r="H1190" t="s">
        <v>11044</v>
      </c>
      <c r="I1190" t="s">
        <v>19</v>
      </c>
      <c r="J1190" s="3">
        <f>55-42-36298100</f>
        <v>-36298087</v>
      </c>
      <c r="K1190" t="s">
        <v>11277</v>
      </c>
      <c r="L1190" t="s">
        <v>11278</v>
      </c>
      <c r="M1190" t="s">
        <v>741</v>
      </c>
    </row>
    <row r="1191" spans="1:13" x14ac:dyDescent="0.25">
      <c r="A1191" t="s">
        <v>9635</v>
      </c>
      <c r="B1191" t="s">
        <v>13</v>
      </c>
      <c r="C1191" t="s">
        <v>7003</v>
      </c>
      <c r="D1191" t="s">
        <v>9636</v>
      </c>
      <c r="E1191" s="2" t="s">
        <v>31613</v>
      </c>
      <c r="F1191" t="s">
        <v>154</v>
      </c>
      <c r="G1191" t="s">
        <v>9637</v>
      </c>
      <c r="H1191" t="s">
        <v>428</v>
      </c>
      <c r="I1191" t="s">
        <v>19</v>
      </c>
      <c r="J1191" s="3">
        <f>55-51-999569626</f>
        <v>-999569622</v>
      </c>
      <c r="K1191" t="s">
        <v>9638</v>
      </c>
      <c r="L1191" t="s">
        <v>5709</v>
      </c>
      <c r="M1191" t="s">
        <v>32170</v>
      </c>
    </row>
    <row r="1192" spans="1:13" x14ac:dyDescent="0.25">
      <c r="A1192" t="s">
        <v>6213</v>
      </c>
      <c r="B1192" t="s">
        <v>13</v>
      </c>
      <c r="C1192" s="1">
        <v>43959</v>
      </c>
      <c r="D1192" t="s">
        <v>6214</v>
      </c>
      <c r="E1192" s="2" t="s">
        <v>30881</v>
      </c>
      <c r="F1192" t="s">
        <v>2530</v>
      </c>
      <c r="G1192" t="s">
        <v>6215</v>
      </c>
      <c r="H1192" t="s">
        <v>2440</v>
      </c>
      <c r="I1192" t="s">
        <v>19</v>
      </c>
      <c r="J1192" s="3">
        <f>55-62-32096174</f>
        <v>-32096181</v>
      </c>
      <c r="K1192" t="s">
        <v>6216</v>
      </c>
      <c r="L1192" t="s">
        <v>6217</v>
      </c>
      <c r="M1192" t="s">
        <v>741</v>
      </c>
    </row>
    <row r="1193" spans="1:13" x14ac:dyDescent="0.25">
      <c r="A1193" t="s">
        <v>9739</v>
      </c>
      <c r="B1193" t="s">
        <v>101</v>
      </c>
      <c r="C1193" t="s">
        <v>9372</v>
      </c>
      <c r="D1193" t="s">
        <v>9740</v>
      </c>
      <c r="E1193" s="2" t="s">
        <v>32090</v>
      </c>
      <c r="F1193" t="s">
        <v>741</v>
      </c>
      <c r="G1193" t="s">
        <v>9741</v>
      </c>
      <c r="H1193" t="s">
        <v>798</v>
      </c>
      <c r="I1193" t="s">
        <v>19</v>
      </c>
      <c r="J1193" s="3">
        <f>55-61-992215598</f>
        <v>-992215604</v>
      </c>
      <c r="K1193" t="s">
        <v>9742</v>
      </c>
      <c r="L1193" t="s">
        <v>9743</v>
      </c>
      <c r="M1193" t="s">
        <v>32163</v>
      </c>
    </row>
    <row r="1194" spans="1:13" x14ac:dyDescent="0.25">
      <c r="A1194" t="s">
        <v>8325</v>
      </c>
      <c r="B1194" t="s">
        <v>13</v>
      </c>
      <c r="C1194" s="1">
        <v>44318</v>
      </c>
      <c r="D1194" t="s">
        <v>8326</v>
      </c>
      <c r="E1194" s="2" t="s">
        <v>31391</v>
      </c>
      <c r="F1194" t="s">
        <v>148</v>
      </c>
      <c r="G1194" t="s">
        <v>1801</v>
      </c>
      <c r="H1194" t="s">
        <v>1802</v>
      </c>
      <c r="I1194" t="s">
        <v>19</v>
      </c>
      <c r="J1194" s="3">
        <f>55-14-996700921</f>
        <v>-996700880</v>
      </c>
      <c r="K1194" t="s">
        <v>1804</v>
      </c>
      <c r="L1194" t="s">
        <v>32135</v>
      </c>
      <c r="M1194" t="s">
        <v>741</v>
      </c>
    </row>
    <row r="1195" spans="1:13" x14ac:dyDescent="0.25">
      <c r="A1195" t="s">
        <v>7515</v>
      </c>
      <c r="B1195" t="s">
        <v>13</v>
      </c>
      <c r="C1195" t="s">
        <v>7516</v>
      </c>
      <c r="D1195" t="s">
        <v>32135</v>
      </c>
      <c r="E1195" s="2" t="s">
        <v>31439</v>
      </c>
      <c r="F1195" t="s">
        <v>148</v>
      </c>
      <c r="G1195" t="s">
        <v>7517</v>
      </c>
      <c r="H1195" t="s">
        <v>753</v>
      </c>
      <c r="I1195" t="s">
        <v>19</v>
      </c>
      <c r="J1195" s="3">
        <f>55-67-33457187</f>
        <v>-33457199</v>
      </c>
      <c r="K1195" t="s">
        <v>7518</v>
      </c>
      <c r="L1195" t="s">
        <v>32135</v>
      </c>
      <c r="M1195" t="s">
        <v>32169</v>
      </c>
    </row>
    <row r="1196" spans="1:13" x14ac:dyDescent="0.25">
      <c r="A1196" t="s">
        <v>11071</v>
      </c>
      <c r="B1196" t="s">
        <v>13</v>
      </c>
      <c r="C1196" s="1">
        <v>44111</v>
      </c>
      <c r="D1196" t="s">
        <v>11072</v>
      </c>
      <c r="E1196" s="2" t="s">
        <v>31692</v>
      </c>
      <c r="F1196" t="s">
        <v>1464</v>
      </c>
      <c r="G1196" t="s">
        <v>11073</v>
      </c>
      <c r="H1196" t="s">
        <v>936</v>
      </c>
      <c r="I1196" t="s">
        <v>19</v>
      </c>
      <c r="J1196" s="3">
        <f>55-71-3117-2200</f>
        <v>-5333</v>
      </c>
      <c r="K1196" t="s">
        <v>7966</v>
      </c>
      <c r="L1196" t="s">
        <v>3669</v>
      </c>
      <c r="M1196" t="s">
        <v>741</v>
      </c>
    </row>
    <row r="1197" spans="1:13" x14ac:dyDescent="0.25">
      <c r="A1197" t="s">
        <v>10525</v>
      </c>
      <c r="B1197" t="s">
        <v>13</v>
      </c>
      <c r="C1197" s="1">
        <v>44112</v>
      </c>
      <c r="D1197" t="s">
        <v>10526</v>
      </c>
      <c r="E1197" s="2" t="s">
        <v>30995</v>
      </c>
      <c r="G1197" t="s">
        <v>10527</v>
      </c>
      <c r="H1197" t="s">
        <v>798</v>
      </c>
      <c r="I1197" t="s">
        <v>19</v>
      </c>
      <c r="J1197" s="3">
        <v>5506137049000</v>
      </c>
      <c r="K1197" t="s">
        <v>10528</v>
      </c>
      <c r="L1197" t="s">
        <v>10529</v>
      </c>
      <c r="M1197" t="s">
        <v>432</v>
      </c>
    </row>
    <row r="1198" spans="1:13" x14ac:dyDescent="0.25">
      <c r="A1198" t="s">
        <v>9152</v>
      </c>
      <c r="B1198" t="s">
        <v>13</v>
      </c>
      <c r="C1198" s="1">
        <v>43901</v>
      </c>
      <c r="D1198" t="s">
        <v>9153</v>
      </c>
      <c r="E1198" s="2" t="s">
        <v>32076</v>
      </c>
      <c r="F1198" t="s">
        <v>2015</v>
      </c>
      <c r="G1198" t="s">
        <v>9154</v>
      </c>
      <c r="H1198" t="s">
        <v>265</v>
      </c>
      <c r="I1198" t="s">
        <v>19</v>
      </c>
      <c r="J1198" s="3">
        <v>551633150529</v>
      </c>
      <c r="K1198" t="s">
        <v>9155</v>
      </c>
      <c r="L1198" t="s">
        <v>9156</v>
      </c>
      <c r="M1198" t="s">
        <v>32165</v>
      </c>
    </row>
    <row r="1199" spans="1:13" x14ac:dyDescent="0.25">
      <c r="A1199" t="s">
        <v>4954</v>
      </c>
      <c r="B1199" t="s">
        <v>13</v>
      </c>
      <c r="C1199" t="s">
        <v>1387</v>
      </c>
      <c r="D1199" t="s">
        <v>32135</v>
      </c>
      <c r="E1199" s="2" t="s">
        <v>30829</v>
      </c>
      <c r="F1199" t="s">
        <v>4103</v>
      </c>
      <c r="G1199" t="s">
        <v>4955</v>
      </c>
      <c r="H1199" t="s">
        <v>428</v>
      </c>
      <c r="I1199" t="s">
        <v>19</v>
      </c>
      <c r="J1199" s="3" t="s">
        <v>4956</v>
      </c>
      <c r="K1199" t="s">
        <v>4957</v>
      </c>
      <c r="L1199" t="s">
        <v>32135</v>
      </c>
      <c r="M1199" t="s">
        <v>32165</v>
      </c>
    </row>
    <row r="1200" spans="1:13" x14ac:dyDescent="0.25">
      <c r="A1200" t="s">
        <v>8089</v>
      </c>
      <c r="B1200" t="s">
        <v>13</v>
      </c>
      <c r="C1200" t="s">
        <v>8090</v>
      </c>
      <c r="D1200" t="s">
        <v>8091</v>
      </c>
      <c r="E1200" t="s">
        <v>32291</v>
      </c>
      <c r="F1200" t="s">
        <v>211</v>
      </c>
      <c r="G1200" t="s">
        <v>8092</v>
      </c>
      <c r="H1200" t="s">
        <v>36</v>
      </c>
      <c r="I1200" t="s">
        <v>19</v>
      </c>
      <c r="J1200" s="3" t="s">
        <v>1664</v>
      </c>
      <c r="K1200" t="s">
        <v>343</v>
      </c>
      <c r="L1200" t="s">
        <v>32135</v>
      </c>
      <c r="M1200" t="s">
        <v>741</v>
      </c>
    </row>
    <row r="1201" spans="1:13" x14ac:dyDescent="0.25">
      <c r="A1201" t="s">
        <v>8525</v>
      </c>
      <c r="B1201" t="s">
        <v>101</v>
      </c>
      <c r="C1201" t="s">
        <v>8526</v>
      </c>
      <c r="D1201" t="s">
        <v>8527</v>
      </c>
      <c r="E1201" s="2" t="s">
        <v>32292</v>
      </c>
      <c r="F1201" t="s">
        <v>8528</v>
      </c>
      <c r="G1201" t="s">
        <v>8529</v>
      </c>
      <c r="H1201" t="s">
        <v>753</v>
      </c>
      <c r="I1201" t="s">
        <v>19</v>
      </c>
      <c r="J1201" s="3">
        <f>55-67-982022873</f>
        <v>-982022885</v>
      </c>
      <c r="K1201" t="s">
        <v>32135</v>
      </c>
      <c r="L1201" t="s">
        <v>32135</v>
      </c>
      <c r="M1201" t="s">
        <v>32162</v>
      </c>
    </row>
    <row r="1202" spans="1:13" x14ac:dyDescent="0.25">
      <c r="A1202" t="s">
        <v>12022</v>
      </c>
      <c r="B1202" t="s">
        <v>13</v>
      </c>
      <c r="C1202" s="1">
        <v>43956</v>
      </c>
      <c r="D1202" t="s">
        <v>12023</v>
      </c>
      <c r="E1202" t="s">
        <v>12024</v>
      </c>
      <c r="F1202" t="s">
        <v>741</v>
      </c>
      <c r="G1202" t="s">
        <v>12025</v>
      </c>
      <c r="H1202" t="s">
        <v>18</v>
      </c>
      <c r="I1202" t="s">
        <v>19</v>
      </c>
      <c r="J1202" s="3" t="s">
        <v>12026</v>
      </c>
      <c r="K1202" t="s">
        <v>12027</v>
      </c>
      <c r="L1202" t="s">
        <v>285</v>
      </c>
      <c r="M1202" t="s">
        <v>32162</v>
      </c>
    </row>
    <row r="1203" spans="1:13" x14ac:dyDescent="0.25">
      <c r="A1203" t="s">
        <v>2892</v>
      </c>
      <c r="B1203" t="s">
        <v>13</v>
      </c>
      <c r="C1203" t="s">
        <v>2871</v>
      </c>
      <c r="D1203" t="s">
        <v>32135</v>
      </c>
      <c r="E1203" t="s">
        <v>2893</v>
      </c>
      <c r="F1203" t="s">
        <v>147</v>
      </c>
      <c r="G1203" t="s">
        <v>2894</v>
      </c>
      <c r="H1203" t="s">
        <v>472</v>
      </c>
      <c r="I1203" t="s">
        <v>19</v>
      </c>
      <c r="J1203" s="3" t="s">
        <v>2895</v>
      </c>
      <c r="K1203" t="s">
        <v>2896</v>
      </c>
      <c r="L1203" t="s">
        <v>2101</v>
      </c>
      <c r="M1203" t="s">
        <v>32165</v>
      </c>
    </row>
    <row r="1204" spans="1:13" x14ac:dyDescent="0.25">
      <c r="A1204" t="s">
        <v>10550</v>
      </c>
      <c r="B1204" t="s">
        <v>101</v>
      </c>
      <c r="C1204" s="1">
        <v>44020</v>
      </c>
      <c r="D1204" t="s">
        <v>10551</v>
      </c>
      <c r="E1204" s="2" t="s">
        <v>30996</v>
      </c>
      <c r="F1204" t="s">
        <v>2530</v>
      </c>
      <c r="G1204" t="s">
        <v>10552</v>
      </c>
      <c r="H1204" t="s">
        <v>36</v>
      </c>
      <c r="I1204" t="s">
        <v>19</v>
      </c>
      <c r="J1204" s="3">
        <f>55-11-995455159</f>
        <v>-995455115</v>
      </c>
      <c r="K1204" t="s">
        <v>10553</v>
      </c>
      <c r="L1204" t="s">
        <v>10554</v>
      </c>
      <c r="M1204" t="s">
        <v>741</v>
      </c>
    </row>
    <row r="1205" spans="1:13" x14ac:dyDescent="0.25">
      <c r="A1205" t="s">
        <v>6798</v>
      </c>
      <c r="B1205" t="s">
        <v>101</v>
      </c>
      <c r="C1205" t="s">
        <v>6799</v>
      </c>
      <c r="D1205" t="s">
        <v>32135</v>
      </c>
      <c r="E1205" t="s">
        <v>6800</v>
      </c>
      <c r="F1205" t="s">
        <v>1730</v>
      </c>
      <c r="G1205" t="s">
        <v>6801</v>
      </c>
      <c r="H1205" t="s">
        <v>32135</v>
      </c>
      <c r="I1205" t="s">
        <v>19</v>
      </c>
      <c r="J1205" s="3" t="s">
        <v>6802</v>
      </c>
      <c r="K1205" t="s">
        <v>6803</v>
      </c>
      <c r="L1205" t="s">
        <v>32135</v>
      </c>
      <c r="M1205" t="s">
        <v>32166</v>
      </c>
    </row>
    <row r="1206" spans="1:13" x14ac:dyDescent="0.25">
      <c r="A1206" t="s">
        <v>3330</v>
      </c>
      <c r="B1206" t="s">
        <v>13</v>
      </c>
      <c r="C1206" t="s">
        <v>3321</v>
      </c>
      <c r="D1206" t="s">
        <v>3331</v>
      </c>
      <c r="E1206" s="2" t="s">
        <v>30774</v>
      </c>
      <c r="F1206" t="s">
        <v>3332</v>
      </c>
      <c r="G1206" t="s">
        <v>1731</v>
      </c>
      <c r="H1206" t="s">
        <v>265</v>
      </c>
      <c r="I1206" t="s">
        <v>19</v>
      </c>
      <c r="J1206" s="3" t="s">
        <v>1732</v>
      </c>
      <c r="K1206" t="s">
        <v>1733</v>
      </c>
      <c r="L1206" t="s">
        <v>1734</v>
      </c>
      <c r="M1206" t="s">
        <v>741</v>
      </c>
    </row>
    <row r="1207" spans="1:13" x14ac:dyDescent="0.25">
      <c r="A1207" t="s">
        <v>9376</v>
      </c>
      <c r="B1207" t="s">
        <v>13</v>
      </c>
      <c r="C1207" s="1">
        <v>43871</v>
      </c>
      <c r="D1207" t="s">
        <v>9377</v>
      </c>
      <c r="E1207" t="s">
        <v>9378</v>
      </c>
      <c r="F1207" t="s">
        <v>8528</v>
      </c>
      <c r="G1207" t="s">
        <v>9379</v>
      </c>
      <c r="H1207" t="s">
        <v>9380</v>
      </c>
      <c r="I1207" t="s">
        <v>19</v>
      </c>
      <c r="J1207" s="3">
        <v>5595981126172</v>
      </c>
      <c r="K1207" t="s">
        <v>9381</v>
      </c>
      <c r="L1207" t="s">
        <v>9382</v>
      </c>
      <c r="M1207" t="s">
        <v>32169</v>
      </c>
    </row>
    <row r="1208" spans="1:13" x14ac:dyDescent="0.25">
      <c r="A1208" t="s">
        <v>11355</v>
      </c>
      <c r="B1208" t="s">
        <v>13</v>
      </c>
      <c r="C1208" t="s">
        <v>9573</v>
      </c>
      <c r="D1208" t="s">
        <v>11356</v>
      </c>
      <c r="E1208" t="s">
        <v>11357</v>
      </c>
      <c r="F1208" t="s">
        <v>2530</v>
      </c>
      <c r="G1208" t="s">
        <v>11358</v>
      </c>
      <c r="H1208" t="s">
        <v>105</v>
      </c>
      <c r="I1208" t="s">
        <v>19</v>
      </c>
      <c r="J1208" s="3">
        <v>552126299254</v>
      </c>
      <c r="K1208" t="s">
        <v>11359</v>
      </c>
      <c r="L1208" t="s">
        <v>11360</v>
      </c>
      <c r="M1208" t="s">
        <v>741</v>
      </c>
    </row>
    <row r="1209" spans="1:13" x14ac:dyDescent="0.25">
      <c r="A1209" t="s">
        <v>19938</v>
      </c>
      <c r="B1209" t="s">
        <v>13</v>
      </c>
      <c r="C1209" t="s">
        <v>19912</v>
      </c>
      <c r="D1209" t="s">
        <v>19939</v>
      </c>
      <c r="E1209" s="2" t="s">
        <v>31373</v>
      </c>
      <c r="F1209" t="s">
        <v>6686</v>
      </c>
      <c r="G1209" t="s">
        <v>19940</v>
      </c>
      <c r="H1209" t="s">
        <v>114</v>
      </c>
      <c r="I1209" t="s">
        <v>19</v>
      </c>
      <c r="J1209" s="3">
        <f>55-79-2105-1783</f>
        <v>-3912</v>
      </c>
      <c r="K1209" t="s">
        <v>19941</v>
      </c>
      <c r="L1209" t="s">
        <v>82</v>
      </c>
      <c r="M1209" t="s">
        <v>337</v>
      </c>
    </row>
    <row r="1210" spans="1:13" x14ac:dyDescent="0.25">
      <c r="A1210" t="s">
        <v>6987</v>
      </c>
      <c r="B1210" t="s">
        <v>13</v>
      </c>
      <c r="C1210" s="1">
        <v>44203</v>
      </c>
      <c r="D1210" t="s">
        <v>6988</v>
      </c>
      <c r="E1210" s="2" t="s">
        <v>31785</v>
      </c>
      <c r="F1210" t="s">
        <v>6989</v>
      </c>
      <c r="G1210" t="s">
        <v>6990</v>
      </c>
      <c r="H1210" t="s">
        <v>32135</v>
      </c>
      <c r="I1210" t="s">
        <v>19</v>
      </c>
      <c r="J1210" s="3" t="s">
        <v>6991</v>
      </c>
      <c r="K1210" t="s">
        <v>6992</v>
      </c>
      <c r="L1210" t="s">
        <v>32135</v>
      </c>
      <c r="M1210" t="s">
        <v>32145</v>
      </c>
    </row>
    <row r="1211" spans="1:13" x14ac:dyDescent="0.25">
      <c r="A1211" t="s">
        <v>11109</v>
      </c>
      <c r="B1211" t="s">
        <v>13</v>
      </c>
      <c r="C1211" s="1">
        <v>44081</v>
      </c>
      <c r="D1211" t="s">
        <v>11110</v>
      </c>
      <c r="E1211" s="2" t="s">
        <v>31559</v>
      </c>
      <c r="F1211" t="s">
        <v>1464</v>
      </c>
      <c r="G1211" t="s">
        <v>11111</v>
      </c>
      <c r="H1211" t="s">
        <v>4092</v>
      </c>
      <c r="I1211" t="s">
        <v>19</v>
      </c>
      <c r="J1211" s="3" t="s">
        <v>11112</v>
      </c>
      <c r="K1211" t="s">
        <v>11113</v>
      </c>
      <c r="L1211" t="s">
        <v>11114</v>
      </c>
      <c r="M1211" t="s">
        <v>432</v>
      </c>
    </row>
    <row r="1212" spans="1:13" x14ac:dyDescent="0.25">
      <c r="A1212" t="s">
        <v>6943</v>
      </c>
      <c r="B1212" t="s">
        <v>13</v>
      </c>
      <c r="C1212" s="1">
        <v>44384</v>
      </c>
      <c r="D1212" t="s">
        <v>32135</v>
      </c>
      <c r="E1212" t="s">
        <v>2631</v>
      </c>
      <c r="F1212" t="s">
        <v>148</v>
      </c>
      <c r="G1212" t="s">
        <v>6944</v>
      </c>
      <c r="H1212" t="s">
        <v>2206</v>
      </c>
      <c r="I1212" t="s">
        <v>19</v>
      </c>
      <c r="J1212" s="3" t="s">
        <v>6945</v>
      </c>
      <c r="K1212" t="s">
        <v>5502</v>
      </c>
      <c r="L1212" t="s">
        <v>32135</v>
      </c>
      <c r="M1212" t="s">
        <v>32165</v>
      </c>
    </row>
    <row r="1213" spans="1:13" x14ac:dyDescent="0.25">
      <c r="A1213" t="s">
        <v>4934</v>
      </c>
      <c r="B1213" t="s">
        <v>13</v>
      </c>
      <c r="C1213" t="s">
        <v>4935</v>
      </c>
      <c r="D1213" t="s">
        <v>4936</v>
      </c>
      <c r="E1213" t="s">
        <v>4937</v>
      </c>
      <c r="F1213" t="s">
        <v>2497</v>
      </c>
      <c r="G1213" t="s">
        <v>4938</v>
      </c>
      <c r="H1213" t="s">
        <v>352</v>
      </c>
      <c r="I1213" t="s">
        <v>19</v>
      </c>
      <c r="J1213" s="3">
        <v>5521992578887</v>
      </c>
      <c r="K1213" t="s">
        <v>4939</v>
      </c>
      <c r="L1213" t="s">
        <v>32135</v>
      </c>
      <c r="M1213" t="s">
        <v>432</v>
      </c>
    </row>
    <row r="1214" spans="1:13" x14ac:dyDescent="0.25">
      <c r="A1214" t="s">
        <v>7650</v>
      </c>
      <c r="B1214" t="s">
        <v>13</v>
      </c>
      <c r="C1214" s="1">
        <v>43865</v>
      </c>
      <c r="D1214" t="s">
        <v>7651</v>
      </c>
      <c r="E1214" t="s">
        <v>2631</v>
      </c>
      <c r="F1214" t="s">
        <v>6485</v>
      </c>
      <c r="G1214" t="s">
        <v>7652</v>
      </c>
      <c r="H1214" t="s">
        <v>7653</v>
      </c>
      <c r="I1214" t="s">
        <v>2059</v>
      </c>
      <c r="J1214" s="3">
        <v>34627382889</v>
      </c>
      <c r="K1214" t="s">
        <v>7654</v>
      </c>
      <c r="L1214" t="s">
        <v>7655</v>
      </c>
      <c r="M1214" t="s">
        <v>32175</v>
      </c>
    </row>
    <row r="1215" spans="1:13" x14ac:dyDescent="0.25">
      <c r="A1215" t="s">
        <v>6993</v>
      </c>
      <c r="B1215" t="s">
        <v>13</v>
      </c>
      <c r="C1215" s="1">
        <v>44203</v>
      </c>
      <c r="D1215" t="s">
        <v>32135</v>
      </c>
      <c r="E1215" t="s">
        <v>147</v>
      </c>
      <c r="F1215" t="s">
        <v>6994</v>
      </c>
      <c r="G1215" t="s">
        <v>678</v>
      </c>
      <c r="H1215" t="s">
        <v>578</v>
      </c>
      <c r="I1215" t="s">
        <v>19</v>
      </c>
      <c r="J1215" s="3">
        <f>55-92-33051480</f>
        <v>-33051517</v>
      </c>
      <c r="K1215" t="s">
        <v>6995</v>
      </c>
      <c r="L1215" t="s">
        <v>32135</v>
      </c>
      <c r="M1215" t="s">
        <v>32165</v>
      </c>
    </row>
    <row r="1216" spans="1:13" x14ac:dyDescent="0.25">
      <c r="A1216" t="s">
        <v>9734</v>
      </c>
      <c r="B1216" t="s">
        <v>101</v>
      </c>
      <c r="C1216" t="s">
        <v>9372</v>
      </c>
      <c r="D1216" t="s">
        <v>9735</v>
      </c>
      <c r="E1216" t="s">
        <v>147</v>
      </c>
      <c r="F1216" t="s">
        <v>741</v>
      </c>
      <c r="G1216" t="s">
        <v>9736</v>
      </c>
      <c r="H1216" t="s">
        <v>265</v>
      </c>
      <c r="I1216" t="s">
        <v>19</v>
      </c>
      <c r="J1216" s="3" t="s">
        <v>9737</v>
      </c>
      <c r="K1216" t="s">
        <v>9738</v>
      </c>
      <c r="L1216" t="s">
        <v>3558</v>
      </c>
      <c r="M1216" t="s">
        <v>741</v>
      </c>
    </row>
    <row r="1217" spans="1:13" x14ac:dyDescent="0.25">
      <c r="A1217" t="s">
        <v>3513</v>
      </c>
      <c r="B1217" t="s">
        <v>13</v>
      </c>
      <c r="C1217" t="s">
        <v>3514</v>
      </c>
      <c r="D1217" t="s">
        <v>3515</v>
      </c>
      <c r="E1217" t="s">
        <v>147</v>
      </c>
      <c r="F1217" t="s">
        <v>3516</v>
      </c>
      <c r="G1217" t="s">
        <v>3517</v>
      </c>
      <c r="H1217" t="s">
        <v>3518</v>
      </c>
      <c r="I1217" t="s">
        <v>19</v>
      </c>
      <c r="J1217" s="3">
        <f>55-19-993229031</f>
        <v>-993228995</v>
      </c>
      <c r="K1217" t="s">
        <v>3519</v>
      </c>
      <c r="L1217" t="s">
        <v>3520</v>
      </c>
      <c r="M1217" t="s">
        <v>741</v>
      </c>
    </row>
    <row r="1218" spans="1:13" x14ac:dyDescent="0.25">
      <c r="A1218" t="s">
        <v>5014</v>
      </c>
      <c r="B1218" t="s">
        <v>13</v>
      </c>
      <c r="C1218" s="1">
        <v>44348</v>
      </c>
      <c r="D1218" t="s">
        <v>32135</v>
      </c>
      <c r="E1218" t="s">
        <v>2484</v>
      </c>
      <c r="F1218" t="s">
        <v>1730</v>
      </c>
      <c r="G1218" t="s">
        <v>3502</v>
      </c>
      <c r="H1218" t="s">
        <v>409</v>
      </c>
      <c r="I1218" t="s">
        <v>19</v>
      </c>
      <c r="J1218" s="3" t="s">
        <v>3503</v>
      </c>
      <c r="K1218" t="s">
        <v>3504</v>
      </c>
      <c r="L1218" t="s">
        <v>32135</v>
      </c>
      <c r="M1218" t="s">
        <v>32165</v>
      </c>
    </row>
    <row r="1219" spans="1:13" x14ac:dyDescent="0.25">
      <c r="A1219" t="s">
        <v>2681</v>
      </c>
      <c r="B1219" t="s">
        <v>101</v>
      </c>
      <c r="C1219" t="s">
        <v>2682</v>
      </c>
      <c r="D1219" t="s">
        <v>2683</v>
      </c>
      <c r="E1219" t="s">
        <v>147</v>
      </c>
      <c r="F1219" t="s">
        <v>148</v>
      </c>
      <c r="G1219" t="s">
        <v>2684</v>
      </c>
      <c r="H1219" t="s">
        <v>2685</v>
      </c>
      <c r="I1219" t="s">
        <v>19</v>
      </c>
      <c r="J1219" s="3" t="s">
        <v>2686</v>
      </c>
      <c r="K1219" t="s">
        <v>2687</v>
      </c>
      <c r="L1219" t="s">
        <v>2621</v>
      </c>
      <c r="M1219" t="s">
        <v>32165</v>
      </c>
    </row>
    <row r="1220" spans="1:13" x14ac:dyDescent="0.25">
      <c r="A1220" t="s">
        <v>145</v>
      </c>
      <c r="B1220" t="s">
        <v>13</v>
      </c>
      <c r="C1220" t="s">
        <v>136</v>
      </c>
      <c r="D1220" t="s">
        <v>146</v>
      </c>
      <c r="E1220" t="s">
        <v>147</v>
      </c>
      <c r="F1220" t="s">
        <v>148</v>
      </c>
      <c r="G1220" t="s">
        <v>149</v>
      </c>
      <c r="H1220" t="s">
        <v>150</v>
      </c>
      <c r="I1220" t="s">
        <v>19</v>
      </c>
      <c r="J1220" s="3" t="s">
        <v>151</v>
      </c>
      <c r="K1220" t="s">
        <v>152</v>
      </c>
      <c r="L1220" t="s">
        <v>153</v>
      </c>
      <c r="M1220" t="s">
        <v>32165</v>
      </c>
    </row>
    <row r="1221" spans="1:13" x14ac:dyDescent="0.25">
      <c r="A1221" t="s">
        <v>2483</v>
      </c>
      <c r="B1221" t="s">
        <v>13</v>
      </c>
      <c r="C1221" t="s">
        <v>2469</v>
      </c>
      <c r="D1221" t="s">
        <v>32135</v>
      </c>
      <c r="E1221" t="s">
        <v>2484</v>
      </c>
      <c r="F1221" t="s">
        <v>148</v>
      </c>
      <c r="G1221" t="s">
        <v>2485</v>
      </c>
      <c r="H1221" t="s">
        <v>472</v>
      </c>
      <c r="I1221" t="s">
        <v>19</v>
      </c>
      <c r="J1221" s="3" t="s">
        <v>2486</v>
      </c>
      <c r="K1221" t="s">
        <v>2487</v>
      </c>
      <c r="L1221" t="s">
        <v>2101</v>
      </c>
      <c r="M1221" t="s">
        <v>32167</v>
      </c>
    </row>
    <row r="1222" spans="1:13" x14ac:dyDescent="0.25">
      <c r="A1222" t="s">
        <v>3811</v>
      </c>
      <c r="B1222" t="s">
        <v>13</v>
      </c>
      <c r="C1222" t="s">
        <v>3780</v>
      </c>
      <c r="D1222" t="s">
        <v>3812</v>
      </c>
      <c r="E1222" t="s">
        <v>147</v>
      </c>
      <c r="F1222" t="s">
        <v>147</v>
      </c>
      <c r="G1222" t="s">
        <v>3813</v>
      </c>
      <c r="H1222" t="s">
        <v>36</v>
      </c>
      <c r="I1222" t="s">
        <v>19</v>
      </c>
      <c r="J1222" s="3" t="s">
        <v>3814</v>
      </c>
      <c r="K1222" t="s">
        <v>3815</v>
      </c>
      <c r="L1222" t="s">
        <v>3816</v>
      </c>
      <c r="M1222" t="s">
        <v>741</v>
      </c>
    </row>
    <row r="1223" spans="1:13" x14ac:dyDescent="0.25">
      <c r="A1223" t="s">
        <v>6962</v>
      </c>
      <c r="B1223" t="s">
        <v>13</v>
      </c>
      <c r="C1223" s="1">
        <v>44384</v>
      </c>
      <c r="D1223" t="s">
        <v>6963</v>
      </c>
      <c r="E1223" t="s">
        <v>147</v>
      </c>
      <c r="F1223" t="s">
        <v>6964</v>
      </c>
      <c r="G1223" t="s">
        <v>6965</v>
      </c>
      <c r="H1223" t="s">
        <v>798</v>
      </c>
      <c r="I1223" t="s">
        <v>19</v>
      </c>
      <c r="J1223" s="3" t="s">
        <v>6966</v>
      </c>
      <c r="K1223" t="s">
        <v>6967</v>
      </c>
      <c r="L1223" t="s">
        <v>1767</v>
      </c>
      <c r="M1223" t="s">
        <v>741</v>
      </c>
    </row>
    <row r="1224" spans="1:13" x14ac:dyDescent="0.25">
      <c r="A1224" t="s">
        <v>4128</v>
      </c>
      <c r="B1224" t="s">
        <v>13</v>
      </c>
      <c r="C1224" t="s">
        <v>347</v>
      </c>
      <c r="D1224" t="s">
        <v>4129</v>
      </c>
      <c r="E1224" t="s">
        <v>147</v>
      </c>
      <c r="F1224" t="s">
        <v>1449</v>
      </c>
      <c r="G1224" t="s">
        <v>4130</v>
      </c>
      <c r="H1224" t="s">
        <v>936</v>
      </c>
      <c r="I1224" t="s">
        <v>19</v>
      </c>
      <c r="J1224" s="3">
        <v>5571999690274</v>
      </c>
      <c r="K1224" t="s">
        <v>4131</v>
      </c>
      <c r="L1224" t="s">
        <v>4132</v>
      </c>
      <c r="M1224" t="s">
        <v>771</v>
      </c>
    </row>
    <row r="1225" spans="1:13" x14ac:dyDescent="0.25">
      <c r="A1225" t="s">
        <v>9867</v>
      </c>
      <c r="B1225" t="s">
        <v>101</v>
      </c>
      <c r="C1225" s="1">
        <v>44021</v>
      </c>
      <c r="D1225" t="s">
        <v>9868</v>
      </c>
      <c r="E1225" t="s">
        <v>147</v>
      </c>
      <c r="F1225" t="s">
        <v>2530</v>
      </c>
      <c r="G1225" t="s">
        <v>9869</v>
      </c>
      <c r="H1225" t="s">
        <v>36</v>
      </c>
      <c r="I1225" t="s">
        <v>19</v>
      </c>
      <c r="J1225" s="3" t="s">
        <v>9870</v>
      </c>
      <c r="K1225" t="s">
        <v>9871</v>
      </c>
      <c r="L1225" t="s">
        <v>9872</v>
      </c>
      <c r="M1225" t="s">
        <v>32175</v>
      </c>
    </row>
    <row r="1226" spans="1:13" x14ac:dyDescent="0.25">
      <c r="A1226" t="s">
        <v>5817</v>
      </c>
      <c r="B1226" t="s">
        <v>13</v>
      </c>
      <c r="C1226" t="s">
        <v>5818</v>
      </c>
      <c r="D1226" t="s">
        <v>32135</v>
      </c>
      <c r="E1226" t="s">
        <v>147</v>
      </c>
      <c r="F1226" t="s">
        <v>5819</v>
      </c>
      <c r="G1226" t="s">
        <v>5820</v>
      </c>
      <c r="H1226" t="s">
        <v>32135</v>
      </c>
      <c r="I1226" t="s">
        <v>19</v>
      </c>
      <c r="J1226" s="3" t="s">
        <v>5821</v>
      </c>
      <c r="K1226" t="s">
        <v>5822</v>
      </c>
      <c r="L1226" t="s">
        <v>32135</v>
      </c>
      <c r="M1226" t="s">
        <v>32165</v>
      </c>
    </row>
    <row r="1227" spans="1:13" x14ac:dyDescent="0.25">
      <c r="A1227" t="s">
        <v>243</v>
      </c>
      <c r="B1227" t="s">
        <v>13</v>
      </c>
      <c r="C1227" t="s">
        <v>234</v>
      </c>
      <c r="D1227" t="s">
        <v>244</v>
      </c>
      <c r="E1227" t="s">
        <v>147</v>
      </c>
      <c r="F1227" t="s">
        <v>245</v>
      </c>
      <c r="G1227" t="s">
        <v>246</v>
      </c>
      <c r="H1227" t="s">
        <v>36</v>
      </c>
      <c r="I1227" t="s">
        <v>19</v>
      </c>
      <c r="J1227" s="3" t="s">
        <v>247</v>
      </c>
      <c r="K1227" t="s">
        <v>248</v>
      </c>
      <c r="L1227" t="s">
        <v>249</v>
      </c>
      <c r="M1227" t="s">
        <v>432</v>
      </c>
    </row>
    <row r="1228" spans="1:13" x14ac:dyDescent="0.25">
      <c r="A1228" t="s">
        <v>2496</v>
      </c>
      <c r="B1228" t="s">
        <v>13</v>
      </c>
      <c r="C1228" t="s">
        <v>2469</v>
      </c>
      <c r="D1228" t="s">
        <v>32135</v>
      </c>
      <c r="E1228" t="s">
        <v>2484</v>
      </c>
      <c r="F1228" t="s">
        <v>2497</v>
      </c>
      <c r="G1228" t="s">
        <v>2498</v>
      </c>
      <c r="H1228" t="s">
        <v>936</v>
      </c>
      <c r="I1228" t="s">
        <v>19</v>
      </c>
      <c r="J1228" s="3">
        <f>55-71-3281-6965</f>
        <v>-10262</v>
      </c>
      <c r="K1228" t="s">
        <v>2499</v>
      </c>
      <c r="L1228" t="s">
        <v>2500</v>
      </c>
      <c r="M1228" t="s">
        <v>32165</v>
      </c>
    </row>
    <row r="1229" spans="1:13" x14ac:dyDescent="0.25">
      <c r="A1229" t="s">
        <v>6812</v>
      </c>
      <c r="B1229" t="s">
        <v>13</v>
      </c>
      <c r="C1229" t="s">
        <v>6813</v>
      </c>
      <c r="D1229" t="s">
        <v>32135</v>
      </c>
      <c r="E1229" t="s">
        <v>2484</v>
      </c>
      <c r="F1229" t="s">
        <v>2497</v>
      </c>
      <c r="G1229" t="s">
        <v>6814</v>
      </c>
      <c r="H1229" t="s">
        <v>36</v>
      </c>
      <c r="I1229" t="s">
        <v>19</v>
      </c>
      <c r="J1229" s="3">
        <f>55-11-2109-8800</f>
        <v>-10865</v>
      </c>
      <c r="K1229" t="s">
        <v>2499</v>
      </c>
      <c r="L1229" t="s">
        <v>32135</v>
      </c>
      <c r="M1229" t="s">
        <v>32165</v>
      </c>
    </row>
    <row r="1230" spans="1:13" x14ac:dyDescent="0.25">
      <c r="A1230" t="s">
        <v>3361</v>
      </c>
      <c r="B1230" t="s">
        <v>13</v>
      </c>
      <c r="C1230" t="s">
        <v>3362</v>
      </c>
      <c r="D1230" t="s">
        <v>3363</v>
      </c>
      <c r="E1230" t="s">
        <v>2484</v>
      </c>
      <c r="F1230" t="s">
        <v>2497</v>
      </c>
      <c r="G1230" t="s">
        <v>3364</v>
      </c>
      <c r="H1230" t="s">
        <v>88</v>
      </c>
      <c r="I1230" t="s">
        <v>19</v>
      </c>
      <c r="J1230" s="3" t="s">
        <v>3365</v>
      </c>
      <c r="K1230" t="s">
        <v>3366</v>
      </c>
      <c r="L1230" t="s">
        <v>3367</v>
      </c>
      <c r="M1230" t="s">
        <v>432</v>
      </c>
    </row>
    <row r="1231" spans="1:13" x14ac:dyDescent="0.25">
      <c r="A1231" t="s">
        <v>6849</v>
      </c>
      <c r="B1231" t="s">
        <v>13</v>
      </c>
      <c r="C1231" t="s">
        <v>6850</v>
      </c>
      <c r="D1231" t="s">
        <v>32135</v>
      </c>
      <c r="E1231" t="s">
        <v>147</v>
      </c>
      <c r="F1231" t="s">
        <v>426</v>
      </c>
      <c r="G1231" t="s">
        <v>6851</v>
      </c>
      <c r="H1231" t="s">
        <v>706</v>
      </c>
      <c r="I1231" t="s">
        <v>19</v>
      </c>
      <c r="J1231" s="3" t="s">
        <v>6852</v>
      </c>
      <c r="K1231" t="s">
        <v>6853</v>
      </c>
      <c r="L1231" t="s">
        <v>32135</v>
      </c>
      <c r="M1231" t="s">
        <v>432</v>
      </c>
    </row>
    <row r="1232" spans="1:13" x14ac:dyDescent="0.25">
      <c r="A1232" t="s">
        <v>6435</v>
      </c>
      <c r="B1232" t="s">
        <v>13</v>
      </c>
      <c r="C1232" s="1">
        <v>44448</v>
      </c>
      <c r="D1232" t="s">
        <v>32135</v>
      </c>
      <c r="E1232" t="s">
        <v>2484</v>
      </c>
      <c r="F1232" t="s">
        <v>2097</v>
      </c>
      <c r="G1232" t="s">
        <v>6436</v>
      </c>
      <c r="H1232" t="s">
        <v>5366</v>
      </c>
      <c r="I1232" t="s">
        <v>19</v>
      </c>
      <c r="J1232" s="3">
        <f>55-63-32294023</f>
        <v>-32294031</v>
      </c>
      <c r="K1232" t="s">
        <v>6437</v>
      </c>
      <c r="L1232" t="s">
        <v>32135</v>
      </c>
      <c r="M1232" t="s">
        <v>32165</v>
      </c>
    </row>
    <row r="1233" spans="1:13" x14ac:dyDescent="0.25">
      <c r="A1233" t="s">
        <v>6263</v>
      </c>
      <c r="B1233" t="s">
        <v>13</v>
      </c>
      <c r="C1233" s="1">
        <v>44538</v>
      </c>
      <c r="D1233" t="s">
        <v>32135</v>
      </c>
      <c r="E1233" t="s">
        <v>147</v>
      </c>
      <c r="F1233" t="s">
        <v>4631</v>
      </c>
      <c r="G1233" t="s">
        <v>6264</v>
      </c>
      <c r="H1233" t="s">
        <v>150</v>
      </c>
      <c r="I1233" t="s">
        <v>19</v>
      </c>
      <c r="J1233" s="3" t="s">
        <v>6265</v>
      </c>
      <c r="K1233" t="s">
        <v>6266</v>
      </c>
      <c r="L1233" t="s">
        <v>32135</v>
      </c>
      <c r="M1233" t="s">
        <v>32165</v>
      </c>
    </row>
    <row r="1234" spans="1:13" x14ac:dyDescent="0.25">
      <c r="A1234" t="s">
        <v>4609</v>
      </c>
      <c r="B1234" t="s">
        <v>13</v>
      </c>
      <c r="C1234" t="s">
        <v>4598</v>
      </c>
      <c r="D1234" t="s">
        <v>32135</v>
      </c>
      <c r="E1234" t="s">
        <v>2484</v>
      </c>
      <c r="F1234" t="s">
        <v>4610</v>
      </c>
      <c r="G1234" t="s">
        <v>408</v>
      </c>
      <c r="H1234" t="s">
        <v>409</v>
      </c>
      <c r="I1234" t="s">
        <v>19</v>
      </c>
      <c r="J1234" s="3">
        <v>48991084365</v>
      </c>
      <c r="K1234" t="s">
        <v>4611</v>
      </c>
      <c r="L1234" t="s">
        <v>412</v>
      </c>
      <c r="M1234" t="s">
        <v>32165</v>
      </c>
    </row>
    <row r="1235" spans="1:13" x14ac:dyDescent="0.25">
      <c r="A1235" t="s">
        <v>4364</v>
      </c>
      <c r="B1235" t="s">
        <v>13</v>
      </c>
      <c r="C1235" t="s">
        <v>4347</v>
      </c>
      <c r="D1235" t="s">
        <v>4365</v>
      </c>
      <c r="E1235" t="s">
        <v>147</v>
      </c>
      <c r="F1235" t="s">
        <v>4366</v>
      </c>
      <c r="G1235" t="s">
        <v>4367</v>
      </c>
      <c r="H1235" t="s">
        <v>472</v>
      </c>
      <c r="I1235" t="s">
        <v>19</v>
      </c>
      <c r="J1235" s="3" t="s">
        <v>4368</v>
      </c>
      <c r="K1235" t="s">
        <v>4369</v>
      </c>
      <c r="L1235" t="s">
        <v>4370</v>
      </c>
      <c r="M1235" t="s">
        <v>32165</v>
      </c>
    </row>
    <row r="1236" spans="1:13" x14ac:dyDescent="0.25">
      <c r="A1236" t="s">
        <v>5317</v>
      </c>
      <c r="B1236" t="s">
        <v>13</v>
      </c>
      <c r="C1236" t="s">
        <v>5311</v>
      </c>
      <c r="D1236" t="s">
        <v>32135</v>
      </c>
      <c r="E1236" t="s">
        <v>147</v>
      </c>
      <c r="F1236" t="s">
        <v>5318</v>
      </c>
      <c r="G1236" t="s">
        <v>5319</v>
      </c>
      <c r="H1236" t="s">
        <v>1206</v>
      </c>
      <c r="I1236" t="s">
        <v>19</v>
      </c>
      <c r="J1236" s="3">
        <v>558333153337</v>
      </c>
      <c r="K1236" t="s">
        <v>5320</v>
      </c>
      <c r="L1236" t="s">
        <v>32135</v>
      </c>
      <c r="M1236" t="s">
        <v>32165</v>
      </c>
    </row>
    <row r="1237" spans="1:13" x14ac:dyDescent="0.25">
      <c r="A1237" t="s">
        <v>7844</v>
      </c>
      <c r="B1237" t="s">
        <v>13</v>
      </c>
      <c r="C1237" s="1">
        <v>44320</v>
      </c>
      <c r="D1237" t="s">
        <v>32135</v>
      </c>
      <c r="E1237" t="s">
        <v>7845</v>
      </c>
      <c r="F1237" t="s">
        <v>6485</v>
      </c>
      <c r="G1237" t="s">
        <v>7652</v>
      </c>
      <c r="H1237" t="s">
        <v>7653</v>
      </c>
      <c r="I1237" t="s">
        <v>2059</v>
      </c>
      <c r="J1237" s="3">
        <v>34627382889</v>
      </c>
      <c r="K1237" t="s">
        <v>7654</v>
      </c>
      <c r="L1237" t="s">
        <v>32135</v>
      </c>
      <c r="M1237" t="s">
        <v>32165</v>
      </c>
    </row>
    <row r="1238" spans="1:13" x14ac:dyDescent="0.25">
      <c r="A1238" t="s">
        <v>2662</v>
      </c>
      <c r="B1238" t="s">
        <v>13</v>
      </c>
      <c r="C1238" s="1">
        <v>44867</v>
      </c>
      <c r="D1238" t="s">
        <v>2663</v>
      </c>
      <c r="E1238" t="s">
        <v>147</v>
      </c>
      <c r="F1238" t="s">
        <v>2664</v>
      </c>
      <c r="G1238" t="s">
        <v>2665</v>
      </c>
      <c r="H1238" t="s">
        <v>936</v>
      </c>
      <c r="I1238" t="s">
        <v>19</v>
      </c>
      <c r="J1238" s="3" t="s">
        <v>2666</v>
      </c>
      <c r="K1238" t="s">
        <v>2667</v>
      </c>
      <c r="L1238" t="s">
        <v>1578</v>
      </c>
      <c r="M1238" t="s">
        <v>741</v>
      </c>
    </row>
    <row r="1239" spans="1:13" x14ac:dyDescent="0.25">
      <c r="A1239" t="s">
        <v>6374</v>
      </c>
      <c r="B1239" t="s">
        <v>13</v>
      </c>
      <c r="C1239" t="s">
        <v>6375</v>
      </c>
      <c r="D1239" t="s">
        <v>32135</v>
      </c>
      <c r="E1239" t="s">
        <v>6376</v>
      </c>
      <c r="F1239" t="s">
        <v>4103</v>
      </c>
      <c r="G1239" t="s">
        <v>6377</v>
      </c>
      <c r="H1239" t="s">
        <v>265</v>
      </c>
      <c r="I1239" t="s">
        <v>19</v>
      </c>
      <c r="J1239" s="3">
        <v>551640098140</v>
      </c>
      <c r="K1239" t="s">
        <v>6378</v>
      </c>
      <c r="L1239" t="s">
        <v>32135</v>
      </c>
      <c r="M1239" t="s">
        <v>32165</v>
      </c>
    </row>
    <row r="1240" spans="1:13" x14ac:dyDescent="0.25">
      <c r="A1240" t="s">
        <v>5450</v>
      </c>
      <c r="B1240" t="s">
        <v>101</v>
      </c>
      <c r="C1240" s="1">
        <v>44359</v>
      </c>
      <c r="D1240" t="s">
        <v>32135</v>
      </c>
      <c r="E1240" t="s">
        <v>5451</v>
      </c>
      <c r="F1240" t="s">
        <v>112</v>
      </c>
      <c r="G1240" t="s">
        <v>5452</v>
      </c>
      <c r="H1240" t="s">
        <v>2829</v>
      </c>
      <c r="I1240" t="s">
        <v>19</v>
      </c>
      <c r="J1240" s="3">
        <f>55-33-91800050</f>
        <v>-91800028</v>
      </c>
      <c r="K1240" t="s">
        <v>5453</v>
      </c>
      <c r="L1240" t="s">
        <v>32135</v>
      </c>
      <c r="M1240" t="s">
        <v>32165</v>
      </c>
    </row>
    <row r="1241" spans="1:13" x14ac:dyDescent="0.25">
      <c r="A1241" t="s">
        <v>12237</v>
      </c>
      <c r="B1241" t="s">
        <v>13</v>
      </c>
      <c r="C1241" t="s">
        <v>7455</v>
      </c>
      <c r="D1241" t="s">
        <v>12238</v>
      </c>
      <c r="E1241" s="2" t="s">
        <v>32047</v>
      </c>
      <c r="F1241" t="s">
        <v>6485</v>
      </c>
      <c r="G1241" t="s">
        <v>12239</v>
      </c>
      <c r="H1241" t="s">
        <v>36</v>
      </c>
      <c r="I1241" t="s">
        <v>19</v>
      </c>
      <c r="J1241" s="3">
        <v>5511994941748</v>
      </c>
      <c r="K1241" t="s">
        <v>12240</v>
      </c>
      <c r="L1241" t="s">
        <v>12241</v>
      </c>
      <c r="M1241" t="s">
        <v>741</v>
      </c>
    </row>
    <row r="1242" spans="1:13" x14ac:dyDescent="0.25">
      <c r="A1242" t="s">
        <v>11512</v>
      </c>
      <c r="B1242" t="s">
        <v>13</v>
      </c>
      <c r="C1242" s="1">
        <v>43987</v>
      </c>
      <c r="D1242" t="s">
        <v>11513</v>
      </c>
      <c r="E1242" t="s">
        <v>11514</v>
      </c>
      <c r="F1242" t="s">
        <v>741</v>
      </c>
      <c r="G1242" t="s">
        <v>11515</v>
      </c>
      <c r="H1242" t="s">
        <v>265</v>
      </c>
      <c r="I1242" t="s">
        <v>19</v>
      </c>
      <c r="J1242" s="3">
        <f>55-16-32371470</f>
        <v>-32371431</v>
      </c>
      <c r="K1242" t="s">
        <v>11516</v>
      </c>
      <c r="L1242" t="s">
        <v>1569</v>
      </c>
      <c r="M1242" t="s">
        <v>741</v>
      </c>
    </row>
    <row r="1243" spans="1:13" x14ac:dyDescent="0.25">
      <c r="A1243" t="s">
        <v>4101</v>
      </c>
      <c r="B1243" t="s">
        <v>13</v>
      </c>
      <c r="C1243" t="s">
        <v>3836</v>
      </c>
      <c r="D1243" t="s">
        <v>4102</v>
      </c>
      <c r="E1243" s="2" t="s">
        <v>30800</v>
      </c>
      <c r="F1243" t="s">
        <v>4103</v>
      </c>
      <c r="G1243" t="s">
        <v>4104</v>
      </c>
      <c r="H1243" t="s">
        <v>1090</v>
      </c>
      <c r="I1243" t="s">
        <v>19</v>
      </c>
      <c r="J1243" s="3" t="s">
        <v>4105</v>
      </c>
      <c r="K1243" t="s">
        <v>4106</v>
      </c>
      <c r="L1243" t="s">
        <v>1092</v>
      </c>
      <c r="M1243" t="s">
        <v>741</v>
      </c>
    </row>
    <row r="1244" spans="1:13" x14ac:dyDescent="0.25">
      <c r="A1244" t="s">
        <v>5065</v>
      </c>
      <c r="B1244" t="s">
        <v>13</v>
      </c>
      <c r="C1244" t="s">
        <v>5054</v>
      </c>
      <c r="D1244" t="s">
        <v>32135</v>
      </c>
      <c r="E1244" s="2" t="s">
        <v>31490</v>
      </c>
      <c r="F1244" t="s">
        <v>426</v>
      </c>
      <c r="G1244" t="s">
        <v>5066</v>
      </c>
      <c r="H1244" t="s">
        <v>45</v>
      </c>
      <c r="I1244" t="s">
        <v>19</v>
      </c>
      <c r="J1244" s="3" t="s">
        <v>5067</v>
      </c>
      <c r="K1244" t="s">
        <v>2188</v>
      </c>
      <c r="L1244" t="s">
        <v>32135</v>
      </c>
      <c r="M1244" t="s">
        <v>32165</v>
      </c>
    </row>
    <row r="1245" spans="1:13" x14ac:dyDescent="0.25">
      <c r="A1245" t="s">
        <v>9331</v>
      </c>
      <c r="B1245" t="s">
        <v>101</v>
      </c>
      <c r="C1245" s="1">
        <v>43992</v>
      </c>
      <c r="D1245" t="s">
        <v>9332</v>
      </c>
      <c r="E1245" s="2" t="s">
        <v>32058</v>
      </c>
      <c r="F1245" t="s">
        <v>147</v>
      </c>
      <c r="G1245" t="s">
        <v>9333</v>
      </c>
      <c r="H1245" t="s">
        <v>706</v>
      </c>
      <c r="I1245" t="s">
        <v>19</v>
      </c>
      <c r="J1245" s="3">
        <f>55-31-21388371</f>
        <v>-21388347</v>
      </c>
      <c r="K1245" t="s">
        <v>9334</v>
      </c>
      <c r="L1245" t="s">
        <v>9335</v>
      </c>
      <c r="M1245" t="s">
        <v>32165</v>
      </c>
    </row>
    <row r="1246" spans="1:13" x14ac:dyDescent="0.25">
      <c r="A1246" t="s">
        <v>9178</v>
      </c>
      <c r="B1246" t="s">
        <v>13</v>
      </c>
      <c r="C1246" t="s">
        <v>3351</v>
      </c>
      <c r="D1246" t="s">
        <v>9179</v>
      </c>
      <c r="E1246" t="s">
        <v>9180</v>
      </c>
      <c r="F1246" t="s">
        <v>6649</v>
      </c>
      <c r="G1246" t="s">
        <v>6959</v>
      </c>
      <c r="H1246" t="s">
        <v>1335</v>
      </c>
      <c r="I1246" t="s">
        <v>19</v>
      </c>
      <c r="J1246" s="3">
        <f>55-43-38786101</f>
        <v>-38786089</v>
      </c>
      <c r="K1246" t="s">
        <v>6961</v>
      </c>
      <c r="L1246" t="s">
        <v>9181</v>
      </c>
      <c r="M1246" t="s">
        <v>432</v>
      </c>
    </row>
    <row r="1247" spans="1:13" x14ac:dyDescent="0.25">
      <c r="A1247" t="s">
        <v>1728</v>
      </c>
      <c r="B1247" t="s">
        <v>13</v>
      </c>
      <c r="C1247" t="s">
        <v>1722</v>
      </c>
      <c r="D1247" t="s">
        <v>1729</v>
      </c>
      <c r="E1247" s="2" t="s">
        <v>30713</v>
      </c>
      <c r="F1247" t="s">
        <v>1730</v>
      </c>
      <c r="G1247" t="s">
        <v>1731</v>
      </c>
      <c r="H1247" t="s">
        <v>265</v>
      </c>
      <c r="I1247" t="s">
        <v>19</v>
      </c>
      <c r="J1247" s="3" t="s">
        <v>1732</v>
      </c>
      <c r="K1247" t="s">
        <v>1733</v>
      </c>
      <c r="L1247" t="s">
        <v>1734</v>
      </c>
      <c r="M1247" t="s">
        <v>741</v>
      </c>
    </row>
    <row r="1248" spans="1:13" x14ac:dyDescent="0.25">
      <c r="A1248" t="s">
        <v>7002</v>
      </c>
      <c r="B1248" t="s">
        <v>13</v>
      </c>
      <c r="C1248" t="s">
        <v>7003</v>
      </c>
      <c r="D1248" t="s">
        <v>7004</v>
      </c>
      <c r="E1248" t="s">
        <v>7005</v>
      </c>
      <c r="F1248" t="s">
        <v>147</v>
      </c>
      <c r="G1248" t="s">
        <v>7006</v>
      </c>
      <c r="H1248" t="s">
        <v>428</v>
      </c>
      <c r="I1248" t="s">
        <v>19</v>
      </c>
      <c r="J1248" s="3">
        <f>55-51-999888524</f>
        <v>-999888520</v>
      </c>
      <c r="K1248" t="s">
        <v>5119</v>
      </c>
      <c r="L1248" t="s">
        <v>7007</v>
      </c>
      <c r="M1248" t="s">
        <v>741</v>
      </c>
    </row>
    <row r="1249" spans="1:13" x14ac:dyDescent="0.25">
      <c r="A1249" t="s">
        <v>8833</v>
      </c>
      <c r="B1249" t="s">
        <v>13</v>
      </c>
      <c r="C1249" t="s">
        <v>8834</v>
      </c>
      <c r="D1249" t="s">
        <v>8835</v>
      </c>
      <c r="E1249" t="s">
        <v>8836</v>
      </c>
      <c r="F1249" t="s">
        <v>147</v>
      </c>
      <c r="G1249" t="s">
        <v>8837</v>
      </c>
      <c r="H1249" t="s">
        <v>18</v>
      </c>
      <c r="I1249" t="s">
        <v>19</v>
      </c>
      <c r="J1249" s="3" t="s">
        <v>8838</v>
      </c>
      <c r="K1249" t="s">
        <v>8839</v>
      </c>
      <c r="L1249" t="s">
        <v>8840</v>
      </c>
      <c r="M1249" t="s">
        <v>32145</v>
      </c>
    </row>
    <row r="1250" spans="1:13" x14ac:dyDescent="0.25">
      <c r="A1250" t="s">
        <v>6385</v>
      </c>
      <c r="B1250" t="s">
        <v>13</v>
      </c>
      <c r="C1250" t="s">
        <v>6375</v>
      </c>
      <c r="D1250" t="s">
        <v>32135</v>
      </c>
      <c r="E1250" s="2" t="s">
        <v>31852</v>
      </c>
      <c r="F1250" t="s">
        <v>148</v>
      </c>
      <c r="G1250" t="s">
        <v>6386</v>
      </c>
      <c r="H1250" t="s">
        <v>1090</v>
      </c>
      <c r="I1250" t="s">
        <v>19</v>
      </c>
      <c r="J1250" s="3">
        <f>55-83-996137900</f>
        <v>-996137928</v>
      </c>
      <c r="K1250" t="s">
        <v>6387</v>
      </c>
      <c r="L1250" t="s">
        <v>32135</v>
      </c>
      <c r="M1250" t="s">
        <v>32168</v>
      </c>
    </row>
    <row r="1251" spans="1:13" x14ac:dyDescent="0.25">
      <c r="A1251" t="s">
        <v>7024</v>
      </c>
      <c r="B1251" t="s">
        <v>13</v>
      </c>
      <c r="C1251" t="s">
        <v>7020</v>
      </c>
      <c r="D1251" t="s">
        <v>32135</v>
      </c>
      <c r="E1251" s="2" t="s">
        <v>30919</v>
      </c>
      <c r="F1251" t="s">
        <v>7025</v>
      </c>
      <c r="G1251" t="s">
        <v>7026</v>
      </c>
      <c r="H1251" t="s">
        <v>45</v>
      </c>
      <c r="I1251" t="s">
        <v>19</v>
      </c>
      <c r="J1251" s="3">
        <f>55-85-999289695</f>
        <v>-999289725</v>
      </c>
      <c r="K1251" t="s">
        <v>7027</v>
      </c>
      <c r="L1251" t="s">
        <v>32135</v>
      </c>
      <c r="M1251" t="s">
        <v>32165</v>
      </c>
    </row>
    <row r="1252" spans="1:13" x14ac:dyDescent="0.25">
      <c r="A1252" t="s">
        <v>5333</v>
      </c>
      <c r="B1252" t="s">
        <v>13</v>
      </c>
      <c r="C1252" t="s">
        <v>4935</v>
      </c>
      <c r="D1252" t="s">
        <v>32137</v>
      </c>
      <c r="E1252" s="2" t="s">
        <v>31900</v>
      </c>
      <c r="F1252" t="s">
        <v>147</v>
      </c>
      <c r="G1252" t="s">
        <v>5334</v>
      </c>
      <c r="H1252" t="s">
        <v>472</v>
      </c>
      <c r="I1252" t="s">
        <v>19</v>
      </c>
      <c r="J1252" s="3">
        <v>55081999359663</v>
      </c>
      <c r="K1252" t="s">
        <v>5335</v>
      </c>
      <c r="L1252" t="s">
        <v>32135</v>
      </c>
      <c r="M1252" t="s">
        <v>32165</v>
      </c>
    </row>
    <row r="1253" spans="1:13" x14ac:dyDescent="0.25">
      <c r="A1253" t="s">
        <v>5114</v>
      </c>
      <c r="B1253" t="s">
        <v>13</v>
      </c>
      <c r="C1253" s="1">
        <v>44866</v>
      </c>
      <c r="D1253" t="s">
        <v>5115</v>
      </c>
      <c r="E1253" s="2" t="s">
        <v>30834</v>
      </c>
      <c r="F1253" t="s">
        <v>5116</v>
      </c>
      <c r="G1253" t="s">
        <v>5117</v>
      </c>
      <c r="H1253" t="s">
        <v>428</v>
      </c>
      <c r="I1253" t="s">
        <v>19</v>
      </c>
      <c r="J1253" s="3" t="s">
        <v>5118</v>
      </c>
      <c r="K1253" t="s">
        <v>5119</v>
      </c>
      <c r="L1253" t="s">
        <v>32135</v>
      </c>
      <c r="M1253" t="s">
        <v>741</v>
      </c>
    </row>
    <row r="1254" spans="1:13" x14ac:dyDescent="0.25">
      <c r="A1254" t="s">
        <v>7111</v>
      </c>
      <c r="B1254" t="s">
        <v>13</v>
      </c>
      <c r="C1254" t="s">
        <v>7112</v>
      </c>
      <c r="D1254" t="s">
        <v>7113</v>
      </c>
      <c r="E1254" t="s">
        <v>7114</v>
      </c>
      <c r="F1254" t="s">
        <v>741</v>
      </c>
      <c r="G1254" t="s">
        <v>7115</v>
      </c>
      <c r="H1254" t="s">
        <v>489</v>
      </c>
      <c r="I1254" t="s">
        <v>19</v>
      </c>
      <c r="J1254" s="3">
        <v>554132711858</v>
      </c>
      <c r="K1254" t="s">
        <v>4483</v>
      </c>
      <c r="L1254" t="s">
        <v>2661</v>
      </c>
      <c r="M1254" t="s">
        <v>741</v>
      </c>
    </row>
    <row r="1255" spans="1:13" x14ac:dyDescent="0.25">
      <c r="A1255" t="s">
        <v>15086</v>
      </c>
      <c r="B1255" t="s">
        <v>13</v>
      </c>
      <c r="C1255" t="s">
        <v>15195</v>
      </c>
      <c r="D1255" t="s">
        <v>15196</v>
      </c>
      <c r="E1255" t="s">
        <v>15197</v>
      </c>
      <c r="F1255" t="s">
        <v>3084</v>
      </c>
      <c r="G1255" t="s">
        <v>15198</v>
      </c>
      <c r="H1255" t="s">
        <v>428</v>
      </c>
      <c r="I1255" t="s">
        <v>19</v>
      </c>
      <c r="J1255" s="3" t="s">
        <v>15089</v>
      </c>
      <c r="K1255" t="s">
        <v>15090</v>
      </c>
      <c r="L1255" t="s">
        <v>5709</v>
      </c>
      <c r="M1255" t="s">
        <v>32144</v>
      </c>
    </row>
    <row r="1256" spans="1:13" x14ac:dyDescent="0.25">
      <c r="A1256" t="s">
        <v>11293</v>
      </c>
      <c r="B1256" t="s">
        <v>13</v>
      </c>
      <c r="C1256" t="s">
        <v>11288</v>
      </c>
      <c r="D1256" t="s">
        <v>11294</v>
      </c>
      <c r="E1256" t="s">
        <v>32293</v>
      </c>
      <c r="F1256" t="s">
        <v>1464</v>
      </c>
      <c r="G1256" t="s">
        <v>11295</v>
      </c>
      <c r="H1256" t="s">
        <v>71</v>
      </c>
      <c r="I1256" t="s">
        <v>19</v>
      </c>
      <c r="J1256" s="3">
        <v>5586999301230</v>
      </c>
      <c r="K1256" t="s">
        <v>11296</v>
      </c>
      <c r="L1256" t="s">
        <v>11297</v>
      </c>
      <c r="M1256" t="s">
        <v>32144</v>
      </c>
    </row>
    <row r="1257" spans="1:13" x14ac:dyDescent="0.25">
      <c r="A1257" t="s">
        <v>26497</v>
      </c>
      <c r="B1257" t="s">
        <v>13</v>
      </c>
      <c r="C1257" t="s">
        <v>13644</v>
      </c>
      <c r="D1257" t="s">
        <v>26498</v>
      </c>
      <c r="E1257" s="2" t="s">
        <v>31947</v>
      </c>
      <c r="F1257" t="s">
        <v>32141</v>
      </c>
      <c r="G1257" t="s">
        <v>26499</v>
      </c>
      <c r="H1257" t="s">
        <v>36</v>
      </c>
      <c r="I1257" t="s">
        <v>19</v>
      </c>
      <c r="J1257" s="3" t="s">
        <v>26500</v>
      </c>
      <c r="K1257" t="s">
        <v>26501</v>
      </c>
      <c r="L1257" t="s">
        <v>439</v>
      </c>
      <c r="M1257" t="s">
        <v>32149</v>
      </c>
    </row>
    <row r="1258" spans="1:13" x14ac:dyDescent="0.25">
      <c r="A1258" t="s">
        <v>13109</v>
      </c>
      <c r="B1258" t="s">
        <v>13</v>
      </c>
      <c r="C1258" s="1">
        <v>44077</v>
      </c>
      <c r="D1258" t="s">
        <v>13110</v>
      </c>
      <c r="E1258" s="2" t="s">
        <v>31061</v>
      </c>
      <c r="F1258" t="s">
        <v>1464</v>
      </c>
      <c r="G1258" t="s">
        <v>13112</v>
      </c>
      <c r="H1258" t="s">
        <v>18</v>
      </c>
      <c r="I1258" t="s">
        <v>19</v>
      </c>
      <c r="J1258" s="3" t="s">
        <v>13113</v>
      </c>
      <c r="K1258" t="s">
        <v>13114</v>
      </c>
      <c r="L1258" t="s">
        <v>13115</v>
      </c>
      <c r="M1258" t="s">
        <v>771</v>
      </c>
    </row>
    <row r="1259" spans="1:13" x14ac:dyDescent="0.25">
      <c r="A1259" t="s">
        <v>29577</v>
      </c>
      <c r="B1259" t="s">
        <v>13</v>
      </c>
      <c r="C1259" s="1">
        <v>41493</v>
      </c>
      <c r="D1259" t="s">
        <v>29578</v>
      </c>
      <c r="E1259" t="s">
        <v>29579</v>
      </c>
      <c r="F1259" t="s">
        <v>2036</v>
      </c>
      <c r="G1259" t="s">
        <v>29580</v>
      </c>
      <c r="H1259" t="s">
        <v>1466</v>
      </c>
      <c r="I1259" t="s">
        <v>19</v>
      </c>
      <c r="J1259" s="3" t="s">
        <v>29581</v>
      </c>
      <c r="K1259" t="s">
        <v>29582</v>
      </c>
      <c r="L1259" t="s">
        <v>29583</v>
      </c>
      <c r="M1259" t="s">
        <v>57</v>
      </c>
    </row>
    <row r="1260" spans="1:13" x14ac:dyDescent="0.25">
      <c r="A1260" t="s">
        <v>6907</v>
      </c>
      <c r="B1260" t="s">
        <v>13</v>
      </c>
      <c r="C1260" t="s">
        <v>6908</v>
      </c>
      <c r="D1260" t="s">
        <v>32135</v>
      </c>
      <c r="E1260" s="2" t="s">
        <v>30913</v>
      </c>
      <c r="F1260" t="s">
        <v>6909</v>
      </c>
      <c r="G1260" t="s">
        <v>6910</v>
      </c>
      <c r="H1260" t="s">
        <v>409</v>
      </c>
      <c r="I1260" t="s">
        <v>19</v>
      </c>
      <c r="J1260" s="3" t="s">
        <v>6911</v>
      </c>
      <c r="K1260" t="s">
        <v>6912</v>
      </c>
      <c r="L1260" t="s">
        <v>32135</v>
      </c>
      <c r="M1260" t="s">
        <v>57</v>
      </c>
    </row>
    <row r="1261" spans="1:13" x14ac:dyDescent="0.25">
      <c r="A1261" t="s">
        <v>30129</v>
      </c>
      <c r="B1261" t="s">
        <v>13</v>
      </c>
      <c r="C1261" t="s">
        <v>14184</v>
      </c>
      <c r="D1261" t="s">
        <v>30130</v>
      </c>
      <c r="E1261" t="s">
        <v>30131</v>
      </c>
      <c r="F1261" t="s">
        <v>1464</v>
      </c>
      <c r="G1261" t="s">
        <v>30132</v>
      </c>
      <c r="H1261" t="s">
        <v>12385</v>
      </c>
      <c r="I1261" t="s">
        <v>19</v>
      </c>
      <c r="J1261" s="3" t="s">
        <v>30133</v>
      </c>
      <c r="K1261" t="s">
        <v>30134</v>
      </c>
      <c r="L1261" t="s">
        <v>1767</v>
      </c>
      <c r="M1261" t="s">
        <v>337</v>
      </c>
    </row>
    <row r="1262" spans="1:13" x14ac:dyDescent="0.25">
      <c r="A1262" t="s">
        <v>1828</v>
      </c>
      <c r="B1262" t="s">
        <v>13</v>
      </c>
      <c r="C1262" s="1">
        <v>44691</v>
      </c>
      <c r="D1262" t="s">
        <v>1829</v>
      </c>
      <c r="E1262" t="s">
        <v>1830</v>
      </c>
      <c r="F1262" t="s">
        <v>160</v>
      </c>
      <c r="G1262" t="s">
        <v>1831</v>
      </c>
      <c r="H1262" t="s">
        <v>36</v>
      </c>
      <c r="I1262" t="s">
        <v>19</v>
      </c>
      <c r="J1262" s="3" t="s">
        <v>1832</v>
      </c>
      <c r="K1262" t="s">
        <v>1833</v>
      </c>
      <c r="L1262" t="s">
        <v>1834</v>
      </c>
      <c r="M1262" t="s">
        <v>32147</v>
      </c>
    </row>
    <row r="1263" spans="1:13" x14ac:dyDescent="0.25">
      <c r="A1263" t="s">
        <v>21918</v>
      </c>
      <c r="B1263" t="s">
        <v>13</v>
      </c>
      <c r="C1263" s="1">
        <v>43408</v>
      </c>
      <c r="D1263" t="s">
        <v>21919</v>
      </c>
      <c r="E1263" t="s">
        <v>21920</v>
      </c>
      <c r="F1263" t="s">
        <v>2036</v>
      </c>
      <c r="G1263" t="s">
        <v>21921</v>
      </c>
      <c r="H1263" t="s">
        <v>706</v>
      </c>
      <c r="I1263" t="s">
        <v>19</v>
      </c>
      <c r="J1263" s="3" t="s">
        <v>21922</v>
      </c>
      <c r="K1263" t="s">
        <v>21923</v>
      </c>
      <c r="L1263" t="s">
        <v>565</v>
      </c>
      <c r="M1263" t="s">
        <v>57</v>
      </c>
    </row>
    <row r="1264" spans="1:13" x14ac:dyDescent="0.25">
      <c r="A1264" t="s">
        <v>75</v>
      </c>
      <c r="B1264" t="s">
        <v>13</v>
      </c>
      <c r="C1264" s="1">
        <v>44987</v>
      </c>
      <c r="D1264" t="s">
        <v>76</v>
      </c>
      <c r="E1264" t="s">
        <v>77</v>
      </c>
      <c r="F1264" t="s">
        <v>78</v>
      </c>
      <c r="G1264" t="s">
        <v>79</v>
      </c>
      <c r="H1264" t="s">
        <v>80</v>
      </c>
      <c r="I1264" t="s">
        <v>19</v>
      </c>
      <c r="J1264" s="3">
        <v>557931946399</v>
      </c>
      <c r="K1264" t="s">
        <v>81</v>
      </c>
      <c r="L1264" t="s">
        <v>82</v>
      </c>
      <c r="M1264" t="s">
        <v>785</v>
      </c>
    </row>
    <row r="1265" spans="1:13" x14ac:dyDescent="0.25">
      <c r="A1265" t="s">
        <v>5683</v>
      </c>
      <c r="B1265" t="s">
        <v>13</v>
      </c>
      <c r="C1265" s="1">
        <v>44541</v>
      </c>
      <c r="D1265" t="s">
        <v>5684</v>
      </c>
      <c r="E1265" s="2" t="s">
        <v>30854</v>
      </c>
      <c r="F1265" t="s">
        <v>3624</v>
      </c>
      <c r="G1265" t="s">
        <v>5685</v>
      </c>
      <c r="H1265" t="s">
        <v>2215</v>
      </c>
      <c r="I1265" t="s">
        <v>19</v>
      </c>
      <c r="J1265" s="3">
        <f>55 - (42) - 32203108</f>
        <v>-32203095</v>
      </c>
      <c r="K1265" t="s">
        <v>5686</v>
      </c>
      <c r="L1265" t="s">
        <v>32135</v>
      </c>
      <c r="M1265" t="s">
        <v>57</v>
      </c>
    </row>
    <row r="1266" spans="1:13" x14ac:dyDescent="0.25">
      <c r="A1266" t="s">
        <v>20300</v>
      </c>
      <c r="B1266" t="s">
        <v>13</v>
      </c>
      <c r="C1266" t="s">
        <v>15757</v>
      </c>
      <c r="D1266" t="s">
        <v>20301</v>
      </c>
      <c r="E1266" t="s">
        <v>20302</v>
      </c>
      <c r="F1266" t="s">
        <v>1464</v>
      </c>
      <c r="G1266" t="s">
        <v>20303</v>
      </c>
      <c r="H1266" t="s">
        <v>706</v>
      </c>
      <c r="I1266" t="s">
        <v>19</v>
      </c>
      <c r="J1266" s="3">
        <f>55-31-988770221</f>
        <v>-988770197</v>
      </c>
      <c r="K1266" t="s">
        <v>9536</v>
      </c>
      <c r="L1266" t="s">
        <v>565</v>
      </c>
      <c r="M1266" t="s">
        <v>1775</v>
      </c>
    </row>
    <row r="1267" spans="1:13" x14ac:dyDescent="0.25">
      <c r="A1267" t="s">
        <v>22534</v>
      </c>
      <c r="B1267" t="s">
        <v>101</v>
      </c>
      <c r="C1267" t="s">
        <v>22521</v>
      </c>
      <c r="D1267" t="s">
        <v>22535</v>
      </c>
      <c r="E1267" t="s">
        <v>22536</v>
      </c>
      <c r="F1267" t="s">
        <v>10034</v>
      </c>
      <c r="G1267" t="s">
        <v>10278</v>
      </c>
      <c r="H1267" t="s">
        <v>299</v>
      </c>
      <c r="I1267" t="s">
        <v>19</v>
      </c>
      <c r="J1267" s="3" t="s">
        <v>10279</v>
      </c>
      <c r="K1267" t="s">
        <v>10280</v>
      </c>
      <c r="L1267" t="s">
        <v>10281</v>
      </c>
      <c r="M1267" t="s">
        <v>741</v>
      </c>
    </row>
    <row r="1268" spans="1:13" x14ac:dyDescent="0.25">
      <c r="A1268" t="s">
        <v>26687</v>
      </c>
      <c r="B1268" t="s">
        <v>13</v>
      </c>
      <c r="C1268" t="s">
        <v>14853</v>
      </c>
      <c r="D1268" t="s">
        <v>26688</v>
      </c>
      <c r="E1268" t="s">
        <v>26689</v>
      </c>
      <c r="F1268" t="s">
        <v>1775</v>
      </c>
      <c r="G1268" t="s">
        <v>26690</v>
      </c>
      <c r="H1268" t="s">
        <v>28</v>
      </c>
      <c r="I1268" t="s">
        <v>19</v>
      </c>
      <c r="J1268" s="3" t="s">
        <v>26691</v>
      </c>
      <c r="K1268" t="s">
        <v>26692</v>
      </c>
      <c r="L1268" t="s">
        <v>923</v>
      </c>
      <c r="M1268" t="s">
        <v>1775</v>
      </c>
    </row>
    <row r="1269" spans="1:13" x14ac:dyDescent="0.25">
      <c r="A1269" t="s">
        <v>7365</v>
      </c>
      <c r="B1269" t="s">
        <v>13</v>
      </c>
      <c r="C1269" t="s">
        <v>7363</v>
      </c>
      <c r="D1269" t="s">
        <v>32135</v>
      </c>
      <c r="E1269" t="s">
        <v>7366</v>
      </c>
      <c r="F1269" t="s">
        <v>7367</v>
      </c>
      <c r="G1269" t="s">
        <v>7368</v>
      </c>
      <c r="H1269" t="s">
        <v>489</v>
      </c>
      <c r="I1269" t="s">
        <v>19</v>
      </c>
      <c r="J1269" s="3">
        <f>55-41-991830361</f>
        <v>-991830347</v>
      </c>
      <c r="K1269" t="s">
        <v>1146</v>
      </c>
      <c r="L1269" t="s">
        <v>32135</v>
      </c>
      <c r="M1269" t="s">
        <v>771</v>
      </c>
    </row>
    <row r="1270" spans="1:13" x14ac:dyDescent="0.25">
      <c r="A1270" t="s">
        <v>12078</v>
      </c>
      <c r="B1270" t="s">
        <v>101</v>
      </c>
      <c r="C1270" t="s">
        <v>9668</v>
      </c>
      <c r="D1270" t="s">
        <v>12079</v>
      </c>
      <c r="E1270" t="s">
        <v>12080</v>
      </c>
      <c r="F1270" t="s">
        <v>337</v>
      </c>
      <c r="G1270" t="s">
        <v>12081</v>
      </c>
      <c r="H1270" t="s">
        <v>472</v>
      </c>
      <c r="I1270" t="s">
        <v>19</v>
      </c>
      <c r="J1270" s="3" t="s">
        <v>12082</v>
      </c>
      <c r="K1270" t="s">
        <v>12083</v>
      </c>
      <c r="L1270" t="s">
        <v>12084</v>
      </c>
      <c r="M1270" t="s">
        <v>337</v>
      </c>
    </row>
    <row r="1271" spans="1:13" x14ac:dyDescent="0.25">
      <c r="A1271" t="s">
        <v>3899</v>
      </c>
      <c r="B1271" t="s">
        <v>13</v>
      </c>
      <c r="C1271" t="s">
        <v>3893</v>
      </c>
      <c r="D1271" t="s">
        <v>3900</v>
      </c>
      <c r="E1271" s="2" t="s">
        <v>30792</v>
      </c>
      <c r="F1271" t="s">
        <v>3901</v>
      </c>
      <c r="G1271" t="s">
        <v>3902</v>
      </c>
      <c r="H1271" t="s">
        <v>352</v>
      </c>
      <c r="I1271" t="s">
        <v>19</v>
      </c>
      <c r="J1271" s="3" t="s">
        <v>3903</v>
      </c>
      <c r="K1271" t="s">
        <v>3904</v>
      </c>
      <c r="L1271" t="s">
        <v>1232</v>
      </c>
      <c r="M1271" t="s">
        <v>337</v>
      </c>
    </row>
    <row r="1272" spans="1:13" x14ac:dyDescent="0.25">
      <c r="A1272" t="s">
        <v>24337</v>
      </c>
      <c r="B1272" t="s">
        <v>13</v>
      </c>
      <c r="C1272" s="1">
        <v>42799</v>
      </c>
      <c r="D1272" t="s">
        <v>24338</v>
      </c>
      <c r="E1272" t="s">
        <v>24339</v>
      </c>
      <c r="F1272" t="s">
        <v>129</v>
      </c>
      <c r="G1272" t="s">
        <v>24340</v>
      </c>
      <c r="H1272" t="s">
        <v>36</v>
      </c>
      <c r="I1272" t="s">
        <v>19</v>
      </c>
      <c r="J1272" s="3" t="s">
        <v>24341</v>
      </c>
      <c r="K1272" t="s">
        <v>24342</v>
      </c>
      <c r="L1272" t="s">
        <v>439</v>
      </c>
      <c r="M1272" t="s">
        <v>129</v>
      </c>
    </row>
    <row r="1273" spans="1:13" x14ac:dyDescent="0.25">
      <c r="A1273" t="s">
        <v>30196</v>
      </c>
      <c r="B1273" t="s">
        <v>13</v>
      </c>
      <c r="C1273" t="s">
        <v>30197</v>
      </c>
      <c r="D1273" t="s">
        <v>30198</v>
      </c>
      <c r="E1273" t="s">
        <v>30199</v>
      </c>
      <c r="F1273" t="s">
        <v>1464</v>
      </c>
      <c r="G1273" t="s">
        <v>30200</v>
      </c>
      <c r="H1273" t="s">
        <v>88</v>
      </c>
      <c r="I1273" t="s">
        <v>19</v>
      </c>
      <c r="J1273" s="3" t="s">
        <v>30201</v>
      </c>
      <c r="K1273" t="s">
        <v>30202</v>
      </c>
      <c r="L1273" t="s">
        <v>764</v>
      </c>
      <c r="M1273" t="s">
        <v>432</v>
      </c>
    </row>
    <row r="1274" spans="1:13" x14ac:dyDescent="0.25">
      <c r="A1274" t="s">
        <v>6318</v>
      </c>
      <c r="B1274" t="s">
        <v>13</v>
      </c>
      <c r="C1274" t="s">
        <v>4185</v>
      </c>
      <c r="D1274" t="s">
        <v>6319</v>
      </c>
      <c r="E1274" t="s">
        <v>6320</v>
      </c>
      <c r="F1274" t="s">
        <v>1934</v>
      </c>
      <c r="G1274" t="s">
        <v>6321</v>
      </c>
      <c r="H1274" t="s">
        <v>6322</v>
      </c>
      <c r="I1274" t="s">
        <v>19</v>
      </c>
      <c r="J1274" s="3">
        <v>5511969559700</v>
      </c>
      <c r="K1274" t="s">
        <v>6323</v>
      </c>
      <c r="L1274" t="s">
        <v>6324</v>
      </c>
      <c r="M1274" t="s">
        <v>1349</v>
      </c>
    </row>
    <row r="1275" spans="1:13" x14ac:dyDescent="0.25">
      <c r="A1275" t="s">
        <v>1541</v>
      </c>
      <c r="B1275" t="s">
        <v>13</v>
      </c>
      <c r="C1275" t="s">
        <v>1533</v>
      </c>
      <c r="D1275" t="s">
        <v>1542</v>
      </c>
      <c r="E1275" s="2" t="s">
        <v>30711</v>
      </c>
      <c r="F1275" t="s">
        <v>934</v>
      </c>
      <c r="G1275" t="s">
        <v>1543</v>
      </c>
      <c r="H1275" t="s">
        <v>1027</v>
      </c>
      <c r="I1275" t="s">
        <v>19</v>
      </c>
      <c r="J1275" s="3">
        <f>55-48-32791167</f>
        <v>-32791160</v>
      </c>
      <c r="K1275" t="s">
        <v>1544</v>
      </c>
      <c r="L1275" t="s">
        <v>1545</v>
      </c>
      <c r="M1275" t="s">
        <v>57</v>
      </c>
    </row>
    <row r="1276" spans="1:13" x14ac:dyDescent="0.25">
      <c r="A1276" t="s">
        <v>28432</v>
      </c>
      <c r="B1276" t="s">
        <v>13</v>
      </c>
      <c r="C1276" t="s">
        <v>21712</v>
      </c>
      <c r="D1276" t="s">
        <v>28433</v>
      </c>
      <c r="E1276" t="s">
        <v>28434</v>
      </c>
      <c r="F1276" t="s">
        <v>2036</v>
      </c>
      <c r="G1276" t="s">
        <v>28435</v>
      </c>
      <c r="H1276" t="s">
        <v>4236</v>
      </c>
      <c r="I1276" t="s">
        <v>19</v>
      </c>
      <c r="J1276" s="3">
        <v>559832523366</v>
      </c>
      <c r="K1276" t="s">
        <v>28436</v>
      </c>
      <c r="L1276" t="s">
        <v>28437</v>
      </c>
      <c r="M1276" t="s">
        <v>57</v>
      </c>
    </row>
    <row r="1277" spans="1:13" x14ac:dyDescent="0.25">
      <c r="A1277" t="s">
        <v>12629</v>
      </c>
      <c r="B1277" t="s">
        <v>13</v>
      </c>
      <c r="C1277" t="s">
        <v>7461</v>
      </c>
      <c r="D1277" t="s">
        <v>12630</v>
      </c>
      <c r="E1277" s="2" t="s">
        <v>31048</v>
      </c>
      <c r="F1277" t="s">
        <v>1464</v>
      </c>
      <c r="G1277" t="s">
        <v>12631</v>
      </c>
      <c r="H1277" t="s">
        <v>45</v>
      </c>
      <c r="I1277" t="s">
        <v>19</v>
      </c>
      <c r="J1277" s="3" t="s">
        <v>12632</v>
      </c>
      <c r="K1277" t="s">
        <v>12633</v>
      </c>
      <c r="L1277" t="s">
        <v>1909</v>
      </c>
      <c r="M1277" t="s">
        <v>6656</v>
      </c>
    </row>
    <row r="1278" spans="1:13" x14ac:dyDescent="0.25">
      <c r="A1278" t="s">
        <v>15405</v>
      </c>
      <c r="B1278" t="s">
        <v>13</v>
      </c>
      <c r="C1278" t="s">
        <v>15406</v>
      </c>
      <c r="D1278" t="s">
        <v>15407</v>
      </c>
      <c r="E1278" t="s">
        <v>15408</v>
      </c>
      <c r="F1278" t="s">
        <v>1129</v>
      </c>
      <c r="G1278" t="s">
        <v>15409</v>
      </c>
      <c r="H1278" t="s">
        <v>706</v>
      </c>
      <c r="I1278" t="s">
        <v>19</v>
      </c>
      <c r="J1278" s="3">
        <f>55-31-34092758</f>
        <v>-34092734</v>
      </c>
      <c r="K1278" t="s">
        <v>15410</v>
      </c>
      <c r="L1278" t="s">
        <v>565</v>
      </c>
      <c r="M1278" t="s">
        <v>224</v>
      </c>
    </row>
    <row r="1279" spans="1:13" x14ac:dyDescent="0.25">
      <c r="A1279" t="s">
        <v>24019</v>
      </c>
      <c r="B1279" t="s">
        <v>13</v>
      </c>
      <c r="C1279" s="1">
        <v>43015</v>
      </c>
      <c r="D1279" t="s">
        <v>24020</v>
      </c>
      <c r="E1279" t="s">
        <v>24021</v>
      </c>
      <c r="F1279" t="s">
        <v>306</v>
      </c>
      <c r="G1279" t="s">
        <v>23796</v>
      </c>
      <c r="H1279" t="s">
        <v>753</v>
      </c>
      <c r="I1279" t="s">
        <v>19</v>
      </c>
      <c r="J1279" s="3" t="s">
        <v>23797</v>
      </c>
      <c r="K1279" t="s">
        <v>23798</v>
      </c>
      <c r="L1279" t="s">
        <v>2762</v>
      </c>
      <c r="M1279" t="s">
        <v>32145</v>
      </c>
    </row>
    <row r="1280" spans="1:13" x14ac:dyDescent="0.25">
      <c r="A1280" t="s">
        <v>5035</v>
      </c>
      <c r="B1280" t="s">
        <v>13</v>
      </c>
      <c r="C1280" t="s">
        <v>5026</v>
      </c>
      <c r="D1280" t="s">
        <v>32135</v>
      </c>
      <c r="E1280" t="s">
        <v>5036</v>
      </c>
      <c r="F1280" t="s">
        <v>5037</v>
      </c>
      <c r="G1280" t="s">
        <v>5038</v>
      </c>
      <c r="H1280" t="s">
        <v>36</v>
      </c>
      <c r="I1280" t="s">
        <v>19</v>
      </c>
      <c r="J1280" s="3">
        <v>5511981583838</v>
      </c>
      <c r="K1280" t="s">
        <v>5039</v>
      </c>
      <c r="L1280" t="s">
        <v>32135</v>
      </c>
      <c r="M1280" t="s">
        <v>785</v>
      </c>
    </row>
    <row r="1281" spans="1:13" x14ac:dyDescent="0.25">
      <c r="A1281" t="s">
        <v>26747</v>
      </c>
      <c r="B1281" t="s">
        <v>13</v>
      </c>
      <c r="C1281" t="s">
        <v>26730</v>
      </c>
      <c r="D1281" t="s">
        <v>26748</v>
      </c>
      <c r="E1281" t="s">
        <v>24349</v>
      </c>
      <c r="F1281" t="s">
        <v>741</v>
      </c>
      <c r="G1281" t="s">
        <v>26749</v>
      </c>
      <c r="H1281" t="s">
        <v>706</v>
      </c>
      <c r="I1281" t="s">
        <v>19</v>
      </c>
      <c r="J1281" s="3" t="s">
        <v>26750</v>
      </c>
      <c r="K1281" t="s">
        <v>26751</v>
      </c>
      <c r="L1281" t="s">
        <v>9122</v>
      </c>
      <c r="M1281" t="s">
        <v>741</v>
      </c>
    </row>
    <row r="1282" spans="1:13" x14ac:dyDescent="0.25">
      <c r="A1282" t="s">
        <v>13618</v>
      </c>
      <c r="B1282" t="s">
        <v>13</v>
      </c>
      <c r="C1282" s="1">
        <v>44137</v>
      </c>
      <c r="D1282" t="s">
        <v>13619</v>
      </c>
      <c r="E1282" t="s">
        <v>13620</v>
      </c>
      <c r="F1282" t="s">
        <v>785</v>
      </c>
      <c r="G1282" t="s">
        <v>13621</v>
      </c>
      <c r="H1282" t="s">
        <v>6566</v>
      </c>
      <c r="I1282" t="s">
        <v>19</v>
      </c>
      <c r="J1282" s="3">
        <f>55-92-981165000</f>
        <v>-981165037</v>
      </c>
      <c r="K1282" t="s">
        <v>13622</v>
      </c>
      <c r="L1282" t="s">
        <v>13623</v>
      </c>
      <c r="M1282" t="s">
        <v>785</v>
      </c>
    </row>
    <row r="1283" spans="1:13" x14ac:dyDescent="0.25">
      <c r="A1283" t="s">
        <v>2065</v>
      </c>
      <c r="B1283" t="s">
        <v>13</v>
      </c>
      <c r="C1283" t="s">
        <v>2066</v>
      </c>
      <c r="D1283" t="s">
        <v>2067</v>
      </c>
      <c r="E1283" t="s">
        <v>2068</v>
      </c>
      <c r="F1283" t="s">
        <v>2069</v>
      </c>
      <c r="G1283" t="s">
        <v>2070</v>
      </c>
      <c r="H1283" t="s">
        <v>2071</v>
      </c>
      <c r="I1283" t="s">
        <v>19</v>
      </c>
      <c r="J1283" s="3">
        <v>5592981286860</v>
      </c>
      <c r="K1283" t="s">
        <v>2072</v>
      </c>
      <c r="L1283" t="s">
        <v>2073</v>
      </c>
      <c r="M1283" t="s">
        <v>741</v>
      </c>
    </row>
    <row r="1284" spans="1:13" x14ac:dyDescent="0.25">
      <c r="A1284" t="s">
        <v>24347</v>
      </c>
      <c r="B1284" t="s">
        <v>13</v>
      </c>
      <c r="C1284" s="1">
        <v>42799</v>
      </c>
      <c r="D1284" t="s">
        <v>24348</v>
      </c>
      <c r="E1284" t="s">
        <v>24349</v>
      </c>
      <c r="F1284" t="s">
        <v>11031</v>
      </c>
      <c r="G1284" t="s">
        <v>24350</v>
      </c>
      <c r="H1284" t="s">
        <v>578</v>
      </c>
      <c r="I1284" t="s">
        <v>19</v>
      </c>
      <c r="J1284" s="3" t="s">
        <v>24351</v>
      </c>
      <c r="K1284" t="s">
        <v>24352</v>
      </c>
      <c r="L1284" t="s">
        <v>24353</v>
      </c>
      <c r="M1284" t="s">
        <v>741</v>
      </c>
    </row>
    <row r="1285" spans="1:13" x14ac:dyDescent="0.25">
      <c r="A1285" t="s">
        <v>17267</v>
      </c>
      <c r="B1285" t="s">
        <v>13</v>
      </c>
      <c r="C1285" t="s">
        <v>9618</v>
      </c>
      <c r="D1285" t="s">
        <v>17268</v>
      </c>
      <c r="E1285" t="s">
        <v>17269</v>
      </c>
      <c r="F1285" t="s">
        <v>11031</v>
      </c>
      <c r="G1285" t="s">
        <v>9406</v>
      </c>
      <c r="H1285" t="s">
        <v>706</v>
      </c>
      <c r="I1285" t="s">
        <v>19</v>
      </c>
      <c r="J1285" s="3">
        <v>553133497712</v>
      </c>
      <c r="K1285" t="s">
        <v>17270</v>
      </c>
      <c r="L1285" t="s">
        <v>9409</v>
      </c>
      <c r="M1285" t="s">
        <v>741</v>
      </c>
    </row>
    <row r="1286" spans="1:13" x14ac:dyDescent="0.25">
      <c r="A1286" t="s">
        <v>23251</v>
      </c>
      <c r="B1286" t="s">
        <v>13</v>
      </c>
      <c r="C1286" t="s">
        <v>8472</v>
      </c>
      <c r="D1286" t="s">
        <v>23252</v>
      </c>
      <c r="E1286" t="s">
        <v>23253</v>
      </c>
      <c r="F1286" t="s">
        <v>785</v>
      </c>
      <c r="G1286" t="s">
        <v>23254</v>
      </c>
      <c r="H1286" t="s">
        <v>472</v>
      </c>
      <c r="I1286" t="s">
        <v>19</v>
      </c>
      <c r="J1286" s="3">
        <v>558130320479</v>
      </c>
      <c r="K1286" t="s">
        <v>23255</v>
      </c>
      <c r="L1286" t="s">
        <v>23256</v>
      </c>
      <c r="M1286" t="s">
        <v>785</v>
      </c>
    </row>
    <row r="1287" spans="1:13" x14ac:dyDescent="0.25">
      <c r="A1287" t="s">
        <v>29024</v>
      </c>
      <c r="B1287" t="s">
        <v>13</v>
      </c>
      <c r="C1287" s="1">
        <v>41889</v>
      </c>
      <c r="D1287" t="s">
        <v>29025</v>
      </c>
      <c r="E1287" t="s">
        <v>1356</v>
      </c>
      <c r="F1287" t="s">
        <v>10500</v>
      </c>
      <c r="G1287" t="s">
        <v>29026</v>
      </c>
      <c r="H1287" t="s">
        <v>428</v>
      </c>
      <c r="I1287" t="s">
        <v>19</v>
      </c>
      <c r="J1287" s="3" t="s">
        <v>29027</v>
      </c>
      <c r="K1287" t="s">
        <v>28019</v>
      </c>
      <c r="L1287" t="s">
        <v>5709</v>
      </c>
      <c r="M1287" t="s">
        <v>432</v>
      </c>
    </row>
    <row r="1288" spans="1:13" x14ac:dyDescent="0.25">
      <c r="A1288" t="s">
        <v>28923</v>
      </c>
      <c r="B1288" t="s">
        <v>13</v>
      </c>
      <c r="C1288" t="s">
        <v>28924</v>
      </c>
      <c r="D1288" t="s">
        <v>28925</v>
      </c>
      <c r="E1288" t="s">
        <v>13978</v>
      </c>
      <c r="F1288" t="s">
        <v>432</v>
      </c>
      <c r="G1288" t="s">
        <v>28926</v>
      </c>
      <c r="H1288" t="s">
        <v>28927</v>
      </c>
      <c r="I1288" t="s">
        <v>19</v>
      </c>
      <c r="J1288" s="3" t="s">
        <v>28928</v>
      </c>
      <c r="K1288" t="s">
        <v>28929</v>
      </c>
      <c r="L1288" t="s">
        <v>285</v>
      </c>
      <c r="M1288" t="s">
        <v>432</v>
      </c>
    </row>
    <row r="1289" spans="1:13" x14ac:dyDescent="0.25">
      <c r="A1289" t="s">
        <v>17883</v>
      </c>
      <c r="B1289" t="s">
        <v>13</v>
      </c>
      <c r="C1289" s="1">
        <v>43500</v>
      </c>
      <c r="D1289" t="s">
        <v>17884</v>
      </c>
      <c r="E1289" t="s">
        <v>15457</v>
      </c>
      <c r="F1289" t="s">
        <v>1464</v>
      </c>
      <c r="G1289" t="s">
        <v>17343</v>
      </c>
      <c r="H1289" t="s">
        <v>706</v>
      </c>
      <c r="I1289" t="s">
        <v>19</v>
      </c>
      <c r="J1289" s="3">
        <f>55-31991037415</f>
        <v>-31991037360</v>
      </c>
      <c r="K1289" t="s">
        <v>17345</v>
      </c>
      <c r="L1289" t="s">
        <v>565</v>
      </c>
      <c r="M1289" t="s">
        <v>432</v>
      </c>
    </row>
    <row r="1290" spans="1:13" x14ac:dyDescent="0.25">
      <c r="A1290" t="s">
        <v>18223</v>
      </c>
      <c r="B1290" t="s">
        <v>13</v>
      </c>
      <c r="C1290" s="1">
        <v>43558</v>
      </c>
      <c r="D1290" t="s">
        <v>18224</v>
      </c>
      <c r="E1290" t="s">
        <v>1356</v>
      </c>
      <c r="F1290" t="s">
        <v>1464</v>
      </c>
      <c r="G1290" t="s">
        <v>16170</v>
      </c>
      <c r="H1290" t="s">
        <v>409</v>
      </c>
      <c r="I1290" t="s">
        <v>19</v>
      </c>
      <c r="J1290" s="3">
        <f>55-48-999469417</f>
        <v>-999469410</v>
      </c>
      <c r="K1290" t="s">
        <v>16171</v>
      </c>
      <c r="L1290" t="s">
        <v>16172</v>
      </c>
      <c r="M1290" t="s">
        <v>432</v>
      </c>
    </row>
    <row r="1291" spans="1:13" x14ac:dyDescent="0.25">
      <c r="A1291" t="s">
        <v>15455</v>
      </c>
      <c r="B1291" t="s">
        <v>13</v>
      </c>
      <c r="C1291" t="s">
        <v>10689</v>
      </c>
      <c r="D1291" t="s">
        <v>15456</v>
      </c>
      <c r="E1291" t="s">
        <v>15457</v>
      </c>
      <c r="F1291" t="s">
        <v>1464</v>
      </c>
      <c r="G1291" t="s">
        <v>15458</v>
      </c>
      <c r="H1291" t="s">
        <v>642</v>
      </c>
      <c r="I1291" t="s">
        <v>19</v>
      </c>
      <c r="J1291" s="3">
        <v>36641007</v>
      </c>
      <c r="K1291" t="s">
        <v>15459</v>
      </c>
      <c r="L1291" t="s">
        <v>1823</v>
      </c>
      <c r="M1291" t="s">
        <v>432</v>
      </c>
    </row>
    <row r="1292" spans="1:13" x14ac:dyDescent="0.25">
      <c r="A1292" t="s">
        <v>10908</v>
      </c>
      <c r="B1292" t="s">
        <v>13</v>
      </c>
      <c r="C1292" t="s">
        <v>16155</v>
      </c>
      <c r="D1292" t="s">
        <v>16169</v>
      </c>
      <c r="E1292" t="s">
        <v>1356</v>
      </c>
      <c r="F1292" t="s">
        <v>1464</v>
      </c>
      <c r="G1292" t="s">
        <v>16170</v>
      </c>
      <c r="H1292" t="s">
        <v>409</v>
      </c>
      <c r="I1292" t="s">
        <v>19</v>
      </c>
      <c r="J1292" s="3">
        <f>55-48-999469417</f>
        <v>-999469410</v>
      </c>
      <c r="K1292" t="s">
        <v>16171</v>
      </c>
      <c r="L1292" t="s">
        <v>16172</v>
      </c>
      <c r="M1292" t="s">
        <v>432</v>
      </c>
    </row>
    <row r="1293" spans="1:13" x14ac:dyDescent="0.25">
      <c r="A1293" t="s">
        <v>10908</v>
      </c>
      <c r="B1293" t="s">
        <v>13</v>
      </c>
      <c r="C1293" t="s">
        <v>10579</v>
      </c>
      <c r="D1293" t="s">
        <v>10909</v>
      </c>
      <c r="E1293" t="s">
        <v>1356</v>
      </c>
      <c r="F1293" t="s">
        <v>1464</v>
      </c>
      <c r="G1293" t="s">
        <v>10910</v>
      </c>
      <c r="H1293" t="s">
        <v>10509</v>
      </c>
      <c r="I1293" t="s">
        <v>19</v>
      </c>
      <c r="J1293" s="3" t="s">
        <v>10911</v>
      </c>
      <c r="K1293" t="s">
        <v>10912</v>
      </c>
      <c r="L1293" t="s">
        <v>1480</v>
      </c>
      <c r="M1293" t="s">
        <v>432</v>
      </c>
    </row>
    <row r="1294" spans="1:13" x14ac:dyDescent="0.25">
      <c r="A1294" t="s">
        <v>1354</v>
      </c>
      <c r="B1294" t="s">
        <v>13</v>
      </c>
      <c r="C1294" s="1">
        <v>44815</v>
      </c>
      <c r="D1294" t="s">
        <v>1355</v>
      </c>
      <c r="E1294" t="s">
        <v>1356</v>
      </c>
      <c r="F1294" t="s">
        <v>1357</v>
      </c>
      <c r="G1294" t="s">
        <v>1358</v>
      </c>
      <c r="H1294" t="s">
        <v>615</v>
      </c>
      <c r="I1294" t="s">
        <v>19</v>
      </c>
      <c r="J1294" s="3" t="s">
        <v>1359</v>
      </c>
      <c r="K1294" t="s">
        <v>1360</v>
      </c>
      <c r="L1294" t="s">
        <v>1361</v>
      </c>
      <c r="M1294" t="s">
        <v>432</v>
      </c>
    </row>
    <row r="1295" spans="1:13" x14ac:dyDescent="0.25">
      <c r="A1295" t="s">
        <v>28015</v>
      </c>
      <c r="B1295" t="s">
        <v>13</v>
      </c>
      <c r="C1295" s="1">
        <v>42253</v>
      </c>
      <c r="D1295" t="s">
        <v>28016</v>
      </c>
      <c r="E1295" t="s">
        <v>15457</v>
      </c>
      <c r="F1295" t="s">
        <v>1190</v>
      </c>
      <c r="G1295" t="s">
        <v>28017</v>
      </c>
      <c r="H1295" t="s">
        <v>428</v>
      </c>
      <c r="I1295" t="s">
        <v>19</v>
      </c>
      <c r="J1295" s="3" t="s">
        <v>28018</v>
      </c>
      <c r="K1295" t="s">
        <v>28019</v>
      </c>
      <c r="L1295" t="s">
        <v>5709</v>
      </c>
      <c r="M1295" t="s">
        <v>432</v>
      </c>
    </row>
    <row r="1296" spans="1:13" x14ac:dyDescent="0.25">
      <c r="A1296" t="s">
        <v>11432</v>
      </c>
      <c r="B1296" t="s">
        <v>13</v>
      </c>
      <c r="C1296" t="s">
        <v>11433</v>
      </c>
      <c r="D1296" t="s">
        <v>11434</v>
      </c>
      <c r="E1296" t="s">
        <v>1356</v>
      </c>
      <c r="F1296" t="s">
        <v>1190</v>
      </c>
      <c r="G1296" t="s">
        <v>11435</v>
      </c>
      <c r="H1296" t="s">
        <v>936</v>
      </c>
      <c r="I1296" t="s">
        <v>19</v>
      </c>
      <c r="J1296" s="3">
        <v>71999740608</v>
      </c>
      <c r="K1296" t="s">
        <v>11436</v>
      </c>
      <c r="L1296" t="s">
        <v>1578</v>
      </c>
      <c r="M1296" t="s">
        <v>432</v>
      </c>
    </row>
    <row r="1297" spans="1:13" x14ac:dyDescent="0.25">
      <c r="A1297" t="s">
        <v>16189</v>
      </c>
      <c r="B1297" t="s">
        <v>13</v>
      </c>
      <c r="C1297" t="s">
        <v>16155</v>
      </c>
      <c r="D1297" t="s">
        <v>16190</v>
      </c>
      <c r="E1297" s="2" t="s">
        <v>31149</v>
      </c>
      <c r="F1297" t="s">
        <v>1464</v>
      </c>
      <c r="G1297" t="s">
        <v>8605</v>
      </c>
      <c r="H1297" t="s">
        <v>428</v>
      </c>
      <c r="I1297" t="s">
        <v>19</v>
      </c>
      <c r="J1297" s="3" t="s">
        <v>16191</v>
      </c>
      <c r="K1297" t="s">
        <v>8607</v>
      </c>
      <c r="L1297" t="s">
        <v>8608</v>
      </c>
      <c r="M1297" t="s">
        <v>432</v>
      </c>
    </row>
    <row r="1298" spans="1:13" x14ac:dyDescent="0.25">
      <c r="A1298" t="s">
        <v>19525</v>
      </c>
      <c r="B1298" t="s">
        <v>13</v>
      </c>
      <c r="C1298" s="1">
        <v>42677</v>
      </c>
      <c r="D1298" t="s">
        <v>19526</v>
      </c>
      <c r="E1298" s="2" t="s">
        <v>31228</v>
      </c>
      <c r="F1298" t="s">
        <v>10500</v>
      </c>
      <c r="G1298" t="s">
        <v>19527</v>
      </c>
      <c r="H1298" t="s">
        <v>409</v>
      </c>
      <c r="I1298" t="s">
        <v>19</v>
      </c>
      <c r="J1298" s="3" t="s">
        <v>19528</v>
      </c>
      <c r="K1298" t="s">
        <v>19529</v>
      </c>
      <c r="L1298" t="s">
        <v>412</v>
      </c>
      <c r="M1298" t="s">
        <v>129</v>
      </c>
    </row>
    <row r="1299" spans="1:13" x14ac:dyDescent="0.25">
      <c r="A1299" t="s">
        <v>13976</v>
      </c>
      <c r="B1299" t="s">
        <v>13</v>
      </c>
      <c r="C1299" t="s">
        <v>6128</v>
      </c>
      <c r="D1299" t="s">
        <v>13977</v>
      </c>
      <c r="E1299" s="2" t="s">
        <v>31505</v>
      </c>
      <c r="F1299" t="s">
        <v>1464</v>
      </c>
      <c r="G1299" t="s">
        <v>13979</v>
      </c>
      <c r="H1299" t="s">
        <v>255</v>
      </c>
      <c r="I1299" t="s">
        <v>19</v>
      </c>
      <c r="J1299" s="3">
        <f>55-62-984177469</f>
        <v>-984177476</v>
      </c>
      <c r="K1299" t="s">
        <v>13980</v>
      </c>
      <c r="L1299" t="s">
        <v>13981</v>
      </c>
      <c r="M1299" t="s">
        <v>432</v>
      </c>
    </row>
    <row r="1300" spans="1:13" x14ac:dyDescent="0.25">
      <c r="A1300" t="s">
        <v>27412</v>
      </c>
      <c r="B1300" t="s">
        <v>13</v>
      </c>
      <c r="C1300" t="s">
        <v>27398</v>
      </c>
      <c r="D1300" t="s">
        <v>27413</v>
      </c>
      <c r="E1300" t="s">
        <v>27414</v>
      </c>
      <c r="F1300" t="s">
        <v>1464</v>
      </c>
      <c r="G1300" t="s">
        <v>27415</v>
      </c>
      <c r="H1300" t="s">
        <v>428</v>
      </c>
      <c r="I1300" t="s">
        <v>19</v>
      </c>
      <c r="J1300" s="3">
        <v>555133598515</v>
      </c>
      <c r="K1300" t="s">
        <v>27416</v>
      </c>
      <c r="L1300" t="s">
        <v>1269</v>
      </c>
      <c r="M1300" t="s">
        <v>432</v>
      </c>
    </row>
    <row r="1301" spans="1:13" x14ac:dyDescent="0.25">
      <c r="A1301" t="s">
        <v>8603</v>
      </c>
      <c r="B1301" t="s">
        <v>13</v>
      </c>
      <c r="C1301" s="1">
        <v>44317</v>
      </c>
      <c r="D1301" t="s">
        <v>8604</v>
      </c>
      <c r="E1301" s="2" t="s">
        <v>32173</v>
      </c>
      <c r="F1301" t="s">
        <v>1356</v>
      </c>
      <c r="G1301" t="s">
        <v>8605</v>
      </c>
      <c r="H1301" t="s">
        <v>428</v>
      </c>
      <c r="I1301" t="s">
        <v>19</v>
      </c>
      <c r="J1301" s="3" t="s">
        <v>8606</v>
      </c>
      <c r="K1301" t="s">
        <v>8607</v>
      </c>
      <c r="L1301" t="s">
        <v>8608</v>
      </c>
      <c r="M1301" t="s">
        <v>432</v>
      </c>
    </row>
    <row r="1302" spans="1:13" x14ac:dyDescent="0.25">
      <c r="A1302" t="s">
        <v>18089</v>
      </c>
      <c r="B1302" t="s">
        <v>13</v>
      </c>
      <c r="C1302" t="s">
        <v>1003</v>
      </c>
      <c r="D1302" t="s">
        <v>18090</v>
      </c>
      <c r="E1302" t="s">
        <v>18091</v>
      </c>
      <c r="F1302" t="s">
        <v>6485</v>
      </c>
      <c r="G1302" t="s">
        <v>18092</v>
      </c>
      <c r="H1302" t="s">
        <v>36</v>
      </c>
      <c r="I1302" t="s">
        <v>19</v>
      </c>
      <c r="J1302" s="3">
        <f>55-11-21511353</f>
        <v>-21511309</v>
      </c>
      <c r="K1302" t="s">
        <v>2767</v>
      </c>
      <c r="L1302" t="s">
        <v>18093</v>
      </c>
      <c r="M1302" t="s">
        <v>741</v>
      </c>
    </row>
    <row r="1303" spans="1:13" x14ac:dyDescent="0.25">
      <c r="A1303" t="s">
        <v>17530</v>
      </c>
      <c r="B1303" t="s">
        <v>13</v>
      </c>
      <c r="C1303" s="1">
        <v>43621</v>
      </c>
      <c r="D1303" t="s">
        <v>17531</v>
      </c>
      <c r="E1303" t="s">
        <v>17532</v>
      </c>
      <c r="F1303" t="s">
        <v>1464</v>
      </c>
      <c r="G1303" t="s">
        <v>11095</v>
      </c>
      <c r="H1303" t="s">
        <v>489</v>
      </c>
      <c r="I1303" t="s">
        <v>19</v>
      </c>
      <c r="J1303" s="3">
        <f>55-41-33615715</f>
        <v>-33615701</v>
      </c>
      <c r="K1303" t="s">
        <v>11097</v>
      </c>
      <c r="L1303" t="s">
        <v>625</v>
      </c>
      <c r="M1303" t="s">
        <v>1775</v>
      </c>
    </row>
    <row r="1304" spans="1:13" x14ac:dyDescent="0.25">
      <c r="A1304" t="s">
        <v>7866</v>
      </c>
      <c r="B1304" t="s">
        <v>13</v>
      </c>
      <c r="C1304" t="s">
        <v>7867</v>
      </c>
      <c r="D1304" t="s">
        <v>7868</v>
      </c>
      <c r="E1304" s="2" t="s">
        <v>31697</v>
      </c>
      <c r="F1304" t="s">
        <v>1464</v>
      </c>
      <c r="G1304" t="s">
        <v>7869</v>
      </c>
      <c r="H1304" t="s">
        <v>1656</v>
      </c>
      <c r="I1304" t="s">
        <v>19</v>
      </c>
      <c r="J1304" s="3" t="s">
        <v>7870</v>
      </c>
      <c r="K1304" t="s">
        <v>7871</v>
      </c>
      <c r="L1304" t="s">
        <v>1658</v>
      </c>
      <c r="M1304" t="s">
        <v>337</v>
      </c>
    </row>
    <row r="1305" spans="1:13" x14ac:dyDescent="0.25">
      <c r="A1305" t="s">
        <v>10190</v>
      </c>
      <c r="B1305" t="s">
        <v>13</v>
      </c>
      <c r="C1305" t="s">
        <v>10191</v>
      </c>
      <c r="D1305" t="s">
        <v>10192</v>
      </c>
      <c r="E1305" t="s">
        <v>10193</v>
      </c>
      <c r="F1305" t="s">
        <v>1775</v>
      </c>
      <c r="G1305" t="s">
        <v>10194</v>
      </c>
      <c r="H1305" t="s">
        <v>1802</v>
      </c>
      <c r="I1305" t="s">
        <v>19</v>
      </c>
      <c r="J1305" s="3" t="s">
        <v>10195</v>
      </c>
      <c r="K1305" t="s">
        <v>10196</v>
      </c>
      <c r="L1305" t="s">
        <v>4852</v>
      </c>
      <c r="M1305" t="s">
        <v>337</v>
      </c>
    </row>
    <row r="1306" spans="1:13" x14ac:dyDescent="0.25">
      <c r="A1306" t="s">
        <v>7106</v>
      </c>
      <c r="B1306" t="s">
        <v>13</v>
      </c>
      <c r="C1306" t="s">
        <v>7103</v>
      </c>
      <c r="D1306" t="s">
        <v>32135</v>
      </c>
      <c r="E1306" s="2" t="s">
        <v>32039</v>
      </c>
      <c r="F1306" t="s">
        <v>7107</v>
      </c>
      <c r="G1306" t="s">
        <v>7108</v>
      </c>
      <c r="H1306" t="s">
        <v>7109</v>
      </c>
      <c r="I1306" t="s">
        <v>19</v>
      </c>
      <c r="J1306" s="3">
        <f>55-11-952490009</f>
        <v>-952489965</v>
      </c>
      <c r="K1306" t="s">
        <v>7110</v>
      </c>
      <c r="L1306" t="s">
        <v>32135</v>
      </c>
      <c r="M1306" t="s">
        <v>792</v>
      </c>
    </row>
    <row r="1307" spans="1:13" x14ac:dyDescent="0.25">
      <c r="A1307" t="s">
        <v>8496</v>
      </c>
      <c r="B1307" t="s">
        <v>13</v>
      </c>
      <c r="C1307" t="s">
        <v>8497</v>
      </c>
      <c r="D1307" t="s">
        <v>8498</v>
      </c>
      <c r="E1307" t="s">
        <v>8499</v>
      </c>
      <c r="F1307" t="s">
        <v>1464</v>
      </c>
      <c r="G1307" t="s">
        <v>8500</v>
      </c>
      <c r="H1307" t="s">
        <v>428</v>
      </c>
      <c r="I1307" t="s">
        <v>19</v>
      </c>
      <c r="J1307" s="3" t="s">
        <v>8501</v>
      </c>
      <c r="K1307" t="s">
        <v>8502</v>
      </c>
      <c r="L1307" t="s">
        <v>1295</v>
      </c>
      <c r="M1307" t="s">
        <v>337</v>
      </c>
    </row>
    <row r="1308" spans="1:13" x14ac:dyDescent="0.25">
      <c r="A1308" t="s">
        <v>16449</v>
      </c>
      <c r="B1308" t="s">
        <v>13</v>
      </c>
      <c r="C1308" t="s">
        <v>16436</v>
      </c>
      <c r="D1308" t="s">
        <v>16450</v>
      </c>
      <c r="E1308" t="s">
        <v>16451</v>
      </c>
      <c r="F1308" t="s">
        <v>129</v>
      </c>
      <c r="G1308" t="s">
        <v>16452</v>
      </c>
      <c r="H1308" t="s">
        <v>352</v>
      </c>
      <c r="I1308" t="s">
        <v>19</v>
      </c>
      <c r="J1308" s="3" t="s">
        <v>16453</v>
      </c>
      <c r="K1308" t="s">
        <v>16454</v>
      </c>
      <c r="L1308" t="s">
        <v>2527</v>
      </c>
      <c r="M1308" t="s">
        <v>129</v>
      </c>
    </row>
    <row r="1309" spans="1:13" x14ac:dyDescent="0.25">
      <c r="A1309" t="s">
        <v>7102</v>
      </c>
      <c r="B1309" t="s">
        <v>13</v>
      </c>
      <c r="C1309" t="s">
        <v>7103</v>
      </c>
      <c r="D1309" t="s">
        <v>32135</v>
      </c>
      <c r="E1309" s="2" t="s">
        <v>31723</v>
      </c>
      <c r="F1309" t="s">
        <v>2378</v>
      </c>
      <c r="G1309" t="s">
        <v>7104</v>
      </c>
      <c r="H1309" t="s">
        <v>150</v>
      </c>
      <c r="I1309" t="s">
        <v>19</v>
      </c>
      <c r="J1309" s="3">
        <v>551121767000</v>
      </c>
      <c r="K1309" t="s">
        <v>7105</v>
      </c>
      <c r="L1309" t="s">
        <v>32135</v>
      </c>
      <c r="M1309" t="s">
        <v>129</v>
      </c>
    </row>
    <row r="1310" spans="1:13" x14ac:dyDescent="0.25">
      <c r="A1310" t="s">
        <v>20408</v>
      </c>
      <c r="B1310" t="s">
        <v>13</v>
      </c>
      <c r="C1310" t="s">
        <v>8242</v>
      </c>
      <c r="D1310" t="s">
        <v>20409</v>
      </c>
      <c r="E1310" s="2" t="s">
        <v>32003</v>
      </c>
      <c r="F1310" t="s">
        <v>1464</v>
      </c>
      <c r="G1310" t="s">
        <v>20410</v>
      </c>
      <c r="H1310" t="s">
        <v>2440</v>
      </c>
      <c r="I1310" t="s">
        <v>19</v>
      </c>
      <c r="J1310" s="3">
        <f>55-62-98261-1506</f>
        <v>-99774</v>
      </c>
      <c r="K1310" t="s">
        <v>20411</v>
      </c>
      <c r="L1310" t="s">
        <v>9587</v>
      </c>
      <c r="M1310" t="s">
        <v>1304</v>
      </c>
    </row>
    <row r="1311" spans="1:13" x14ac:dyDescent="0.25">
      <c r="A1311" t="s">
        <v>17331</v>
      </c>
      <c r="B1311" t="s">
        <v>13</v>
      </c>
      <c r="C1311" s="1">
        <v>43591</v>
      </c>
      <c r="D1311" t="s">
        <v>17332</v>
      </c>
      <c r="E1311" t="s">
        <v>122</v>
      </c>
      <c r="F1311" t="s">
        <v>122</v>
      </c>
      <c r="G1311" t="s">
        <v>17333</v>
      </c>
      <c r="H1311" t="s">
        <v>45</v>
      </c>
      <c r="I1311" t="s">
        <v>19</v>
      </c>
      <c r="J1311" s="3" t="s">
        <v>17334</v>
      </c>
      <c r="K1311" t="s">
        <v>17335</v>
      </c>
      <c r="L1311" t="s">
        <v>3108</v>
      </c>
      <c r="M1311" t="s">
        <v>337</v>
      </c>
    </row>
    <row r="1312" spans="1:13" x14ac:dyDescent="0.25">
      <c r="A1312" t="s">
        <v>3696</v>
      </c>
      <c r="B1312" t="s">
        <v>13</v>
      </c>
      <c r="C1312" s="1">
        <v>44717</v>
      </c>
      <c r="D1312" t="s">
        <v>3697</v>
      </c>
      <c r="E1312" t="s">
        <v>3698</v>
      </c>
      <c r="F1312" t="s">
        <v>3699</v>
      </c>
      <c r="G1312" t="s">
        <v>3700</v>
      </c>
      <c r="H1312" t="s">
        <v>18</v>
      </c>
      <c r="I1312" t="s">
        <v>19</v>
      </c>
      <c r="J1312" s="3">
        <f>55-19-998007734</f>
        <v>-998007698</v>
      </c>
      <c r="K1312" t="s">
        <v>3701</v>
      </c>
      <c r="L1312" t="s">
        <v>3702</v>
      </c>
      <c r="M1312" t="s">
        <v>337</v>
      </c>
    </row>
    <row r="1313" spans="1:13" x14ac:dyDescent="0.25">
      <c r="A1313" t="s">
        <v>29168</v>
      </c>
      <c r="B1313" t="s">
        <v>13</v>
      </c>
      <c r="C1313" s="1">
        <v>41824</v>
      </c>
      <c r="D1313" t="s">
        <v>29169</v>
      </c>
      <c r="E1313" t="s">
        <v>29170</v>
      </c>
      <c r="F1313" t="s">
        <v>306</v>
      </c>
      <c r="G1313" t="s">
        <v>27671</v>
      </c>
      <c r="H1313" t="s">
        <v>36</v>
      </c>
      <c r="I1313" t="s">
        <v>19</v>
      </c>
      <c r="J1313" s="3" t="s">
        <v>27672</v>
      </c>
      <c r="K1313" t="s">
        <v>27673</v>
      </c>
      <c r="L1313" t="s">
        <v>1851</v>
      </c>
      <c r="M1313" t="s">
        <v>32145</v>
      </c>
    </row>
    <row r="1314" spans="1:13" x14ac:dyDescent="0.25">
      <c r="A1314" t="s">
        <v>20186</v>
      </c>
      <c r="B1314" t="s">
        <v>13</v>
      </c>
      <c r="C1314" s="1">
        <v>43139</v>
      </c>
      <c r="D1314" t="s">
        <v>20187</v>
      </c>
      <c r="E1314" t="s">
        <v>13683</v>
      </c>
      <c r="F1314" t="s">
        <v>2947</v>
      </c>
      <c r="G1314" t="s">
        <v>20188</v>
      </c>
      <c r="H1314" t="s">
        <v>3630</v>
      </c>
      <c r="I1314" t="s">
        <v>19</v>
      </c>
      <c r="J1314" s="3">
        <f>55-48-30451650</f>
        <v>-30451643</v>
      </c>
      <c r="K1314" t="s">
        <v>20189</v>
      </c>
      <c r="L1314" t="s">
        <v>20190</v>
      </c>
      <c r="M1314" t="s">
        <v>771</v>
      </c>
    </row>
    <row r="1315" spans="1:13" x14ac:dyDescent="0.25">
      <c r="A1315" t="s">
        <v>13681</v>
      </c>
      <c r="B1315" t="s">
        <v>101</v>
      </c>
      <c r="C1315" s="1">
        <v>44106</v>
      </c>
      <c r="D1315" t="s">
        <v>13682</v>
      </c>
      <c r="E1315" t="s">
        <v>13683</v>
      </c>
      <c r="F1315" t="s">
        <v>3084</v>
      </c>
      <c r="G1315" t="s">
        <v>13684</v>
      </c>
      <c r="H1315" t="s">
        <v>36</v>
      </c>
      <c r="I1315" t="s">
        <v>19</v>
      </c>
      <c r="J1315" s="3">
        <f>55-11-26619033</f>
        <v>-26618989</v>
      </c>
      <c r="K1315" t="s">
        <v>12319</v>
      </c>
      <c r="L1315" t="s">
        <v>13685</v>
      </c>
      <c r="M1315" t="s">
        <v>32144</v>
      </c>
    </row>
    <row r="1316" spans="1:13" x14ac:dyDescent="0.25">
      <c r="A1316" t="s">
        <v>11406</v>
      </c>
      <c r="B1316" t="s">
        <v>13</v>
      </c>
      <c r="C1316" s="1">
        <v>43169</v>
      </c>
      <c r="D1316" t="s">
        <v>11407</v>
      </c>
      <c r="E1316" t="s">
        <v>11408</v>
      </c>
      <c r="F1316" t="s">
        <v>1464</v>
      </c>
      <c r="G1316" t="s">
        <v>11409</v>
      </c>
      <c r="H1316" t="s">
        <v>936</v>
      </c>
      <c r="I1316" t="s">
        <v>19</v>
      </c>
      <c r="J1316" s="3">
        <f>55-71-981029600</f>
        <v>-981029616</v>
      </c>
      <c r="K1316" t="s">
        <v>11410</v>
      </c>
      <c r="L1316" t="s">
        <v>3669</v>
      </c>
      <c r="M1316" t="s">
        <v>32144</v>
      </c>
    </row>
    <row r="1317" spans="1:13" x14ac:dyDescent="0.25">
      <c r="A1317" t="s">
        <v>5995</v>
      </c>
      <c r="B1317" t="s">
        <v>13</v>
      </c>
      <c r="C1317" s="1">
        <v>44540</v>
      </c>
      <c r="D1317" t="s">
        <v>32135</v>
      </c>
      <c r="E1317" s="2" t="s">
        <v>31902</v>
      </c>
      <c r="F1317" t="s">
        <v>396</v>
      </c>
      <c r="G1317" t="s">
        <v>5996</v>
      </c>
      <c r="H1317" t="s">
        <v>5543</v>
      </c>
      <c r="I1317" t="s">
        <v>19</v>
      </c>
      <c r="J1317" s="3" t="s">
        <v>5997</v>
      </c>
      <c r="K1317" t="s">
        <v>5998</v>
      </c>
      <c r="L1317" t="s">
        <v>32135</v>
      </c>
      <c r="M1317" t="s">
        <v>32145</v>
      </c>
    </row>
    <row r="1318" spans="1:13" x14ac:dyDescent="0.25">
      <c r="A1318" t="s">
        <v>10728</v>
      </c>
      <c r="B1318" t="s">
        <v>13</v>
      </c>
      <c r="C1318" t="s">
        <v>10729</v>
      </c>
      <c r="D1318" t="s">
        <v>10730</v>
      </c>
      <c r="E1318" t="s">
        <v>10731</v>
      </c>
      <c r="F1318" t="s">
        <v>1464</v>
      </c>
      <c r="G1318" t="s">
        <v>10732</v>
      </c>
      <c r="H1318" t="s">
        <v>141</v>
      </c>
      <c r="I1318" t="s">
        <v>19</v>
      </c>
      <c r="J1318" s="3" t="s">
        <v>10733</v>
      </c>
      <c r="K1318" t="s">
        <v>10734</v>
      </c>
      <c r="L1318" t="s">
        <v>10735</v>
      </c>
      <c r="M1318" t="s">
        <v>337</v>
      </c>
    </row>
    <row r="1319" spans="1:13" x14ac:dyDescent="0.25">
      <c r="A1319" t="s">
        <v>10239</v>
      </c>
      <c r="B1319" t="s">
        <v>13</v>
      </c>
      <c r="C1319" t="s">
        <v>9229</v>
      </c>
      <c r="D1319" t="s">
        <v>10240</v>
      </c>
      <c r="E1319" t="s">
        <v>10241</v>
      </c>
      <c r="F1319" t="s">
        <v>224</v>
      </c>
      <c r="G1319" t="s">
        <v>10242</v>
      </c>
      <c r="H1319" t="s">
        <v>45</v>
      </c>
      <c r="I1319" t="s">
        <v>19</v>
      </c>
      <c r="J1319" s="3">
        <v>85986073040</v>
      </c>
      <c r="K1319" t="s">
        <v>10243</v>
      </c>
      <c r="L1319" t="s">
        <v>10244</v>
      </c>
      <c r="M1319" t="s">
        <v>224</v>
      </c>
    </row>
    <row r="1320" spans="1:13" x14ac:dyDescent="0.25">
      <c r="A1320" t="s">
        <v>12490</v>
      </c>
      <c r="B1320" t="s">
        <v>13</v>
      </c>
      <c r="C1320" s="1">
        <v>43986</v>
      </c>
      <c r="D1320" t="s">
        <v>12491</v>
      </c>
      <c r="E1320" t="s">
        <v>9295</v>
      </c>
      <c r="F1320" t="s">
        <v>3084</v>
      </c>
      <c r="G1320" t="s">
        <v>9296</v>
      </c>
      <c r="H1320" t="s">
        <v>195</v>
      </c>
      <c r="I1320" t="s">
        <v>19</v>
      </c>
      <c r="J1320" s="3">
        <f>55-16-33518704</f>
        <v>-33518665</v>
      </c>
      <c r="K1320" t="s">
        <v>9297</v>
      </c>
      <c r="L1320" t="s">
        <v>197</v>
      </c>
      <c r="M1320" t="s">
        <v>32144</v>
      </c>
    </row>
    <row r="1321" spans="1:13" x14ac:dyDescent="0.25">
      <c r="A1321" t="s">
        <v>12480</v>
      </c>
      <c r="B1321" t="s">
        <v>101</v>
      </c>
      <c r="C1321" s="1">
        <v>43986</v>
      </c>
      <c r="D1321" t="s">
        <v>12481</v>
      </c>
      <c r="E1321" t="s">
        <v>9295</v>
      </c>
      <c r="F1321" t="s">
        <v>3084</v>
      </c>
      <c r="G1321" t="s">
        <v>12482</v>
      </c>
      <c r="H1321" t="s">
        <v>195</v>
      </c>
      <c r="I1321" t="s">
        <v>19</v>
      </c>
      <c r="J1321" s="3">
        <v>5501633518039</v>
      </c>
      <c r="K1321" t="s">
        <v>12483</v>
      </c>
      <c r="L1321" t="s">
        <v>197</v>
      </c>
      <c r="M1321" t="s">
        <v>32144</v>
      </c>
    </row>
    <row r="1322" spans="1:13" x14ac:dyDescent="0.25">
      <c r="A1322" t="s">
        <v>27136</v>
      </c>
      <c r="B1322" t="s">
        <v>13</v>
      </c>
      <c r="C1322" s="1">
        <v>42552</v>
      </c>
      <c r="D1322" t="s">
        <v>27137</v>
      </c>
      <c r="E1322" t="s">
        <v>9295</v>
      </c>
      <c r="F1322" t="s">
        <v>3084</v>
      </c>
      <c r="G1322" t="s">
        <v>20641</v>
      </c>
      <c r="H1322" t="s">
        <v>2545</v>
      </c>
      <c r="I1322" t="s">
        <v>19</v>
      </c>
      <c r="J1322" s="3" t="s">
        <v>27138</v>
      </c>
      <c r="K1322" t="s">
        <v>20642</v>
      </c>
      <c r="L1322" t="s">
        <v>2548</v>
      </c>
      <c r="M1322" t="s">
        <v>32144</v>
      </c>
    </row>
    <row r="1323" spans="1:13" x14ac:dyDescent="0.25">
      <c r="A1323" t="s">
        <v>23185</v>
      </c>
      <c r="B1323" t="s">
        <v>13</v>
      </c>
      <c r="C1323" t="s">
        <v>23178</v>
      </c>
      <c r="D1323" t="s">
        <v>23186</v>
      </c>
      <c r="E1323" t="s">
        <v>23187</v>
      </c>
      <c r="F1323" t="s">
        <v>224</v>
      </c>
      <c r="G1323" t="s">
        <v>23188</v>
      </c>
      <c r="H1323" t="s">
        <v>36</v>
      </c>
      <c r="I1323" t="s">
        <v>19</v>
      </c>
      <c r="J1323" s="3" t="s">
        <v>23189</v>
      </c>
      <c r="K1323" t="s">
        <v>23190</v>
      </c>
      <c r="L1323" t="s">
        <v>23191</v>
      </c>
      <c r="M1323" t="s">
        <v>224</v>
      </c>
    </row>
    <row r="1324" spans="1:13" x14ac:dyDescent="0.25">
      <c r="A1324" t="s">
        <v>11376</v>
      </c>
      <c r="B1324" t="s">
        <v>13</v>
      </c>
      <c r="C1324" t="s">
        <v>9573</v>
      </c>
      <c r="D1324" t="s">
        <v>11377</v>
      </c>
      <c r="E1324" s="2" t="s">
        <v>31014</v>
      </c>
      <c r="F1324" t="s">
        <v>1464</v>
      </c>
      <c r="G1324" t="s">
        <v>11378</v>
      </c>
      <c r="H1324" t="s">
        <v>798</v>
      </c>
      <c r="I1324" t="s">
        <v>19</v>
      </c>
      <c r="J1324" s="3" t="s">
        <v>11379</v>
      </c>
      <c r="K1324" t="s">
        <v>11380</v>
      </c>
      <c r="L1324" t="s">
        <v>11381</v>
      </c>
      <c r="M1324" t="s">
        <v>337</v>
      </c>
    </row>
    <row r="1325" spans="1:13" x14ac:dyDescent="0.25">
      <c r="A1325" t="s">
        <v>19058</v>
      </c>
      <c r="B1325" t="s">
        <v>13</v>
      </c>
      <c r="C1325" s="1">
        <v>43323</v>
      </c>
      <c r="D1325" t="s">
        <v>19059</v>
      </c>
      <c r="E1325" s="2" t="s">
        <v>31659</v>
      </c>
      <c r="F1325" t="s">
        <v>3084</v>
      </c>
      <c r="G1325" t="s">
        <v>19060</v>
      </c>
      <c r="H1325" t="s">
        <v>265</v>
      </c>
      <c r="I1325" t="s">
        <v>19</v>
      </c>
      <c r="J1325" s="3">
        <f>55-16-33150338</f>
        <v>-33150299</v>
      </c>
      <c r="K1325" t="s">
        <v>12038</v>
      </c>
      <c r="L1325" t="s">
        <v>19061</v>
      </c>
      <c r="M1325" t="s">
        <v>32144</v>
      </c>
    </row>
    <row r="1326" spans="1:13" x14ac:dyDescent="0.25">
      <c r="A1326" t="s">
        <v>13697</v>
      </c>
      <c r="B1326" t="s">
        <v>13</v>
      </c>
      <c r="C1326" s="1">
        <v>44076</v>
      </c>
      <c r="D1326" t="s">
        <v>13698</v>
      </c>
      <c r="E1326" t="s">
        <v>13699</v>
      </c>
      <c r="F1326" t="s">
        <v>1129</v>
      </c>
      <c r="G1326" t="s">
        <v>13700</v>
      </c>
      <c r="H1326" t="s">
        <v>299</v>
      </c>
      <c r="I1326" t="s">
        <v>19</v>
      </c>
      <c r="J1326" s="3">
        <f>55-11-95425-2277</f>
        <v>-97658</v>
      </c>
      <c r="K1326" t="s">
        <v>13701</v>
      </c>
      <c r="L1326" t="s">
        <v>2621</v>
      </c>
      <c r="M1326" t="s">
        <v>32144</v>
      </c>
    </row>
    <row r="1327" spans="1:13" x14ac:dyDescent="0.25">
      <c r="A1327" t="s">
        <v>22542</v>
      </c>
      <c r="B1327" t="s">
        <v>13</v>
      </c>
      <c r="C1327" t="s">
        <v>22521</v>
      </c>
      <c r="D1327" t="s">
        <v>22543</v>
      </c>
      <c r="E1327" s="2" t="s">
        <v>31662</v>
      </c>
      <c r="F1327" t="s">
        <v>1464</v>
      </c>
      <c r="G1327" t="s">
        <v>22544</v>
      </c>
      <c r="H1327" t="s">
        <v>265</v>
      </c>
      <c r="I1327" t="s">
        <v>19</v>
      </c>
      <c r="J1327" s="3">
        <v>5517981103824</v>
      </c>
      <c r="K1327" t="s">
        <v>22545</v>
      </c>
      <c r="L1327" t="s">
        <v>1569</v>
      </c>
      <c r="M1327" t="s">
        <v>32144</v>
      </c>
    </row>
    <row r="1328" spans="1:13" x14ac:dyDescent="0.25">
      <c r="A1328" t="s">
        <v>12925</v>
      </c>
      <c r="B1328" t="s">
        <v>13</v>
      </c>
      <c r="C1328" t="s">
        <v>8968</v>
      </c>
      <c r="D1328" t="s">
        <v>12926</v>
      </c>
      <c r="E1328" s="2" t="s">
        <v>32294</v>
      </c>
      <c r="F1328" t="s">
        <v>224</v>
      </c>
      <c r="G1328" t="s">
        <v>12927</v>
      </c>
      <c r="H1328" t="s">
        <v>12928</v>
      </c>
      <c r="I1328" t="s">
        <v>3017</v>
      </c>
      <c r="J1328" s="3">
        <f>351-915-398814</f>
        <v>-399378</v>
      </c>
      <c r="K1328" t="s">
        <v>12929</v>
      </c>
      <c r="L1328" t="s">
        <v>12930</v>
      </c>
      <c r="M1328" t="s">
        <v>224</v>
      </c>
    </row>
    <row r="1329" spans="1:13" x14ac:dyDescent="0.25">
      <c r="A1329" t="s">
        <v>20900</v>
      </c>
      <c r="B1329" t="s">
        <v>13</v>
      </c>
      <c r="C1329" t="s">
        <v>2033</v>
      </c>
      <c r="D1329" t="s">
        <v>20901</v>
      </c>
      <c r="E1329" t="s">
        <v>20902</v>
      </c>
      <c r="F1329" t="s">
        <v>3084</v>
      </c>
      <c r="G1329" t="s">
        <v>307</v>
      </c>
      <c r="H1329" t="s">
        <v>308</v>
      </c>
      <c r="I1329" t="s">
        <v>309</v>
      </c>
      <c r="J1329" s="3" t="s">
        <v>310</v>
      </c>
      <c r="K1329" t="s">
        <v>311</v>
      </c>
      <c r="L1329" t="s">
        <v>312</v>
      </c>
      <c r="M1329" t="s">
        <v>32144</v>
      </c>
    </row>
    <row r="1330" spans="1:13" x14ac:dyDescent="0.25">
      <c r="A1330" t="s">
        <v>23529</v>
      </c>
      <c r="B1330" t="s">
        <v>13</v>
      </c>
      <c r="C1330" t="s">
        <v>11911</v>
      </c>
      <c r="D1330" t="s">
        <v>23530</v>
      </c>
      <c r="E1330" t="s">
        <v>23531</v>
      </c>
      <c r="F1330" t="s">
        <v>5940</v>
      </c>
      <c r="G1330" t="s">
        <v>23532</v>
      </c>
      <c r="H1330" t="s">
        <v>45</v>
      </c>
      <c r="I1330" t="s">
        <v>19</v>
      </c>
      <c r="J1330" s="3" t="s">
        <v>23533</v>
      </c>
      <c r="K1330" t="s">
        <v>23534</v>
      </c>
      <c r="L1330" t="s">
        <v>23535</v>
      </c>
      <c r="M1330" t="s">
        <v>1304</v>
      </c>
    </row>
    <row r="1331" spans="1:13" x14ac:dyDescent="0.25">
      <c r="A1331" t="s">
        <v>28904</v>
      </c>
      <c r="B1331" t="s">
        <v>13</v>
      </c>
      <c r="C1331" s="1">
        <v>41952</v>
      </c>
      <c r="D1331" t="s">
        <v>28905</v>
      </c>
      <c r="E1331" t="s">
        <v>10928</v>
      </c>
      <c r="F1331" t="s">
        <v>6485</v>
      </c>
      <c r="G1331" t="s">
        <v>28906</v>
      </c>
      <c r="H1331" t="s">
        <v>352</v>
      </c>
      <c r="I1331" t="s">
        <v>19</v>
      </c>
      <c r="J1331" s="3" t="s">
        <v>28907</v>
      </c>
      <c r="K1331" t="s">
        <v>28908</v>
      </c>
      <c r="L1331" t="s">
        <v>4617</v>
      </c>
      <c r="M1331" t="s">
        <v>741</v>
      </c>
    </row>
    <row r="1332" spans="1:13" x14ac:dyDescent="0.25">
      <c r="A1332" t="s">
        <v>15710</v>
      </c>
      <c r="B1332" t="s">
        <v>101</v>
      </c>
      <c r="C1332" t="s">
        <v>15711</v>
      </c>
      <c r="D1332" t="s">
        <v>15712</v>
      </c>
      <c r="E1332" t="s">
        <v>15713</v>
      </c>
      <c r="F1332" t="s">
        <v>6485</v>
      </c>
      <c r="G1332" t="s">
        <v>15714</v>
      </c>
      <c r="H1332" t="s">
        <v>352</v>
      </c>
      <c r="I1332" t="s">
        <v>19</v>
      </c>
      <c r="J1332" s="3" t="s">
        <v>15715</v>
      </c>
      <c r="K1332" t="s">
        <v>15716</v>
      </c>
      <c r="L1332" t="s">
        <v>15717</v>
      </c>
      <c r="M1332" t="s">
        <v>741</v>
      </c>
    </row>
    <row r="1333" spans="1:13" x14ac:dyDescent="0.25">
      <c r="A1333" t="s">
        <v>27144</v>
      </c>
      <c r="B1333" t="s">
        <v>101</v>
      </c>
      <c r="C1333" s="1">
        <v>42522</v>
      </c>
      <c r="D1333" t="s">
        <v>27145</v>
      </c>
      <c r="E1333" t="s">
        <v>10928</v>
      </c>
      <c r="F1333" t="s">
        <v>6485</v>
      </c>
      <c r="G1333" t="s">
        <v>27146</v>
      </c>
      <c r="H1333" t="s">
        <v>18</v>
      </c>
      <c r="I1333" t="s">
        <v>19</v>
      </c>
      <c r="J1333" s="3" t="s">
        <v>27147</v>
      </c>
      <c r="K1333" t="s">
        <v>27148</v>
      </c>
      <c r="L1333" t="s">
        <v>14327</v>
      </c>
      <c r="M1333" t="s">
        <v>741</v>
      </c>
    </row>
    <row r="1334" spans="1:13" x14ac:dyDescent="0.25">
      <c r="A1334" t="s">
        <v>10926</v>
      </c>
      <c r="B1334" t="s">
        <v>13</v>
      </c>
      <c r="C1334" t="s">
        <v>10921</v>
      </c>
      <c r="D1334" t="s">
        <v>10927</v>
      </c>
      <c r="E1334" s="2" t="s">
        <v>31839</v>
      </c>
      <c r="F1334" t="s">
        <v>2530</v>
      </c>
      <c r="G1334" t="s">
        <v>10929</v>
      </c>
      <c r="H1334" t="s">
        <v>45</v>
      </c>
      <c r="I1334" t="s">
        <v>19</v>
      </c>
      <c r="J1334" s="3" t="s">
        <v>10930</v>
      </c>
      <c r="K1334" t="s">
        <v>10931</v>
      </c>
      <c r="L1334" t="s">
        <v>10932</v>
      </c>
      <c r="M1334" t="s">
        <v>741</v>
      </c>
    </row>
    <row r="1335" spans="1:13" x14ac:dyDescent="0.25">
      <c r="A1335" t="s">
        <v>20953</v>
      </c>
      <c r="B1335" t="s">
        <v>13</v>
      </c>
      <c r="C1335" t="s">
        <v>20941</v>
      </c>
      <c r="D1335" t="s">
        <v>20954</v>
      </c>
      <c r="E1335" t="s">
        <v>20955</v>
      </c>
      <c r="F1335" t="s">
        <v>337</v>
      </c>
      <c r="G1335" t="s">
        <v>18697</v>
      </c>
      <c r="H1335" t="s">
        <v>20956</v>
      </c>
      <c r="I1335" t="s">
        <v>19</v>
      </c>
      <c r="J1335" s="3">
        <f>55-12-39479403</f>
        <v>-39479360</v>
      </c>
      <c r="K1335" t="s">
        <v>18974</v>
      </c>
      <c r="L1335" t="s">
        <v>20957</v>
      </c>
      <c r="M1335" t="s">
        <v>337</v>
      </c>
    </row>
    <row r="1336" spans="1:13" x14ac:dyDescent="0.25">
      <c r="A1336" t="s">
        <v>21669</v>
      </c>
      <c r="B1336" t="s">
        <v>13</v>
      </c>
      <c r="C1336" s="1">
        <v>43195</v>
      </c>
      <c r="D1336" t="s">
        <v>21670</v>
      </c>
      <c r="E1336" s="2" t="s">
        <v>31499</v>
      </c>
      <c r="F1336" t="s">
        <v>337</v>
      </c>
      <c r="G1336" t="s">
        <v>21671</v>
      </c>
      <c r="H1336" t="s">
        <v>45</v>
      </c>
      <c r="I1336" t="s">
        <v>19</v>
      </c>
      <c r="J1336" s="3" t="s">
        <v>21672</v>
      </c>
      <c r="K1336" t="s">
        <v>21673</v>
      </c>
      <c r="L1336" t="s">
        <v>21674</v>
      </c>
      <c r="M1336" t="s">
        <v>337</v>
      </c>
    </row>
    <row r="1337" spans="1:13" x14ac:dyDescent="0.25">
      <c r="A1337" t="s">
        <v>22310</v>
      </c>
      <c r="B1337" t="s">
        <v>13</v>
      </c>
      <c r="C1337" s="1">
        <v>43222</v>
      </c>
      <c r="D1337" t="s">
        <v>22311</v>
      </c>
      <c r="E1337" s="2" t="s">
        <v>31499</v>
      </c>
      <c r="F1337" t="s">
        <v>337</v>
      </c>
      <c r="G1337" t="s">
        <v>22312</v>
      </c>
      <c r="H1337" t="s">
        <v>45</v>
      </c>
      <c r="I1337" t="s">
        <v>19</v>
      </c>
      <c r="J1337" s="3" t="s">
        <v>22313</v>
      </c>
      <c r="K1337" t="s">
        <v>22314</v>
      </c>
      <c r="L1337" t="s">
        <v>21674</v>
      </c>
      <c r="M1337" t="s">
        <v>337</v>
      </c>
    </row>
    <row r="1338" spans="1:13" x14ac:dyDescent="0.25">
      <c r="A1338" t="s">
        <v>24520</v>
      </c>
      <c r="B1338" t="s">
        <v>13</v>
      </c>
      <c r="C1338" t="s">
        <v>24511</v>
      </c>
      <c r="D1338" t="s">
        <v>24521</v>
      </c>
      <c r="E1338" t="s">
        <v>24522</v>
      </c>
      <c r="F1338" t="s">
        <v>1464</v>
      </c>
      <c r="G1338" t="s">
        <v>24523</v>
      </c>
      <c r="H1338" t="s">
        <v>20782</v>
      </c>
      <c r="I1338" t="s">
        <v>19</v>
      </c>
      <c r="J1338" s="3" t="s">
        <v>24524</v>
      </c>
      <c r="K1338" t="s">
        <v>24525</v>
      </c>
      <c r="L1338" t="s">
        <v>12598</v>
      </c>
      <c r="M1338" t="s">
        <v>337</v>
      </c>
    </row>
    <row r="1339" spans="1:13" x14ac:dyDescent="0.25">
      <c r="A1339" t="s">
        <v>3009</v>
      </c>
      <c r="B1339" t="s">
        <v>13</v>
      </c>
      <c r="C1339" t="s">
        <v>3003</v>
      </c>
      <c r="D1339" t="s">
        <v>3010</v>
      </c>
      <c r="E1339" s="2" t="s">
        <v>30762</v>
      </c>
      <c r="F1339" t="s">
        <v>2212</v>
      </c>
      <c r="G1339" t="s">
        <v>2261</v>
      </c>
      <c r="H1339" t="s">
        <v>2215</v>
      </c>
      <c r="I1339" t="s">
        <v>19</v>
      </c>
      <c r="J1339" s="3" t="s">
        <v>2262</v>
      </c>
      <c r="K1339" t="s">
        <v>2263</v>
      </c>
      <c r="L1339" t="s">
        <v>2218</v>
      </c>
      <c r="M1339" t="s">
        <v>337</v>
      </c>
    </row>
    <row r="1340" spans="1:13" x14ac:dyDescent="0.25">
      <c r="A1340" t="s">
        <v>15201</v>
      </c>
      <c r="B1340" t="s">
        <v>13</v>
      </c>
      <c r="C1340" t="s">
        <v>303</v>
      </c>
      <c r="D1340" t="s">
        <v>15202</v>
      </c>
      <c r="E1340" t="s">
        <v>1925</v>
      </c>
      <c r="F1340" t="s">
        <v>6130</v>
      </c>
      <c r="G1340" t="s">
        <v>15203</v>
      </c>
      <c r="H1340" t="s">
        <v>36</v>
      </c>
      <c r="I1340" t="s">
        <v>19</v>
      </c>
      <c r="J1340" s="3" t="s">
        <v>15204</v>
      </c>
      <c r="K1340" t="s">
        <v>15205</v>
      </c>
      <c r="L1340" t="s">
        <v>3512</v>
      </c>
      <c r="M1340" t="s">
        <v>32144</v>
      </c>
    </row>
    <row r="1341" spans="1:13" x14ac:dyDescent="0.25">
      <c r="A1341" t="s">
        <v>1923</v>
      </c>
      <c r="B1341" t="s">
        <v>13</v>
      </c>
      <c r="C1341" t="s">
        <v>1911</v>
      </c>
      <c r="D1341" t="s">
        <v>1924</v>
      </c>
      <c r="E1341" s="2" t="s">
        <v>30719</v>
      </c>
      <c r="F1341" t="s">
        <v>1926</v>
      </c>
      <c r="G1341" t="s">
        <v>1927</v>
      </c>
      <c r="H1341" t="s">
        <v>18</v>
      </c>
      <c r="I1341" t="s">
        <v>19</v>
      </c>
      <c r="J1341" s="3" t="s">
        <v>1928</v>
      </c>
      <c r="K1341" t="s">
        <v>1929</v>
      </c>
      <c r="L1341" t="s">
        <v>1224</v>
      </c>
      <c r="M1341" t="s">
        <v>32144</v>
      </c>
    </row>
    <row r="1342" spans="1:13" x14ac:dyDescent="0.25">
      <c r="A1342" t="s">
        <v>9109</v>
      </c>
      <c r="B1342" t="s">
        <v>13</v>
      </c>
      <c r="C1342" s="1">
        <v>44146</v>
      </c>
      <c r="D1342" t="s">
        <v>9110</v>
      </c>
      <c r="E1342" t="s">
        <v>9111</v>
      </c>
      <c r="F1342" t="s">
        <v>9111</v>
      </c>
      <c r="G1342" t="s">
        <v>9112</v>
      </c>
      <c r="H1342" t="s">
        <v>5844</v>
      </c>
      <c r="I1342" t="s">
        <v>19</v>
      </c>
      <c r="J1342" s="3" t="s">
        <v>9113</v>
      </c>
      <c r="K1342" t="s">
        <v>9114</v>
      </c>
      <c r="L1342" t="s">
        <v>9115</v>
      </c>
      <c r="M1342" t="s">
        <v>337</v>
      </c>
    </row>
    <row r="1343" spans="1:13" x14ac:dyDescent="0.25">
      <c r="A1343" t="s">
        <v>14812</v>
      </c>
      <c r="B1343" t="s">
        <v>13</v>
      </c>
      <c r="C1343" t="s">
        <v>14813</v>
      </c>
      <c r="D1343" t="s">
        <v>14814</v>
      </c>
      <c r="E1343" s="2" t="s">
        <v>31110</v>
      </c>
      <c r="F1343" t="s">
        <v>332</v>
      </c>
      <c r="G1343" t="s">
        <v>4772</v>
      </c>
      <c r="H1343" t="s">
        <v>428</v>
      </c>
      <c r="I1343" t="s">
        <v>19</v>
      </c>
      <c r="J1343" s="3" t="s">
        <v>4773</v>
      </c>
      <c r="K1343" t="s">
        <v>4774</v>
      </c>
      <c r="L1343" t="s">
        <v>1295</v>
      </c>
      <c r="M1343" t="s">
        <v>337</v>
      </c>
    </row>
    <row r="1344" spans="1:13" x14ac:dyDescent="0.25">
      <c r="A1344" t="s">
        <v>16688</v>
      </c>
      <c r="B1344" t="s">
        <v>13</v>
      </c>
      <c r="C1344" t="s">
        <v>8676</v>
      </c>
      <c r="D1344" t="s">
        <v>16689</v>
      </c>
      <c r="E1344" s="2" t="s">
        <v>31880</v>
      </c>
      <c r="F1344" t="s">
        <v>332</v>
      </c>
      <c r="G1344" t="s">
        <v>2214</v>
      </c>
      <c r="H1344" t="s">
        <v>2215</v>
      </c>
      <c r="I1344" t="s">
        <v>19</v>
      </c>
      <c r="J1344" s="3" t="s">
        <v>16354</v>
      </c>
      <c r="K1344" t="s">
        <v>2217</v>
      </c>
      <c r="L1344" t="s">
        <v>2218</v>
      </c>
      <c r="M1344" t="s">
        <v>337</v>
      </c>
    </row>
    <row r="1345" spans="1:13" x14ac:dyDescent="0.25">
      <c r="A1345" t="s">
        <v>14979</v>
      </c>
      <c r="B1345" t="s">
        <v>13</v>
      </c>
      <c r="C1345" t="s">
        <v>14967</v>
      </c>
      <c r="D1345" t="s">
        <v>14980</v>
      </c>
      <c r="E1345" s="2" t="s">
        <v>31114</v>
      </c>
      <c r="F1345" t="s">
        <v>1464</v>
      </c>
      <c r="G1345" t="s">
        <v>14981</v>
      </c>
      <c r="H1345" t="s">
        <v>36</v>
      </c>
      <c r="I1345" t="s">
        <v>19</v>
      </c>
      <c r="J1345" s="3">
        <f>551198672-4726</f>
        <v>551193946</v>
      </c>
      <c r="K1345" t="s">
        <v>14982</v>
      </c>
      <c r="L1345" t="s">
        <v>223</v>
      </c>
      <c r="M1345" t="s">
        <v>337</v>
      </c>
    </row>
    <row r="1346" spans="1:13" x14ac:dyDescent="0.25">
      <c r="A1346" t="s">
        <v>20357</v>
      </c>
      <c r="B1346" t="s">
        <v>13</v>
      </c>
      <c r="C1346" t="s">
        <v>12154</v>
      </c>
      <c r="D1346" t="s">
        <v>20358</v>
      </c>
      <c r="E1346" s="2" t="s">
        <v>31248</v>
      </c>
      <c r="F1346" t="s">
        <v>6072</v>
      </c>
      <c r="G1346" t="s">
        <v>20359</v>
      </c>
      <c r="H1346" t="s">
        <v>265</v>
      </c>
      <c r="I1346" t="s">
        <v>19</v>
      </c>
      <c r="J1346" s="3">
        <f>55-16-33153973</f>
        <v>-33153934</v>
      </c>
      <c r="K1346" t="s">
        <v>20360</v>
      </c>
      <c r="L1346" t="s">
        <v>11292</v>
      </c>
      <c r="M1346" t="s">
        <v>337</v>
      </c>
    </row>
    <row r="1347" spans="1:13" x14ac:dyDescent="0.25">
      <c r="A1347" t="s">
        <v>18109</v>
      </c>
      <c r="B1347" t="s">
        <v>13</v>
      </c>
      <c r="C1347" t="s">
        <v>1003</v>
      </c>
      <c r="D1347" t="s">
        <v>18110</v>
      </c>
      <c r="E1347" t="s">
        <v>6915</v>
      </c>
      <c r="F1347" t="s">
        <v>337</v>
      </c>
      <c r="G1347" t="s">
        <v>969</v>
      </c>
      <c r="H1347" t="s">
        <v>170</v>
      </c>
      <c r="I1347" t="s">
        <v>19</v>
      </c>
      <c r="J1347" s="3">
        <f>55-12-39479376</f>
        <v>-39479333</v>
      </c>
      <c r="K1347" t="s">
        <v>970</v>
      </c>
      <c r="L1347" t="s">
        <v>971</v>
      </c>
      <c r="M1347" t="s">
        <v>337</v>
      </c>
    </row>
    <row r="1348" spans="1:13" x14ac:dyDescent="0.25">
      <c r="A1348" t="s">
        <v>18387</v>
      </c>
      <c r="B1348" t="s">
        <v>13</v>
      </c>
      <c r="C1348" s="1">
        <v>43618</v>
      </c>
      <c r="D1348" t="s">
        <v>18388</v>
      </c>
      <c r="E1348" t="s">
        <v>6915</v>
      </c>
      <c r="F1348" t="s">
        <v>1464</v>
      </c>
      <c r="G1348" t="s">
        <v>18389</v>
      </c>
      <c r="H1348" t="s">
        <v>372</v>
      </c>
      <c r="I1348" t="s">
        <v>19</v>
      </c>
      <c r="J1348" s="3">
        <f>55-19-21065303</f>
        <v>-21065267</v>
      </c>
      <c r="K1348" t="s">
        <v>18390</v>
      </c>
      <c r="L1348" t="s">
        <v>9980</v>
      </c>
      <c r="M1348" t="s">
        <v>337</v>
      </c>
    </row>
    <row r="1349" spans="1:13" x14ac:dyDescent="0.25">
      <c r="A1349" t="s">
        <v>18607</v>
      </c>
      <c r="B1349" t="s">
        <v>13</v>
      </c>
      <c r="C1349" s="1">
        <v>43466</v>
      </c>
      <c r="D1349" t="s">
        <v>18608</v>
      </c>
      <c r="E1349" t="s">
        <v>6915</v>
      </c>
      <c r="F1349" t="s">
        <v>332</v>
      </c>
      <c r="G1349" t="s">
        <v>969</v>
      </c>
      <c r="H1349" t="s">
        <v>170</v>
      </c>
      <c r="I1349" t="s">
        <v>19</v>
      </c>
      <c r="J1349" s="3">
        <f>55-12-39479376</f>
        <v>-39479333</v>
      </c>
      <c r="K1349" t="s">
        <v>970</v>
      </c>
      <c r="L1349" t="s">
        <v>971</v>
      </c>
      <c r="M1349" t="s">
        <v>337</v>
      </c>
    </row>
    <row r="1350" spans="1:13" x14ac:dyDescent="0.25">
      <c r="A1350" t="s">
        <v>6913</v>
      </c>
      <c r="B1350" t="s">
        <v>13</v>
      </c>
      <c r="C1350" t="s">
        <v>6908</v>
      </c>
      <c r="D1350" t="s">
        <v>6914</v>
      </c>
      <c r="E1350" t="s">
        <v>6915</v>
      </c>
      <c r="F1350" t="s">
        <v>332</v>
      </c>
      <c r="G1350" t="s">
        <v>6916</v>
      </c>
      <c r="H1350" t="s">
        <v>1802</v>
      </c>
      <c r="I1350" t="s">
        <v>19</v>
      </c>
      <c r="J1350" s="3">
        <f>55-15-998020196</f>
        <v>-998020156</v>
      </c>
      <c r="K1350" t="s">
        <v>6917</v>
      </c>
      <c r="L1350" t="s">
        <v>1963</v>
      </c>
      <c r="M1350" t="s">
        <v>337</v>
      </c>
    </row>
    <row r="1351" spans="1:13" x14ac:dyDescent="0.25">
      <c r="A1351" t="s">
        <v>12886</v>
      </c>
      <c r="B1351" t="s">
        <v>13</v>
      </c>
      <c r="C1351" t="s">
        <v>12867</v>
      </c>
      <c r="D1351" t="s">
        <v>12887</v>
      </c>
      <c r="E1351" t="s">
        <v>12888</v>
      </c>
      <c r="F1351" t="s">
        <v>332</v>
      </c>
      <c r="G1351" t="s">
        <v>12889</v>
      </c>
      <c r="H1351" t="s">
        <v>578</v>
      </c>
      <c r="I1351" t="s">
        <v>19</v>
      </c>
      <c r="J1351" s="3" t="s">
        <v>12890</v>
      </c>
      <c r="K1351" t="s">
        <v>12891</v>
      </c>
      <c r="L1351" t="s">
        <v>678</v>
      </c>
      <c r="M1351" t="s">
        <v>337</v>
      </c>
    </row>
    <row r="1352" spans="1:13" x14ac:dyDescent="0.25">
      <c r="A1352" t="s">
        <v>12009</v>
      </c>
      <c r="B1352" t="s">
        <v>13</v>
      </c>
      <c r="C1352" t="s">
        <v>12010</v>
      </c>
      <c r="D1352" t="s">
        <v>12011</v>
      </c>
      <c r="E1352" t="s">
        <v>12012</v>
      </c>
      <c r="F1352" t="s">
        <v>332</v>
      </c>
      <c r="G1352" t="s">
        <v>2261</v>
      </c>
      <c r="H1352" t="s">
        <v>2215</v>
      </c>
      <c r="I1352" t="s">
        <v>19</v>
      </c>
      <c r="J1352" s="3">
        <f>55-42-32203741</f>
        <v>-32203728</v>
      </c>
      <c r="K1352" t="s">
        <v>3032</v>
      </c>
      <c r="L1352" t="s">
        <v>2218</v>
      </c>
      <c r="M1352" t="s">
        <v>337</v>
      </c>
    </row>
    <row r="1353" spans="1:13" x14ac:dyDescent="0.25">
      <c r="A1353" t="s">
        <v>21273</v>
      </c>
      <c r="B1353" t="s">
        <v>13</v>
      </c>
      <c r="C1353" t="s">
        <v>21271</v>
      </c>
      <c r="D1353" t="s">
        <v>21274</v>
      </c>
      <c r="E1353" s="2" t="s">
        <v>31788</v>
      </c>
      <c r="F1353" t="s">
        <v>1464</v>
      </c>
      <c r="G1353" t="s">
        <v>15549</v>
      </c>
      <c r="H1353" t="s">
        <v>114</v>
      </c>
      <c r="I1353" t="s">
        <v>19</v>
      </c>
      <c r="J1353" s="3">
        <f>55-79-999777001</f>
        <v>-999777025</v>
      </c>
      <c r="K1353" t="s">
        <v>11897</v>
      </c>
      <c r="L1353" t="s">
        <v>82</v>
      </c>
      <c r="M1353" t="s">
        <v>337</v>
      </c>
    </row>
    <row r="1354" spans="1:13" x14ac:dyDescent="0.25">
      <c r="A1354" t="s">
        <v>28178</v>
      </c>
      <c r="B1354" t="s">
        <v>13</v>
      </c>
      <c r="C1354" t="s">
        <v>28160</v>
      </c>
      <c r="D1354" t="s">
        <v>28179</v>
      </c>
      <c r="E1354" t="s">
        <v>28180</v>
      </c>
      <c r="F1354" t="s">
        <v>332</v>
      </c>
      <c r="G1354" t="s">
        <v>28181</v>
      </c>
      <c r="H1354" t="s">
        <v>21956</v>
      </c>
      <c r="I1354" t="s">
        <v>19</v>
      </c>
      <c r="J1354" s="3" t="s">
        <v>28182</v>
      </c>
      <c r="K1354" t="s">
        <v>28183</v>
      </c>
      <c r="L1354" t="s">
        <v>108</v>
      </c>
      <c r="M1354" t="s">
        <v>337</v>
      </c>
    </row>
    <row r="1355" spans="1:13" x14ac:dyDescent="0.25">
      <c r="A1355" t="s">
        <v>11976</v>
      </c>
      <c r="B1355" t="s">
        <v>13</v>
      </c>
      <c r="C1355" s="1">
        <v>43195</v>
      </c>
      <c r="D1355" t="s">
        <v>11977</v>
      </c>
      <c r="E1355" t="s">
        <v>11978</v>
      </c>
      <c r="F1355" t="s">
        <v>332</v>
      </c>
      <c r="G1355" t="s">
        <v>2261</v>
      </c>
      <c r="H1355" t="s">
        <v>2215</v>
      </c>
      <c r="I1355" t="s">
        <v>19</v>
      </c>
      <c r="J1355" s="3">
        <f>55-42-32203741</f>
        <v>-32203728</v>
      </c>
      <c r="K1355" t="s">
        <v>3032</v>
      </c>
      <c r="L1355" t="s">
        <v>2218</v>
      </c>
      <c r="M1355" t="s">
        <v>337</v>
      </c>
    </row>
    <row r="1356" spans="1:13" x14ac:dyDescent="0.25">
      <c r="A1356" t="s">
        <v>14727</v>
      </c>
      <c r="B1356" t="s">
        <v>13</v>
      </c>
      <c r="C1356" s="1">
        <v>43567</v>
      </c>
      <c r="D1356" t="s">
        <v>14728</v>
      </c>
      <c r="E1356" t="s">
        <v>1709</v>
      </c>
      <c r="F1356" t="s">
        <v>10034</v>
      </c>
      <c r="G1356" t="s">
        <v>14729</v>
      </c>
      <c r="H1356" t="s">
        <v>14730</v>
      </c>
      <c r="I1356" t="s">
        <v>19</v>
      </c>
      <c r="J1356" s="3">
        <v>5524988144237</v>
      </c>
      <c r="K1356" t="s">
        <v>14731</v>
      </c>
      <c r="L1356" t="s">
        <v>482</v>
      </c>
      <c r="M1356" t="s">
        <v>337</v>
      </c>
    </row>
    <row r="1357" spans="1:13" x14ac:dyDescent="0.25">
      <c r="A1357" t="s">
        <v>16690</v>
      </c>
      <c r="B1357" t="s">
        <v>13</v>
      </c>
      <c r="C1357" t="s">
        <v>16691</v>
      </c>
      <c r="D1357" t="s">
        <v>16692</v>
      </c>
      <c r="E1357" t="s">
        <v>968</v>
      </c>
      <c r="F1357" t="s">
        <v>741</v>
      </c>
      <c r="G1357" t="s">
        <v>16693</v>
      </c>
      <c r="H1357" t="s">
        <v>428</v>
      </c>
      <c r="I1357" t="s">
        <v>19</v>
      </c>
      <c r="J1357" s="3" t="s">
        <v>16694</v>
      </c>
      <c r="K1357" t="s">
        <v>16695</v>
      </c>
      <c r="L1357" t="s">
        <v>1295</v>
      </c>
      <c r="M1357" t="s">
        <v>337</v>
      </c>
    </row>
    <row r="1358" spans="1:13" x14ac:dyDescent="0.25">
      <c r="A1358" t="s">
        <v>29078</v>
      </c>
      <c r="B1358" t="s">
        <v>13</v>
      </c>
      <c r="C1358" t="s">
        <v>29079</v>
      </c>
      <c r="D1358" t="s">
        <v>29080</v>
      </c>
      <c r="E1358" t="s">
        <v>968</v>
      </c>
      <c r="F1358" t="s">
        <v>741</v>
      </c>
      <c r="G1358" t="s">
        <v>29081</v>
      </c>
      <c r="H1358" t="s">
        <v>462</v>
      </c>
      <c r="I1358" t="s">
        <v>19</v>
      </c>
      <c r="J1358" s="3" t="s">
        <v>29082</v>
      </c>
      <c r="K1358" t="s">
        <v>29083</v>
      </c>
      <c r="L1358" t="s">
        <v>29084</v>
      </c>
      <c r="M1358" t="s">
        <v>337</v>
      </c>
    </row>
    <row r="1359" spans="1:13" x14ac:dyDescent="0.25">
      <c r="A1359" t="s">
        <v>17020</v>
      </c>
      <c r="B1359" t="s">
        <v>13</v>
      </c>
      <c r="C1359" t="s">
        <v>11863</v>
      </c>
      <c r="D1359" t="s">
        <v>17021</v>
      </c>
      <c r="E1359" t="s">
        <v>1709</v>
      </c>
      <c r="F1359" t="s">
        <v>741</v>
      </c>
      <c r="G1359" t="s">
        <v>17022</v>
      </c>
      <c r="H1359" t="s">
        <v>255</v>
      </c>
      <c r="I1359" t="s">
        <v>19</v>
      </c>
      <c r="J1359" s="3">
        <v>556232096255</v>
      </c>
      <c r="K1359" t="s">
        <v>17023</v>
      </c>
      <c r="L1359" t="s">
        <v>2467</v>
      </c>
      <c r="M1359" t="s">
        <v>337</v>
      </c>
    </row>
    <row r="1360" spans="1:13" x14ac:dyDescent="0.25">
      <c r="A1360" t="s">
        <v>1706</v>
      </c>
      <c r="B1360" t="s">
        <v>13</v>
      </c>
      <c r="C1360" t="s">
        <v>1707</v>
      </c>
      <c r="D1360" t="s">
        <v>1708</v>
      </c>
      <c r="E1360" t="s">
        <v>1709</v>
      </c>
      <c r="F1360" t="s">
        <v>1710</v>
      </c>
      <c r="G1360" t="s">
        <v>1711</v>
      </c>
      <c r="H1360" t="s">
        <v>265</v>
      </c>
      <c r="I1360" t="s">
        <v>19</v>
      </c>
      <c r="J1360" s="3" t="s">
        <v>1712</v>
      </c>
      <c r="K1360" t="s">
        <v>1713</v>
      </c>
      <c r="L1360" t="s">
        <v>1714</v>
      </c>
      <c r="M1360" t="s">
        <v>337</v>
      </c>
    </row>
    <row r="1361" spans="1:13" x14ac:dyDescent="0.25">
      <c r="A1361" t="s">
        <v>18165</v>
      </c>
      <c r="B1361" t="s">
        <v>13</v>
      </c>
      <c r="C1361" t="s">
        <v>18157</v>
      </c>
      <c r="D1361" t="s">
        <v>18166</v>
      </c>
      <c r="E1361" t="s">
        <v>1709</v>
      </c>
      <c r="F1361" t="s">
        <v>6686</v>
      </c>
      <c r="G1361" t="s">
        <v>18167</v>
      </c>
      <c r="H1361" t="s">
        <v>352</v>
      </c>
      <c r="I1361" t="s">
        <v>19</v>
      </c>
      <c r="J1361" s="3">
        <v>552125877282</v>
      </c>
      <c r="K1361" t="s">
        <v>11062</v>
      </c>
      <c r="L1361" t="s">
        <v>550</v>
      </c>
      <c r="M1361" t="s">
        <v>337</v>
      </c>
    </row>
    <row r="1362" spans="1:13" x14ac:dyDescent="0.25">
      <c r="A1362" t="s">
        <v>26299</v>
      </c>
      <c r="B1362" t="s">
        <v>13</v>
      </c>
      <c r="C1362" s="1">
        <v>42648</v>
      </c>
      <c r="D1362" t="s">
        <v>26300</v>
      </c>
      <c r="E1362" t="s">
        <v>1709</v>
      </c>
      <c r="F1362" t="s">
        <v>337</v>
      </c>
      <c r="G1362" t="s">
        <v>26301</v>
      </c>
      <c r="H1362" t="s">
        <v>26302</v>
      </c>
      <c r="I1362" t="s">
        <v>19</v>
      </c>
      <c r="J1362" s="3" t="s">
        <v>26303</v>
      </c>
      <c r="K1362" t="s">
        <v>23998</v>
      </c>
      <c r="L1362" t="s">
        <v>26304</v>
      </c>
      <c r="M1362" t="s">
        <v>337</v>
      </c>
    </row>
    <row r="1363" spans="1:13" x14ac:dyDescent="0.25">
      <c r="A1363" t="s">
        <v>29267</v>
      </c>
      <c r="B1363" t="s">
        <v>13</v>
      </c>
      <c r="C1363" s="1">
        <v>41529</v>
      </c>
      <c r="D1363" t="s">
        <v>29268</v>
      </c>
      <c r="E1363" t="s">
        <v>1709</v>
      </c>
      <c r="F1363" t="s">
        <v>337</v>
      </c>
      <c r="G1363" t="s">
        <v>29269</v>
      </c>
      <c r="H1363" t="s">
        <v>36</v>
      </c>
      <c r="I1363" t="s">
        <v>19</v>
      </c>
      <c r="J1363" s="3" t="s">
        <v>29022</v>
      </c>
      <c r="K1363" t="s">
        <v>29270</v>
      </c>
      <c r="L1363" t="s">
        <v>3512</v>
      </c>
      <c r="M1363" t="s">
        <v>337</v>
      </c>
    </row>
    <row r="1364" spans="1:13" x14ac:dyDescent="0.25">
      <c r="A1364" t="s">
        <v>29019</v>
      </c>
      <c r="B1364" t="s">
        <v>13</v>
      </c>
      <c r="C1364" s="1">
        <v>41889</v>
      </c>
      <c r="D1364" t="s">
        <v>29020</v>
      </c>
      <c r="E1364" t="s">
        <v>1709</v>
      </c>
      <c r="F1364" t="s">
        <v>337</v>
      </c>
      <c r="G1364" t="s">
        <v>29021</v>
      </c>
      <c r="H1364" t="s">
        <v>36</v>
      </c>
      <c r="I1364" t="s">
        <v>19</v>
      </c>
      <c r="J1364" s="3" t="s">
        <v>29022</v>
      </c>
      <c r="K1364" t="s">
        <v>29023</v>
      </c>
      <c r="L1364" t="s">
        <v>3512</v>
      </c>
      <c r="M1364" t="s">
        <v>337</v>
      </c>
    </row>
    <row r="1365" spans="1:13" x14ac:dyDescent="0.25">
      <c r="A1365" t="s">
        <v>19446</v>
      </c>
      <c r="B1365" t="s">
        <v>13</v>
      </c>
      <c r="C1365" t="s">
        <v>15388</v>
      </c>
      <c r="D1365" t="s">
        <v>19447</v>
      </c>
      <c r="E1365" t="s">
        <v>1709</v>
      </c>
      <c r="F1365" t="s">
        <v>337</v>
      </c>
      <c r="G1365" t="s">
        <v>969</v>
      </c>
      <c r="H1365" t="s">
        <v>170</v>
      </c>
      <c r="I1365" t="s">
        <v>19</v>
      </c>
      <c r="J1365" s="3">
        <f>55-12-39479376</f>
        <v>-39479333</v>
      </c>
      <c r="K1365" t="s">
        <v>970</v>
      </c>
      <c r="L1365" t="s">
        <v>971</v>
      </c>
      <c r="M1365" t="s">
        <v>337</v>
      </c>
    </row>
    <row r="1366" spans="1:13" x14ac:dyDescent="0.25">
      <c r="A1366" t="s">
        <v>11466</v>
      </c>
      <c r="B1366" t="s">
        <v>13</v>
      </c>
      <c r="C1366" t="s">
        <v>11467</v>
      </c>
      <c r="D1366" t="s">
        <v>11468</v>
      </c>
      <c r="E1366" t="s">
        <v>1709</v>
      </c>
      <c r="F1366" t="s">
        <v>1775</v>
      </c>
      <c r="G1366" t="s">
        <v>307</v>
      </c>
      <c r="H1366" t="s">
        <v>308</v>
      </c>
      <c r="I1366" t="s">
        <v>309</v>
      </c>
      <c r="J1366" s="3" t="s">
        <v>310</v>
      </c>
      <c r="K1366" t="s">
        <v>311</v>
      </c>
      <c r="L1366" t="s">
        <v>312</v>
      </c>
      <c r="M1366" t="s">
        <v>337</v>
      </c>
    </row>
    <row r="1367" spans="1:13" x14ac:dyDescent="0.25">
      <c r="A1367" t="s">
        <v>17850</v>
      </c>
      <c r="B1367" t="s">
        <v>13</v>
      </c>
      <c r="C1367" s="1">
        <v>43681</v>
      </c>
      <c r="D1367" t="s">
        <v>17851</v>
      </c>
      <c r="E1367" t="s">
        <v>1709</v>
      </c>
      <c r="F1367" t="s">
        <v>1775</v>
      </c>
      <c r="G1367" t="s">
        <v>17852</v>
      </c>
      <c r="H1367" t="s">
        <v>798</v>
      </c>
      <c r="I1367" t="s">
        <v>19</v>
      </c>
      <c r="J1367" s="3">
        <v>5561992151045</v>
      </c>
      <c r="K1367" t="s">
        <v>17853</v>
      </c>
      <c r="L1367" t="s">
        <v>4378</v>
      </c>
      <c r="M1367" t="s">
        <v>337</v>
      </c>
    </row>
    <row r="1368" spans="1:13" x14ac:dyDescent="0.25">
      <c r="A1368" t="s">
        <v>19228</v>
      </c>
      <c r="B1368" t="s">
        <v>13</v>
      </c>
      <c r="C1368" t="s">
        <v>19229</v>
      </c>
      <c r="D1368" t="s">
        <v>19230</v>
      </c>
      <c r="E1368" t="s">
        <v>1709</v>
      </c>
      <c r="F1368" t="s">
        <v>1464</v>
      </c>
      <c r="G1368" t="s">
        <v>19231</v>
      </c>
      <c r="H1368" t="s">
        <v>45</v>
      </c>
      <c r="I1368" t="s">
        <v>19</v>
      </c>
      <c r="J1368" s="3">
        <f>55-85-999159124</f>
        <v>-999159154</v>
      </c>
      <c r="K1368" t="s">
        <v>19232</v>
      </c>
      <c r="L1368" t="s">
        <v>1909</v>
      </c>
      <c r="M1368" t="s">
        <v>337</v>
      </c>
    </row>
    <row r="1369" spans="1:13" x14ac:dyDescent="0.25">
      <c r="A1369" t="s">
        <v>18449</v>
      </c>
      <c r="B1369" t="s">
        <v>13</v>
      </c>
      <c r="C1369" t="s">
        <v>6612</v>
      </c>
      <c r="D1369" t="s">
        <v>18450</v>
      </c>
      <c r="E1369" t="s">
        <v>968</v>
      </c>
      <c r="F1369" t="s">
        <v>1464</v>
      </c>
      <c r="G1369" t="s">
        <v>18451</v>
      </c>
      <c r="H1369" t="s">
        <v>265</v>
      </c>
      <c r="I1369" t="s">
        <v>19</v>
      </c>
      <c r="J1369" s="3">
        <f>55-16-997012585</f>
        <v>-997012546</v>
      </c>
      <c r="K1369" t="s">
        <v>18452</v>
      </c>
      <c r="L1369" t="s">
        <v>11309</v>
      </c>
      <c r="M1369" t="s">
        <v>337</v>
      </c>
    </row>
    <row r="1370" spans="1:13" x14ac:dyDescent="0.25">
      <c r="A1370" t="s">
        <v>17035</v>
      </c>
      <c r="B1370" t="s">
        <v>13</v>
      </c>
      <c r="C1370" t="s">
        <v>11863</v>
      </c>
      <c r="D1370" t="s">
        <v>17036</v>
      </c>
      <c r="E1370" t="s">
        <v>968</v>
      </c>
      <c r="F1370" t="s">
        <v>1464</v>
      </c>
      <c r="G1370" t="s">
        <v>17037</v>
      </c>
      <c r="H1370" t="s">
        <v>1090</v>
      </c>
      <c r="I1370" t="s">
        <v>19</v>
      </c>
      <c r="J1370" s="3" t="s">
        <v>17038</v>
      </c>
      <c r="K1370" t="s">
        <v>17039</v>
      </c>
      <c r="L1370" t="s">
        <v>1092</v>
      </c>
      <c r="M1370" t="s">
        <v>337</v>
      </c>
    </row>
    <row r="1371" spans="1:13" x14ac:dyDescent="0.25">
      <c r="A1371" t="s">
        <v>16954</v>
      </c>
      <c r="B1371" t="s">
        <v>13</v>
      </c>
      <c r="C1371" t="s">
        <v>16948</v>
      </c>
      <c r="D1371" t="s">
        <v>16955</v>
      </c>
      <c r="E1371" t="s">
        <v>968</v>
      </c>
      <c r="F1371" t="s">
        <v>1464</v>
      </c>
      <c r="G1371" t="s">
        <v>16956</v>
      </c>
      <c r="H1371" t="s">
        <v>1802</v>
      </c>
      <c r="I1371" t="s">
        <v>19</v>
      </c>
      <c r="J1371" s="3">
        <v>551432358224</v>
      </c>
      <c r="K1371" t="s">
        <v>16957</v>
      </c>
      <c r="L1371" t="s">
        <v>1805</v>
      </c>
      <c r="M1371" t="s">
        <v>337</v>
      </c>
    </row>
    <row r="1372" spans="1:13" x14ac:dyDescent="0.25">
      <c r="A1372" t="s">
        <v>20465</v>
      </c>
      <c r="B1372" t="s">
        <v>13</v>
      </c>
      <c r="C1372" t="s">
        <v>10511</v>
      </c>
      <c r="D1372" t="s">
        <v>20466</v>
      </c>
      <c r="E1372" t="s">
        <v>8817</v>
      </c>
      <c r="F1372" t="s">
        <v>1464</v>
      </c>
      <c r="G1372" t="s">
        <v>20467</v>
      </c>
      <c r="H1372" t="s">
        <v>265</v>
      </c>
      <c r="I1372" t="s">
        <v>19</v>
      </c>
      <c r="J1372" s="3" t="s">
        <v>20468</v>
      </c>
      <c r="K1372" t="s">
        <v>20469</v>
      </c>
      <c r="L1372" t="s">
        <v>15755</v>
      </c>
      <c r="M1372" t="s">
        <v>337</v>
      </c>
    </row>
    <row r="1373" spans="1:13" x14ac:dyDescent="0.25">
      <c r="A1373" t="s">
        <v>23447</v>
      </c>
      <c r="B1373" t="s">
        <v>13</v>
      </c>
      <c r="C1373" t="s">
        <v>14541</v>
      </c>
      <c r="D1373" t="s">
        <v>23448</v>
      </c>
      <c r="E1373" t="s">
        <v>1709</v>
      </c>
      <c r="F1373" t="s">
        <v>1464</v>
      </c>
      <c r="G1373" t="s">
        <v>23449</v>
      </c>
      <c r="H1373" t="s">
        <v>7504</v>
      </c>
      <c r="I1373" t="s">
        <v>19</v>
      </c>
      <c r="J1373" s="3" t="s">
        <v>23450</v>
      </c>
      <c r="K1373" t="s">
        <v>23451</v>
      </c>
      <c r="L1373" t="s">
        <v>23452</v>
      </c>
      <c r="M1373" t="s">
        <v>337</v>
      </c>
    </row>
    <row r="1374" spans="1:13" x14ac:dyDescent="0.25">
      <c r="A1374" t="s">
        <v>9182</v>
      </c>
      <c r="B1374" t="s">
        <v>13</v>
      </c>
      <c r="C1374" t="s">
        <v>9183</v>
      </c>
      <c r="D1374" t="s">
        <v>9184</v>
      </c>
      <c r="E1374" t="s">
        <v>1709</v>
      </c>
      <c r="F1374" t="s">
        <v>1464</v>
      </c>
      <c r="G1374" t="s">
        <v>9185</v>
      </c>
      <c r="H1374" t="s">
        <v>9186</v>
      </c>
      <c r="I1374" t="s">
        <v>19</v>
      </c>
      <c r="J1374" s="3" t="s">
        <v>9187</v>
      </c>
      <c r="K1374" t="s">
        <v>9188</v>
      </c>
      <c r="L1374" t="s">
        <v>9189</v>
      </c>
      <c r="M1374" t="s">
        <v>337</v>
      </c>
    </row>
    <row r="1375" spans="1:13" x14ac:dyDescent="0.25">
      <c r="A1375" t="s">
        <v>7447</v>
      </c>
      <c r="B1375" t="s">
        <v>13</v>
      </c>
      <c r="C1375" s="1">
        <v>43202</v>
      </c>
      <c r="D1375" t="s">
        <v>7448</v>
      </c>
      <c r="E1375" t="s">
        <v>968</v>
      </c>
      <c r="F1375" t="s">
        <v>1464</v>
      </c>
      <c r="G1375" t="s">
        <v>7449</v>
      </c>
      <c r="H1375" t="s">
        <v>7450</v>
      </c>
      <c r="I1375" t="s">
        <v>19</v>
      </c>
      <c r="J1375" s="3" t="s">
        <v>7451</v>
      </c>
      <c r="K1375" t="s">
        <v>7452</v>
      </c>
      <c r="L1375" t="s">
        <v>7453</v>
      </c>
      <c r="M1375" t="s">
        <v>337</v>
      </c>
    </row>
    <row r="1376" spans="1:13" x14ac:dyDescent="0.25">
      <c r="A1376" t="s">
        <v>27024</v>
      </c>
      <c r="B1376" t="s">
        <v>13</v>
      </c>
      <c r="C1376" t="s">
        <v>26006</v>
      </c>
      <c r="D1376" t="s">
        <v>27025</v>
      </c>
      <c r="E1376" t="s">
        <v>968</v>
      </c>
      <c r="F1376" t="s">
        <v>1464</v>
      </c>
      <c r="G1376" t="s">
        <v>27026</v>
      </c>
      <c r="H1376" t="s">
        <v>71</v>
      </c>
      <c r="I1376" t="s">
        <v>19</v>
      </c>
      <c r="J1376" s="3" t="s">
        <v>27027</v>
      </c>
      <c r="K1376" t="s">
        <v>10318</v>
      </c>
      <c r="L1376" t="s">
        <v>15795</v>
      </c>
      <c r="M1376" t="s">
        <v>337</v>
      </c>
    </row>
    <row r="1377" spans="1:13" x14ac:dyDescent="0.25">
      <c r="A1377" t="s">
        <v>26855</v>
      </c>
      <c r="B1377" t="s">
        <v>13</v>
      </c>
      <c r="C1377" s="1">
        <v>42372</v>
      </c>
      <c r="D1377" t="s">
        <v>26856</v>
      </c>
      <c r="E1377" t="s">
        <v>1709</v>
      </c>
      <c r="F1377" t="s">
        <v>1464</v>
      </c>
      <c r="G1377" t="s">
        <v>26857</v>
      </c>
      <c r="H1377" t="s">
        <v>1802</v>
      </c>
      <c r="I1377" t="s">
        <v>19</v>
      </c>
      <c r="J1377" s="3" t="s">
        <v>26858</v>
      </c>
      <c r="K1377" t="s">
        <v>26859</v>
      </c>
      <c r="L1377" t="s">
        <v>1805</v>
      </c>
      <c r="M1377" t="s">
        <v>337</v>
      </c>
    </row>
    <row r="1378" spans="1:13" x14ac:dyDescent="0.25">
      <c r="A1378" t="s">
        <v>25952</v>
      </c>
      <c r="B1378" t="s">
        <v>13</v>
      </c>
      <c r="C1378" s="1">
        <v>42558</v>
      </c>
      <c r="D1378" t="s">
        <v>25953</v>
      </c>
      <c r="E1378" t="s">
        <v>8817</v>
      </c>
      <c r="F1378" t="s">
        <v>1464</v>
      </c>
      <c r="G1378" t="s">
        <v>25954</v>
      </c>
      <c r="H1378" t="s">
        <v>25955</v>
      </c>
      <c r="I1378" t="s">
        <v>25956</v>
      </c>
      <c r="J1378" s="3" t="s">
        <v>25957</v>
      </c>
      <c r="K1378" t="s">
        <v>25958</v>
      </c>
      <c r="L1378" t="s">
        <v>25959</v>
      </c>
      <c r="M1378" t="s">
        <v>337</v>
      </c>
    </row>
    <row r="1379" spans="1:13" x14ac:dyDescent="0.25">
      <c r="A1379" t="s">
        <v>23995</v>
      </c>
      <c r="B1379" t="s">
        <v>13</v>
      </c>
      <c r="C1379" s="1">
        <v>43076</v>
      </c>
      <c r="D1379" t="s">
        <v>23996</v>
      </c>
      <c r="E1379" t="s">
        <v>968</v>
      </c>
      <c r="F1379" t="s">
        <v>1464</v>
      </c>
      <c r="G1379" t="s">
        <v>23997</v>
      </c>
      <c r="H1379" t="s">
        <v>150</v>
      </c>
      <c r="I1379" t="s">
        <v>19</v>
      </c>
      <c r="J1379" s="3">
        <v>5511998686008</v>
      </c>
      <c r="K1379" t="s">
        <v>23998</v>
      </c>
      <c r="L1379" t="s">
        <v>23999</v>
      </c>
      <c r="M1379" t="s">
        <v>337</v>
      </c>
    </row>
    <row r="1380" spans="1:13" x14ac:dyDescent="0.25">
      <c r="A1380" t="s">
        <v>24849</v>
      </c>
      <c r="B1380" t="s">
        <v>13</v>
      </c>
      <c r="C1380" t="s">
        <v>23427</v>
      </c>
      <c r="D1380" t="s">
        <v>24850</v>
      </c>
      <c r="E1380" t="s">
        <v>1709</v>
      </c>
      <c r="F1380" t="s">
        <v>1464</v>
      </c>
      <c r="G1380" t="s">
        <v>24851</v>
      </c>
      <c r="H1380" t="s">
        <v>179</v>
      </c>
      <c r="I1380" t="s">
        <v>19</v>
      </c>
      <c r="J1380" s="3">
        <v>552225287166</v>
      </c>
      <c r="K1380" t="s">
        <v>24852</v>
      </c>
      <c r="L1380" t="s">
        <v>24853</v>
      </c>
      <c r="M1380" t="s">
        <v>337</v>
      </c>
    </row>
    <row r="1381" spans="1:13" x14ac:dyDescent="0.25">
      <c r="A1381" t="s">
        <v>17148</v>
      </c>
      <c r="B1381" t="s">
        <v>13</v>
      </c>
      <c r="C1381" s="1">
        <v>43744</v>
      </c>
      <c r="D1381" t="s">
        <v>17149</v>
      </c>
      <c r="E1381" t="s">
        <v>1709</v>
      </c>
      <c r="F1381" t="s">
        <v>1464</v>
      </c>
      <c r="G1381" t="s">
        <v>969</v>
      </c>
      <c r="H1381" t="s">
        <v>170</v>
      </c>
      <c r="I1381" t="s">
        <v>19</v>
      </c>
      <c r="J1381" s="3">
        <f>55-12-39479376</f>
        <v>-39479333</v>
      </c>
      <c r="K1381" t="s">
        <v>970</v>
      </c>
      <c r="L1381" t="s">
        <v>971</v>
      </c>
      <c r="M1381" t="s">
        <v>337</v>
      </c>
    </row>
    <row r="1382" spans="1:13" x14ac:dyDescent="0.25">
      <c r="A1382" t="s">
        <v>11887</v>
      </c>
      <c r="B1382" t="s">
        <v>13</v>
      </c>
      <c r="C1382" t="s">
        <v>10275</v>
      </c>
      <c r="D1382" t="s">
        <v>11888</v>
      </c>
      <c r="E1382" t="s">
        <v>1709</v>
      </c>
      <c r="F1382" t="s">
        <v>1464</v>
      </c>
      <c r="G1382" t="s">
        <v>11889</v>
      </c>
      <c r="H1382" t="s">
        <v>11890</v>
      </c>
      <c r="I1382" t="s">
        <v>11891</v>
      </c>
      <c r="J1382" s="3">
        <v>894823424</v>
      </c>
      <c r="K1382" t="s">
        <v>11892</v>
      </c>
      <c r="L1382" t="s">
        <v>3512</v>
      </c>
      <c r="M1382" t="s">
        <v>337</v>
      </c>
    </row>
    <row r="1383" spans="1:13" x14ac:dyDescent="0.25">
      <c r="A1383" t="s">
        <v>12098</v>
      </c>
      <c r="B1383" t="s">
        <v>13</v>
      </c>
      <c r="C1383" t="s">
        <v>9668</v>
      </c>
      <c r="D1383" t="s">
        <v>12099</v>
      </c>
      <c r="E1383" t="s">
        <v>1709</v>
      </c>
      <c r="F1383" t="s">
        <v>1464</v>
      </c>
      <c r="G1383" t="s">
        <v>12100</v>
      </c>
      <c r="H1383" t="s">
        <v>428</v>
      </c>
      <c r="I1383" t="s">
        <v>19</v>
      </c>
      <c r="J1383" s="3">
        <v>555133085193</v>
      </c>
      <c r="K1383" t="s">
        <v>12101</v>
      </c>
      <c r="L1383" t="s">
        <v>12102</v>
      </c>
      <c r="M1383" t="s">
        <v>337</v>
      </c>
    </row>
    <row r="1384" spans="1:13" x14ac:dyDescent="0.25">
      <c r="A1384" t="s">
        <v>12758</v>
      </c>
      <c r="B1384" t="s">
        <v>13</v>
      </c>
      <c r="C1384" t="s">
        <v>12753</v>
      </c>
      <c r="D1384" t="s">
        <v>12759</v>
      </c>
      <c r="E1384" t="s">
        <v>968</v>
      </c>
      <c r="F1384" t="s">
        <v>1464</v>
      </c>
      <c r="G1384" t="s">
        <v>2261</v>
      </c>
      <c r="H1384" t="s">
        <v>2215</v>
      </c>
      <c r="I1384" t="s">
        <v>19</v>
      </c>
      <c r="J1384" s="3" t="s">
        <v>2262</v>
      </c>
      <c r="K1384" t="s">
        <v>2263</v>
      </c>
      <c r="L1384" t="s">
        <v>2218</v>
      </c>
      <c r="M1384" t="s">
        <v>337</v>
      </c>
    </row>
    <row r="1385" spans="1:13" x14ac:dyDescent="0.25">
      <c r="A1385" t="s">
        <v>13042</v>
      </c>
      <c r="B1385" t="s">
        <v>13</v>
      </c>
      <c r="C1385" s="1">
        <v>44107</v>
      </c>
      <c r="D1385" t="s">
        <v>13043</v>
      </c>
      <c r="E1385" t="s">
        <v>1709</v>
      </c>
      <c r="F1385" t="s">
        <v>1464</v>
      </c>
      <c r="G1385" t="s">
        <v>13044</v>
      </c>
      <c r="H1385" t="s">
        <v>706</v>
      </c>
      <c r="I1385" t="s">
        <v>19</v>
      </c>
      <c r="J1385" s="3">
        <f>55-31-34092496</f>
        <v>-34092472</v>
      </c>
      <c r="K1385" t="s">
        <v>13045</v>
      </c>
      <c r="L1385" t="s">
        <v>565</v>
      </c>
      <c r="M1385" t="s">
        <v>337</v>
      </c>
    </row>
    <row r="1386" spans="1:13" x14ac:dyDescent="0.25">
      <c r="A1386" t="s">
        <v>14616</v>
      </c>
      <c r="B1386" t="s">
        <v>13</v>
      </c>
      <c r="C1386" s="1">
        <v>43811</v>
      </c>
      <c r="D1386" t="s">
        <v>14617</v>
      </c>
      <c r="E1386" t="s">
        <v>968</v>
      </c>
      <c r="F1386" t="s">
        <v>1464</v>
      </c>
      <c r="G1386" t="s">
        <v>14618</v>
      </c>
      <c r="H1386" t="s">
        <v>399</v>
      </c>
      <c r="I1386" t="s">
        <v>19</v>
      </c>
      <c r="J1386" s="3" t="s">
        <v>14619</v>
      </c>
      <c r="K1386" t="s">
        <v>14620</v>
      </c>
      <c r="L1386" t="s">
        <v>4218</v>
      </c>
      <c r="M1386" t="s">
        <v>337</v>
      </c>
    </row>
    <row r="1387" spans="1:13" x14ac:dyDescent="0.25">
      <c r="A1387" t="s">
        <v>26681</v>
      </c>
      <c r="B1387" t="s">
        <v>13</v>
      </c>
      <c r="C1387" t="s">
        <v>26682</v>
      </c>
      <c r="D1387" t="s">
        <v>26683</v>
      </c>
      <c r="E1387" t="s">
        <v>1709</v>
      </c>
      <c r="F1387" t="s">
        <v>332</v>
      </c>
      <c r="G1387" t="s">
        <v>26684</v>
      </c>
      <c r="H1387" t="s">
        <v>2678</v>
      </c>
      <c r="I1387" t="s">
        <v>19</v>
      </c>
      <c r="J1387" s="3" t="s">
        <v>26685</v>
      </c>
      <c r="K1387" t="s">
        <v>26686</v>
      </c>
      <c r="L1387" t="s">
        <v>2677</v>
      </c>
      <c r="M1387" t="s">
        <v>337</v>
      </c>
    </row>
    <row r="1388" spans="1:13" x14ac:dyDescent="0.25">
      <c r="A1388" t="s">
        <v>25744</v>
      </c>
      <c r="B1388" t="s">
        <v>13</v>
      </c>
      <c r="C1388" s="1">
        <v>42651</v>
      </c>
      <c r="D1388" t="s">
        <v>25745</v>
      </c>
      <c r="E1388" t="s">
        <v>1709</v>
      </c>
      <c r="F1388" t="s">
        <v>332</v>
      </c>
      <c r="G1388" t="s">
        <v>16693</v>
      </c>
      <c r="H1388" t="s">
        <v>428</v>
      </c>
      <c r="I1388" t="s">
        <v>19</v>
      </c>
      <c r="J1388" s="3" t="s">
        <v>16694</v>
      </c>
      <c r="K1388" t="s">
        <v>16695</v>
      </c>
      <c r="L1388" t="s">
        <v>1295</v>
      </c>
      <c r="M1388" t="s">
        <v>337</v>
      </c>
    </row>
    <row r="1389" spans="1:13" x14ac:dyDescent="0.25">
      <c r="A1389" t="s">
        <v>21940</v>
      </c>
      <c r="B1389" t="s">
        <v>13</v>
      </c>
      <c r="C1389" s="1">
        <v>43377</v>
      </c>
      <c r="D1389" t="s">
        <v>21941</v>
      </c>
      <c r="E1389" t="s">
        <v>1709</v>
      </c>
      <c r="F1389" t="s">
        <v>332</v>
      </c>
      <c r="G1389" t="s">
        <v>21942</v>
      </c>
      <c r="H1389" t="s">
        <v>428</v>
      </c>
      <c r="I1389" t="s">
        <v>19</v>
      </c>
      <c r="J1389" s="3" t="s">
        <v>21943</v>
      </c>
      <c r="K1389" t="s">
        <v>21944</v>
      </c>
      <c r="L1389" t="s">
        <v>15134</v>
      </c>
      <c r="M1389" t="s">
        <v>337</v>
      </c>
    </row>
    <row r="1390" spans="1:13" x14ac:dyDescent="0.25">
      <c r="A1390" t="s">
        <v>23160</v>
      </c>
      <c r="B1390" t="s">
        <v>13</v>
      </c>
      <c r="C1390" t="s">
        <v>18410</v>
      </c>
      <c r="D1390" t="s">
        <v>23161</v>
      </c>
      <c r="E1390" t="s">
        <v>1709</v>
      </c>
      <c r="F1390" t="s">
        <v>332</v>
      </c>
      <c r="G1390" t="s">
        <v>15549</v>
      </c>
      <c r="H1390" t="s">
        <v>114</v>
      </c>
      <c r="I1390" t="s">
        <v>19</v>
      </c>
      <c r="J1390" s="3" t="s">
        <v>23162</v>
      </c>
      <c r="K1390" t="s">
        <v>11897</v>
      </c>
      <c r="L1390" t="s">
        <v>82</v>
      </c>
      <c r="M1390" t="s">
        <v>337</v>
      </c>
    </row>
    <row r="1391" spans="1:13" x14ac:dyDescent="0.25">
      <c r="A1391" t="s">
        <v>19984</v>
      </c>
      <c r="B1391" t="s">
        <v>13</v>
      </c>
      <c r="C1391" t="s">
        <v>5016</v>
      </c>
      <c r="D1391" t="s">
        <v>19985</v>
      </c>
      <c r="E1391" t="s">
        <v>968</v>
      </c>
      <c r="F1391" t="s">
        <v>332</v>
      </c>
      <c r="G1391" t="s">
        <v>11896</v>
      </c>
      <c r="H1391" t="s">
        <v>114</v>
      </c>
      <c r="I1391" t="s">
        <v>19</v>
      </c>
      <c r="J1391" s="3">
        <v>55079999777001</v>
      </c>
      <c r="K1391" t="s">
        <v>11897</v>
      </c>
      <c r="L1391" t="s">
        <v>82</v>
      </c>
      <c r="M1391" t="s">
        <v>337</v>
      </c>
    </row>
    <row r="1392" spans="1:13" x14ac:dyDescent="0.25">
      <c r="A1392" t="s">
        <v>28006</v>
      </c>
      <c r="B1392" t="s">
        <v>13</v>
      </c>
      <c r="C1392" s="1">
        <v>42253</v>
      </c>
      <c r="D1392" t="s">
        <v>28007</v>
      </c>
      <c r="E1392" t="s">
        <v>968</v>
      </c>
      <c r="F1392" t="s">
        <v>332</v>
      </c>
      <c r="G1392" t="s">
        <v>28008</v>
      </c>
      <c r="H1392" t="s">
        <v>798</v>
      </c>
      <c r="I1392" t="s">
        <v>19</v>
      </c>
      <c r="J1392" s="3">
        <v>556133071802</v>
      </c>
      <c r="K1392" t="s">
        <v>28009</v>
      </c>
      <c r="L1392" t="s">
        <v>1767</v>
      </c>
      <c r="M1392" t="s">
        <v>337</v>
      </c>
    </row>
    <row r="1393" spans="1:13" x14ac:dyDescent="0.25">
      <c r="A1393" t="s">
        <v>21607</v>
      </c>
      <c r="B1393" t="s">
        <v>13</v>
      </c>
      <c r="C1393" s="1">
        <v>43317</v>
      </c>
      <c r="D1393" t="s">
        <v>21608</v>
      </c>
      <c r="E1393" t="s">
        <v>1709</v>
      </c>
      <c r="F1393" t="s">
        <v>332</v>
      </c>
      <c r="G1393" t="s">
        <v>16956</v>
      </c>
      <c r="H1393" t="s">
        <v>1802</v>
      </c>
      <c r="I1393" t="s">
        <v>19</v>
      </c>
      <c r="J1393" s="3">
        <v>551432358224</v>
      </c>
      <c r="K1393" t="s">
        <v>16957</v>
      </c>
      <c r="L1393" t="s">
        <v>1805</v>
      </c>
      <c r="M1393" t="s">
        <v>337</v>
      </c>
    </row>
    <row r="1394" spans="1:13" x14ac:dyDescent="0.25">
      <c r="A1394" t="s">
        <v>19104</v>
      </c>
      <c r="B1394" t="s">
        <v>13</v>
      </c>
      <c r="C1394" s="1">
        <v>43262</v>
      </c>
      <c r="D1394" t="s">
        <v>19105</v>
      </c>
      <c r="E1394" t="s">
        <v>8817</v>
      </c>
      <c r="F1394" t="s">
        <v>332</v>
      </c>
      <c r="G1394" t="s">
        <v>18791</v>
      </c>
      <c r="H1394" t="s">
        <v>170</v>
      </c>
      <c r="I1394" t="s">
        <v>19</v>
      </c>
      <c r="J1394" s="3">
        <f>55-12-39479304</f>
        <v>-39479261</v>
      </c>
      <c r="K1394" t="s">
        <v>18792</v>
      </c>
      <c r="L1394" t="s">
        <v>18793</v>
      </c>
      <c r="M1394" t="s">
        <v>337</v>
      </c>
    </row>
    <row r="1395" spans="1:13" x14ac:dyDescent="0.25">
      <c r="A1395" t="s">
        <v>16465</v>
      </c>
      <c r="B1395" t="s">
        <v>13</v>
      </c>
      <c r="C1395" t="s">
        <v>6239</v>
      </c>
      <c r="D1395" t="s">
        <v>16466</v>
      </c>
      <c r="E1395" t="s">
        <v>1709</v>
      </c>
      <c r="F1395" t="s">
        <v>332</v>
      </c>
      <c r="G1395" t="s">
        <v>969</v>
      </c>
      <c r="H1395" t="s">
        <v>170</v>
      </c>
      <c r="I1395" t="s">
        <v>19</v>
      </c>
      <c r="J1395" s="3">
        <f>55-12-39479376</f>
        <v>-39479333</v>
      </c>
      <c r="K1395" t="s">
        <v>970</v>
      </c>
      <c r="L1395" t="s">
        <v>971</v>
      </c>
      <c r="M1395" t="s">
        <v>337</v>
      </c>
    </row>
    <row r="1396" spans="1:13" x14ac:dyDescent="0.25">
      <c r="A1396" t="s">
        <v>19762</v>
      </c>
      <c r="B1396" t="s">
        <v>13</v>
      </c>
      <c r="C1396" s="1">
        <v>43229</v>
      </c>
      <c r="D1396" t="s">
        <v>19763</v>
      </c>
      <c r="E1396" t="s">
        <v>968</v>
      </c>
      <c r="F1396" t="s">
        <v>332</v>
      </c>
      <c r="G1396" t="s">
        <v>19764</v>
      </c>
      <c r="H1396" t="s">
        <v>798</v>
      </c>
      <c r="I1396" t="s">
        <v>19</v>
      </c>
      <c r="J1396" s="3">
        <f>55-61-981548441</f>
        <v>-981548447</v>
      </c>
      <c r="K1396" t="s">
        <v>19765</v>
      </c>
      <c r="L1396" t="s">
        <v>4378</v>
      </c>
      <c r="M1396" t="s">
        <v>337</v>
      </c>
    </row>
    <row r="1397" spans="1:13" x14ac:dyDescent="0.25">
      <c r="A1397" t="s">
        <v>1470</v>
      </c>
      <c r="B1397" t="s">
        <v>13</v>
      </c>
      <c r="C1397" s="1">
        <v>43983</v>
      </c>
      <c r="D1397" t="s">
        <v>1471</v>
      </c>
      <c r="E1397" t="s">
        <v>968</v>
      </c>
      <c r="F1397" t="s">
        <v>332</v>
      </c>
      <c r="G1397" t="s">
        <v>1472</v>
      </c>
      <c r="H1397" t="s">
        <v>428</v>
      </c>
      <c r="I1397" t="s">
        <v>19</v>
      </c>
      <c r="J1397" s="3">
        <v>555133085176</v>
      </c>
      <c r="K1397" t="s">
        <v>1473</v>
      </c>
      <c r="L1397" t="s">
        <v>1295</v>
      </c>
      <c r="M1397" t="s">
        <v>337</v>
      </c>
    </row>
    <row r="1398" spans="1:13" x14ac:dyDescent="0.25">
      <c r="A1398" t="s">
        <v>16467</v>
      </c>
      <c r="B1398" t="s">
        <v>13</v>
      </c>
      <c r="C1398" t="s">
        <v>14247</v>
      </c>
      <c r="D1398" t="s">
        <v>16468</v>
      </c>
      <c r="E1398" t="s">
        <v>968</v>
      </c>
      <c r="F1398" t="s">
        <v>332</v>
      </c>
      <c r="G1398" t="s">
        <v>969</v>
      </c>
      <c r="H1398" t="s">
        <v>170</v>
      </c>
      <c r="I1398" t="s">
        <v>19</v>
      </c>
      <c r="J1398" s="3">
        <f>55-12-39479376</f>
        <v>-39479333</v>
      </c>
      <c r="K1398" t="s">
        <v>970</v>
      </c>
      <c r="L1398" t="s">
        <v>971</v>
      </c>
      <c r="M1398" t="s">
        <v>337</v>
      </c>
    </row>
    <row r="1399" spans="1:13" x14ac:dyDescent="0.25">
      <c r="A1399" t="s">
        <v>15130</v>
      </c>
      <c r="B1399" t="s">
        <v>13</v>
      </c>
      <c r="C1399" s="1">
        <v>43476</v>
      </c>
      <c r="D1399" t="s">
        <v>15131</v>
      </c>
      <c r="E1399" t="s">
        <v>968</v>
      </c>
      <c r="F1399" t="s">
        <v>332</v>
      </c>
      <c r="G1399" t="s">
        <v>15132</v>
      </c>
      <c r="H1399" t="s">
        <v>428</v>
      </c>
      <c r="I1399" t="s">
        <v>19</v>
      </c>
      <c r="J1399" s="3">
        <v>555133085193</v>
      </c>
      <c r="K1399" t="s">
        <v>15133</v>
      </c>
      <c r="L1399" t="s">
        <v>15134</v>
      </c>
      <c r="M1399" t="s">
        <v>337</v>
      </c>
    </row>
    <row r="1400" spans="1:13" x14ac:dyDescent="0.25">
      <c r="A1400" t="s">
        <v>12176</v>
      </c>
      <c r="B1400" t="s">
        <v>13</v>
      </c>
      <c r="C1400" s="1">
        <v>44107</v>
      </c>
      <c r="D1400" t="s">
        <v>12177</v>
      </c>
      <c r="E1400" t="s">
        <v>8817</v>
      </c>
      <c r="F1400" t="s">
        <v>332</v>
      </c>
      <c r="G1400" t="s">
        <v>12178</v>
      </c>
      <c r="H1400" t="s">
        <v>4236</v>
      </c>
      <c r="I1400" t="s">
        <v>19</v>
      </c>
      <c r="J1400" s="3">
        <v>55098996180199</v>
      </c>
      <c r="K1400" t="s">
        <v>12179</v>
      </c>
      <c r="L1400" t="s">
        <v>7453</v>
      </c>
      <c r="M1400" t="s">
        <v>337</v>
      </c>
    </row>
    <row r="1401" spans="1:13" x14ac:dyDescent="0.25">
      <c r="A1401" t="s">
        <v>8814</v>
      </c>
      <c r="B1401" t="s">
        <v>13</v>
      </c>
      <c r="C1401" t="s">
        <v>8815</v>
      </c>
      <c r="D1401" t="s">
        <v>8816</v>
      </c>
      <c r="E1401" t="s">
        <v>8817</v>
      </c>
      <c r="F1401" t="s">
        <v>332</v>
      </c>
      <c r="G1401" t="s">
        <v>1472</v>
      </c>
      <c r="H1401" t="s">
        <v>8003</v>
      </c>
      <c r="I1401" t="s">
        <v>19</v>
      </c>
      <c r="J1401" s="3" t="s">
        <v>8818</v>
      </c>
      <c r="K1401" t="s">
        <v>8819</v>
      </c>
      <c r="L1401" t="s">
        <v>3299</v>
      </c>
      <c r="M1401" t="s">
        <v>337</v>
      </c>
    </row>
    <row r="1402" spans="1:13" x14ac:dyDescent="0.25">
      <c r="A1402" t="s">
        <v>4847</v>
      </c>
      <c r="B1402" t="s">
        <v>13</v>
      </c>
      <c r="C1402" s="1">
        <v>44836</v>
      </c>
      <c r="D1402" t="s">
        <v>4848</v>
      </c>
      <c r="E1402" t="s">
        <v>968</v>
      </c>
      <c r="F1402" t="s">
        <v>1006</v>
      </c>
      <c r="G1402" t="s">
        <v>4849</v>
      </c>
      <c r="H1402" t="s">
        <v>1802</v>
      </c>
      <c r="I1402" t="s">
        <v>19</v>
      </c>
      <c r="J1402" s="3" t="s">
        <v>4850</v>
      </c>
      <c r="K1402" t="s">
        <v>4851</v>
      </c>
      <c r="L1402" t="s">
        <v>4852</v>
      </c>
      <c r="M1402" t="s">
        <v>337</v>
      </c>
    </row>
    <row r="1403" spans="1:13" x14ac:dyDescent="0.25">
      <c r="A1403" t="s">
        <v>8825</v>
      </c>
      <c r="B1403" t="s">
        <v>13</v>
      </c>
      <c r="C1403" s="1">
        <v>43112</v>
      </c>
      <c r="D1403" t="s">
        <v>8826</v>
      </c>
      <c r="E1403" t="s">
        <v>968</v>
      </c>
      <c r="F1403" t="s">
        <v>332</v>
      </c>
      <c r="G1403" t="s">
        <v>1472</v>
      </c>
      <c r="H1403" t="s">
        <v>8003</v>
      </c>
      <c r="I1403" t="s">
        <v>19</v>
      </c>
      <c r="J1403" s="3" t="s">
        <v>8818</v>
      </c>
      <c r="K1403" t="s">
        <v>8819</v>
      </c>
      <c r="L1403" t="s">
        <v>3299</v>
      </c>
      <c r="M1403" t="s">
        <v>337</v>
      </c>
    </row>
    <row r="1404" spans="1:13" x14ac:dyDescent="0.25">
      <c r="A1404" t="s">
        <v>18951</v>
      </c>
      <c r="B1404" t="s">
        <v>13</v>
      </c>
      <c r="C1404" t="s">
        <v>15757</v>
      </c>
      <c r="D1404" t="s">
        <v>18952</v>
      </c>
      <c r="E1404" t="s">
        <v>1709</v>
      </c>
      <c r="F1404" t="s">
        <v>1934</v>
      </c>
      <c r="G1404" t="s">
        <v>18953</v>
      </c>
      <c r="H1404" t="s">
        <v>265</v>
      </c>
      <c r="I1404" t="s">
        <v>19</v>
      </c>
      <c r="J1404" s="3" t="s">
        <v>18954</v>
      </c>
      <c r="K1404" t="s">
        <v>18955</v>
      </c>
      <c r="L1404" t="s">
        <v>18956</v>
      </c>
      <c r="M1404" t="s">
        <v>337</v>
      </c>
    </row>
    <row r="1405" spans="1:13" x14ac:dyDescent="0.25">
      <c r="A1405" t="s">
        <v>12599</v>
      </c>
      <c r="B1405" t="s">
        <v>13</v>
      </c>
      <c r="C1405" t="s">
        <v>11616</v>
      </c>
      <c r="D1405" t="s">
        <v>12600</v>
      </c>
      <c r="E1405" t="s">
        <v>8817</v>
      </c>
      <c r="G1405" t="s">
        <v>12601</v>
      </c>
      <c r="H1405" t="s">
        <v>428</v>
      </c>
      <c r="I1405" t="s">
        <v>19</v>
      </c>
      <c r="J1405" s="3" t="s">
        <v>12602</v>
      </c>
      <c r="K1405" t="s">
        <v>12603</v>
      </c>
      <c r="L1405" t="s">
        <v>12604</v>
      </c>
      <c r="M1405" t="s">
        <v>337</v>
      </c>
    </row>
    <row r="1406" spans="1:13" x14ac:dyDescent="0.25">
      <c r="A1406" t="s">
        <v>23520</v>
      </c>
      <c r="B1406" t="s">
        <v>13</v>
      </c>
      <c r="C1406" t="s">
        <v>11911</v>
      </c>
      <c r="D1406" t="s">
        <v>23521</v>
      </c>
      <c r="E1406" t="s">
        <v>32295</v>
      </c>
      <c r="F1406" t="s">
        <v>332</v>
      </c>
      <c r="G1406" t="s">
        <v>23522</v>
      </c>
      <c r="H1406" t="s">
        <v>36</v>
      </c>
      <c r="I1406" t="s">
        <v>19</v>
      </c>
      <c r="J1406" s="3" t="s">
        <v>23523</v>
      </c>
      <c r="K1406" t="s">
        <v>23524</v>
      </c>
      <c r="L1406" t="s">
        <v>223</v>
      </c>
      <c r="M1406" t="s">
        <v>337</v>
      </c>
    </row>
    <row r="1407" spans="1:13" x14ac:dyDescent="0.25">
      <c r="A1407" t="s">
        <v>24573</v>
      </c>
      <c r="B1407" t="s">
        <v>13</v>
      </c>
      <c r="C1407" s="1">
        <v>42889</v>
      </c>
      <c r="D1407" t="s">
        <v>24574</v>
      </c>
      <c r="E1407" s="2" t="s">
        <v>31338</v>
      </c>
      <c r="F1407" t="s">
        <v>332</v>
      </c>
      <c r="G1407" t="s">
        <v>24575</v>
      </c>
      <c r="H1407" t="s">
        <v>1656</v>
      </c>
      <c r="I1407" t="s">
        <v>19</v>
      </c>
      <c r="J1407" s="3" t="s">
        <v>24576</v>
      </c>
      <c r="K1407" t="s">
        <v>24577</v>
      </c>
      <c r="L1407" t="s">
        <v>1658</v>
      </c>
      <c r="M1407" t="s">
        <v>337</v>
      </c>
    </row>
    <row r="1408" spans="1:13" x14ac:dyDescent="0.25">
      <c r="A1408" t="s">
        <v>25271</v>
      </c>
      <c r="B1408" t="s">
        <v>13</v>
      </c>
      <c r="C1408" t="s">
        <v>25256</v>
      </c>
      <c r="D1408" t="s">
        <v>25272</v>
      </c>
      <c r="E1408" t="s">
        <v>25273</v>
      </c>
      <c r="F1408" t="s">
        <v>1464</v>
      </c>
      <c r="G1408" t="s">
        <v>25274</v>
      </c>
      <c r="H1408" t="s">
        <v>53</v>
      </c>
      <c r="I1408" t="s">
        <v>19</v>
      </c>
      <c r="J1408" s="3">
        <v>553835326099</v>
      </c>
      <c r="K1408" t="s">
        <v>25275</v>
      </c>
      <c r="L1408" t="s">
        <v>25276</v>
      </c>
      <c r="M1408" t="s">
        <v>337</v>
      </c>
    </row>
    <row r="1409" spans="1:13" x14ac:dyDescent="0.25">
      <c r="A1409" t="s">
        <v>16352</v>
      </c>
      <c r="B1409" t="s">
        <v>13</v>
      </c>
      <c r="C1409" t="s">
        <v>10976</v>
      </c>
      <c r="D1409" t="s">
        <v>16353</v>
      </c>
      <c r="E1409" s="2" t="s">
        <v>31602</v>
      </c>
      <c r="F1409" t="s">
        <v>332</v>
      </c>
      <c r="G1409" t="s">
        <v>2214</v>
      </c>
      <c r="H1409" t="s">
        <v>2215</v>
      </c>
      <c r="I1409" t="s">
        <v>19</v>
      </c>
      <c r="J1409" s="3" t="s">
        <v>16354</v>
      </c>
      <c r="K1409" t="s">
        <v>2217</v>
      </c>
      <c r="L1409" t="s">
        <v>2218</v>
      </c>
      <c r="M1409" t="s">
        <v>337</v>
      </c>
    </row>
    <row r="1410" spans="1:13" x14ac:dyDescent="0.25">
      <c r="A1410" t="s">
        <v>17014</v>
      </c>
      <c r="B1410" t="s">
        <v>13</v>
      </c>
      <c r="C1410" s="1">
        <v>43075</v>
      </c>
      <c r="D1410" t="s">
        <v>17015</v>
      </c>
      <c r="E1410" s="2" t="s">
        <v>31167</v>
      </c>
      <c r="F1410" t="s">
        <v>332</v>
      </c>
      <c r="G1410" t="s">
        <v>2214</v>
      </c>
      <c r="H1410" t="s">
        <v>2215</v>
      </c>
      <c r="I1410" t="s">
        <v>19</v>
      </c>
      <c r="J1410" s="3" t="s">
        <v>16354</v>
      </c>
      <c r="K1410" t="s">
        <v>2217</v>
      </c>
      <c r="L1410" t="s">
        <v>2218</v>
      </c>
      <c r="M1410" t="s">
        <v>337</v>
      </c>
    </row>
    <row r="1411" spans="1:13" x14ac:dyDescent="0.25">
      <c r="A1411" t="s">
        <v>19206</v>
      </c>
      <c r="B1411" t="s">
        <v>13</v>
      </c>
      <c r="C1411" t="s">
        <v>8497</v>
      </c>
      <c r="D1411" t="s">
        <v>19207</v>
      </c>
      <c r="E1411" s="2" t="s">
        <v>31222</v>
      </c>
      <c r="F1411" t="s">
        <v>1464</v>
      </c>
      <c r="G1411" t="s">
        <v>18451</v>
      </c>
      <c r="H1411" t="s">
        <v>265</v>
      </c>
      <c r="I1411" t="s">
        <v>19</v>
      </c>
      <c r="J1411" s="3">
        <f>55-16-997012585</f>
        <v>-997012546</v>
      </c>
      <c r="K1411" t="s">
        <v>18452</v>
      </c>
      <c r="L1411" t="s">
        <v>11309</v>
      </c>
      <c r="M1411" t="s">
        <v>337</v>
      </c>
    </row>
    <row r="1412" spans="1:13" x14ac:dyDescent="0.25">
      <c r="A1412" t="s">
        <v>12414</v>
      </c>
      <c r="B1412" t="s">
        <v>13</v>
      </c>
      <c r="C1412" t="s">
        <v>8017</v>
      </c>
      <c r="D1412" t="s">
        <v>12415</v>
      </c>
      <c r="E1412" t="s">
        <v>12416</v>
      </c>
      <c r="F1412" t="s">
        <v>1464</v>
      </c>
      <c r="G1412" t="s">
        <v>12417</v>
      </c>
      <c r="H1412" t="s">
        <v>1656</v>
      </c>
      <c r="I1412" t="s">
        <v>19</v>
      </c>
      <c r="J1412" s="3" t="s">
        <v>12418</v>
      </c>
      <c r="K1412" t="s">
        <v>12419</v>
      </c>
      <c r="L1412" t="s">
        <v>12420</v>
      </c>
      <c r="M1412" t="s">
        <v>337</v>
      </c>
    </row>
    <row r="1413" spans="1:13" x14ac:dyDescent="0.25">
      <c r="A1413" t="s">
        <v>16368</v>
      </c>
      <c r="B1413" t="s">
        <v>13</v>
      </c>
      <c r="C1413" s="1">
        <v>42373</v>
      </c>
      <c r="D1413" t="s">
        <v>16369</v>
      </c>
      <c r="E1413" t="s">
        <v>16370</v>
      </c>
      <c r="F1413" t="s">
        <v>332</v>
      </c>
      <c r="G1413" t="s">
        <v>1472</v>
      </c>
      <c r="H1413" t="s">
        <v>428</v>
      </c>
      <c r="I1413" t="s">
        <v>19</v>
      </c>
      <c r="J1413" s="3" t="s">
        <v>16371</v>
      </c>
      <c r="K1413" t="s">
        <v>1473</v>
      </c>
      <c r="L1413" t="s">
        <v>16372</v>
      </c>
      <c r="M1413" t="s">
        <v>337</v>
      </c>
    </row>
    <row r="1414" spans="1:13" x14ac:dyDescent="0.25">
      <c r="A1414" t="s">
        <v>8458</v>
      </c>
      <c r="B1414" t="s">
        <v>13</v>
      </c>
      <c r="C1414" s="1">
        <v>42927</v>
      </c>
      <c r="D1414" t="s">
        <v>8459</v>
      </c>
      <c r="E1414" t="s">
        <v>8460</v>
      </c>
      <c r="F1414" t="s">
        <v>1464</v>
      </c>
      <c r="G1414" t="s">
        <v>8461</v>
      </c>
      <c r="H1414" t="s">
        <v>36</v>
      </c>
      <c r="I1414" t="s">
        <v>19</v>
      </c>
      <c r="J1414" s="3" t="s">
        <v>8462</v>
      </c>
      <c r="K1414" t="s">
        <v>8463</v>
      </c>
      <c r="L1414" t="s">
        <v>8464</v>
      </c>
      <c r="M1414" t="s">
        <v>337</v>
      </c>
    </row>
    <row r="1415" spans="1:13" x14ac:dyDescent="0.25">
      <c r="A1415" t="s">
        <v>18206</v>
      </c>
      <c r="B1415" t="s">
        <v>13</v>
      </c>
      <c r="C1415" s="1">
        <v>43558</v>
      </c>
      <c r="D1415" t="s">
        <v>18207</v>
      </c>
      <c r="E1415" t="s">
        <v>18208</v>
      </c>
      <c r="F1415" t="s">
        <v>332</v>
      </c>
      <c r="G1415" t="s">
        <v>18209</v>
      </c>
      <c r="H1415" t="s">
        <v>706</v>
      </c>
      <c r="I1415" t="s">
        <v>19</v>
      </c>
      <c r="J1415" s="3">
        <f>55-31-34099771</f>
        <v>-34099747</v>
      </c>
      <c r="K1415" t="s">
        <v>18210</v>
      </c>
      <c r="L1415" t="s">
        <v>18211</v>
      </c>
      <c r="M1415" t="s">
        <v>337</v>
      </c>
    </row>
    <row r="1416" spans="1:13" x14ac:dyDescent="0.25">
      <c r="A1416" t="s">
        <v>20960</v>
      </c>
      <c r="B1416" t="s">
        <v>13</v>
      </c>
      <c r="C1416" t="s">
        <v>5341</v>
      </c>
      <c r="D1416" t="s">
        <v>20961</v>
      </c>
      <c r="E1416" t="s">
        <v>20962</v>
      </c>
      <c r="F1416" t="s">
        <v>337</v>
      </c>
      <c r="G1416" t="s">
        <v>969</v>
      </c>
      <c r="H1416" t="s">
        <v>170</v>
      </c>
      <c r="I1416" t="s">
        <v>19</v>
      </c>
      <c r="J1416" s="3">
        <v>551239479376</v>
      </c>
      <c r="K1416" t="s">
        <v>20963</v>
      </c>
      <c r="L1416" t="s">
        <v>971</v>
      </c>
      <c r="M1416" t="s">
        <v>337</v>
      </c>
    </row>
    <row r="1417" spans="1:13" x14ac:dyDescent="0.25">
      <c r="A1417" t="s">
        <v>8637</v>
      </c>
      <c r="B1417" t="s">
        <v>13</v>
      </c>
      <c r="C1417" s="1">
        <v>42044</v>
      </c>
      <c r="D1417" t="s">
        <v>8638</v>
      </c>
      <c r="E1417" t="s">
        <v>8639</v>
      </c>
      <c r="F1417" t="s">
        <v>332</v>
      </c>
      <c r="G1417" t="s">
        <v>8640</v>
      </c>
      <c r="H1417" t="s">
        <v>7467</v>
      </c>
      <c r="I1417" t="s">
        <v>19</v>
      </c>
      <c r="J1417" s="3" t="s">
        <v>8641</v>
      </c>
      <c r="K1417" t="s">
        <v>8642</v>
      </c>
      <c r="L1417" t="s">
        <v>8643</v>
      </c>
      <c r="M1417" t="s">
        <v>337</v>
      </c>
    </row>
    <row r="1418" spans="1:13" x14ac:dyDescent="0.25">
      <c r="A1418" t="s">
        <v>21110</v>
      </c>
      <c r="B1418" t="s">
        <v>13</v>
      </c>
      <c r="C1418" s="1">
        <v>43257</v>
      </c>
      <c r="D1418" t="s">
        <v>21111</v>
      </c>
      <c r="E1418" s="2" t="s">
        <v>31940</v>
      </c>
      <c r="F1418" t="s">
        <v>332</v>
      </c>
      <c r="G1418" t="s">
        <v>18791</v>
      </c>
      <c r="H1418" t="s">
        <v>170</v>
      </c>
      <c r="I1418" t="s">
        <v>19</v>
      </c>
      <c r="J1418" s="3">
        <f>55-12-39479304</f>
        <v>-39479261</v>
      </c>
      <c r="K1418" t="s">
        <v>18792</v>
      </c>
      <c r="L1418" t="s">
        <v>18793</v>
      </c>
      <c r="M1418" t="s">
        <v>337</v>
      </c>
    </row>
    <row r="1419" spans="1:13" x14ac:dyDescent="0.25">
      <c r="A1419" t="s">
        <v>6146</v>
      </c>
      <c r="B1419" t="s">
        <v>13</v>
      </c>
      <c r="C1419" s="1">
        <v>44206</v>
      </c>
      <c r="D1419" t="s">
        <v>32135</v>
      </c>
      <c r="E1419" t="s">
        <v>6147</v>
      </c>
      <c r="F1419" t="s">
        <v>6148</v>
      </c>
      <c r="G1419" t="s">
        <v>5542</v>
      </c>
      <c r="H1419" t="s">
        <v>5543</v>
      </c>
      <c r="I1419" t="s">
        <v>19</v>
      </c>
      <c r="J1419" s="3" t="s">
        <v>5544</v>
      </c>
      <c r="K1419" t="s">
        <v>5545</v>
      </c>
      <c r="L1419" t="s">
        <v>32135</v>
      </c>
      <c r="M1419" t="s">
        <v>337</v>
      </c>
    </row>
    <row r="1420" spans="1:13" x14ac:dyDescent="0.25">
      <c r="A1420" t="s">
        <v>21349</v>
      </c>
      <c r="B1420" t="s">
        <v>13</v>
      </c>
      <c r="C1420" t="s">
        <v>7645</v>
      </c>
      <c r="D1420" t="s">
        <v>21350</v>
      </c>
      <c r="E1420" t="s">
        <v>21351</v>
      </c>
      <c r="F1420" t="s">
        <v>1464</v>
      </c>
      <c r="G1420" t="s">
        <v>21352</v>
      </c>
      <c r="H1420" t="s">
        <v>255</v>
      </c>
      <c r="I1420" t="s">
        <v>19</v>
      </c>
      <c r="J1420" s="3">
        <v>556232096255</v>
      </c>
      <c r="K1420" t="s">
        <v>21353</v>
      </c>
      <c r="L1420" t="s">
        <v>2467</v>
      </c>
      <c r="M1420" t="s">
        <v>337</v>
      </c>
    </row>
    <row r="1421" spans="1:13" x14ac:dyDescent="0.25">
      <c r="A1421" t="s">
        <v>25700</v>
      </c>
      <c r="B1421" t="s">
        <v>13</v>
      </c>
      <c r="C1421" t="s">
        <v>25701</v>
      </c>
      <c r="D1421" t="s">
        <v>25702</v>
      </c>
      <c r="E1421" s="2" t="s">
        <v>31882</v>
      </c>
      <c r="F1421" t="s">
        <v>332</v>
      </c>
      <c r="G1421" t="s">
        <v>5839</v>
      </c>
      <c r="H1421" t="s">
        <v>2215</v>
      </c>
      <c r="I1421" t="s">
        <v>19</v>
      </c>
      <c r="J1421" s="3" t="s">
        <v>14221</v>
      </c>
      <c r="K1421" t="s">
        <v>2217</v>
      </c>
      <c r="L1421" t="s">
        <v>2218</v>
      </c>
      <c r="M1421" t="s">
        <v>337</v>
      </c>
    </row>
    <row r="1422" spans="1:13" x14ac:dyDescent="0.25">
      <c r="A1422" t="s">
        <v>18969</v>
      </c>
      <c r="B1422" t="s">
        <v>13</v>
      </c>
      <c r="C1422" t="s">
        <v>18970</v>
      </c>
      <c r="D1422" t="s">
        <v>18971</v>
      </c>
      <c r="E1422" s="2" t="s">
        <v>32036</v>
      </c>
      <c r="F1422" t="s">
        <v>332</v>
      </c>
      <c r="G1422" t="s">
        <v>18697</v>
      </c>
      <c r="H1422" t="s">
        <v>18972</v>
      </c>
      <c r="I1422" t="s">
        <v>19</v>
      </c>
      <c r="J1422" s="3" t="s">
        <v>18973</v>
      </c>
      <c r="K1422" t="s">
        <v>18974</v>
      </c>
      <c r="L1422" t="s">
        <v>18699</v>
      </c>
      <c r="M1422" t="s">
        <v>337</v>
      </c>
    </row>
    <row r="1423" spans="1:13" x14ac:dyDescent="0.25">
      <c r="A1423" t="s">
        <v>25662</v>
      </c>
      <c r="B1423" t="s">
        <v>13</v>
      </c>
      <c r="C1423" t="s">
        <v>19011</v>
      </c>
      <c r="D1423" t="s">
        <v>25663</v>
      </c>
      <c r="E1423" s="2" t="s">
        <v>31881</v>
      </c>
      <c r="F1423" t="s">
        <v>332</v>
      </c>
      <c r="G1423" t="s">
        <v>5839</v>
      </c>
      <c r="H1423" t="s">
        <v>2215</v>
      </c>
      <c r="I1423" t="s">
        <v>19</v>
      </c>
      <c r="J1423" s="3" t="s">
        <v>14221</v>
      </c>
      <c r="K1423" t="s">
        <v>2217</v>
      </c>
      <c r="L1423" t="s">
        <v>2218</v>
      </c>
      <c r="M1423" t="s">
        <v>337</v>
      </c>
    </row>
    <row r="1424" spans="1:13" x14ac:dyDescent="0.25">
      <c r="A1424" t="s">
        <v>25698</v>
      </c>
      <c r="B1424" t="s">
        <v>13</v>
      </c>
      <c r="C1424" t="s">
        <v>25680</v>
      </c>
      <c r="D1424" t="s">
        <v>25699</v>
      </c>
      <c r="E1424" s="2" t="s">
        <v>32296</v>
      </c>
      <c r="F1424" t="s">
        <v>332</v>
      </c>
      <c r="G1424" t="s">
        <v>5839</v>
      </c>
      <c r="H1424" t="s">
        <v>2215</v>
      </c>
      <c r="I1424" t="s">
        <v>19</v>
      </c>
      <c r="J1424" s="3" t="s">
        <v>14221</v>
      </c>
      <c r="K1424" t="s">
        <v>2217</v>
      </c>
      <c r="L1424" t="s">
        <v>2218</v>
      </c>
      <c r="M1424" t="s">
        <v>32144</v>
      </c>
    </row>
    <row r="1425" spans="1:13" x14ac:dyDescent="0.25">
      <c r="A1425" t="s">
        <v>26564</v>
      </c>
      <c r="B1425" t="s">
        <v>13</v>
      </c>
      <c r="C1425" s="1">
        <v>42647</v>
      </c>
      <c r="D1425" t="s">
        <v>26565</v>
      </c>
      <c r="E1425" t="s">
        <v>26566</v>
      </c>
      <c r="F1425" t="s">
        <v>332</v>
      </c>
      <c r="G1425" t="s">
        <v>26567</v>
      </c>
      <c r="H1425" t="s">
        <v>893</v>
      </c>
      <c r="I1425" t="s">
        <v>19</v>
      </c>
      <c r="J1425" s="3" t="s">
        <v>26568</v>
      </c>
      <c r="K1425" t="s">
        <v>26569</v>
      </c>
      <c r="L1425" t="s">
        <v>1727</v>
      </c>
      <c r="M1425" t="s">
        <v>337</v>
      </c>
    </row>
    <row r="1426" spans="1:13" x14ac:dyDescent="0.25">
      <c r="A1426" t="s">
        <v>15934</v>
      </c>
      <c r="B1426" t="s">
        <v>13</v>
      </c>
      <c r="C1426" t="s">
        <v>15935</v>
      </c>
      <c r="D1426" t="s">
        <v>15936</v>
      </c>
      <c r="E1426" s="2" t="s">
        <v>31143</v>
      </c>
      <c r="F1426" t="s">
        <v>3069</v>
      </c>
      <c r="G1426" t="s">
        <v>2261</v>
      </c>
      <c r="H1426" t="s">
        <v>15937</v>
      </c>
      <c r="I1426" t="s">
        <v>19</v>
      </c>
      <c r="J1426" s="3">
        <f>55423220-3740</f>
        <v>55419480</v>
      </c>
      <c r="K1426" t="s">
        <v>3032</v>
      </c>
      <c r="L1426" t="s">
        <v>2218</v>
      </c>
      <c r="M1426" t="s">
        <v>337</v>
      </c>
    </row>
    <row r="1427" spans="1:13" x14ac:dyDescent="0.25">
      <c r="A1427" t="s">
        <v>26951</v>
      </c>
      <c r="B1427" t="s">
        <v>13</v>
      </c>
      <c r="C1427" s="1">
        <v>42676</v>
      </c>
      <c r="D1427" t="s">
        <v>26952</v>
      </c>
      <c r="E1427" t="s">
        <v>26953</v>
      </c>
      <c r="F1427" t="s">
        <v>332</v>
      </c>
      <c r="G1427" t="s">
        <v>2261</v>
      </c>
      <c r="H1427" t="s">
        <v>2215</v>
      </c>
      <c r="I1427" t="s">
        <v>19</v>
      </c>
      <c r="J1427" s="3" t="s">
        <v>14221</v>
      </c>
      <c r="K1427" t="s">
        <v>3032</v>
      </c>
      <c r="L1427" t="s">
        <v>5685</v>
      </c>
      <c r="M1427" t="s">
        <v>337</v>
      </c>
    </row>
    <row r="1428" spans="1:13" x14ac:dyDescent="0.25">
      <c r="A1428" t="s">
        <v>16469</v>
      </c>
      <c r="B1428" t="s">
        <v>13</v>
      </c>
      <c r="C1428" t="s">
        <v>14247</v>
      </c>
      <c r="D1428" t="s">
        <v>16470</v>
      </c>
      <c r="E1428" s="2" t="s">
        <v>31157</v>
      </c>
      <c r="F1428" t="s">
        <v>1464</v>
      </c>
      <c r="G1428" t="s">
        <v>16471</v>
      </c>
      <c r="H1428" t="s">
        <v>372</v>
      </c>
      <c r="I1428" t="s">
        <v>19</v>
      </c>
      <c r="J1428" s="3">
        <f>55-19-21065200</f>
        <v>-21065164</v>
      </c>
      <c r="K1428" t="s">
        <v>16472</v>
      </c>
      <c r="L1428" t="s">
        <v>4211</v>
      </c>
      <c r="M1428" t="s">
        <v>337</v>
      </c>
    </row>
    <row r="1429" spans="1:13" x14ac:dyDescent="0.25">
      <c r="A1429" t="s">
        <v>11298</v>
      </c>
      <c r="B1429" t="s">
        <v>13</v>
      </c>
      <c r="C1429" t="s">
        <v>11288</v>
      </c>
      <c r="D1429" t="s">
        <v>11299</v>
      </c>
      <c r="E1429" s="2" t="s">
        <v>31392</v>
      </c>
      <c r="F1429" t="s">
        <v>1464</v>
      </c>
      <c r="G1429" t="s">
        <v>11300</v>
      </c>
      <c r="H1429" t="s">
        <v>1802</v>
      </c>
      <c r="I1429" t="s">
        <v>19</v>
      </c>
      <c r="J1429" s="3">
        <v>5514988089805</v>
      </c>
      <c r="K1429" t="s">
        <v>11301</v>
      </c>
      <c r="L1429" t="s">
        <v>11302</v>
      </c>
      <c r="M1429" t="s">
        <v>337</v>
      </c>
    </row>
    <row r="1430" spans="1:13" x14ac:dyDescent="0.25">
      <c r="A1430" t="s">
        <v>25625</v>
      </c>
      <c r="B1430" t="s">
        <v>13</v>
      </c>
      <c r="C1430" t="s">
        <v>25626</v>
      </c>
      <c r="D1430" t="s">
        <v>25627</v>
      </c>
      <c r="E1430" t="s">
        <v>25628</v>
      </c>
      <c r="F1430" t="s">
        <v>1464</v>
      </c>
      <c r="G1430" t="s">
        <v>25629</v>
      </c>
      <c r="H1430" t="s">
        <v>1215</v>
      </c>
      <c r="I1430" t="s">
        <v>19</v>
      </c>
      <c r="J1430" s="3" t="s">
        <v>25630</v>
      </c>
      <c r="K1430" t="s">
        <v>25631</v>
      </c>
      <c r="L1430" t="s">
        <v>25632</v>
      </c>
      <c r="M1430" t="s">
        <v>337</v>
      </c>
    </row>
    <row r="1431" spans="1:13" x14ac:dyDescent="0.25">
      <c r="A1431" t="s">
        <v>7733</v>
      </c>
      <c r="B1431" t="s">
        <v>13</v>
      </c>
      <c r="C1431" s="1">
        <v>44321</v>
      </c>
      <c r="D1431" t="s">
        <v>7734</v>
      </c>
      <c r="E1431" s="2" t="s">
        <v>30694</v>
      </c>
      <c r="F1431" t="s">
        <v>332</v>
      </c>
      <c r="G1431" t="s">
        <v>969</v>
      </c>
      <c r="H1431" t="s">
        <v>170</v>
      </c>
      <c r="I1431" t="s">
        <v>19</v>
      </c>
      <c r="J1431" s="3">
        <f>55-12-39479376</f>
        <v>-39479333</v>
      </c>
      <c r="K1431" t="s">
        <v>970</v>
      </c>
      <c r="L1431" t="s">
        <v>971</v>
      </c>
      <c r="M1431" t="s">
        <v>337</v>
      </c>
    </row>
    <row r="1432" spans="1:13" x14ac:dyDescent="0.25">
      <c r="A1432" t="s">
        <v>966</v>
      </c>
      <c r="B1432" t="s">
        <v>13</v>
      </c>
      <c r="C1432" s="1">
        <v>44724</v>
      </c>
      <c r="D1432" t="s">
        <v>967</v>
      </c>
      <c r="E1432" s="2" t="s">
        <v>30694</v>
      </c>
      <c r="F1432" t="s">
        <v>332</v>
      </c>
      <c r="G1432" t="s">
        <v>969</v>
      </c>
      <c r="H1432" t="s">
        <v>170</v>
      </c>
      <c r="I1432" t="s">
        <v>19</v>
      </c>
      <c r="J1432" s="3">
        <f>55-12-39479376</f>
        <v>-39479333</v>
      </c>
      <c r="K1432" t="s">
        <v>970</v>
      </c>
      <c r="L1432" t="s">
        <v>971</v>
      </c>
      <c r="M1432" t="s">
        <v>337</v>
      </c>
    </row>
    <row r="1433" spans="1:13" x14ac:dyDescent="0.25">
      <c r="A1433" t="s">
        <v>1280</v>
      </c>
      <c r="B1433" t="s">
        <v>13</v>
      </c>
      <c r="C1433" t="s">
        <v>1278</v>
      </c>
      <c r="D1433" t="s">
        <v>1281</v>
      </c>
      <c r="E1433" s="2" t="s">
        <v>30694</v>
      </c>
      <c r="F1433" t="s">
        <v>332</v>
      </c>
      <c r="G1433" t="s">
        <v>969</v>
      </c>
      <c r="H1433" t="s">
        <v>170</v>
      </c>
      <c r="I1433" t="s">
        <v>19</v>
      </c>
      <c r="J1433" s="3">
        <f>55-12-39479376</f>
        <v>-39479333</v>
      </c>
      <c r="K1433" t="s">
        <v>970</v>
      </c>
      <c r="L1433" t="s">
        <v>971</v>
      </c>
      <c r="M1433" t="s">
        <v>337</v>
      </c>
    </row>
    <row r="1434" spans="1:13" x14ac:dyDescent="0.25">
      <c r="A1434" t="s">
        <v>14516</v>
      </c>
      <c r="B1434" t="s">
        <v>13</v>
      </c>
      <c r="C1434" t="s">
        <v>10438</v>
      </c>
      <c r="D1434" t="s">
        <v>14517</v>
      </c>
      <c r="E1434" s="2" t="s">
        <v>31096</v>
      </c>
      <c r="F1434" t="s">
        <v>332</v>
      </c>
      <c r="G1434" t="s">
        <v>969</v>
      </c>
      <c r="H1434" t="s">
        <v>170</v>
      </c>
      <c r="I1434" t="s">
        <v>19</v>
      </c>
      <c r="J1434" s="3">
        <f>55-12-39479376</f>
        <v>-39479333</v>
      </c>
      <c r="K1434" t="s">
        <v>970</v>
      </c>
      <c r="L1434" t="s">
        <v>971</v>
      </c>
      <c r="M1434" t="s">
        <v>337</v>
      </c>
    </row>
    <row r="1435" spans="1:13" x14ac:dyDescent="0.25">
      <c r="A1435" t="s">
        <v>13716</v>
      </c>
      <c r="B1435" t="s">
        <v>13</v>
      </c>
      <c r="C1435" s="1">
        <v>43984</v>
      </c>
      <c r="D1435" t="s">
        <v>13717</v>
      </c>
      <c r="E1435" t="s">
        <v>13718</v>
      </c>
      <c r="F1435" t="s">
        <v>332</v>
      </c>
      <c r="G1435" t="s">
        <v>13719</v>
      </c>
      <c r="H1435" t="s">
        <v>45</v>
      </c>
      <c r="I1435" t="s">
        <v>19</v>
      </c>
      <c r="J1435" s="3">
        <f>55-85-33668275</f>
        <v>-33668305</v>
      </c>
      <c r="K1435" t="s">
        <v>13720</v>
      </c>
      <c r="L1435" t="s">
        <v>1909</v>
      </c>
      <c r="M1435" t="s">
        <v>337</v>
      </c>
    </row>
    <row r="1436" spans="1:13" x14ac:dyDescent="0.25">
      <c r="A1436" t="s">
        <v>10314</v>
      </c>
      <c r="B1436" t="s">
        <v>13</v>
      </c>
      <c r="C1436" s="1">
        <v>43469</v>
      </c>
      <c r="D1436" t="s">
        <v>10315</v>
      </c>
      <c r="E1436" s="2" t="s">
        <v>30990</v>
      </c>
      <c r="F1436" t="s">
        <v>1464</v>
      </c>
      <c r="G1436" t="s">
        <v>10316</v>
      </c>
      <c r="H1436" t="s">
        <v>71</v>
      </c>
      <c r="I1436" t="s">
        <v>19</v>
      </c>
      <c r="J1436" s="3" t="s">
        <v>10317</v>
      </c>
      <c r="K1436" t="s">
        <v>10318</v>
      </c>
      <c r="L1436" t="s">
        <v>74</v>
      </c>
      <c r="M1436" t="s">
        <v>337</v>
      </c>
    </row>
    <row r="1437" spans="1:13" x14ac:dyDescent="0.25">
      <c r="A1437" t="s">
        <v>20437</v>
      </c>
      <c r="B1437" t="s">
        <v>101</v>
      </c>
      <c r="C1437" t="s">
        <v>20432</v>
      </c>
      <c r="D1437" t="s">
        <v>20438</v>
      </c>
      <c r="E1437" s="2" t="s">
        <v>31250</v>
      </c>
      <c r="F1437" t="s">
        <v>1464</v>
      </c>
      <c r="G1437" t="s">
        <v>20439</v>
      </c>
      <c r="H1437" t="s">
        <v>20440</v>
      </c>
      <c r="I1437" t="s">
        <v>19</v>
      </c>
      <c r="J1437" s="3">
        <v>55021997920941</v>
      </c>
      <c r="K1437" t="s">
        <v>20441</v>
      </c>
      <c r="L1437" t="s">
        <v>1232</v>
      </c>
      <c r="M1437" t="s">
        <v>337</v>
      </c>
    </row>
    <row r="1438" spans="1:13" x14ac:dyDescent="0.25">
      <c r="A1438" t="s">
        <v>13085</v>
      </c>
      <c r="B1438" t="s">
        <v>13</v>
      </c>
      <c r="C1438" s="1">
        <v>44077</v>
      </c>
      <c r="D1438" t="s">
        <v>13086</v>
      </c>
      <c r="E1438" t="s">
        <v>13087</v>
      </c>
      <c r="F1438" t="s">
        <v>332</v>
      </c>
      <c r="G1438" t="s">
        <v>11061</v>
      </c>
      <c r="H1438" t="s">
        <v>352</v>
      </c>
      <c r="I1438" t="s">
        <v>19</v>
      </c>
      <c r="J1438" s="3" t="s">
        <v>13088</v>
      </c>
      <c r="K1438" t="s">
        <v>11062</v>
      </c>
      <c r="L1438" t="s">
        <v>550</v>
      </c>
      <c r="M1438" t="s">
        <v>337</v>
      </c>
    </row>
    <row r="1439" spans="1:13" x14ac:dyDescent="0.25">
      <c r="A1439" t="s">
        <v>21336</v>
      </c>
      <c r="B1439" t="s">
        <v>13</v>
      </c>
      <c r="C1439" t="s">
        <v>7645</v>
      </c>
      <c r="D1439" t="s">
        <v>21337</v>
      </c>
      <c r="E1439" s="2" t="s">
        <v>32080</v>
      </c>
      <c r="F1439" t="s">
        <v>332</v>
      </c>
      <c r="G1439" t="s">
        <v>18791</v>
      </c>
      <c r="H1439" t="s">
        <v>170</v>
      </c>
      <c r="I1439" t="s">
        <v>19</v>
      </c>
      <c r="J1439" s="3">
        <f>55-12-39479304</f>
        <v>-39479261</v>
      </c>
      <c r="K1439" t="s">
        <v>21339</v>
      </c>
      <c r="L1439" t="s">
        <v>18793</v>
      </c>
      <c r="M1439" t="s">
        <v>337</v>
      </c>
    </row>
    <row r="1440" spans="1:13" x14ac:dyDescent="0.25">
      <c r="A1440" t="s">
        <v>22258</v>
      </c>
      <c r="B1440" t="s">
        <v>13</v>
      </c>
      <c r="C1440" s="1">
        <v>43283</v>
      </c>
      <c r="D1440" t="s">
        <v>22259</v>
      </c>
      <c r="E1440" s="2" t="s">
        <v>32297</v>
      </c>
      <c r="F1440" t="s">
        <v>332</v>
      </c>
      <c r="G1440" t="s">
        <v>18791</v>
      </c>
      <c r="H1440" t="s">
        <v>170</v>
      </c>
      <c r="I1440" t="s">
        <v>19</v>
      </c>
      <c r="J1440" s="3">
        <f>55-12-39479304</f>
        <v>-39479261</v>
      </c>
      <c r="K1440" t="s">
        <v>18792</v>
      </c>
      <c r="L1440" t="s">
        <v>18699</v>
      </c>
      <c r="M1440" t="s">
        <v>337</v>
      </c>
    </row>
    <row r="1441" spans="1:13" x14ac:dyDescent="0.25">
      <c r="A1441" t="s">
        <v>12573</v>
      </c>
      <c r="B1441" t="s">
        <v>13</v>
      </c>
      <c r="C1441" s="1">
        <v>43348</v>
      </c>
      <c r="D1441" t="s">
        <v>12574</v>
      </c>
      <c r="E1441" s="2" t="s">
        <v>31481</v>
      </c>
      <c r="F1441" t="s">
        <v>1464</v>
      </c>
      <c r="G1441" t="s">
        <v>12575</v>
      </c>
      <c r="H1441" t="s">
        <v>409</v>
      </c>
      <c r="I1441" t="s">
        <v>19</v>
      </c>
      <c r="J1441" s="3" t="s">
        <v>12576</v>
      </c>
      <c r="K1441" t="s">
        <v>12577</v>
      </c>
      <c r="L1441" t="s">
        <v>7763</v>
      </c>
      <c r="M1441" t="s">
        <v>337</v>
      </c>
    </row>
    <row r="1442" spans="1:13" x14ac:dyDescent="0.25">
      <c r="A1442" t="s">
        <v>21072</v>
      </c>
      <c r="B1442" t="s">
        <v>13</v>
      </c>
      <c r="C1442" t="s">
        <v>16610</v>
      </c>
      <c r="D1442" t="s">
        <v>21073</v>
      </c>
      <c r="E1442" s="2" t="s">
        <v>31274</v>
      </c>
      <c r="F1442" t="s">
        <v>332</v>
      </c>
      <c r="G1442" t="s">
        <v>21074</v>
      </c>
      <c r="H1442" t="s">
        <v>1656</v>
      </c>
      <c r="I1442" t="s">
        <v>19</v>
      </c>
      <c r="J1442" s="3">
        <v>5555999018273</v>
      </c>
      <c r="K1442" t="s">
        <v>21075</v>
      </c>
      <c r="L1442" t="s">
        <v>1658</v>
      </c>
      <c r="M1442" t="s">
        <v>337</v>
      </c>
    </row>
    <row r="1443" spans="1:13" x14ac:dyDescent="0.25">
      <c r="A1443" t="s">
        <v>24689</v>
      </c>
      <c r="B1443" t="s">
        <v>13</v>
      </c>
      <c r="C1443" t="s">
        <v>24679</v>
      </c>
      <c r="D1443" t="s">
        <v>24690</v>
      </c>
      <c r="E1443" t="s">
        <v>24691</v>
      </c>
      <c r="F1443" t="s">
        <v>332</v>
      </c>
      <c r="G1443" t="s">
        <v>24692</v>
      </c>
      <c r="H1443" t="s">
        <v>472</v>
      </c>
      <c r="I1443" t="s">
        <v>19</v>
      </c>
      <c r="J1443" s="3">
        <v>558132231429</v>
      </c>
      <c r="K1443" t="s">
        <v>24693</v>
      </c>
      <c r="L1443" t="s">
        <v>1193</v>
      </c>
      <c r="M1443" t="s">
        <v>337</v>
      </c>
    </row>
    <row r="1444" spans="1:13" x14ac:dyDescent="0.25">
      <c r="A1444" t="s">
        <v>19748</v>
      </c>
      <c r="B1444" t="s">
        <v>13</v>
      </c>
      <c r="C1444" s="1">
        <v>43260</v>
      </c>
      <c r="D1444" t="s">
        <v>19749</v>
      </c>
      <c r="E1444" s="2" t="s">
        <v>31235</v>
      </c>
      <c r="F1444" t="s">
        <v>332</v>
      </c>
      <c r="G1444" t="s">
        <v>19750</v>
      </c>
      <c r="H1444" t="s">
        <v>265</v>
      </c>
      <c r="I1444" t="s">
        <v>19</v>
      </c>
      <c r="J1444" s="3" t="s">
        <v>19751</v>
      </c>
      <c r="K1444" t="s">
        <v>19752</v>
      </c>
      <c r="L1444" t="s">
        <v>19753</v>
      </c>
      <c r="M1444" t="s">
        <v>337</v>
      </c>
    </row>
    <row r="1445" spans="1:13" x14ac:dyDescent="0.25">
      <c r="A1445" t="s">
        <v>2549</v>
      </c>
      <c r="B1445" t="s">
        <v>13</v>
      </c>
      <c r="C1445" t="s">
        <v>2521</v>
      </c>
      <c r="D1445" t="s">
        <v>2550</v>
      </c>
      <c r="E1445" s="2" t="s">
        <v>30743</v>
      </c>
      <c r="F1445" t="s">
        <v>2551</v>
      </c>
      <c r="G1445" t="s">
        <v>82</v>
      </c>
      <c r="H1445" t="s">
        <v>114</v>
      </c>
      <c r="I1445" t="s">
        <v>19</v>
      </c>
      <c r="J1445" s="3" t="s">
        <v>2552</v>
      </c>
      <c r="K1445" t="s">
        <v>2553</v>
      </c>
      <c r="L1445" t="s">
        <v>2554</v>
      </c>
      <c r="M1445" t="s">
        <v>337</v>
      </c>
    </row>
    <row r="1446" spans="1:13" x14ac:dyDescent="0.25">
      <c r="A1446" t="s">
        <v>7872</v>
      </c>
      <c r="B1446" t="s">
        <v>13</v>
      </c>
      <c r="C1446" t="s">
        <v>7230</v>
      </c>
      <c r="D1446" t="s">
        <v>7873</v>
      </c>
      <c r="E1446" t="s">
        <v>7874</v>
      </c>
      <c r="F1446" t="s">
        <v>1464</v>
      </c>
      <c r="G1446" t="s">
        <v>7875</v>
      </c>
      <c r="H1446" t="s">
        <v>7876</v>
      </c>
      <c r="I1446" t="s">
        <v>19</v>
      </c>
      <c r="J1446" s="3">
        <f>55-21-99841-4474</f>
        <v>-104281</v>
      </c>
      <c r="K1446" t="s">
        <v>7877</v>
      </c>
      <c r="L1446" t="s">
        <v>1232</v>
      </c>
      <c r="M1446" t="s">
        <v>337</v>
      </c>
    </row>
    <row r="1447" spans="1:13" x14ac:dyDescent="0.25">
      <c r="A1447" t="s">
        <v>14286</v>
      </c>
      <c r="B1447" t="s">
        <v>13</v>
      </c>
      <c r="C1447" s="1">
        <v>44075</v>
      </c>
      <c r="D1447" t="s">
        <v>14287</v>
      </c>
      <c r="E1447" s="2" t="s">
        <v>31087</v>
      </c>
      <c r="F1447" t="s">
        <v>1464</v>
      </c>
      <c r="G1447" t="s">
        <v>14288</v>
      </c>
      <c r="H1447" t="s">
        <v>7109</v>
      </c>
      <c r="I1447" t="s">
        <v>19</v>
      </c>
      <c r="J1447" s="3">
        <v>1120331162</v>
      </c>
      <c r="K1447" t="s">
        <v>14289</v>
      </c>
      <c r="L1447" t="s">
        <v>8464</v>
      </c>
      <c r="M1447" t="s">
        <v>337</v>
      </c>
    </row>
    <row r="1448" spans="1:13" x14ac:dyDescent="0.25">
      <c r="A1448" t="s">
        <v>13804</v>
      </c>
      <c r="B1448" t="s">
        <v>13</v>
      </c>
      <c r="C1448" t="s">
        <v>13789</v>
      </c>
      <c r="D1448" t="s">
        <v>13805</v>
      </c>
      <c r="E1448" s="2" t="s">
        <v>31081</v>
      </c>
      <c r="F1448" t="s">
        <v>1464</v>
      </c>
      <c r="G1448" t="s">
        <v>13719</v>
      </c>
      <c r="H1448" t="s">
        <v>45</v>
      </c>
      <c r="I1448" t="s">
        <v>19</v>
      </c>
      <c r="J1448" s="3">
        <f>55-85-998189706</f>
        <v>-998189736</v>
      </c>
      <c r="K1448" t="s">
        <v>13720</v>
      </c>
      <c r="L1448" t="s">
        <v>1909</v>
      </c>
      <c r="M1448" t="s">
        <v>337</v>
      </c>
    </row>
    <row r="1449" spans="1:13" x14ac:dyDescent="0.25">
      <c r="A1449" t="s">
        <v>23150</v>
      </c>
      <c r="B1449" t="s">
        <v>13</v>
      </c>
      <c r="C1449" t="s">
        <v>18410</v>
      </c>
      <c r="D1449" t="s">
        <v>23151</v>
      </c>
      <c r="E1449" t="s">
        <v>23152</v>
      </c>
      <c r="F1449" t="s">
        <v>332</v>
      </c>
      <c r="G1449" t="s">
        <v>23153</v>
      </c>
      <c r="H1449" t="s">
        <v>714</v>
      </c>
      <c r="I1449" t="s">
        <v>19</v>
      </c>
      <c r="J1449" s="3" t="s">
        <v>23154</v>
      </c>
      <c r="K1449" t="s">
        <v>23155</v>
      </c>
      <c r="L1449" t="s">
        <v>717</v>
      </c>
      <c r="M1449" t="s">
        <v>337</v>
      </c>
    </row>
    <row r="1450" spans="1:13" x14ac:dyDescent="0.25">
      <c r="A1450" t="s">
        <v>26930</v>
      </c>
      <c r="B1450" t="s">
        <v>13</v>
      </c>
      <c r="C1450" t="s">
        <v>26931</v>
      </c>
      <c r="D1450" t="s">
        <v>26932</v>
      </c>
      <c r="E1450" t="s">
        <v>32298</v>
      </c>
      <c r="F1450" t="s">
        <v>1464</v>
      </c>
      <c r="G1450" t="s">
        <v>26933</v>
      </c>
      <c r="H1450" t="s">
        <v>36</v>
      </c>
      <c r="I1450" t="s">
        <v>19</v>
      </c>
      <c r="J1450" s="3" t="s">
        <v>26934</v>
      </c>
      <c r="K1450" t="s">
        <v>26935</v>
      </c>
      <c r="L1450" t="s">
        <v>26936</v>
      </c>
      <c r="M1450" t="s">
        <v>337</v>
      </c>
    </row>
    <row r="1451" spans="1:13" x14ac:dyDescent="0.25">
      <c r="A1451" t="s">
        <v>8016</v>
      </c>
      <c r="B1451" t="s">
        <v>13</v>
      </c>
      <c r="C1451" t="s">
        <v>8017</v>
      </c>
      <c r="D1451" t="s">
        <v>8018</v>
      </c>
      <c r="E1451" s="2" t="s">
        <v>31674</v>
      </c>
      <c r="F1451" t="s">
        <v>1464</v>
      </c>
      <c r="G1451" t="s">
        <v>8020</v>
      </c>
      <c r="H1451" t="s">
        <v>352</v>
      </c>
      <c r="I1451" t="s">
        <v>19</v>
      </c>
      <c r="J1451" s="3" t="s">
        <v>8021</v>
      </c>
      <c r="K1451" t="s">
        <v>8022</v>
      </c>
      <c r="L1451" t="s">
        <v>1232</v>
      </c>
      <c r="M1451" t="s">
        <v>337</v>
      </c>
    </row>
    <row r="1452" spans="1:13" x14ac:dyDescent="0.25">
      <c r="A1452" t="s">
        <v>7764</v>
      </c>
      <c r="B1452" t="s">
        <v>13</v>
      </c>
      <c r="C1452" s="1">
        <v>44291</v>
      </c>
      <c r="D1452" t="s">
        <v>7765</v>
      </c>
      <c r="E1452" s="2" t="s">
        <v>30939</v>
      </c>
      <c r="F1452" t="s">
        <v>332</v>
      </c>
      <c r="G1452" t="s">
        <v>7766</v>
      </c>
      <c r="H1452" t="s">
        <v>428</v>
      </c>
      <c r="I1452" t="s">
        <v>19</v>
      </c>
      <c r="J1452" s="3">
        <v>555199512845</v>
      </c>
      <c r="K1452" t="s">
        <v>7767</v>
      </c>
      <c r="L1452" t="s">
        <v>1295</v>
      </c>
      <c r="M1452" t="s">
        <v>337</v>
      </c>
    </row>
    <row r="1453" spans="1:13" x14ac:dyDescent="0.25">
      <c r="A1453" t="s">
        <v>17065</v>
      </c>
      <c r="B1453" t="s">
        <v>13</v>
      </c>
      <c r="C1453" t="s">
        <v>17060</v>
      </c>
      <c r="D1453" t="s">
        <v>17066</v>
      </c>
      <c r="E1453" s="2" t="s">
        <v>32299</v>
      </c>
      <c r="F1453" t="s">
        <v>1464</v>
      </c>
      <c r="G1453" t="s">
        <v>17067</v>
      </c>
      <c r="H1453" t="s">
        <v>2164</v>
      </c>
      <c r="I1453" t="s">
        <v>19</v>
      </c>
      <c r="J1453" s="3" t="s">
        <v>17068</v>
      </c>
      <c r="K1453" t="s">
        <v>17069</v>
      </c>
      <c r="L1453" t="s">
        <v>7668</v>
      </c>
      <c r="M1453" t="s">
        <v>337</v>
      </c>
    </row>
    <row r="1454" spans="1:13" x14ac:dyDescent="0.25">
      <c r="A1454" t="s">
        <v>24990</v>
      </c>
      <c r="B1454" t="s">
        <v>13</v>
      </c>
      <c r="C1454" s="1">
        <v>42716</v>
      </c>
      <c r="D1454" t="s">
        <v>24991</v>
      </c>
      <c r="E1454" t="s">
        <v>24992</v>
      </c>
      <c r="F1454" t="s">
        <v>332</v>
      </c>
      <c r="G1454" t="s">
        <v>24993</v>
      </c>
      <c r="H1454" t="s">
        <v>798</v>
      </c>
      <c r="I1454" t="s">
        <v>19</v>
      </c>
      <c r="J1454" s="3">
        <v>5561982059954</v>
      </c>
      <c r="K1454" t="s">
        <v>24994</v>
      </c>
      <c r="L1454" t="s">
        <v>1767</v>
      </c>
      <c r="M1454" t="s">
        <v>337</v>
      </c>
    </row>
    <row r="1455" spans="1:13" x14ac:dyDescent="0.25">
      <c r="A1455" t="s">
        <v>7028</v>
      </c>
      <c r="B1455" t="s">
        <v>13</v>
      </c>
      <c r="C1455" t="s">
        <v>7020</v>
      </c>
      <c r="D1455" t="s">
        <v>7029</v>
      </c>
      <c r="E1455" s="2" t="s">
        <v>30920</v>
      </c>
      <c r="F1455" t="s">
        <v>7031</v>
      </c>
      <c r="G1455" t="s">
        <v>7032</v>
      </c>
      <c r="H1455" t="s">
        <v>2598</v>
      </c>
      <c r="I1455" t="s">
        <v>19</v>
      </c>
      <c r="J1455" s="3" t="s">
        <v>7033</v>
      </c>
      <c r="K1455" t="s">
        <v>7034</v>
      </c>
      <c r="L1455" t="s">
        <v>32135</v>
      </c>
      <c r="M1455" t="s">
        <v>337</v>
      </c>
    </row>
    <row r="1456" spans="1:13" x14ac:dyDescent="0.25">
      <c r="A1456" t="s">
        <v>23874</v>
      </c>
      <c r="B1456" t="s">
        <v>13</v>
      </c>
      <c r="C1456" s="1">
        <v>42774</v>
      </c>
      <c r="D1456" t="s">
        <v>23875</v>
      </c>
      <c r="E1456" t="s">
        <v>23876</v>
      </c>
      <c r="F1456" t="s">
        <v>1464</v>
      </c>
      <c r="G1456" t="s">
        <v>23877</v>
      </c>
      <c r="H1456" t="s">
        <v>352</v>
      </c>
      <c r="I1456" t="s">
        <v>19</v>
      </c>
      <c r="J1456" s="3" t="s">
        <v>23878</v>
      </c>
      <c r="K1456" t="s">
        <v>8022</v>
      </c>
      <c r="L1456" t="s">
        <v>1232</v>
      </c>
      <c r="M1456" t="s">
        <v>337</v>
      </c>
    </row>
    <row r="1457" spans="1:13" x14ac:dyDescent="0.25">
      <c r="A1457" t="s">
        <v>16735</v>
      </c>
      <c r="B1457" t="s">
        <v>13</v>
      </c>
      <c r="C1457" t="s">
        <v>16729</v>
      </c>
      <c r="D1457" t="s">
        <v>16736</v>
      </c>
      <c r="E1457" t="s">
        <v>16737</v>
      </c>
      <c r="F1457" t="s">
        <v>332</v>
      </c>
      <c r="G1457" t="s">
        <v>16738</v>
      </c>
      <c r="H1457" t="s">
        <v>1802</v>
      </c>
      <c r="I1457" t="s">
        <v>19</v>
      </c>
      <c r="J1457" s="3">
        <v>55014982097839</v>
      </c>
      <c r="K1457" t="s">
        <v>16739</v>
      </c>
      <c r="L1457" t="s">
        <v>16740</v>
      </c>
      <c r="M1457" t="s">
        <v>337</v>
      </c>
    </row>
    <row r="1458" spans="1:13" x14ac:dyDescent="0.25">
      <c r="A1458" t="s">
        <v>23686</v>
      </c>
      <c r="B1458" t="s">
        <v>13</v>
      </c>
      <c r="C1458" t="s">
        <v>8680</v>
      </c>
      <c r="D1458" t="s">
        <v>23687</v>
      </c>
      <c r="E1458" t="s">
        <v>23688</v>
      </c>
      <c r="F1458" t="s">
        <v>332</v>
      </c>
      <c r="G1458" t="s">
        <v>23689</v>
      </c>
      <c r="H1458" t="s">
        <v>462</v>
      </c>
      <c r="I1458" t="s">
        <v>19</v>
      </c>
      <c r="J1458" s="3">
        <v>554433058617</v>
      </c>
      <c r="K1458" t="s">
        <v>23690</v>
      </c>
      <c r="L1458" t="s">
        <v>904</v>
      </c>
      <c r="M1458" t="s">
        <v>337</v>
      </c>
    </row>
    <row r="1459" spans="1:13" x14ac:dyDescent="0.25">
      <c r="A1459" t="s">
        <v>16204</v>
      </c>
      <c r="B1459" t="s">
        <v>13</v>
      </c>
      <c r="C1459" t="s">
        <v>16205</v>
      </c>
      <c r="D1459" t="s">
        <v>16206</v>
      </c>
      <c r="E1459" t="s">
        <v>16207</v>
      </c>
      <c r="F1459" t="s">
        <v>1464</v>
      </c>
      <c r="G1459" t="s">
        <v>1472</v>
      </c>
      <c r="H1459" t="s">
        <v>428</v>
      </c>
      <c r="I1459" t="s">
        <v>19</v>
      </c>
      <c r="J1459" s="3">
        <f>55-51-33085027</f>
        <v>-33085023</v>
      </c>
      <c r="K1459" t="s">
        <v>1473</v>
      </c>
      <c r="L1459" t="s">
        <v>3299</v>
      </c>
      <c r="M1459" t="s">
        <v>337</v>
      </c>
    </row>
    <row r="1460" spans="1:13" x14ac:dyDescent="0.25">
      <c r="A1460" t="s">
        <v>22074</v>
      </c>
      <c r="B1460" t="s">
        <v>13</v>
      </c>
      <c r="C1460" s="1">
        <v>43223</v>
      </c>
      <c r="D1460" t="s">
        <v>22075</v>
      </c>
      <c r="E1460" t="s">
        <v>22076</v>
      </c>
      <c r="F1460" t="s">
        <v>332</v>
      </c>
      <c r="G1460" t="s">
        <v>22077</v>
      </c>
      <c r="H1460" t="s">
        <v>5100</v>
      </c>
      <c r="I1460" t="s">
        <v>19</v>
      </c>
      <c r="J1460" s="3" t="s">
        <v>22078</v>
      </c>
      <c r="K1460" t="s">
        <v>22079</v>
      </c>
      <c r="L1460" t="s">
        <v>2101</v>
      </c>
      <c r="M1460" t="s">
        <v>337</v>
      </c>
    </row>
    <row r="1461" spans="1:13" x14ac:dyDescent="0.25">
      <c r="A1461" t="s">
        <v>24740</v>
      </c>
      <c r="B1461" t="s">
        <v>13</v>
      </c>
      <c r="C1461" s="1">
        <v>43040</v>
      </c>
      <c r="D1461" t="s">
        <v>24741</v>
      </c>
      <c r="E1461" t="s">
        <v>20540</v>
      </c>
      <c r="F1461" t="s">
        <v>1464</v>
      </c>
      <c r="G1461" t="s">
        <v>24742</v>
      </c>
      <c r="H1461" t="s">
        <v>714</v>
      </c>
      <c r="I1461" t="s">
        <v>19</v>
      </c>
      <c r="J1461" s="3" t="s">
        <v>24743</v>
      </c>
      <c r="K1461" t="s">
        <v>24744</v>
      </c>
      <c r="L1461" t="s">
        <v>24745</v>
      </c>
      <c r="M1461" t="s">
        <v>337</v>
      </c>
    </row>
    <row r="1462" spans="1:13" x14ac:dyDescent="0.25">
      <c r="A1462" t="s">
        <v>16426</v>
      </c>
      <c r="B1462" t="s">
        <v>13</v>
      </c>
      <c r="C1462" t="s">
        <v>6579</v>
      </c>
      <c r="D1462" t="s">
        <v>16427</v>
      </c>
      <c r="E1462" t="s">
        <v>16428</v>
      </c>
      <c r="F1462" t="s">
        <v>1464</v>
      </c>
      <c r="G1462" t="s">
        <v>2261</v>
      </c>
      <c r="H1462" t="s">
        <v>2215</v>
      </c>
      <c r="I1462" t="s">
        <v>19</v>
      </c>
      <c r="J1462" s="3" t="s">
        <v>2262</v>
      </c>
      <c r="K1462" t="s">
        <v>2263</v>
      </c>
      <c r="L1462" t="s">
        <v>2218</v>
      </c>
      <c r="M1462" t="s">
        <v>337</v>
      </c>
    </row>
    <row r="1463" spans="1:13" x14ac:dyDescent="0.25">
      <c r="A1463" t="s">
        <v>17651</v>
      </c>
      <c r="B1463" t="s">
        <v>13</v>
      </c>
      <c r="C1463" t="s">
        <v>17652</v>
      </c>
      <c r="D1463" t="s">
        <v>17653</v>
      </c>
      <c r="E1463" t="s">
        <v>16428</v>
      </c>
      <c r="F1463" t="s">
        <v>332</v>
      </c>
      <c r="G1463" t="s">
        <v>9926</v>
      </c>
      <c r="H1463" t="s">
        <v>9927</v>
      </c>
      <c r="I1463" t="s">
        <v>19</v>
      </c>
      <c r="J1463" s="3">
        <f>5541843215-4100</f>
        <v>5541839115</v>
      </c>
      <c r="K1463" t="s">
        <v>9928</v>
      </c>
      <c r="L1463" t="s">
        <v>764</v>
      </c>
      <c r="M1463" t="s">
        <v>337</v>
      </c>
    </row>
    <row r="1464" spans="1:13" x14ac:dyDescent="0.25">
      <c r="A1464" t="s">
        <v>20538</v>
      </c>
      <c r="B1464" t="s">
        <v>13</v>
      </c>
      <c r="C1464" t="s">
        <v>20522</v>
      </c>
      <c r="D1464" t="s">
        <v>20539</v>
      </c>
      <c r="E1464" s="2" t="s">
        <v>31253</v>
      </c>
      <c r="F1464" t="s">
        <v>10500</v>
      </c>
      <c r="G1464" t="s">
        <v>488</v>
      </c>
      <c r="H1464" t="s">
        <v>489</v>
      </c>
      <c r="I1464" t="s">
        <v>19</v>
      </c>
      <c r="J1464" s="3">
        <f>55-41-33607259</f>
        <v>-33607245</v>
      </c>
      <c r="K1464" t="s">
        <v>490</v>
      </c>
      <c r="L1464" t="s">
        <v>625</v>
      </c>
      <c r="M1464" t="s">
        <v>129</v>
      </c>
    </row>
    <row r="1465" spans="1:13" x14ac:dyDescent="0.25">
      <c r="A1465" t="s">
        <v>24298</v>
      </c>
      <c r="B1465" t="s">
        <v>13</v>
      </c>
      <c r="C1465" s="1">
        <v>43074</v>
      </c>
      <c r="D1465" t="s">
        <v>24299</v>
      </c>
      <c r="E1465" t="s">
        <v>24300</v>
      </c>
      <c r="F1465" t="s">
        <v>1464</v>
      </c>
      <c r="G1465" t="s">
        <v>14000</v>
      </c>
      <c r="H1465" t="s">
        <v>7904</v>
      </c>
      <c r="I1465" t="s">
        <v>19</v>
      </c>
      <c r="J1465" s="3" t="s">
        <v>24301</v>
      </c>
      <c r="K1465" t="s">
        <v>24302</v>
      </c>
      <c r="L1465" t="s">
        <v>24303</v>
      </c>
      <c r="M1465" t="s">
        <v>337</v>
      </c>
    </row>
    <row r="1466" spans="1:13" x14ac:dyDescent="0.25">
      <c r="A1466" t="s">
        <v>10490</v>
      </c>
      <c r="B1466" t="s">
        <v>13</v>
      </c>
      <c r="C1466" t="s">
        <v>10491</v>
      </c>
      <c r="D1466" t="s">
        <v>10492</v>
      </c>
      <c r="E1466" t="s">
        <v>10493</v>
      </c>
      <c r="F1466" t="s">
        <v>1464</v>
      </c>
      <c r="G1466" t="s">
        <v>10494</v>
      </c>
      <c r="H1466" t="s">
        <v>3416</v>
      </c>
      <c r="I1466" t="s">
        <v>19</v>
      </c>
      <c r="J1466" s="3" t="s">
        <v>10495</v>
      </c>
      <c r="K1466" t="s">
        <v>10496</v>
      </c>
      <c r="L1466" t="s">
        <v>10497</v>
      </c>
      <c r="M1466" t="s">
        <v>337</v>
      </c>
    </row>
    <row r="1467" spans="1:13" x14ac:dyDescent="0.25">
      <c r="A1467" t="s">
        <v>11058</v>
      </c>
      <c r="B1467" t="s">
        <v>13</v>
      </c>
      <c r="C1467" s="1">
        <v>44111</v>
      </c>
      <c r="D1467" t="s">
        <v>11059</v>
      </c>
      <c r="E1467" t="s">
        <v>11060</v>
      </c>
      <c r="F1467" t="s">
        <v>1464</v>
      </c>
      <c r="G1467" t="s">
        <v>11061</v>
      </c>
      <c r="H1467" t="s">
        <v>352</v>
      </c>
      <c r="I1467" t="s">
        <v>19</v>
      </c>
      <c r="J1467" s="3">
        <f>55-21-2868-8272</f>
        <v>-11106</v>
      </c>
      <c r="K1467" t="s">
        <v>11062</v>
      </c>
      <c r="L1467" t="s">
        <v>11063</v>
      </c>
      <c r="M1467" t="s">
        <v>337</v>
      </c>
    </row>
    <row r="1468" spans="1:13" x14ac:dyDescent="0.25">
      <c r="A1468" t="s">
        <v>11287</v>
      </c>
      <c r="B1468" t="s">
        <v>13</v>
      </c>
      <c r="C1468" t="s">
        <v>11288</v>
      </c>
      <c r="D1468" t="s">
        <v>11289</v>
      </c>
      <c r="E1468" t="s">
        <v>11290</v>
      </c>
      <c r="F1468" t="s">
        <v>1464</v>
      </c>
      <c r="G1468" t="s">
        <v>11291</v>
      </c>
      <c r="H1468" t="s">
        <v>9349</v>
      </c>
      <c r="I1468" t="s">
        <v>19</v>
      </c>
      <c r="J1468" s="3">
        <f>55-16-33153953</f>
        <v>-33153914</v>
      </c>
      <c r="K1468" t="s">
        <v>335</v>
      </c>
      <c r="L1468" t="s">
        <v>11292</v>
      </c>
      <c r="M1468" t="s">
        <v>337</v>
      </c>
    </row>
    <row r="1469" spans="1:13" x14ac:dyDescent="0.25">
      <c r="A1469" t="s">
        <v>2989</v>
      </c>
      <c r="B1469" t="s">
        <v>13</v>
      </c>
      <c r="C1469" t="s">
        <v>2972</v>
      </c>
      <c r="D1469" t="s">
        <v>2990</v>
      </c>
      <c r="E1469" s="2" t="s">
        <v>31836</v>
      </c>
      <c r="F1469" t="s">
        <v>2992</v>
      </c>
      <c r="G1469" t="s">
        <v>2993</v>
      </c>
      <c r="H1469" t="s">
        <v>409</v>
      </c>
      <c r="I1469" t="s">
        <v>19</v>
      </c>
      <c r="J1469" s="3" t="s">
        <v>2994</v>
      </c>
      <c r="K1469" t="s">
        <v>2995</v>
      </c>
      <c r="L1469" t="s">
        <v>412</v>
      </c>
      <c r="M1469" t="s">
        <v>337</v>
      </c>
    </row>
    <row r="1470" spans="1:13" x14ac:dyDescent="0.25">
      <c r="A1470" t="s">
        <v>11596</v>
      </c>
      <c r="B1470" t="s">
        <v>13</v>
      </c>
      <c r="C1470" s="1">
        <v>43836</v>
      </c>
      <c r="D1470" t="s">
        <v>11597</v>
      </c>
      <c r="E1470" t="s">
        <v>11598</v>
      </c>
      <c r="F1470" t="s">
        <v>1464</v>
      </c>
      <c r="G1470" t="s">
        <v>11599</v>
      </c>
      <c r="H1470" t="s">
        <v>372</v>
      </c>
      <c r="I1470" t="s">
        <v>19</v>
      </c>
      <c r="J1470" s="3">
        <f>55-19-21065303</f>
        <v>-21065267</v>
      </c>
      <c r="K1470" t="s">
        <v>11600</v>
      </c>
      <c r="L1470" t="s">
        <v>9980</v>
      </c>
      <c r="M1470" t="s">
        <v>337</v>
      </c>
    </row>
    <row r="1471" spans="1:13" x14ac:dyDescent="0.25">
      <c r="A1471" t="s">
        <v>28846</v>
      </c>
      <c r="B1471" t="s">
        <v>13</v>
      </c>
      <c r="C1471" t="s">
        <v>28847</v>
      </c>
      <c r="D1471" t="s">
        <v>28848</v>
      </c>
      <c r="E1471" t="s">
        <v>21338</v>
      </c>
      <c r="F1471" t="s">
        <v>332</v>
      </c>
      <c r="G1471" t="s">
        <v>28849</v>
      </c>
      <c r="H1471" t="s">
        <v>1802</v>
      </c>
      <c r="I1471" t="s">
        <v>19</v>
      </c>
      <c r="J1471" s="3" t="s">
        <v>28850</v>
      </c>
      <c r="K1471" t="s">
        <v>28851</v>
      </c>
      <c r="L1471" t="s">
        <v>1805</v>
      </c>
      <c r="M1471" t="s">
        <v>337</v>
      </c>
    </row>
    <row r="1472" spans="1:13" x14ac:dyDescent="0.25">
      <c r="A1472" t="s">
        <v>22326</v>
      </c>
      <c r="B1472" t="s">
        <v>13</v>
      </c>
      <c r="C1472" s="1">
        <v>43133</v>
      </c>
      <c r="D1472" t="s">
        <v>22327</v>
      </c>
      <c r="E1472" s="2" t="s">
        <v>31308</v>
      </c>
      <c r="F1472" t="s">
        <v>1464</v>
      </c>
      <c r="G1472" t="s">
        <v>22328</v>
      </c>
      <c r="H1472" t="s">
        <v>7504</v>
      </c>
      <c r="I1472" t="s">
        <v>19</v>
      </c>
      <c r="J1472" s="3" t="s">
        <v>22329</v>
      </c>
      <c r="K1472" t="s">
        <v>22330</v>
      </c>
      <c r="L1472" t="s">
        <v>4378</v>
      </c>
      <c r="M1472" t="s">
        <v>337</v>
      </c>
    </row>
    <row r="1473" spans="1:13" x14ac:dyDescent="0.25">
      <c r="A1473" t="s">
        <v>3424</v>
      </c>
      <c r="B1473" t="s">
        <v>13</v>
      </c>
      <c r="C1473" s="1">
        <v>44779</v>
      </c>
      <c r="D1473" t="s">
        <v>3425</v>
      </c>
      <c r="E1473" s="2" t="s">
        <v>30779</v>
      </c>
      <c r="F1473" t="s">
        <v>1709</v>
      </c>
      <c r="G1473" t="s">
        <v>3426</v>
      </c>
      <c r="H1473" t="s">
        <v>2305</v>
      </c>
      <c r="I1473" t="s">
        <v>19</v>
      </c>
      <c r="J1473" s="3" t="s">
        <v>3427</v>
      </c>
      <c r="K1473" t="s">
        <v>3428</v>
      </c>
      <c r="L1473" t="s">
        <v>321</v>
      </c>
      <c r="M1473" t="s">
        <v>337</v>
      </c>
    </row>
    <row r="1474" spans="1:13" x14ac:dyDescent="0.25">
      <c r="A1474" t="s">
        <v>15992</v>
      </c>
      <c r="B1474" t="s">
        <v>13</v>
      </c>
      <c r="C1474" t="s">
        <v>15974</v>
      </c>
      <c r="D1474" t="s">
        <v>15993</v>
      </c>
      <c r="E1474" t="s">
        <v>15994</v>
      </c>
      <c r="F1474" t="s">
        <v>332</v>
      </c>
      <c r="G1474" t="s">
        <v>4216</v>
      </c>
      <c r="H1474" t="s">
        <v>18</v>
      </c>
      <c r="I1474" t="s">
        <v>19</v>
      </c>
      <c r="J1474" s="3" t="s">
        <v>15995</v>
      </c>
      <c r="K1474" t="s">
        <v>15996</v>
      </c>
      <c r="L1474" t="s">
        <v>15997</v>
      </c>
      <c r="M1474" t="s">
        <v>337</v>
      </c>
    </row>
    <row r="1475" spans="1:13" x14ac:dyDescent="0.25">
      <c r="A1475" t="s">
        <v>9801</v>
      </c>
      <c r="B1475" t="s">
        <v>13</v>
      </c>
      <c r="C1475" s="1">
        <v>44113</v>
      </c>
      <c r="D1475" t="s">
        <v>9802</v>
      </c>
      <c r="E1475" t="s">
        <v>9803</v>
      </c>
      <c r="F1475" t="s">
        <v>6072</v>
      </c>
      <c r="G1475" t="s">
        <v>9804</v>
      </c>
      <c r="H1475" t="s">
        <v>578</v>
      </c>
      <c r="I1475" t="s">
        <v>19</v>
      </c>
      <c r="J1475" s="3">
        <f>55-92-984420393</f>
        <v>-984420430</v>
      </c>
      <c r="K1475" t="s">
        <v>9805</v>
      </c>
      <c r="L1475" t="s">
        <v>2073</v>
      </c>
      <c r="M1475" t="s">
        <v>337</v>
      </c>
    </row>
    <row r="1476" spans="1:13" x14ac:dyDescent="0.25">
      <c r="A1476" t="s">
        <v>30346</v>
      </c>
      <c r="B1476" t="s">
        <v>13</v>
      </c>
      <c r="C1476" t="s">
        <v>30142</v>
      </c>
      <c r="D1476" t="s">
        <v>30347</v>
      </c>
      <c r="E1476" t="s">
        <v>30348</v>
      </c>
      <c r="F1476" t="s">
        <v>1464</v>
      </c>
      <c r="G1476" t="s">
        <v>30349</v>
      </c>
      <c r="H1476" t="s">
        <v>28</v>
      </c>
      <c r="I1476" t="s">
        <v>19</v>
      </c>
      <c r="J1476" s="3" t="s">
        <v>30350</v>
      </c>
      <c r="K1476" t="s">
        <v>30351</v>
      </c>
      <c r="L1476" t="s">
        <v>923</v>
      </c>
      <c r="M1476" t="s">
        <v>337</v>
      </c>
    </row>
    <row r="1477" spans="1:13" x14ac:dyDescent="0.25">
      <c r="A1477" t="s">
        <v>14070</v>
      </c>
      <c r="B1477" t="s">
        <v>13</v>
      </c>
      <c r="C1477" t="s">
        <v>7928</v>
      </c>
      <c r="D1477" t="s">
        <v>14071</v>
      </c>
      <c r="E1477" t="s">
        <v>11545</v>
      </c>
      <c r="F1477" t="s">
        <v>332</v>
      </c>
      <c r="G1477" t="s">
        <v>14072</v>
      </c>
      <c r="H1477" t="s">
        <v>14073</v>
      </c>
      <c r="I1477" t="s">
        <v>19</v>
      </c>
      <c r="J1477" s="3" t="s">
        <v>14074</v>
      </c>
      <c r="K1477" t="s">
        <v>14075</v>
      </c>
      <c r="L1477" t="s">
        <v>2101</v>
      </c>
      <c r="M1477" t="s">
        <v>337</v>
      </c>
    </row>
    <row r="1478" spans="1:13" x14ac:dyDescent="0.25">
      <c r="A1478" t="s">
        <v>7883</v>
      </c>
      <c r="B1478" t="s">
        <v>13</v>
      </c>
      <c r="C1478" t="s">
        <v>7879</v>
      </c>
      <c r="D1478" t="s">
        <v>32135</v>
      </c>
      <c r="E1478" t="s">
        <v>7884</v>
      </c>
      <c r="F1478" t="s">
        <v>6351</v>
      </c>
      <c r="G1478" t="s">
        <v>1237</v>
      </c>
      <c r="H1478" t="s">
        <v>1238</v>
      </c>
      <c r="I1478" t="s">
        <v>19</v>
      </c>
      <c r="J1478" s="3" t="s">
        <v>4933</v>
      </c>
      <c r="K1478" t="s">
        <v>1240</v>
      </c>
      <c r="L1478" t="s">
        <v>32135</v>
      </c>
      <c r="M1478" t="s">
        <v>337</v>
      </c>
    </row>
    <row r="1479" spans="1:13" x14ac:dyDescent="0.25">
      <c r="A1479" t="s">
        <v>250</v>
      </c>
      <c r="B1479" t="s">
        <v>13</v>
      </c>
      <c r="C1479" t="s">
        <v>234</v>
      </c>
      <c r="D1479" t="s">
        <v>251</v>
      </c>
      <c r="E1479" t="s">
        <v>252</v>
      </c>
      <c r="F1479" t="s">
        <v>253</v>
      </c>
      <c r="G1479" t="s">
        <v>254</v>
      </c>
      <c r="H1479" t="s">
        <v>255</v>
      </c>
      <c r="I1479" t="s">
        <v>19</v>
      </c>
      <c r="J1479" s="3" t="s">
        <v>256</v>
      </c>
      <c r="K1479" t="s">
        <v>257</v>
      </c>
      <c r="L1479" t="s">
        <v>258</v>
      </c>
      <c r="M1479" t="s">
        <v>32149</v>
      </c>
    </row>
    <row r="1480" spans="1:13" x14ac:dyDescent="0.25">
      <c r="A1480" t="s">
        <v>30050</v>
      </c>
      <c r="B1480" t="s">
        <v>13</v>
      </c>
      <c r="C1480" t="s">
        <v>14184</v>
      </c>
      <c r="D1480" t="s">
        <v>30051</v>
      </c>
      <c r="E1480" t="s">
        <v>30052</v>
      </c>
      <c r="F1480" t="s">
        <v>332</v>
      </c>
      <c r="G1480" t="s">
        <v>30053</v>
      </c>
      <c r="H1480" t="s">
        <v>30054</v>
      </c>
      <c r="I1480" t="s">
        <v>19</v>
      </c>
      <c r="J1480" s="3" t="s">
        <v>30055</v>
      </c>
      <c r="K1480" t="s">
        <v>30056</v>
      </c>
      <c r="L1480" t="s">
        <v>18333</v>
      </c>
      <c r="M1480" t="s">
        <v>337</v>
      </c>
    </row>
    <row r="1481" spans="1:13" x14ac:dyDescent="0.25">
      <c r="A1481" t="s">
        <v>4928</v>
      </c>
      <c r="B1481" t="s">
        <v>13</v>
      </c>
      <c r="C1481" t="s">
        <v>1387</v>
      </c>
      <c r="D1481" t="s">
        <v>4929</v>
      </c>
      <c r="E1481" t="s">
        <v>4930</v>
      </c>
      <c r="F1481" t="s">
        <v>997</v>
      </c>
      <c r="G1481" t="s">
        <v>4892</v>
      </c>
      <c r="H1481" t="s">
        <v>2215</v>
      </c>
      <c r="I1481" t="s">
        <v>19</v>
      </c>
      <c r="J1481" s="3">
        <f>55-42-32203740</f>
        <v>-32203727</v>
      </c>
      <c r="K1481" t="s">
        <v>4893</v>
      </c>
      <c r="L1481" t="s">
        <v>32135</v>
      </c>
      <c r="M1481" t="s">
        <v>337</v>
      </c>
    </row>
    <row r="1482" spans="1:13" x14ac:dyDescent="0.25">
      <c r="A1482" t="s">
        <v>19739</v>
      </c>
      <c r="B1482" t="s">
        <v>13</v>
      </c>
      <c r="C1482" s="1">
        <v>43382</v>
      </c>
      <c r="D1482" t="s">
        <v>19740</v>
      </c>
      <c r="E1482" t="s">
        <v>19741</v>
      </c>
      <c r="F1482" t="s">
        <v>332</v>
      </c>
      <c r="G1482" t="s">
        <v>19742</v>
      </c>
      <c r="H1482" t="s">
        <v>45</v>
      </c>
      <c r="I1482" t="s">
        <v>19</v>
      </c>
      <c r="J1482" s="3" t="s">
        <v>19743</v>
      </c>
      <c r="K1482" t="s">
        <v>19744</v>
      </c>
      <c r="L1482" t="s">
        <v>3398</v>
      </c>
      <c r="M1482" t="s">
        <v>337</v>
      </c>
    </row>
    <row r="1483" spans="1:13" x14ac:dyDescent="0.25">
      <c r="A1483" t="s">
        <v>20889</v>
      </c>
      <c r="B1483" t="s">
        <v>13</v>
      </c>
      <c r="C1483" t="s">
        <v>2033</v>
      </c>
      <c r="D1483" t="s">
        <v>20890</v>
      </c>
      <c r="E1483" t="s">
        <v>19262</v>
      </c>
      <c r="F1483" t="s">
        <v>1464</v>
      </c>
      <c r="G1483" t="s">
        <v>19263</v>
      </c>
      <c r="H1483" t="s">
        <v>2215</v>
      </c>
      <c r="I1483" t="s">
        <v>19</v>
      </c>
      <c r="J1483" s="3">
        <f>55-42-998292999</f>
        <v>-998292986</v>
      </c>
      <c r="K1483" t="s">
        <v>19264</v>
      </c>
      <c r="L1483" t="s">
        <v>2218</v>
      </c>
      <c r="M1483" t="s">
        <v>337</v>
      </c>
    </row>
    <row r="1484" spans="1:13" x14ac:dyDescent="0.25">
      <c r="A1484" t="s">
        <v>19260</v>
      </c>
      <c r="B1484" t="s">
        <v>13</v>
      </c>
      <c r="C1484" t="s">
        <v>2033</v>
      </c>
      <c r="D1484" t="s">
        <v>19261</v>
      </c>
      <c r="E1484" s="2" t="s">
        <v>31224</v>
      </c>
      <c r="F1484" t="s">
        <v>1464</v>
      </c>
      <c r="G1484" t="s">
        <v>19263</v>
      </c>
      <c r="H1484" t="s">
        <v>2215</v>
      </c>
      <c r="I1484" t="s">
        <v>19</v>
      </c>
      <c r="J1484" s="3">
        <f>55-42-998292999</f>
        <v>-998292986</v>
      </c>
      <c r="K1484" t="s">
        <v>19264</v>
      </c>
      <c r="L1484" t="s">
        <v>2218</v>
      </c>
      <c r="M1484" t="s">
        <v>337</v>
      </c>
    </row>
    <row r="1485" spans="1:13" x14ac:dyDescent="0.25">
      <c r="A1485" t="s">
        <v>11726</v>
      </c>
      <c r="B1485" t="s">
        <v>13</v>
      </c>
      <c r="C1485" t="s">
        <v>11721</v>
      </c>
      <c r="D1485" t="s">
        <v>11727</v>
      </c>
      <c r="E1485" t="s">
        <v>8019</v>
      </c>
      <c r="F1485" t="s">
        <v>1464</v>
      </c>
      <c r="G1485" t="s">
        <v>11728</v>
      </c>
      <c r="H1485" t="s">
        <v>265</v>
      </c>
      <c r="I1485" t="s">
        <v>19</v>
      </c>
      <c r="J1485" s="3">
        <f>55-16-33154016</f>
        <v>-33153977</v>
      </c>
      <c r="K1485" t="s">
        <v>11729</v>
      </c>
      <c r="L1485" t="s">
        <v>11730</v>
      </c>
      <c r="M1485" t="s">
        <v>337</v>
      </c>
    </row>
    <row r="1486" spans="1:13" x14ac:dyDescent="0.25">
      <c r="A1486" t="s">
        <v>23376</v>
      </c>
      <c r="B1486" t="s">
        <v>13</v>
      </c>
      <c r="C1486" s="1">
        <v>42835</v>
      </c>
      <c r="D1486" t="s">
        <v>23377</v>
      </c>
      <c r="E1486" s="2" t="s">
        <v>31762</v>
      </c>
      <c r="F1486" t="s">
        <v>12383</v>
      </c>
      <c r="G1486" t="s">
        <v>23378</v>
      </c>
      <c r="H1486" t="s">
        <v>71</v>
      </c>
      <c r="I1486" t="s">
        <v>19</v>
      </c>
      <c r="J1486" s="3" t="s">
        <v>23379</v>
      </c>
      <c r="K1486" t="s">
        <v>23380</v>
      </c>
      <c r="L1486" t="s">
        <v>74</v>
      </c>
      <c r="M1486" t="s">
        <v>32155</v>
      </c>
    </row>
    <row r="1487" spans="1:13" x14ac:dyDescent="0.25">
      <c r="A1487" t="s">
        <v>20604</v>
      </c>
      <c r="B1487" t="s">
        <v>13</v>
      </c>
      <c r="C1487" s="1">
        <v>43411</v>
      </c>
      <c r="D1487" t="s">
        <v>20605</v>
      </c>
      <c r="E1487" s="2" t="s">
        <v>31484</v>
      </c>
      <c r="F1487" t="s">
        <v>1464</v>
      </c>
      <c r="G1487" t="s">
        <v>20606</v>
      </c>
      <c r="H1487" t="s">
        <v>409</v>
      </c>
      <c r="I1487" t="s">
        <v>19</v>
      </c>
      <c r="J1487" s="3">
        <f>55-48-984128448</f>
        <v>-984128441</v>
      </c>
      <c r="K1487" t="s">
        <v>20607</v>
      </c>
      <c r="L1487" t="s">
        <v>412</v>
      </c>
      <c r="M1487" t="s">
        <v>337</v>
      </c>
    </row>
    <row r="1488" spans="1:13" x14ac:dyDescent="0.25">
      <c r="A1488" t="s">
        <v>22767</v>
      </c>
      <c r="B1488" t="s">
        <v>13</v>
      </c>
      <c r="C1488" t="s">
        <v>22768</v>
      </c>
      <c r="D1488" t="s">
        <v>22769</v>
      </c>
      <c r="E1488" t="s">
        <v>32300</v>
      </c>
      <c r="F1488" t="s">
        <v>1464</v>
      </c>
      <c r="G1488" t="s">
        <v>22770</v>
      </c>
      <c r="H1488" t="s">
        <v>540</v>
      </c>
      <c r="I1488" t="s">
        <v>19</v>
      </c>
      <c r="J1488" s="3" t="s">
        <v>22771</v>
      </c>
      <c r="K1488" t="s">
        <v>22772</v>
      </c>
      <c r="L1488" t="s">
        <v>1531</v>
      </c>
      <c r="M1488" t="s">
        <v>337</v>
      </c>
    </row>
    <row r="1489" spans="1:13" x14ac:dyDescent="0.25">
      <c r="A1489" t="s">
        <v>23691</v>
      </c>
      <c r="B1489" t="s">
        <v>13</v>
      </c>
      <c r="C1489" t="s">
        <v>23692</v>
      </c>
      <c r="D1489" t="s">
        <v>23693</v>
      </c>
      <c r="E1489" t="s">
        <v>23694</v>
      </c>
      <c r="F1489" t="s">
        <v>332</v>
      </c>
      <c r="G1489" t="s">
        <v>23695</v>
      </c>
      <c r="H1489" t="s">
        <v>71</v>
      </c>
      <c r="I1489" t="s">
        <v>19</v>
      </c>
      <c r="J1489" s="3" t="s">
        <v>23696</v>
      </c>
      <c r="K1489" t="s">
        <v>23697</v>
      </c>
      <c r="L1489" t="s">
        <v>74</v>
      </c>
      <c r="M1489" t="s">
        <v>337</v>
      </c>
    </row>
    <row r="1490" spans="1:13" x14ac:dyDescent="0.25">
      <c r="A1490" t="s">
        <v>21862</v>
      </c>
      <c r="B1490" t="s">
        <v>13</v>
      </c>
      <c r="C1490" t="s">
        <v>21849</v>
      </c>
      <c r="D1490" t="s">
        <v>21863</v>
      </c>
      <c r="E1490" s="2" t="s">
        <v>31301</v>
      </c>
      <c r="F1490" t="s">
        <v>1464</v>
      </c>
      <c r="G1490" t="s">
        <v>21864</v>
      </c>
      <c r="H1490" t="s">
        <v>2678</v>
      </c>
      <c r="I1490" t="s">
        <v>19</v>
      </c>
      <c r="J1490" s="3">
        <v>5553999862606</v>
      </c>
      <c r="K1490" t="s">
        <v>21865</v>
      </c>
      <c r="L1490" t="s">
        <v>21866</v>
      </c>
      <c r="M1490" t="s">
        <v>337</v>
      </c>
    </row>
    <row r="1491" spans="1:13" x14ac:dyDescent="0.25">
      <c r="A1491" t="s">
        <v>20508</v>
      </c>
      <c r="B1491" t="s">
        <v>13</v>
      </c>
      <c r="C1491" t="s">
        <v>20499</v>
      </c>
      <c r="D1491" t="s">
        <v>20509</v>
      </c>
      <c r="E1491" s="2" t="s">
        <v>32100</v>
      </c>
      <c r="F1491" t="s">
        <v>332</v>
      </c>
      <c r="G1491" t="s">
        <v>10355</v>
      </c>
      <c r="H1491" t="s">
        <v>170</v>
      </c>
      <c r="I1491" t="s">
        <v>19</v>
      </c>
      <c r="J1491" s="3">
        <f>55-12-991512822</f>
        <v>-991512779</v>
      </c>
      <c r="K1491" t="s">
        <v>10356</v>
      </c>
      <c r="L1491" t="s">
        <v>10357</v>
      </c>
      <c r="M1491" t="s">
        <v>337</v>
      </c>
    </row>
    <row r="1492" spans="1:13" x14ac:dyDescent="0.25">
      <c r="A1492" t="s">
        <v>6187</v>
      </c>
      <c r="B1492" t="s">
        <v>13</v>
      </c>
      <c r="C1492" s="1">
        <v>44206</v>
      </c>
      <c r="D1492" t="s">
        <v>6188</v>
      </c>
      <c r="E1492" t="s">
        <v>6189</v>
      </c>
      <c r="F1492" t="s">
        <v>332</v>
      </c>
      <c r="G1492" t="s">
        <v>6190</v>
      </c>
      <c r="H1492" t="s">
        <v>141</v>
      </c>
      <c r="I1492" t="s">
        <v>19</v>
      </c>
      <c r="J1492" s="3" t="s">
        <v>6191</v>
      </c>
      <c r="K1492" t="s">
        <v>6192</v>
      </c>
      <c r="L1492" t="s">
        <v>32135</v>
      </c>
      <c r="M1492" t="s">
        <v>337</v>
      </c>
    </row>
    <row r="1493" spans="1:13" x14ac:dyDescent="0.25">
      <c r="A1493" t="s">
        <v>13788</v>
      </c>
      <c r="B1493" t="s">
        <v>13</v>
      </c>
      <c r="C1493" t="s">
        <v>13789</v>
      </c>
      <c r="D1493" t="s">
        <v>13790</v>
      </c>
      <c r="E1493" t="s">
        <v>3577</v>
      </c>
      <c r="F1493" t="s">
        <v>1464</v>
      </c>
      <c r="G1493" t="s">
        <v>13791</v>
      </c>
      <c r="H1493" t="s">
        <v>472</v>
      </c>
      <c r="I1493" t="s">
        <v>19</v>
      </c>
      <c r="J1493" s="3" t="s">
        <v>13792</v>
      </c>
      <c r="K1493" t="s">
        <v>13793</v>
      </c>
      <c r="L1493" t="s">
        <v>1193</v>
      </c>
      <c r="M1493" t="s">
        <v>337</v>
      </c>
    </row>
    <row r="1494" spans="1:13" x14ac:dyDescent="0.25">
      <c r="A1494" t="s">
        <v>20677</v>
      </c>
      <c r="B1494" t="s">
        <v>13</v>
      </c>
      <c r="C1494" t="s">
        <v>7645</v>
      </c>
      <c r="D1494" t="s">
        <v>20678</v>
      </c>
      <c r="E1494" t="s">
        <v>4194</v>
      </c>
      <c r="F1494" t="s">
        <v>1464</v>
      </c>
      <c r="G1494" t="s">
        <v>20679</v>
      </c>
      <c r="H1494" t="s">
        <v>71</v>
      </c>
      <c r="I1494" t="s">
        <v>19</v>
      </c>
      <c r="J1494" s="3" t="s">
        <v>20680</v>
      </c>
      <c r="K1494" t="s">
        <v>20681</v>
      </c>
      <c r="L1494" t="s">
        <v>74</v>
      </c>
      <c r="M1494" t="s">
        <v>337</v>
      </c>
    </row>
    <row r="1495" spans="1:13" x14ac:dyDescent="0.25">
      <c r="A1495" t="s">
        <v>20545</v>
      </c>
      <c r="B1495" t="s">
        <v>13</v>
      </c>
      <c r="C1495" t="s">
        <v>10976</v>
      </c>
      <c r="D1495" t="s">
        <v>20546</v>
      </c>
      <c r="E1495" s="2" t="s">
        <v>31939</v>
      </c>
      <c r="F1495" t="s">
        <v>332</v>
      </c>
      <c r="G1495" t="s">
        <v>20547</v>
      </c>
      <c r="H1495" t="s">
        <v>170</v>
      </c>
      <c r="I1495" t="s">
        <v>19</v>
      </c>
      <c r="J1495" s="3">
        <f>55-12-981257965</f>
        <v>-981257922</v>
      </c>
      <c r="K1495" t="s">
        <v>20548</v>
      </c>
      <c r="L1495" t="s">
        <v>20093</v>
      </c>
      <c r="M1495" t="s">
        <v>337</v>
      </c>
    </row>
    <row r="1496" spans="1:13" x14ac:dyDescent="0.25">
      <c r="A1496" t="s">
        <v>21741</v>
      </c>
      <c r="B1496" t="s">
        <v>13</v>
      </c>
      <c r="C1496" t="s">
        <v>9776</v>
      </c>
      <c r="D1496" t="s">
        <v>21742</v>
      </c>
      <c r="E1496" s="2" t="s">
        <v>31937</v>
      </c>
      <c r="F1496" t="s">
        <v>337</v>
      </c>
      <c r="G1496" t="s">
        <v>10355</v>
      </c>
      <c r="H1496" t="s">
        <v>170</v>
      </c>
      <c r="I1496" t="s">
        <v>19</v>
      </c>
      <c r="J1496" s="3">
        <f>55-12-991512822</f>
        <v>-991512779</v>
      </c>
      <c r="K1496" t="s">
        <v>10356</v>
      </c>
      <c r="L1496" t="s">
        <v>10357</v>
      </c>
      <c r="M1496" t="s">
        <v>337</v>
      </c>
    </row>
    <row r="1497" spans="1:13" x14ac:dyDescent="0.25">
      <c r="A1497" t="s">
        <v>10353</v>
      </c>
      <c r="B1497" t="s">
        <v>13</v>
      </c>
      <c r="C1497" t="s">
        <v>7677</v>
      </c>
      <c r="D1497" t="s">
        <v>10354</v>
      </c>
      <c r="E1497" s="2" t="s">
        <v>31937</v>
      </c>
      <c r="F1497" t="s">
        <v>337</v>
      </c>
      <c r="G1497" t="s">
        <v>10355</v>
      </c>
      <c r="H1497" t="s">
        <v>170</v>
      </c>
      <c r="I1497" t="s">
        <v>19</v>
      </c>
      <c r="J1497" s="3">
        <f>55-12-991512822</f>
        <v>-991512779</v>
      </c>
      <c r="K1497" t="s">
        <v>10356</v>
      </c>
      <c r="L1497" t="s">
        <v>10357</v>
      </c>
      <c r="M1497" t="s">
        <v>337</v>
      </c>
    </row>
    <row r="1498" spans="1:13" x14ac:dyDescent="0.25">
      <c r="A1498" t="s">
        <v>3574</v>
      </c>
      <c r="B1498" t="s">
        <v>13</v>
      </c>
      <c r="C1498" t="s">
        <v>3575</v>
      </c>
      <c r="D1498" t="s">
        <v>3576</v>
      </c>
      <c r="E1498" s="2" t="s">
        <v>30785</v>
      </c>
      <c r="F1498" t="s">
        <v>3280</v>
      </c>
      <c r="G1498" t="s">
        <v>3579</v>
      </c>
      <c r="H1498" t="s">
        <v>472</v>
      </c>
      <c r="I1498" t="s">
        <v>19</v>
      </c>
      <c r="J1498" s="3" t="s">
        <v>3580</v>
      </c>
      <c r="K1498" t="s">
        <v>3581</v>
      </c>
      <c r="L1498" t="s">
        <v>3582</v>
      </c>
      <c r="M1498" t="s">
        <v>337</v>
      </c>
    </row>
    <row r="1499" spans="1:13" x14ac:dyDescent="0.25">
      <c r="A1499" t="s">
        <v>13458</v>
      </c>
      <c r="B1499" t="s">
        <v>13</v>
      </c>
      <c r="C1499" t="s">
        <v>7622</v>
      </c>
      <c r="D1499" t="s">
        <v>13459</v>
      </c>
      <c r="E1499" s="2" t="s">
        <v>31377</v>
      </c>
      <c r="F1499" t="s">
        <v>1464</v>
      </c>
      <c r="G1499" t="s">
        <v>13460</v>
      </c>
      <c r="H1499" t="s">
        <v>714</v>
      </c>
      <c r="I1499" t="s">
        <v>19</v>
      </c>
      <c r="J1499" s="3">
        <v>551836363278</v>
      </c>
      <c r="K1499" t="s">
        <v>13461</v>
      </c>
      <c r="L1499" t="s">
        <v>13462</v>
      </c>
      <c r="M1499" t="s">
        <v>32144</v>
      </c>
    </row>
    <row r="1500" spans="1:13" x14ac:dyDescent="0.25">
      <c r="A1500" t="s">
        <v>4192</v>
      </c>
      <c r="B1500" t="s">
        <v>13</v>
      </c>
      <c r="C1500" t="s">
        <v>4171</v>
      </c>
      <c r="D1500" t="s">
        <v>4193</v>
      </c>
      <c r="E1500" s="2" t="s">
        <v>30803</v>
      </c>
      <c r="F1500" t="s">
        <v>1778</v>
      </c>
      <c r="G1500" t="s">
        <v>4196</v>
      </c>
      <c r="H1500" t="s">
        <v>2678</v>
      </c>
      <c r="I1500" t="s">
        <v>19</v>
      </c>
      <c r="J1500" s="3">
        <f>55-53-981062727</f>
        <v>-981062725</v>
      </c>
      <c r="K1500" t="s">
        <v>4197</v>
      </c>
      <c r="L1500" t="s">
        <v>2677</v>
      </c>
      <c r="M1500" t="s">
        <v>337</v>
      </c>
    </row>
    <row r="1501" spans="1:13" x14ac:dyDescent="0.25">
      <c r="A1501" t="s">
        <v>6521</v>
      </c>
      <c r="B1501" t="s">
        <v>13</v>
      </c>
      <c r="C1501" s="1">
        <v>44264</v>
      </c>
      <c r="D1501" t="s">
        <v>32135</v>
      </c>
      <c r="E1501" s="2" t="s">
        <v>31868</v>
      </c>
      <c r="F1501" t="s">
        <v>6522</v>
      </c>
      <c r="G1501" t="s">
        <v>6523</v>
      </c>
      <c r="H1501" t="s">
        <v>88</v>
      </c>
      <c r="I1501" t="s">
        <v>19</v>
      </c>
      <c r="J1501" s="3" t="s">
        <v>6524</v>
      </c>
      <c r="K1501" t="s">
        <v>6525</v>
      </c>
      <c r="L1501" t="s">
        <v>32135</v>
      </c>
      <c r="M1501" t="s">
        <v>337</v>
      </c>
    </row>
    <row r="1502" spans="1:13" x14ac:dyDescent="0.25">
      <c r="A1502" t="s">
        <v>15815</v>
      </c>
      <c r="B1502" t="s">
        <v>13</v>
      </c>
      <c r="C1502" s="1">
        <v>43506</v>
      </c>
      <c r="D1502" t="s">
        <v>15816</v>
      </c>
      <c r="E1502" t="s">
        <v>15817</v>
      </c>
      <c r="F1502" t="s">
        <v>332</v>
      </c>
      <c r="G1502" t="s">
        <v>15818</v>
      </c>
      <c r="H1502" t="s">
        <v>893</v>
      </c>
      <c r="I1502" t="s">
        <v>19</v>
      </c>
      <c r="J1502" s="3">
        <v>5598981036165</v>
      </c>
      <c r="K1502" t="s">
        <v>15819</v>
      </c>
      <c r="L1502" t="s">
        <v>7453</v>
      </c>
      <c r="M1502" t="s">
        <v>337</v>
      </c>
    </row>
    <row r="1503" spans="1:13" x14ac:dyDescent="0.25">
      <c r="A1503" t="s">
        <v>4156</v>
      </c>
      <c r="B1503" t="s">
        <v>101</v>
      </c>
      <c r="C1503" t="s">
        <v>4147</v>
      </c>
      <c r="D1503" t="s">
        <v>4157</v>
      </c>
      <c r="E1503" t="s">
        <v>4158</v>
      </c>
      <c r="F1503" t="s">
        <v>4159</v>
      </c>
      <c r="G1503" t="s">
        <v>4160</v>
      </c>
      <c r="H1503" t="s">
        <v>615</v>
      </c>
      <c r="I1503" t="s">
        <v>19</v>
      </c>
      <c r="J1503" s="3" t="s">
        <v>4161</v>
      </c>
      <c r="K1503" t="s">
        <v>4162</v>
      </c>
      <c r="L1503" t="s">
        <v>618</v>
      </c>
      <c r="M1503" t="s">
        <v>337</v>
      </c>
    </row>
    <row r="1504" spans="1:13" x14ac:dyDescent="0.25">
      <c r="A1504" t="s">
        <v>1768</v>
      </c>
      <c r="B1504" t="s">
        <v>13</v>
      </c>
      <c r="C1504" s="1">
        <v>44875</v>
      </c>
      <c r="D1504" t="s">
        <v>1769</v>
      </c>
      <c r="E1504" t="s">
        <v>331</v>
      </c>
      <c r="F1504" t="s">
        <v>1770</v>
      </c>
      <c r="G1504" t="s">
        <v>1771</v>
      </c>
      <c r="H1504" t="s">
        <v>36</v>
      </c>
      <c r="I1504" t="s">
        <v>19</v>
      </c>
      <c r="J1504" s="3" t="s">
        <v>1772</v>
      </c>
      <c r="K1504" t="s">
        <v>1773</v>
      </c>
      <c r="L1504" t="s">
        <v>1774</v>
      </c>
      <c r="M1504" t="s">
        <v>337</v>
      </c>
    </row>
    <row r="1505" spans="1:13" x14ac:dyDescent="0.25">
      <c r="A1505" t="s">
        <v>329</v>
      </c>
      <c r="B1505" t="s">
        <v>13</v>
      </c>
      <c r="C1505" t="s">
        <v>314</v>
      </c>
      <c r="D1505" t="s">
        <v>330</v>
      </c>
      <c r="E1505" t="s">
        <v>331</v>
      </c>
      <c r="F1505" t="s">
        <v>332</v>
      </c>
      <c r="G1505" t="s">
        <v>333</v>
      </c>
      <c r="H1505" t="s">
        <v>265</v>
      </c>
      <c r="I1505" t="s">
        <v>19</v>
      </c>
      <c r="J1505" s="3" t="s">
        <v>334</v>
      </c>
      <c r="K1505" t="s">
        <v>335</v>
      </c>
      <c r="L1505" t="s">
        <v>336</v>
      </c>
      <c r="M1505" t="s">
        <v>337</v>
      </c>
    </row>
    <row r="1506" spans="1:13" x14ac:dyDescent="0.25">
      <c r="A1506" t="s">
        <v>22260</v>
      </c>
      <c r="B1506" t="s">
        <v>101</v>
      </c>
      <c r="C1506" s="1">
        <v>43283</v>
      </c>
      <c r="D1506" t="s">
        <v>22261</v>
      </c>
      <c r="E1506" s="2" t="s">
        <v>31643</v>
      </c>
      <c r="F1506" t="s">
        <v>1464</v>
      </c>
      <c r="G1506" t="s">
        <v>22262</v>
      </c>
      <c r="H1506" t="s">
        <v>472</v>
      </c>
      <c r="I1506" t="s">
        <v>19</v>
      </c>
      <c r="J1506" s="3" t="s">
        <v>22263</v>
      </c>
      <c r="K1506" t="s">
        <v>22264</v>
      </c>
      <c r="L1506" t="s">
        <v>22265</v>
      </c>
      <c r="M1506" t="s">
        <v>337</v>
      </c>
    </row>
    <row r="1507" spans="1:13" x14ac:dyDescent="0.25">
      <c r="A1507" t="s">
        <v>1041</v>
      </c>
      <c r="B1507" t="s">
        <v>13</v>
      </c>
      <c r="C1507" t="s">
        <v>1042</v>
      </c>
      <c r="D1507" t="s">
        <v>1043</v>
      </c>
      <c r="E1507" t="s">
        <v>1044</v>
      </c>
      <c r="F1507" t="s">
        <v>1045</v>
      </c>
      <c r="G1507" t="s">
        <v>1046</v>
      </c>
      <c r="H1507" t="s">
        <v>1047</v>
      </c>
      <c r="I1507" t="s">
        <v>19</v>
      </c>
      <c r="J1507" s="3" t="s">
        <v>1048</v>
      </c>
      <c r="K1507" t="s">
        <v>1049</v>
      </c>
      <c r="L1507" t="s">
        <v>1050</v>
      </c>
      <c r="M1507" t="s">
        <v>337</v>
      </c>
    </row>
    <row r="1508" spans="1:13" x14ac:dyDescent="0.25">
      <c r="A1508" t="s">
        <v>26671</v>
      </c>
      <c r="B1508" t="s">
        <v>13</v>
      </c>
      <c r="C1508" t="s">
        <v>26659</v>
      </c>
      <c r="D1508" t="s">
        <v>26672</v>
      </c>
      <c r="E1508" t="s">
        <v>26673</v>
      </c>
      <c r="F1508" t="s">
        <v>2758</v>
      </c>
      <c r="G1508" t="s">
        <v>24742</v>
      </c>
      <c r="H1508" t="s">
        <v>714</v>
      </c>
      <c r="I1508" t="s">
        <v>19</v>
      </c>
      <c r="J1508" s="3" t="s">
        <v>26674</v>
      </c>
      <c r="K1508" t="s">
        <v>24744</v>
      </c>
      <c r="L1508" t="s">
        <v>26675</v>
      </c>
      <c r="M1508" t="s">
        <v>32149</v>
      </c>
    </row>
    <row r="1509" spans="1:13" x14ac:dyDescent="0.25">
      <c r="A1509" t="s">
        <v>8667</v>
      </c>
      <c r="B1509" t="s">
        <v>13</v>
      </c>
      <c r="C1509" t="s">
        <v>8668</v>
      </c>
      <c r="D1509" t="s">
        <v>8669</v>
      </c>
      <c r="E1509" t="s">
        <v>8670</v>
      </c>
      <c r="F1509" t="s">
        <v>337</v>
      </c>
      <c r="G1509" t="s">
        <v>8671</v>
      </c>
      <c r="H1509" t="s">
        <v>3416</v>
      </c>
      <c r="I1509" t="s">
        <v>19</v>
      </c>
      <c r="J1509" s="3" t="s">
        <v>8672</v>
      </c>
      <c r="K1509" t="s">
        <v>8673</v>
      </c>
      <c r="L1509" t="s">
        <v>8674</v>
      </c>
      <c r="M1509" t="s">
        <v>337</v>
      </c>
    </row>
    <row r="1510" spans="1:13" x14ac:dyDescent="0.25">
      <c r="A1510" t="s">
        <v>18655</v>
      </c>
      <c r="B1510" t="s">
        <v>13</v>
      </c>
      <c r="C1510" t="s">
        <v>8477</v>
      </c>
      <c r="D1510" t="s">
        <v>18656</v>
      </c>
      <c r="E1510" t="s">
        <v>18657</v>
      </c>
      <c r="F1510" t="s">
        <v>1464</v>
      </c>
      <c r="G1510" t="s">
        <v>18658</v>
      </c>
      <c r="H1510" t="s">
        <v>18659</v>
      </c>
      <c r="I1510" t="s">
        <v>19</v>
      </c>
      <c r="J1510" s="3">
        <v>98982770023</v>
      </c>
      <c r="K1510" t="s">
        <v>18660</v>
      </c>
      <c r="L1510" t="s">
        <v>18661</v>
      </c>
      <c r="M1510" t="s">
        <v>337</v>
      </c>
    </row>
    <row r="1511" spans="1:13" x14ac:dyDescent="0.25">
      <c r="A1511" t="s">
        <v>16947</v>
      </c>
      <c r="B1511" t="s">
        <v>13</v>
      </c>
      <c r="C1511" t="s">
        <v>16948</v>
      </c>
      <c r="D1511" t="s">
        <v>16949</v>
      </c>
      <c r="E1511" t="s">
        <v>16950</v>
      </c>
      <c r="F1511" t="s">
        <v>1464</v>
      </c>
      <c r="G1511" t="s">
        <v>16951</v>
      </c>
      <c r="H1511" t="s">
        <v>36</v>
      </c>
      <c r="I1511" t="s">
        <v>19</v>
      </c>
      <c r="J1511" s="3">
        <v>5501130917645</v>
      </c>
      <c r="K1511" t="s">
        <v>16952</v>
      </c>
      <c r="L1511" t="s">
        <v>16953</v>
      </c>
      <c r="M1511" t="s">
        <v>337</v>
      </c>
    </row>
    <row r="1512" spans="1:13" x14ac:dyDescent="0.25">
      <c r="A1512" t="s">
        <v>12799</v>
      </c>
      <c r="B1512" t="s">
        <v>13</v>
      </c>
      <c r="C1512" t="s">
        <v>12765</v>
      </c>
      <c r="D1512" t="s">
        <v>12800</v>
      </c>
      <c r="E1512" t="s">
        <v>12801</v>
      </c>
      <c r="F1512" t="s">
        <v>12801</v>
      </c>
      <c r="G1512" t="s">
        <v>12802</v>
      </c>
      <c r="H1512" t="s">
        <v>3416</v>
      </c>
      <c r="I1512" t="s">
        <v>19</v>
      </c>
      <c r="J1512" s="3" t="s">
        <v>12803</v>
      </c>
      <c r="K1512" t="s">
        <v>12804</v>
      </c>
      <c r="L1512" t="s">
        <v>12802</v>
      </c>
      <c r="M1512" t="s">
        <v>337</v>
      </c>
    </row>
    <row r="1513" spans="1:13" x14ac:dyDescent="0.25">
      <c r="A1513" t="s">
        <v>23512</v>
      </c>
      <c r="B1513" t="s">
        <v>13</v>
      </c>
      <c r="C1513" t="s">
        <v>11911</v>
      </c>
      <c r="D1513" t="s">
        <v>23513</v>
      </c>
      <c r="E1513" t="s">
        <v>23514</v>
      </c>
      <c r="F1513" t="s">
        <v>1464</v>
      </c>
      <c r="G1513" t="s">
        <v>21352</v>
      </c>
      <c r="H1513" t="s">
        <v>255</v>
      </c>
      <c r="I1513" t="s">
        <v>19</v>
      </c>
      <c r="J1513" s="3" t="s">
        <v>23515</v>
      </c>
      <c r="K1513" t="s">
        <v>21353</v>
      </c>
      <c r="L1513" t="s">
        <v>258</v>
      </c>
      <c r="M1513" t="s">
        <v>337</v>
      </c>
    </row>
    <row r="1514" spans="1:13" x14ac:dyDescent="0.25">
      <c r="A1514" t="s">
        <v>7572</v>
      </c>
      <c r="B1514" t="s">
        <v>13</v>
      </c>
      <c r="C1514" s="1">
        <v>44140</v>
      </c>
      <c r="D1514" t="s">
        <v>7573</v>
      </c>
      <c r="E1514" s="2" t="s">
        <v>30932</v>
      </c>
      <c r="F1514" t="s">
        <v>332</v>
      </c>
      <c r="G1514" t="s">
        <v>7574</v>
      </c>
      <c r="H1514" t="s">
        <v>714</v>
      </c>
      <c r="I1514" t="s">
        <v>19</v>
      </c>
      <c r="J1514" s="3">
        <f>55-18-36363253</f>
        <v>-36363216</v>
      </c>
      <c r="K1514" t="s">
        <v>7575</v>
      </c>
      <c r="L1514" t="s">
        <v>7576</v>
      </c>
      <c r="M1514" t="s">
        <v>337</v>
      </c>
    </row>
    <row r="1515" spans="1:13" x14ac:dyDescent="0.25">
      <c r="A1515" t="s">
        <v>27856</v>
      </c>
      <c r="B1515" t="s">
        <v>13</v>
      </c>
      <c r="C1515" s="1">
        <v>42254</v>
      </c>
      <c r="D1515" t="s">
        <v>27857</v>
      </c>
      <c r="E1515" t="s">
        <v>9754</v>
      </c>
      <c r="F1515" t="s">
        <v>6072</v>
      </c>
      <c r="G1515" t="s">
        <v>27459</v>
      </c>
      <c r="H1515" t="s">
        <v>540</v>
      </c>
      <c r="I1515" t="s">
        <v>19</v>
      </c>
      <c r="J1515" s="3">
        <v>559132017637</v>
      </c>
      <c r="K1515" t="s">
        <v>27460</v>
      </c>
      <c r="L1515" t="s">
        <v>1531</v>
      </c>
      <c r="M1515" t="s">
        <v>337</v>
      </c>
    </row>
    <row r="1516" spans="1:13" x14ac:dyDescent="0.25">
      <c r="A1516" t="s">
        <v>27547</v>
      </c>
      <c r="B1516" t="s">
        <v>13</v>
      </c>
      <c r="C1516" s="1">
        <v>42193</v>
      </c>
      <c r="D1516" t="s">
        <v>27548</v>
      </c>
      <c r="E1516" t="s">
        <v>27549</v>
      </c>
      <c r="F1516" t="s">
        <v>6072</v>
      </c>
      <c r="G1516" t="s">
        <v>27459</v>
      </c>
      <c r="H1516" t="s">
        <v>540</v>
      </c>
      <c r="I1516" t="s">
        <v>19</v>
      </c>
      <c r="J1516" s="3">
        <v>559132017637</v>
      </c>
      <c r="K1516" t="s">
        <v>27460</v>
      </c>
      <c r="L1516" t="s">
        <v>1531</v>
      </c>
      <c r="M1516" t="s">
        <v>337</v>
      </c>
    </row>
    <row r="1517" spans="1:13" x14ac:dyDescent="0.25">
      <c r="A1517" t="s">
        <v>27796</v>
      </c>
      <c r="B1517" t="s">
        <v>13</v>
      </c>
      <c r="C1517" t="s">
        <v>27797</v>
      </c>
      <c r="D1517" t="s">
        <v>27798</v>
      </c>
      <c r="E1517" t="s">
        <v>9754</v>
      </c>
      <c r="F1517" t="s">
        <v>6072</v>
      </c>
      <c r="G1517" t="s">
        <v>27459</v>
      </c>
      <c r="H1517" t="s">
        <v>540</v>
      </c>
      <c r="I1517" t="s">
        <v>19</v>
      </c>
      <c r="J1517" s="3">
        <v>559132017637</v>
      </c>
      <c r="K1517" t="s">
        <v>27460</v>
      </c>
      <c r="L1517" t="s">
        <v>1531</v>
      </c>
      <c r="M1517" t="s">
        <v>337</v>
      </c>
    </row>
    <row r="1518" spans="1:13" x14ac:dyDescent="0.25">
      <c r="A1518" t="s">
        <v>9751</v>
      </c>
      <c r="B1518" t="s">
        <v>13</v>
      </c>
      <c r="C1518" t="s">
        <v>9752</v>
      </c>
      <c r="D1518" t="s">
        <v>9753</v>
      </c>
      <c r="E1518" t="s">
        <v>9754</v>
      </c>
      <c r="F1518" t="s">
        <v>332</v>
      </c>
      <c r="G1518" t="s">
        <v>9755</v>
      </c>
      <c r="H1518" t="s">
        <v>991</v>
      </c>
      <c r="I1518" t="s">
        <v>19</v>
      </c>
      <c r="J1518" s="3">
        <v>5551999484822</v>
      </c>
      <c r="K1518" t="s">
        <v>9756</v>
      </c>
      <c r="L1518" t="s">
        <v>993</v>
      </c>
      <c r="M1518" t="s">
        <v>337</v>
      </c>
    </row>
    <row r="1519" spans="1:13" x14ac:dyDescent="0.25">
      <c r="A1519" t="s">
        <v>2501</v>
      </c>
      <c r="B1519" t="s">
        <v>13</v>
      </c>
      <c r="C1519" t="s">
        <v>2502</v>
      </c>
      <c r="D1519" t="s">
        <v>2503</v>
      </c>
      <c r="E1519" t="s">
        <v>2504</v>
      </c>
      <c r="F1519" t="s">
        <v>2089</v>
      </c>
      <c r="G1519" t="s">
        <v>2505</v>
      </c>
      <c r="H1519" t="s">
        <v>615</v>
      </c>
      <c r="I1519" t="s">
        <v>19</v>
      </c>
      <c r="J1519" s="3" t="s">
        <v>2506</v>
      </c>
      <c r="K1519" t="s">
        <v>2507</v>
      </c>
      <c r="L1519" t="s">
        <v>2508</v>
      </c>
      <c r="M1519" t="s">
        <v>337</v>
      </c>
    </row>
    <row r="1520" spans="1:13" x14ac:dyDescent="0.25">
      <c r="A1520" t="s">
        <v>3404</v>
      </c>
      <c r="B1520" t="s">
        <v>13</v>
      </c>
      <c r="C1520" s="1">
        <v>44810</v>
      </c>
      <c r="D1520" t="s">
        <v>3405</v>
      </c>
      <c r="E1520" t="s">
        <v>3406</v>
      </c>
      <c r="F1520" t="s">
        <v>968</v>
      </c>
      <c r="G1520" t="s">
        <v>3407</v>
      </c>
      <c r="H1520" t="s">
        <v>3408</v>
      </c>
      <c r="I1520" t="s">
        <v>19</v>
      </c>
      <c r="J1520" s="3">
        <v>559832144212</v>
      </c>
      <c r="K1520" t="s">
        <v>3409</v>
      </c>
      <c r="L1520" t="s">
        <v>3410</v>
      </c>
      <c r="M1520" t="s">
        <v>337</v>
      </c>
    </row>
    <row r="1521" spans="1:13" x14ac:dyDescent="0.25">
      <c r="A1521" t="s">
        <v>15853</v>
      </c>
      <c r="B1521" t="s">
        <v>13</v>
      </c>
      <c r="C1521" t="s">
        <v>2534</v>
      </c>
      <c r="D1521" t="s">
        <v>15854</v>
      </c>
      <c r="E1521" t="s">
        <v>3029</v>
      </c>
      <c r="F1521" t="s">
        <v>6072</v>
      </c>
      <c r="G1521" t="s">
        <v>5839</v>
      </c>
      <c r="H1521" t="s">
        <v>2215</v>
      </c>
      <c r="I1521" t="s">
        <v>19</v>
      </c>
      <c r="J1521" s="3">
        <v>554232203740</v>
      </c>
      <c r="K1521" t="s">
        <v>2217</v>
      </c>
      <c r="L1521" t="s">
        <v>2218</v>
      </c>
      <c r="M1521" t="s">
        <v>337</v>
      </c>
    </row>
    <row r="1522" spans="1:13" x14ac:dyDescent="0.25">
      <c r="A1522" t="s">
        <v>3027</v>
      </c>
      <c r="B1522" t="s">
        <v>13</v>
      </c>
      <c r="C1522" t="s">
        <v>3021</v>
      </c>
      <c r="D1522" t="s">
        <v>3028</v>
      </c>
      <c r="E1522" t="s">
        <v>3029</v>
      </c>
      <c r="F1522" t="s">
        <v>3030</v>
      </c>
      <c r="G1522" t="s">
        <v>2261</v>
      </c>
      <c r="H1522" t="s">
        <v>2215</v>
      </c>
      <c r="I1522" t="s">
        <v>19</v>
      </c>
      <c r="J1522" s="3" t="s">
        <v>3031</v>
      </c>
      <c r="K1522" t="s">
        <v>3032</v>
      </c>
      <c r="L1522" t="s">
        <v>2218</v>
      </c>
      <c r="M1522" t="s">
        <v>337</v>
      </c>
    </row>
    <row r="1523" spans="1:13" x14ac:dyDescent="0.25">
      <c r="A1523" t="s">
        <v>4484</v>
      </c>
      <c r="B1523" t="s">
        <v>13</v>
      </c>
      <c r="C1523" s="1">
        <v>44623</v>
      </c>
      <c r="D1523" t="s">
        <v>4485</v>
      </c>
      <c r="E1523" t="s">
        <v>3029</v>
      </c>
      <c r="F1523" t="s">
        <v>2213</v>
      </c>
      <c r="G1523" t="s">
        <v>4486</v>
      </c>
      <c r="H1523" t="s">
        <v>36</v>
      </c>
      <c r="I1523" t="s">
        <v>19</v>
      </c>
      <c r="J1523" s="3" t="s">
        <v>4487</v>
      </c>
      <c r="K1523" t="s">
        <v>4488</v>
      </c>
      <c r="L1523" t="s">
        <v>3512</v>
      </c>
      <c r="M1523" t="s">
        <v>337</v>
      </c>
    </row>
    <row r="1524" spans="1:13" x14ac:dyDescent="0.25">
      <c r="A1524" t="s">
        <v>17784</v>
      </c>
      <c r="B1524" t="s">
        <v>13</v>
      </c>
      <c r="C1524" t="s">
        <v>17785</v>
      </c>
      <c r="D1524" t="s">
        <v>17786</v>
      </c>
      <c r="E1524" t="s">
        <v>2211</v>
      </c>
      <c r="F1524" t="s">
        <v>1464</v>
      </c>
      <c r="G1524" t="s">
        <v>13284</v>
      </c>
      <c r="H1524" t="s">
        <v>578</v>
      </c>
      <c r="I1524" t="s">
        <v>19</v>
      </c>
      <c r="J1524" s="3">
        <f>55-92-988012627</f>
        <v>-988012664</v>
      </c>
      <c r="K1524" t="s">
        <v>13285</v>
      </c>
      <c r="L1524" t="s">
        <v>13286</v>
      </c>
      <c r="M1524" t="s">
        <v>337</v>
      </c>
    </row>
    <row r="1525" spans="1:13" x14ac:dyDescent="0.25">
      <c r="A1525" t="s">
        <v>12939</v>
      </c>
      <c r="B1525" t="s">
        <v>13</v>
      </c>
      <c r="C1525" t="s">
        <v>8968</v>
      </c>
      <c r="D1525" t="s">
        <v>12940</v>
      </c>
      <c r="E1525" t="s">
        <v>2211</v>
      </c>
      <c r="F1525" t="s">
        <v>1464</v>
      </c>
      <c r="G1525" t="s">
        <v>8640</v>
      </c>
      <c r="H1525" t="s">
        <v>7467</v>
      </c>
      <c r="I1525" t="s">
        <v>19</v>
      </c>
      <c r="J1525" s="3" t="s">
        <v>8641</v>
      </c>
      <c r="K1525" t="s">
        <v>8642</v>
      </c>
      <c r="L1525" t="s">
        <v>8643</v>
      </c>
      <c r="M1525" t="s">
        <v>337</v>
      </c>
    </row>
    <row r="1526" spans="1:13" x14ac:dyDescent="0.25">
      <c r="A1526" t="s">
        <v>17363</v>
      </c>
      <c r="B1526" t="s">
        <v>13</v>
      </c>
      <c r="C1526" s="1">
        <v>43561</v>
      </c>
      <c r="D1526" t="s">
        <v>17364</v>
      </c>
      <c r="E1526" t="s">
        <v>3029</v>
      </c>
      <c r="F1526" t="s">
        <v>1464</v>
      </c>
      <c r="G1526" t="s">
        <v>5839</v>
      </c>
      <c r="H1526" t="s">
        <v>2215</v>
      </c>
      <c r="I1526" t="s">
        <v>19</v>
      </c>
      <c r="J1526" s="3" t="s">
        <v>17365</v>
      </c>
      <c r="K1526" t="s">
        <v>2217</v>
      </c>
      <c r="L1526" t="s">
        <v>2218</v>
      </c>
      <c r="M1526" t="s">
        <v>337</v>
      </c>
    </row>
    <row r="1527" spans="1:13" x14ac:dyDescent="0.25">
      <c r="A1527" t="s">
        <v>20707</v>
      </c>
      <c r="B1527" t="s">
        <v>13</v>
      </c>
      <c r="C1527" s="1">
        <v>43258</v>
      </c>
      <c r="D1527" t="s">
        <v>20708</v>
      </c>
      <c r="E1527" t="s">
        <v>3029</v>
      </c>
      <c r="F1527" t="s">
        <v>1464</v>
      </c>
      <c r="G1527" t="s">
        <v>20709</v>
      </c>
      <c r="H1527" t="s">
        <v>88</v>
      </c>
      <c r="I1527" t="s">
        <v>19</v>
      </c>
      <c r="J1527" s="3" t="s">
        <v>20710</v>
      </c>
      <c r="K1527" t="s">
        <v>20711</v>
      </c>
      <c r="L1527" t="s">
        <v>91</v>
      </c>
      <c r="M1527" t="s">
        <v>337</v>
      </c>
    </row>
    <row r="1528" spans="1:13" x14ac:dyDescent="0.25">
      <c r="A1528" t="s">
        <v>13783</v>
      </c>
      <c r="B1528" t="s">
        <v>13</v>
      </c>
      <c r="C1528" s="1">
        <v>43348</v>
      </c>
      <c r="D1528" t="s">
        <v>13784</v>
      </c>
      <c r="E1528" t="s">
        <v>3029</v>
      </c>
      <c r="F1528" t="s">
        <v>1464</v>
      </c>
      <c r="G1528" t="s">
        <v>13785</v>
      </c>
      <c r="H1528" t="s">
        <v>11685</v>
      </c>
      <c r="I1528" t="s">
        <v>19</v>
      </c>
      <c r="J1528" s="3" t="s">
        <v>13786</v>
      </c>
      <c r="K1528" t="s">
        <v>13787</v>
      </c>
      <c r="L1528" t="s">
        <v>1909</v>
      </c>
      <c r="M1528" t="s">
        <v>337</v>
      </c>
    </row>
    <row r="1529" spans="1:13" x14ac:dyDescent="0.25">
      <c r="A1529" t="s">
        <v>21280</v>
      </c>
      <c r="B1529" t="s">
        <v>13</v>
      </c>
      <c r="C1529" t="s">
        <v>21271</v>
      </c>
      <c r="D1529" t="s">
        <v>21281</v>
      </c>
      <c r="E1529" t="s">
        <v>2211</v>
      </c>
      <c r="F1529" t="s">
        <v>1464</v>
      </c>
      <c r="G1529" t="s">
        <v>21282</v>
      </c>
      <c r="H1529" t="s">
        <v>462</v>
      </c>
      <c r="I1529" t="s">
        <v>19</v>
      </c>
      <c r="J1529" s="3" t="s">
        <v>21283</v>
      </c>
      <c r="K1529" t="s">
        <v>21284</v>
      </c>
      <c r="L1529" t="s">
        <v>21285</v>
      </c>
      <c r="M1529" t="s">
        <v>337</v>
      </c>
    </row>
    <row r="1530" spans="1:13" x14ac:dyDescent="0.25">
      <c r="A1530" t="s">
        <v>15820</v>
      </c>
      <c r="B1530" t="s">
        <v>13</v>
      </c>
      <c r="C1530" s="1">
        <v>43475</v>
      </c>
      <c r="D1530" t="s">
        <v>15821</v>
      </c>
      <c r="E1530" t="s">
        <v>3029</v>
      </c>
      <c r="F1530" t="s">
        <v>1464</v>
      </c>
      <c r="G1530" t="s">
        <v>15822</v>
      </c>
      <c r="H1530" t="s">
        <v>88</v>
      </c>
      <c r="I1530" t="s">
        <v>19</v>
      </c>
      <c r="J1530" s="3">
        <f>55-84-988384090</f>
        <v>-988384119</v>
      </c>
      <c r="K1530" t="s">
        <v>15823</v>
      </c>
      <c r="L1530" t="s">
        <v>91</v>
      </c>
      <c r="M1530" t="s">
        <v>337</v>
      </c>
    </row>
    <row r="1531" spans="1:13" x14ac:dyDescent="0.25">
      <c r="A1531" t="s">
        <v>16499</v>
      </c>
      <c r="B1531" t="s">
        <v>13</v>
      </c>
      <c r="C1531" t="s">
        <v>16500</v>
      </c>
      <c r="D1531" t="s">
        <v>16501</v>
      </c>
      <c r="E1531" t="s">
        <v>3029</v>
      </c>
      <c r="F1531" t="s">
        <v>1464</v>
      </c>
      <c r="G1531" t="s">
        <v>12707</v>
      </c>
      <c r="H1531" t="s">
        <v>2215</v>
      </c>
      <c r="I1531" t="s">
        <v>19</v>
      </c>
      <c r="J1531" s="3">
        <f>55-42-999029903</f>
        <v>-999029890</v>
      </c>
      <c r="K1531" t="s">
        <v>3032</v>
      </c>
      <c r="L1531" t="s">
        <v>2218</v>
      </c>
      <c r="M1531" t="s">
        <v>337</v>
      </c>
    </row>
    <row r="1532" spans="1:13" x14ac:dyDescent="0.25">
      <c r="A1532" t="s">
        <v>16519</v>
      </c>
      <c r="B1532" t="s">
        <v>13</v>
      </c>
      <c r="C1532" t="s">
        <v>16520</v>
      </c>
      <c r="D1532" t="s">
        <v>16521</v>
      </c>
      <c r="E1532" t="s">
        <v>3029</v>
      </c>
      <c r="F1532" t="s">
        <v>1464</v>
      </c>
      <c r="G1532" t="s">
        <v>16522</v>
      </c>
      <c r="H1532" t="s">
        <v>706</v>
      </c>
      <c r="I1532" t="s">
        <v>19</v>
      </c>
      <c r="J1532" s="3">
        <v>553134092405</v>
      </c>
      <c r="K1532" t="s">
        <v>16523</v>
      </c>
      <c r="L1532" t="s">
        <v>2006</v>
      </c>
      <c r="M1532" t="s">
        <v>337</v>
      </c>
    </row>
    <row r="1533" spans="1:13" x14ac:dyDescent="0.25">
      <c r="A1533" t="s">
        <v>15424</v>
      </c>
      <c r="B1533" t="s">
        <v>13</v>
      </c>
      <c r="C1533" t="s">
        <v>10689</v>
      </c>
      <c r="D1533" t="s">
        <v>15425</v>
      </c>
      <c r="E1533" t="s">
        <v>3029</v>
      </c>
      <c r="F1533" t="s">
        <v>1464</v>
      </c>
      <c r="G1533" t="s">
        <v>15426</v>
      </c>
      <c r="H1533" t="s">
        <v>578</v>
      </c>
      <c r="I1533" t="s">
        <v>19</v>
      </c>
      <c r="J1533" s="3">
        <v>5592981263100</v>
      </c>
      <c r="K1533" t="s">
        <v>15427</v>
      </c>
      <c r="L1533" t="s">
        <v>678</v>
      </c>
      <c r="M1533" t="s">
        <v>337</v>
      </c>
    </row>
    <row r="1534" spans="1:13" x14ac:dyDescent="0.25">
      <c r="A1534" t="s">
        <v>12705</v>
      </c>
      <c r="B1534" t="s">
        <v>13</v>
      </c>
      <c r="C1534" t="s">
        <v>7663</v>
      </c>
      <c r="D1534" t="s">
        <v>12706</v>
      </c>
      <c r="E1534" t="s">
        <v>3029</v>
      </c>
      <c r="F1534" t="s">
        <v>1464</v>
      </c>
      <c r="G1534" t="s">
        <v>12707</v>
      </c>
      <c r="H1534" t="s">
        <v>2215</v>
      </c>
      <c r="I1534" t="s">
        <v>19</v>
      </c>
      <c r="J1534" s="3">
        <f>55-42-999029903</f>
        <v>-999029890</v>
      </c>
      <c r="K1534" t="s">
        <v>3032</v>
      </c>
      <c r="L1534" t="s">
        <v>2218</v>
      </c>
      <c r="M1534" t="s">
        <v>337</v>
      </c>
    </row>
    <row r="1535" spans="1:13" x14ac:dyDescent="0.25">
      <c r="A1535" t="s">
        <v>10375</v>
      </c>
      <c r="B1535" t="s">
        <v>13</v>
      </c>
      <c r="C1535" t="s">
        <v>10365</v>
      </c>
      <c r="D1535" t="s">
        <v>10376</v>
      </c>
      <c r="E1535" t="s">
        <v>2211</v>
      </c>
      <c r="F1535" t="s">
        <v>1464</v>
      </c>
      <c r="G1535" t="s">
        <v>10377</v>
      </c>
      <c r="H1535" t="s">
        <v>53</v>
      </c>
      <c r="I1535" t="s">
        <v>19</v>
      </c>
      <c r="J1535" s="3" t="s">
        <v>2586</v>
      </c>
      <c r="K1535" t="s">
        <v>10378</v>
      </c>
      <c r="L1535" t="s">
        <v>10379</v>
      </c>
      <c r="M1535" t="s">
        <v>337</v>
      </c>
    </row>
    <row r="1536" spans="1:13" x14ac:dyDescent="0.25">
      <c r="A1536" t="s">
        <v>3757</v>
      </c>
      <c r="B1536" t="s">
        <v>13</v>
      </c>
      <c r="C1536" t="s">
        <v>3747</v>
      </c>
      <c r="D1536" t="s">
        <v>3758</v>
      </c>
      <c r="E1536" t="s">
        <v>3029</v>
      </c>
      <c r="F1536" t="s">
        <v>3759</v>
      </c>
      <c r="G1536" t="s">
        <v>3760</v>
      </c>
      <c r="H1536" t="s">
        <v>714</v>
      </c>
      <c r="I1536" t="s">
        <v>19</v>
      </c>
      <c r="J1536" s="3">
        <v>551836363278</v>
      </c>
      <c r="K1536" t="s">
        <v>3761</v>
      </c>
      <c r="L1536" t="s">
        <v>3762</v>
      </c>
      <c r="M1536" t="s">
        <v>337</v>
      </c>
    </row>
    <row r="1537" spans="1:13" x14ac:dyDescent="0.25">
      <c r="A1537" t="s">
        <v>23267</v>
      </c>
      <c r="B1537" t="s">
        <v>13</v>
      </c>
      <c r="C1537" t="s">
        <v>23268</v>
      </c>
      <c r="D1537" t="s">
        <v>23269</v>
      </c>
      <c r="E1537" t="s">
        <v>3029</v>
      </c>
      <c r="F1537" t="s">
        <v>332</v>
      </c>
      <c r="G1537" t="s">
        <v>23270</v>
      </c>
      <c r="H1537" t="s">
        <v>2071</v>
      </c>
      <c r="I1537" t="s">
        <v>19</v>
      </c>
      <c r="J1537" s="3" t="s">
        <v>23271</v>
      </c>
      <c r="K1537" t="s">
        <v>23272</v>
      </c>
      <c r="L1537" t="s">
        <v>21653</v>
      </c>
      <c r="M1537" t="s">
        <v>337</v>
      </c>
    </row>
    <row r="1538" spans="1:13" x14ac:dyDescent="0.25">
      <c r="A1538" t="s">
        <v>20718</v>
      </c>
      <c r="B1538" t="s">
        <v>13</v>
      </c>
      <c r="C1538" s="1">
        <v>43258</v>
      </c>
      <c r="D1538" t="s">
        <v>20719</v>
      </c>
      <c r="E1538" t="s">
        <v>1005</v>
      </c>
      <c r="F1538" t="s">
        <v>332</v>
      </c>
      <c r="G1538" t="s">
        <v>15977</v>
      </c>
      <c r="H1538" t="s">
        <v>578</v>
      </c>
      <c r="I1538" t="s">
        <v>19</v>
      </c>
      <c r="J1538" s="3" t="s">
        <v>20720</v>
      </c>
      <c r="K1538" t="s">
        <v>15978</v>
      </c>
      <c r="L1538" t="s">
        <v>678</v>
      </c>
      <c r="M1538" t="s">
        <v>337</v>
      </c>
    </row>
    <row r="1539" spans="1:13" x14ac:dyDescent="0.25">
      <c r="A1539" t="s">
        <v>25692</v>
      </c>
      <c r="B1539" t="s">
        <v>13</v>
      </c>
      <c r="C1539" t="s">
        <v>25680</v>
      </c>
      <c r="D1539" t="s">
        <v>25693</v>
      </c>
      <c r="E1539" t="s">
        <v>3029</v>
      </c>
      <c r="F1539" t="s">
        <v>332</v>
      </c>
      <c r="G1539" t="s">
        <v>7449</v>
      </c>
      <c r="H1539" t="s">
        <v>7450</v>
      </c>
      <c r="I1539" t="s">
        <v>19</v>
      </c>
      <c r="J1539" s="3" t="s">
        <v>7451</v>
      </c>
      <c r="K1539" t="s">
        <v>7452</v>
      </c>
      <c r="L1539" t="s">
        <v>7453</v>
      </c>
      <c r="M1539" t="s">
        <v>337</v>
      </c>
    </row>
    <row r="1540" spans="1:13" x14ac:dyDescent="0.25">
      <c r="A1540" t="s">
        <v>1002</v>
      </c>
      <c r="B1540" t="s">
        <v>13</v>
      </c>
      <c r="C1540" t="s">
        <v>1003</v>
      </c>
      <c r="D1540" t="s">
        <v>1004</v>
      </c>
      <c r="E1540" t="s">
        <v>1005</v>
      </c>
      <c r="F1540" t="s">
        <v>1006</v>
      </c>
      <c r="G1540" t="s">
        <v>774</v>
      </c>
      <c r="H1540" t="s">
        <v>255</v>
      </c>
      <c r="I1540" t="s">
        <v>19</v>
      </c>
      <c r="J1540" s="3" t="s">
        <v>256</v>
      </c>
      <c r="K1540" t="s">
        <v>775</v>
      </c>
      <c r="L1540" t="s">
        <v>258</v>
      </c>
      <c r="M1540" t="s">
        <v>337</v>
      </c>
    </row>
    <row r="1541" spans="1:13" x14ac:dyDescent="0.25">
      <c r="A1541" t="s">
        <v>3726</v>
      </c>
      <c r="B1541" t="s">
        <v>13</v>
      </c>
      <c r="C1541" t="s">
        <v>3727</v>
      </c>
      <c r="D1541" t="s">
        <v>3728</v>
      </c>
      <c r="E1541" t="s">
        <v>3029</v>
      </c>
      <c r="F1541" t="s">
        <v>2089</v>
      </c>
      <c r="G1541" t="s">
        <v>3729</v>
      </c>
      <c r="H1541" t="s">
        <v>2112</v>
      </c>
      <c r="I1541" t="s">
        <v>19</v>
      </c>
      <c r="J1541" s="3" t="s">
        <v>3730</v>
      </c>
      <c r="K1541" t="s">
        <v>3731</v>
      </c>
      <c r="L1541" t="s">
        <v>3732</v>
      </c>
      <c r="M1541" t="s">
        <v>337</v>
      </c>
    </row>
    <row r="1542" spans="1:13" x14ac:dyDescent="0.25">
      <c r="A1542" t="s">
        <v>14680</v>
      </c>
      <c r="B1542" t="s">
        <v>13</v>
      </c>
      <c r="C1542" s="1">
        <v>43720</v>
      </c>
      <c r="D1542" t="s">
        <v>14681</v>
      </c>
      <c r="E1542" t="s">
        <v>14682</v>
      </c>
      <c r="F1542" t="s">
        <v>32142</v>
      </c>
      <c r="G1542" t="s">
        <v>14683</v>
      </c>
      <c r="H1542" t="s">
        <v>2112</v>
      </c>
      <c r="I1542" t="s">
        <v>19</v>
      </c>
      <c r="J1542" t="s">
        <v>14684</v>
      </c>
      <c r="K1542" s="3" t="s">
        <v>14685</v>
      </c>
      <c r="L1542" t="s">
        <v>3732</v>
      </c>
      <c r="M1542" t="s">
        <v>337</v>
      </c>
    </row>
    <row r="1543" spans="1:13" x14ac:dyDescent="0.25">
      <c r="A1543" t="s">
        <v>6611</v>
      </c>
      <c r="B1543" t="s">
        <v>13</v>
      </c>
      <c r="C1543" t="s">
        <v>6612</v>
      </c>
      <c r="D1543" t="s">
        <v>6613</v>
      </c>
      <c r="E1543" t="s">
        <v>6614</v>
      </c>
      <c r="F1543" t="s">
        <v>1464</v>
      </c>
      <c r="G1543" t="s">
        <v>6615</v>
      </c>
      <c r="H1543" t="s">
        <v>2215</v>
      </c>
      <c r="I1543" t="s">
        <v>19</v>
      </c>
      <c r="J1543" s="3">
        <f>55-42-3220-3740</f>
        <v>-6947</v>
      </c>
      <c r="K1543" t="s">
        <v>6616</v>
      </c>
      <c r="L1543" t="s">
        <v>6617</v>
      </c>
      <c r="M1543" t="s">
        <v>337</v>
      </c>
    </row>
    <row r="1544" spans="1:13" x14ac:dyDescent="0.25">
      <c r="A1544" t="s">
        <v>15510</v>
      </c>
      <c r="B1544" t="s">
        <v>13</v>
      </c>
      <c r="C1544" t="s">
        <v>10383</v>
      </c>
      <c r="D1544" t="s">
        <v>15511</v>
      </c>
      <c r="E1544" t="s">
        <v>6614</v>
      </c>
      <c r="F1544" t="s">
        <v>1464</v>
      </c>
      <c r="G1544" t="s">
        <v>2214</v>
      </c>
      <c r="H1544" t="s">
        <v>2215</v>
      </c>
      <c r="I1544" t="s">
        <v>19</v>
      </c>
      <c r="J1544" s="3" t="s">
        <v>3031</v>
      </c>
      <c r="K1544" t="s">
        <v>2217</v>
      </c>
      <c r="L1544" t="s">
        <v>6617</v>
      </c>
      <c r="M1544" t="s">
        <v>337</v>
      </c>
    </row>
    <row r="1545" spans="1:13" x14ac:dyDescent="0.25">
      <c r="A1545" t="s">
        <v>26603</v>
      </c>
      <c r="B1545" t="s">
        <v>13</v>
      </c>
      <c r="C1545" s="1">
        <v>42555</v>
      </c>
      <c r="D1545" t="s">
        <v>26604</v>
      </c>
      <c r="E1545" t="s">
        <v>6614</v>
      </c>
      <c r="F1545" t="s">
        <v>332</v>
      </c>
      <c r="G1545" t="s">
        <v>24181</v>
      </c>
      <c r="H1545" t="s">
        <v>2215</v>
      </c>
      <c r="I1545" t="s">
        <v>19</v>
      </c>
      <c r="J1545" s="3" t="s">
        <v>26605</v>
      </c>
      <c r="K1545" t="s">
        <v>24183</v>
      </c>
      <c r="L1545" t="s">
        <v>26606</v>
      </c>
      <c r="M1545" t="s">
        <v>337</v>
      </c>
    </row>
    <row r="1546" spans="1:13" x14ac:dyDescent="0.25">
      <c r="A1546" t="s">
        <v>27387</v>
      </c>
      <c r="B1546" t="s">
        <v>13</v>
      </c>
      <c r="C1546" s="1">
        <v>42257</v>
      </c>
      <c r="D1546" t="s">
        <v>27388</v>
      </c>
      <c r="E1546" t="s">
        <v>27389</v>
      </c>
      <c r="F1546" t="s">
        <v>332</v>
      </c>
      <c r="G1546" t="s">
        <v>24181</v>
      </c>
      <c r="H1546" t="s">
        <v>2215</v>
      </c>
      <c r="I1546" t="s">
        <v>19</v>
      </c>
      <c r="J1546" s="3" t="s">
        <v>24182</v>
      </c>
      <c r="K1546" t="s">
        <v>24183</v>
      </c>
      <c r="L1546" t="s">
        <v>2218</v>
      </c>
      <c r="M1546" t="s">
        <v>337</v>
      </c>
    </row>
    <row r="1547" spans="1:13" x14ac:dyDescent="0.25">
      <c r="A1547" t="s">
        <v>28257</v>
      </c>
      <c r="B1547" t="s">
        <v>13</v>
      </c>
      <c r="C1547" t="s">
        <v>28258</v>
      </c>
      <c r="D1547" t="s">
        <v>28259</v>
      </c>
      <c r="E1547" t="s">
        <v>6614</v>
      </c>
      <c r="F1547" t="s">
        <v>332</v>
      </c>
      <c r="G1547" t="s">
        <v>24181</v>
      </c>
      <c r="H1547" t="s">
        <v>2215</v>
      </c>
      <c r="I1547" t="s">
        <v>19</v>
      </c>
      <c r="J1547" s="3" t="s">
        <v>28260</v>
      </c>
      <c r="K1547" t="s">
        <v>24183</v>
      </c>
      <c r="L1547" t="s">
        <v>5685</v>
      </c>
      <c r="M1547" t="s">
        <v>337</v>
      </c>
    </row>
    <row r="1548" spans="1:13" x14ac:dyDescent="0.25">
      <c r="A1548" t="s">
        <v>26169</v>
      </c>
      <c r="B1548" t="s">
        <v>13</v>
      </c>
      <c r="C1548" t="s">
        <v>16637</v>
      </c>
      <c r="D1548" t="s">
        <v>26170</v>
      </c>
      <c r="E1548" t="s">
        <v>26171</v>
      </c>
      <c r="F1548" t="s">
        <v>332</v>
      </c>
      <c r="G1548" t="s">
        <v>26172</v>
      </c>
      <c r="H1548" t="s">
        <v>2215</v>
      </c>
      <c r="I1548" t="s">
        <v>19</v>
      </c>
      <c r="J1548" s="3" t="s">
        <v>26173</v>
      </c>
      <c r="K1548" t="s">
        <v>3032</v>
      </c>
      <c r="L1548" t="s">
        <v>2218</v>
      </c>
      <c r="M1548" t="s">
        <v>337</v>
      </c>
    </row>
    <row r="1549" spans="1:13" x14ac:dyDescent="0.25">
      <c r="A1549" t="s">
        <v>26593</v>
      </c>
      <c r="B1549" t="s">
        <v>13</v>
      </c>
      <c r="C1549" s="1">
        <v>42586</v>
      </c>
      <c r="D1549" t="s">
        <v>26594</v>
      </c>
      <c r="E1549" t="s">
        <v>26595</v>
      </c>
      <c r="F1549" t="s">
        <v>332</v>
      </c>
      <c r="G1549" t="s">
        <v>5839</v>
      </c>
      <c r="H1549" t="s">
        <v>2215</v>
      </c>
      <c r="I1549" t="s">
        <v>19</v>
      </c>
      <c r="J1549" s="3" t="s">
        <v>14221</v>
      </c>
      <c r="K1549" t="s">
        <v>2217</v>
      </c>
      <c r="L1549" t="s">
        <v>5685</v>
      </c>
      <c r="M1549" t="s">
        <v>337</v>
      </c>
    </row>
    <row r="1550" spans="1:13" x14ac:dyDescent="0.25">
      <c r="A1550" t="s">
        <v>9250</v>
      </c>
      <c r="B1550" t="s">
        <v>13</v>
      </c>
      <c r="C1550" t="s">
        <v>9251</v>
      </c>
      <c r="D1550" t="s">
        <v>9252</v>
      </c>
      <c r="E1550" s="2" t="s">
        <v>26595</v>
      </c>
      <c r="F1550" t="s">
        <v>332</v>
      </c>
      <c r="G1550" t="s">
        <v>2214</v>
      </c>
      <c r="H1550" t="s">
        <v>2215</v>
      </c>
      <c r="I1550" t="s">
        <v>19</v>
      </c>
      <c r="J1550" s="3">
        <f>55-42-32203741</f>
        <v>-32203728</v>
      </c>
      <c r="K1550" t="s">
        <v>2217</v>
      </c>
      <c r="L1550" t="s">
        <v>5685</v>
      </c>
      <c r="M1550" t="s">
        <v>337</v>
      </c>
    </row>
    <row r="1551" spans="1:13" x14ac:dyDescent="0.25">
      <c r="A1551" t="s">
        <v>13584</v>
      </c>
      <c r="B1551" t="s">
        <v>13</v>
      </c>
      <c r="C1551" s="1">
        <v>44167</v>
      </c>
      <c r="D1551" t="s">
        <v>13585</v>
      </c>
      <c r="E1551" s="2" t="s">
        <v>31078</v>
      </c>
      <c r="F1551" t="s">
        <v>332</v>
      </c>
      <c r="G1551" t="s">
        <v>13586</v>
      </c>
      <c r="H1551" t="s">
        <v>714</v>
      </c>
      <c r="I1551" t="s">
        <v>19</v>
      </c>
      <c r="J1551" s="3">
        <v>551836363250</v>
      </c>
      <c r="K1551" t="s">
        <v>13587</v>
      </c>
      <c r="L1551" t="s">
        <v>12663</v>
      </c>
      <c r="M1551" t="s">
        <v>337</v>
      </c>
    </row>
    <row r="1552" spans="1:13" x14ac:dyDescent="0.25">
      <c r="A1552" t="s">
        <v>19332</v>
      </c>
      <c r="B1552" t="s">
        <v>13</v>
      </c>
      <c r="C1552" s="1">
        <v>43322</v>
      </c>
      <c r="D1552" t="s">
        <v>19333</v>
      </c>
      <c r="E1552" t="s">
        <v>19334</v>
      </c>
      <c r="F1552" t="s">
        <v>32147</v>
      </c>
      <c r="G1552" t="s">
        <v>3729</v>
      </c>
      <c r="H1552" t="s">
        <v>2112</v>
      </c>
      <c r="I1552" t="s">
        <v>19</v>
      </c>
      <c r="J1552" s="3" t="s">
        <v>19335</v>
      </c>
      <c r="K1552" t="s">
        <v>3731</v>
      </c>
      <c r="L1552" t="s">
        <v>3732</v>
      </c>
      <c r="M1552" t="s">
        <v>32147</v>
      </c>
    </row>
    <row r="1553" spans="1:13" x14ac:dyDescent="0.25">
      <c r="A1553" t="s">
        <v>15585</v>
      </c>
      <c r="B1553" t="s">
        <v>13</v>
      </c>
      <c r="C1553" s="1">
        <v>43748</v>
      </c>
      <c r="D1553" t="s">
        <v>15586</v>
      </c>
      <c r="E1553" s="2" t="s">
        <v>32015</v>
      </c>
      <c r="F1553" t="s">
        <v>1464</v>
      </c>
      <c r="G1553" t="s">
        <v>15587</v>
      </c>
      <c r="H1553" t="s">
        <v>1335</v>
      </c>
      <c r="I1553" t="s">
        <v>19</v>
      </c>
      <c r="J1553" s="3">
        <f>55-43-88435565</f>
        <v>-88435553</v>
      </c>
      <c r="K1553" t="s">
        <v>15588</v>
      </c>
      <c r="L1553" t="s">
        <v>15589</v>
      </c>
      <c r="M1553" t="s">
        <v>337</v>
      </c>
    </row>
    <row r="1554" spans="1:13" x14ac:dyDescent="0.25">
      <c r="A1554" t="s">
        <v>15236</v>
      </c>
      <c r="B1554" t="s">
        <v>13</v>
      </c>
      <c r="C1554" t="s">
        <v>303</v>
      </c>
      <c r="D1554" t="s">
        <v>15237</v>
      </c>
      <c r="E1554" s="2" t="s">
        <v>31883</v>
      </c>
      <c r="F1554" t="s">
        <v>1464</v>
      </c>
      <c r="G1554" t="s">
        <v>15238</v>
      </c>
      <c r="H1554" t="s">
        <v>2215</v>
      </c>
      <c r="I1554" t="s">
        <v>19</v>
      </c>
      <c r="J1554" s="3">
        <f>55-42-32203740</f>
        <v>-32203727</v>
      </c>
      <c r="K1554" t="s">
        <v>15239</v>
      </c>
      <c r="L1554" t="s">
        <v>2218</v>
      </c>
      <c r="M1554" t="s">
        <v>337</v>
      </c>
    </row>
    <row r="1555" spans="1:13" x14ac:dyDescent="0.25">
      <c r="A1555" t="s">
        <v>14219</v>
      </c>
      <c r="B1555" t="s">
        <v>13</v>
      </c>
      <c r="C1555" t="s">
        <v>14201</v>
      </c>
      <c r="D1555" t="s">
        <v>14220</v>
      </c>
      <c r="E1555" s="2" t="s">
        <v>31601</v>
      </c>
      <c r="F1555" t="s">
        <v>332</v>
      </c>
      <c r="G1555" t="s">
        <v>2261</v>
      </c>
      <c r="H1555" t="s">
        <v>2215</v>
      </c>
      <c r="I1555" t="s">
        <v>19</v>
      </c>
      <c r="J1555" s="3" t="s">
        <v>14221</v>
      </c>
      <c r="K1555" t="s">
        <v>3032</v>
      </c>
      <c r="L1555" t="s">
        <v>5685</v>
      </c>
      <c r="M1555" t="s">
        <v>337</v>
      </c>
    </row>
    <row r="1556" spans="1:13" x14ac:dyDescent="0.25">
      <c r="A1556" t="s">
        <v>23101</v>
      </c>
      <c r="B1556" t="s">
        <v>13</v>
      </c>
      <c r="C1556" t="s">
        <v>23102</v>
      </c>
      <c r="D1556" t="s">
        <v>23103</v>
      </c>
      <c r="E1556" t="s">
        <v>23104</v>
      </c>
      <c r="F1556" t="s">
        <v>332</v>
      </c>
      <c r="G1556" t="s">
        <v>5839</v>
      </c>
      <c r="H1556" t="s">
        <v>2215</v>
      </c>
      <c r="I1556" t="s">
        <v>19</v>
      </c>
      <c r="J1556" s="3" t="s">
        <v>14221</v>
      </c>
      <c r="K1556" t="s">
        <v>2217</v>
      </c>
      <c r="L1556" t="s">
        <v>5685</v>
      </c>
      <c r="M1556" t="s">
        <v>337</v>
      </c>
    </row>
    <row r="1557" spans="1:13" x14ac:dyDescent="0.25">
      <c r="A1557" t="s">
        <v>26676</v>
      </c>
      <c r="B1557" t="s">
        <v>13</v>
      </c>
      <c r="C1557" t="s">
        <v>26659</v>
      </c>
      <c r="D1557" t="s">
        <v>26677</v>
      </c>
      <c r="E1557" t="s">
        <v>23104</v>
      </c>
      <c r="F1557" t="s">
        <v>332</v>
      </c>
      <c r="G1557" t="s">
        <v>5839</v>
      </c>
      <c r="H1557" t="s">
        <v>2215</v>
      </c>
      <c r="I1557" t="s">
        <v>19</v>
      </c>
      <c r="J1557" s="3" t="s">
        <v>14221</v>
      </c>
      <c r="K1557" t="s">
        <v>2217</v>
      </c>
      <c r="L1557" t="s">
        <v>5685</v>
      </c>
      <c r="M1557" t="s">
        <v>337</v>
      </c>
    </row>
    <row r="1558" spans="1:13" x14ac:dyDescent="0.25">
      <c r="A1558" t="s">
        <v>5838</v>
      </c>
      <c r="B1558" t="s">
        <v>13</v>
      </c>
      <c r="C1558" t="s">
        <v>2028</v>
      </c>
      <c r="D1558" t="s">
        <v>32135</v>
      </c>
      <c r="E1558" s="2" t="s">
        <v>30729</v>
      </c>
      <c r="F1558" t="s">
        <v>2211</v>
      </c>
      <c r="G1558" t="s">
        <v>5839</v>
      </c>
      <c r="H1558" t="s">
        <v>2215</v>
      </c>
      <c r="I1558" t="s">
        <v>19</v>
      </c>
      <c r="J1558" s="3" t="s">
        <v>5840</v>
      </c>
      <c r="K1558" t="s">
        <v>2217</v>
      </c>
      <c r="L1558" t="s">
        <v>32135</v>
      </c>
      <c r="M1558" t="s">
        <v>337</v>
      </c>
    </row>
    <row r="1559" spans="1:13" x14ac:dyDescent="0.25">
      <c r="A1559" t="s">
        <v>2209</v>
      </c>
      <c r="B1559" t="s">
        <v>13</v>
      </c>
      <c r="C1559" s="1">
        <v>44782</v>
      </c>
      <c r="D1559" t="s">
        <v>2210</v>
      </c>
      <c r="E1559" s="2" t="s">
        <v>30729</v>
      </c>
      <c r="F1559" t="s">
        <v>2213</v>
      </c>
      <c r="G1559" t="s">
        <v>2214</v>
      </c>
      <c r="H1559" t="s">
        <v>2215</v>
      </c>
      <c r="I1559" t="s">
        <v>19</v>
      </c>
      <c r="J1559" s="3" t="s">
        <v>2216</v>
      </c>
      <c r="K1559" t="s">
        <v>2217</v>
      </c>
      <c r="L1559" t="s">
        <v>2218</v>
      </c>
      <c r="M1559" t="s">
        <v>337</v>
      </c>
    </row>
    <row r="1560" spans="1:13" x14ac:dyDescent="0.25">
      <c r="A1560" t="s">
        <v>14028</v>
      </c>
      <c r="B1560" t="s">
        <v>13</v>
      </c>
      <c r="C1560" s="1">
        <v>43112</v>
      </c>
      <c r="D1560" t="s">
        <v>14029</v>
      </c>
      <c r="E1560" s="2" t="s">
        <v>30729</v>
      </c>
      <c r="F1560" t="s">
        <v>332</v>
      </c>
      <c r="G1560" t="s">
        <v>5839</v>
      </c>
      <c r="H1560" t="s">
        <v>2215</v>
      </c>
      <c r="I1560" t="s">
        <v>19</v>
      </c>
      <c r="J1560" s="3" t="s">
        <v>14030</v>
      </c>
      <c r="K1560" t="s">
        <v>2217</v>
      </c>
      <c r="L1560" t="s">
        <v>2218</v>
      </c>
      <c r="M1560" t="s">
        <v>337</v>
      </c>
    </row>
    <row r="1561" spans="1:13" x14ac:dyDescent="0.25">
      <c r="A1561" t="s">
        <v>483</v>
      </c>
      <c r="B1561" t="s">
        <v>13</v>
      </c>
      <c r="C1561" t="s">
        <v>484</v>
      </c>
      <c r="D1561" t="s">
        <v>485</v>
      </c>
      <c r="E1561" t="s">
        <v>486</v>
      </c>
      <c r="F1561" t="s">
        <v>487</v>
      </c>
      <c r="G1561" t="s">
        <v>488</v>
      </c>
      <c r="H1561" t="s">
        <v>489</v>
      </c>
      <c r="I1561" t="s">
        <v>19</v>
      </c>
      <c r="J1561" s="3">
        <f>55-41-33607259</f>
        <v>-33607245</v>
      </c>
      <c r="K1561" t="s">
        <v>490</v>
      </c>
      <c r="L1561" t="s">
        <v>491</v>
      </c>
      <c r="M1561" t="s">
        <v>337</v>
      </c>
    </row>
    <row r="1562" spans="1:13" x14ac:dyDescent="0.25">
      <c r="A1562" t="s">
        <v>24379</v>
      </c>
      <c r="B1562" t="s">
        <v>13</v>
      </c>
      <c r="C1562" t="s">
        <v>24373</v>
      </c>
      <c r="D1562" t="s">
        <v>24380</v>
      </c>
      <c r="E1562" t="s">
        <v>8270</v>
      </c>
      <c r="F1562" t="s">
        <v>1464</v>
      </c>
      <c r="G1562" t="s">
        <v>24181</v>
      </c>
      <c r="H1562" t="s">
        <v>2215</v>
      </c>
      <c r="I1562" t="s">
        <v>19</v>
      </c>
      <c r="J1562" s="3" t="s">
        <v>24381</v>
      </c>
      <c r="K1562" t="s">
        <v>24183</v>
      </c>
      <c r="L1562" t="s">
        <v>2218</v>
      </c>
      <c r="M1562" t="s">
        <v>337</v>
      </c>
    </row>
    <row r="1563" spans="1:13" x14ac:dyDescent="0.25">
      <c r="A1563" t="s">
        <v>24179</v>
      </c>
      <c r="B1563" t="s">
        <v>13</v>
      </c>
      <c r="C1563" s="1">
        <v>43075</v>
      </c>
      <c r="D1563" t="s">
        <v>24180</v>
      </c>
      <c r="E1563" t="s">
        <v>8270</v>
      </c>
      <c r="F1563" t="s">
        <v>1464</v>
      </c>
      <c r="G1563" t="s">
        <v>24181</v>
      </c>
      <c r="H1563" t="s">
        <v>2215</v>
      </c>
      <c r="I1563" t="s">
        <v>19</v>
      </c>
      <c r="J1563" s="3" t="s">
        <v>24182</v>
      </c>
      <c r="K1563" t="s">
        <v>24183</v>
      </c>
      <c r="L1563" t="s">
        <v>2218</v>
      </c>
      <c r="M1563" t="s">
        <v>337</v>
      </c>
    </row>
    <row r="1564" spans="1:13" x14ac:dyDescent="0.25">
      <c r="A1564" t="s">
        <v>11995</v>
      </c>
      <c r="B1564" t="s">
        <v>13</v>
      </c>
      <c r="C1564" t="s">
        <v>10491</v>
      </c>
      <c r="D1564" t="s">
        <v>11996</v>
      </c>
      <c r="E1564" t="s">
        <v>8270</v>
      </c>
      <c r="F1564" t="s">
        <v>1464</v>
      </c>
      <c r="G1564" t="s">
        <v>5839</v>
      </c>
      <c r="H1564" t="s">
        <v>2215</v>
      </c>
      <c r="I1564" t="s">
        <v>19</v>
      </c>
      <c r="J1564" s="3" t="s">
        <v>11997</v>
      </c>
      <c r="K1564" t="s">
        <v>2217</v>
      </c>
      <c r="L1564" t="s">
        <v>2218</v>
      </c>
      <c r="M1564" t="s">
        <v>337</v>
      </c>
    </row>
    <row r="1565" spans="1:13" x14ac:dyDescent="0.25">
      <c r="A1565" t="s">
        <v>12013</v>
      </c>
      <c r="B1565" t="s">
        <v>13</v>
      </c>
      <c r="C1565" t="s">
        <v>12014</v>
      </c>
      <c r="D1565" t="s">
        <v>12015</v>
      </c>
      <c r="E1565" t="s">
        <v>8038</v>
      </c>
      <c r="F1565" t="s">
        <v>1464</v>
      </c>
      <c r="G1565" t="s">
        <v>5839</v>
      </c>
      <c r="H1565" t="s">
        <v>2215</v>
      </c>
      <c r="I1565" t="s">
        <v>19</v>
      </c>
      <c r="J1565" s="3" t="s">
        <v>11997</v>
      </c>
      <c r="K1565" t="s">
        <v>2217</v>
      </c>
      <c r="L1565" t="s">
        <v>2218</v>
      </c>
      <c r="M1565" t="s">
        <v>337</v>
      </c>
    </row>
    <row r="1566" spans="1:13" x14ac:dyDescent="0.25">
      <c r="A1566" t="s">
        <v>8035</v>
      </c>
      <c r="B1566" t="s">
        <v>13</v>
      </c>
      <c r="C1566" t="s">
        <v>8036</v>
      </c>
      <c r="D1566" t="s">
        <v>8037</v>
      </c>
      <c r="E1566" t="s">
        <v>8038</v>
      </c>
      <c r="F1566" t="s">
        <v>1464</v>
      </c>
      <c r="G1566" t="s">
        <v>8039</v>
      </c>
      <c r="H1566" t="s">
        <v>2215</v>
      </c>
      <c r="I1566" t="s">
        <v>19</v>
      </c>
      <c r="J1566" s="3">
        <v>554232203741</v>
      </c>
      <c r="K1566" t="s">
        <v>3032</v>
      </c>
      <c r="L1566" t="s">
        <v>32135</v>
      </c>
      <c r="M1566" t="s">
        <v>337</v>
      </c>
    </row>
    <row r="1567" spans="1:13" x14ac:dyDescent="0.25">
      <c r="A1567" t="s">
        <v>8268</v>
      </c>
      <c r="B1567" t="s">
        <v>13</v>
      </c>
      <c r="C1567" t="s">
        <v>6274</v>
      </c>
      <c r="D1567" t="s">
        <v>8269</v>
      </c>
      <c r="E1567" t="s">
        <v>8270</v>
      </c>
      <c r="F1567" t="s">
        <v>1464</v>
      </c>
      <c r="G1567" t="s">
        <v>8271</v>
      </c>
      <c r="H1567" t="s">
        <v>1335</v>
      </c>
      <c r="I1567" t="s">
        <v>19</v>
      </c>
      <c r="J1567" s="3" t="s">
        <v>8272</v>
      </c>
      <c r="K1567" t="s">
        <v>8273</v>
      </c>
      <c r="L1567" t="s">
        <v>1338</v>
      </c>
      <c r="M1567" t="s">
        <v>337</v>
      </c>
    </row>
    <row r="1568" spans="1:13" x14ac:dyDescent="0.25">
      <c r="A1568" t="s">
        <v>22796</v>
      </c>
      <c r="B1568" t="s">
        <v>13</v>
      </c>
      <c r="C1568" t="s">
        <v>22753</v>
      </c>
      <c r="D1568" t="s">
        <v>22797</v>
      </c>
      <c r="E1568" t="s">
        <v>8038</v>
      </c>
      <c r="F1568" t="s">
        <v>332</v>
      </c>
      <c r="G1568" t="s">
        <v>2261</v>
      </c>
      <c r="H1568" t="s">
        <v>2215</v>
      </c>
      <c r="I1568" t="s">
        <v>19</v>
      </c>
      <c r="J1568" s="3" t="s">
        <v>22147</v>
      </c>
      <c r="K1568" t="s">
        <v>3032</v>
      </c>
      <c r="L1568" t="s">
        <v>2218</v>
      </c>
      <c r="M1568" t="s">
        <v>337</v>
      </c>
    </row>
    <row r="1569" spans="1:13" x14ac:dyDescent="0.25">
      <c r="A1569" t="s">
        <v>16130</v>
      </c>
      <c r="B1569" t="s">
        <v>13</v>
      </c>
      <c r="C1569" t="s">
        <v>15792</v>
      </c>
      <c r="D1569" t="s">
        <v>16131</v>
      </c>
      <c r="E1569" s="2" t="s">
        <v>31148</v>
      </c>
      <c r="F1569" t="s">
        <v>1464</v>
      </c>
      <c r="G1569" t="s">
        <v>16132</v>
      </c>
      <c r="H1569" t="s">
        <v>4236</v>
      </c>
      <c r="I1569" t="s">
        <v>19</v>
      </c>
      <c r="J1569" s="3" t="s">
        <v>16133</v>
      </c>
      <c r="K1569" t="s">
        <v>16134</v>
      </c>
      <c r="L1569" t="s">
        <v>16135</v>
      </c>
      <c r="M1569" t="s">
        <v>337</v>
      </c>
    </row>
    <row r="1570" spans="1:13" x14ac:dyDescent="0.25">
      <c r="A1570" t="s">
        <v>9975</v>
      </c>
      <c r="B1570" t="s">
        <v>13</v>
      </c>
      <c r="C1570" s="1">
        <v>43839</v>
      </c>
      <c r="D1570" t="s">
        <v>9976</v>
      </c>
      <c r="E1570" t="s">
        <v>9977</v>
      </c>
      <c r="F1570" t="s">
        <v>6072</v>
      </c>
      <c r="G1570" t="s">
        <v>9978</v>
      </c>
      <c r="H1570" t="s">
        <v>1301</v>
      </c>
      <c r="I1570" t="s">
        <v>19</v>
      </c>
      <c r="J1570" s="3">
        <f>55-11-980958323</f>
        <v>-980958279</v>
      </c>
      <c r="K1570" t="s">
        <v>9979</v>
      </c>
      <c r="L1570" t="s">
        <v>9980</v>
      </c>
      <c r="M1570" t="s">
        <v>337</v>
      </c>
    </row>
    <row r="1571" spans="1:13" x14ac:dyDescent="0.25">
      <c r="A1571" t="s">
        <v>9653</v>
      </c>
      <c r="B1571" t="s">
        <v>13</v>
      </c>
      <c r="C1571" t="s">
        <v>9645</v>
      </c>
      <c r="D1571" t="s">
        <v>9654</v>
      </c>
      <c r="E1571" t="s">
        <v>9655</v>
      </c>
      <c r="F1571" t="s">
        <v>1934</v>
      </c>
      <c r="G1571" t="s">
        <v>9656</v>
      </c>
      <c r="H1571" t="s">
        <v>88</v>
      </c>
      <c r="I1571" t="s">
        <v>19</v>
      </c>
      <c r="J1571" s="3">
        <f>55-84-3215-4100</f>
        <v>-7344</v>
      </c>
      <c r="K1571" t="s">
        <v>9657</v>
      </c>
      <c r="L1571" t="s">
        <v>91</v>
      </c>
      <c r="M1571" t="s">
        <v>337</v>
      </c>
    </row>
    <row r="1572" spans="1:13" x14ac:dyDescent="0.25">
      <c r="A1572" t="s">
        <v>21044</v>
      </c>
      <c r="B1572" t="s">
        <v>13</v>
      </c>
      <c r="C1572" t="s">
        <v>21028</v>
      </c>
      <c r="D1572" t="s">
        <v>21045</v>
      </c>
      <c r="E1572" s="2" t="s">
        <v>31722</v>
      </c>
      <c r="F1572" t="s">
        <v>332</v>
      </c>
      <c r="G1572" t="s">
        <v>21046</v>
      </c>
      <c r="H1572" t="s">
        <v>893</v>
      </c>
      <c r="I1572" t="s">
        <v>19</v>
      </c>
      <c r="J1572" s="3">
        <f>55-98-981530875</f>
        <v>-981530918</v>
      </c>
      <c r="K1572" t="s">
        <v>21047</v>
      </c>
      <c r="L1572" t="s">
        <v>21026</v>
      </c>
      <c r="M1572" t="s">
        <v>337</v>
      </c>
    </row>
    <row r="1573" spans="1:13" x14ac:dyDescent="0.25">
      <c r="A1573" t="s">
        <v>19069</v>
      </c>
      <c r="B1573" t="s">
        <v>13</v>
      </c>
      <c r="C1573" s="1">
        <v>43323</v>
      </c>
      <c r="D1573" t="s">
        <v>19070</v>
      </c>
      <c r="E1573" t="s">
        <v>19071</v>
      </c>
      <c r="F1573" t="s">
        <v>337</v>
      </c>
      <c r="G1573" t="s">
        <v>9743</v>
      </c>
      <c r="H1573" t="s">
        <v>798</v>
      </c>
      <c r="I1573" t="s">
        <v>19</v>
      </c>
      <c r="J1573" s="3">
        <v>556120285000</v>
      </c>
      <c r="K1573" t="s">
        <v>19072</v>
      </c>
      <c r="L1573" t="s">
        <v>9743</v>
      </c>
      <c r="M1573" t="s">
        <v>337</v>
      </c>
    </row>
    <row r="1574" spans="1:13" x14ac:dyDescent="0.25">
      <c r="A1574" t="s">
        <v>4793</v>
      </c>
      <c r="B1574" t="s">
        <v>13</v>
      </c>
      <c r="C1574" s="1">
        <v>44867</v>
      </c>
      <c r="D1574" t="s">
        <v>4794</v>
      </c>
      <c r="E1574" t="s">
        <v>4795</v>
      </c>
      <c r="F1574" t="s">
        <v>4796</v>
      </c>
      <c r="G1574" t="s">
        <v>4797</v>
      </c>
      <c r="H1574" t="s">
        <v>36</v>
      </c>
      <c r="I1574" t="s">
        <v>19</v>
      </c>
      <c r="J1574" s="3">
        <f>55-1130917418</f>
        <v>-1130917363</v>
      </c>
      <c r="K1574" t="s">
        <v>4798</v>
      </c>
      <c r="L1574" t="s">
        <v>4799</v>
      </c>
      <c r="M1574" t="s">
        <v>337</v>
      </c>
    </row>
    <row r="1575" spans="1:13" x14ac:dyDescent="0.25">
      <c r="A1575" t="s">
        <v>14254</v>
      </c>
      <c r="B1575" t="s">
        <v>13</v>
      </c>
      <c r="C1575" s="1">
        <v>44105</v>
      </c>
      <c r="D1575" t="s">
        <v>14255</v>
      </c>
      <c r="E1575" t="s">
        <v>10916</v>
      </c>
      <c r="F1575" t="s">
        <v>1464</v>
      </c>
      <c r="G1575" t="s">
        <v>14256</v>
      </c>
      <c r="H1575" t="s">
        <v>150</v>
      </c>
      <c r="I1575" t="s">
        <v>19</v>
      </c>
      <c r="J1575" s="3" t="s">
        <v>14257</v>
      </c>
      <c r="K1575" t="s">
        <v>14258</v>
      </c>
      <c r="L1575" t="s">
        <v>3512</v>
      </c>
      <c r="M1575" t="s">
        <v>337</v>
      </c>
    </row>
    <row r="1576" spans="1:13" x14ac:dyDescent="0.25">
      <c r="A1576" t="s">
        <v>23907</v>
      </c>
      <c r="B1576" t="s">
        <v>13</v>
      </c>
      <c r="C1576" t="s">
        <v>23902</v>
      </c>
      <c r="D1576" t="s">
        <v>23908</v>
      </c>
      <c r="E1576" t="s">
        <v>23909</v>
      </c>
      <c r="F1576" t="s">
        <v>10500</v>
      </c>
      <c r="G1576" t="s">
        <v>23910</v>
      </c>
      <c r="H1576" t="s">
        <v>23911</v>
      </c>
      <c r="I1576" t="s">
        <v>19</v>
      </c>
      <c r="J1576" s="3" t="s">
        <v>23912</v>
      </c>
      <c r="K1576" t="s">
        <v>23913</v>
      </c>
      <c r="L1576" t="s">
        <v>565</v>
      </c>
      <c r="M1576" t="s">
        <v>129</v>
      </c>
    </row>
    <row r="1577" spans="1:13" x14ac:dyDescent="0.25">
      <c r="A1577" t="s">
        <v>18111</v>
      </c>
      <c r="B1577" t="s">
        <v>13</v>
      </c>
      <c r="C1577" t="s">
        <v>18112</v>
      </c>
      <c r="D1577" t="s">
        <v>18113</v>
      </c>
      <c r="E1577" s="2" t="s">
        <v>32301</v>
      </c>
      <c r="F1577" t="s">
        <v>1464</v>
      </c>
      <c r="G1577" t="s">
        <v>18114</v>
      </c>
      <c r="H1577" t="s">
        <v>7467</v>
      </c>
      <c r="I1577" t="s">
        <v>19</v>
      </c>
      <c r="J1577" s="3">
        <v>5581996689345</v>
      </c>
      <c r="K1577" t="s">
        <v>18115</v>
      </c>
      <c r="L1577" t="s">
        <v>1193</v>
      </c>
      <c r="M1577" t="s">
        <v>337</v>
      </c>
    </row>
    <row r="1578" spans="1:13" x14ac:dyDescent="0.25">
      <c r="A1578" t="s">
        <v>3411</v>
      </c>
      <c r="B1578" t="s">
        <v>101</v>
      </c>
      <c r="C1578" s="1">
        <v>44810</v>
      </c>
      <c r="D1578" t="s">
        <v>3412</v>
      </c>
      <c r="E1578" t="s">
        <v>3413</v>
      </c>
      <c r="F1578" t="s">
        <v>3414</v>
      </c>
      <c r="G1578" t="s">
        <v>3415</v>
      </c>
      <c r="H1578" t="s">
        <v>3416</v>
      </c>
      <c r="I1578" t="s">
        <v>19</v>
      </c>
      <c r="J1578" s="3">
        <f>55-16-33016557</f>
        <v>-33016518</v>
      </c>
      <c r="K1578" t="s">
        <v>3417</v>
      </c>
      <c r="L1578" t="s">
        <v>3418</v>
      </c>
      <c r="M1578" t="s">
        <v>337</v>
      </c>
    </row>
    <row r="1579" spans="1:13" x14ac:dyDescent="0.25">
      <c r="A1579" t="s">
        <v>15753</v>
      </c>
      <c r="B1579" t="s">
        <v>13</v>
      </c>
      <c r="C1579" s="1">
        <v>43354</v>
      </c>
      <c r="D1579" t="s">
        <v>15754</v>
      </c>
      <c r="E1579" s="2" t="s">
        <v>31655</v>
      </c>
      <c r="F1579" t="s">
        <v>1464</v>
      </c>
      <c r="G1579" t="s">
        <v>15606</v>
      </c>
      <c r="H1579" t="s">
        <v>265</v>
      </c>
      <c r="I1579" t="s">
        <v>19</v>
      </c>
      <c r="J1579" s="3">
        <f>55-16-33154006</f>
        <v>-33153967</v>
      </c>
      <c r="K1579" t="s">
        <v>15607</v>
      </c>
      <c r="L1579" t="s">
        <v>15755</v>
      </c>
      <c r="M1579" t="s">
        <v>337</v>
      </c>
    </row>
    <row r="1580" spans="1:13" x14ac:dyDescent="0.25">
      <c r="A1580" t="s">
        <v>28085</v>
      </c>
      <c r="B1580" t="s">
        <v>13</v>
      </c>
      <c r="C1580" s="1">
        <v>42010</v>
      </c>
      <c r="D1580" t="s">
        <v>28086</v>
      </c>
      <c r="E1580" t="s">
        <v>28087</v>
      </c>
      <c r="F1580" t="s">
        <v>332</v>
      </c>
      <c r="G1580" t="s">
        <v>28088</v>
      </c>
      <c r="H1580" t="s">
        <v>706</v>
      </c>
      <c r="I1580" t="s">
        <v>19</v>
      </c>
      <c r="J1580" s="3" t="s">
        <v>28089</v>
      </c>
      <c r="K1580" t="s">
        <v>28090</v>
      </c>
      <c r="L1580" t="s">
        <v>28091</v>
      </c>
      <c r="M1580" t="s">
        <v>337</v>
      </c>
    </row>
    <row r="1581" spans="1:13" x14ac:dyDescent="0.25">
      <c r="A1581" t="s">
        <v>13485</v>
      </c>
      <c r="B1581" t="s">
        <v>13</v>
      </c>
      <c r="C1581" t="s">
        <v>4227</v>
      </c>
      <c r="D1581" t="s">
        <v>13486</v>
      </c>
      <c r="E1581" t="s">
        <v>13487</v>
      </c>
      <c r="F1581" t="s">
        <v>1934</v>
      </c>
      <c r="G1581" t="s">
        <v>13488</v>
      </c>
      <c r="H1581" t="s">
        <v>578</v>
      </c>
      <c r="I1581" t="s">
        <v>19</v>
      </c>
      <c r="J1581" s="3">
        <v>5592991460383</v>
      </c>
      <c r="K1581" t="s">
        <v>13489</v>
      </c>
      <c r="L1581" t="s">
        <v>13490</v>
      </c>
      <c r="M1581" t="s">
        <v>337</v>
      </c>
    </row>
    <row r="1582" spans="1:13" x14ac:dyDescent="0.25">
      <c r="A1582" t="s">
        <v>20152</v>
      </c>
      <c r="B1582" t="s">
        <v>13</v>
      </c>
      <c r="C1582" s="1">
        <v>43259</v>
      </c>
      <c r="D1582" t="s">
        <v>20153</v>
      </c>
      <c r="E1582" t="s">
        <v>4083</v>
      </c>
      <c r="F1582" t="s">
        <v>1464</v>
      </c>
      <c r="G1582" t="s">
        <v>20154</v>
      </c>
      <c r="H1582" t="s">
        <v>472</v>
      </c>
      <c r="I1582" t="s">
        <v>19</v>
      </c>
      <c r="J1582" s="3">
        <v>8196557408</v>
      </c>
      <c r="K1582" t="s">
        <v>20155</v>
      </c>
      <c r="L1582" t="s">
        <v>20156</v>
      </c>
      <c r="M1582" t="s">
        <v>32144</v>
      </c>
    </row>
    <row r="1583" spans="1:13" x14ac:dyDescent="0.25">
      <c r="A1583" t="s">
        <v>4991</v>
      </c>
      <c r="B1583" t="s">
        <v>13</v>
      </c>
      <c r="C1583" t="s">
        <v>4986</v>
      </c>
      <c r="D1583" t="s">
        <v>32135</v>
      </c>
      <c r="E1583" t="s">
        <v>1010</v>
      </c>
      <c r="F1583" t="s">
        <v>4987</v>
      </c>
      <c r="G1583" t="s">
        <v>4992</v>
      </c>
      <c r="H1583" t="s">
        <v>4993</v>
      </c>
      <c r="I1583" t="s">
        <v>19</v>
      </c>
      <c r="J1583" s="3" t="s">
        <v>4994</v>
      </c>
      <c r="K1583" t="s">
        <v>4995</v>
      </c>
      <c r="L1583" t="s">
        <v>32135</v>
      </c>
      <c r="M1583" t="s">
        <v>32144</v>
      </c>
    </row>
    <row r="1584" spans="1:13" x14ac:dyDescent="0.25">
      <c r="A1584" t="s">
        <v>1898</v>
      </c>
      <c r="B1584" t="s">
        <v>13</v>
      </c>
      <c r="C1584" t="s">
        <v>1890</v>
      </c>
      <c r="D1584" t="s">
        <v>1899</v>
      </c>
      <c r="E1584" t="s">
        <v>1086</v>
      </c>
      <c r="F1584" t="s">
        <v>1109</v>
      </c>
      <c r="G1584" t="s">
        <v>1900</v>
      </c>
      <c r="H1584" t="s">
        <v>1047</v>
      </c>
      <c r="I1584" t="s">
        <v>19</v>
      </c>
      <c r="J1584" s="3" t="s">
        <v>1901</v>
      </c>
      <c r="K1584" t="s">
        <v>1902</v>
      </c>
      <c r="L1584" t="s">
        <v>1050</v>
      </c>
      <c r="M1584" t="s">
        <v>32144</v>
      </c>
    </row>
    <row r="1585" spans="1:13" x14ac:dyDescent="0.25">
      <c r="A1585" t="s">
        <v>5866</v>
      </c>
      <c r="B1585" t="s">
        <v>13</v>
      </c>
      <c r="C1585" t="s">
        <v>5867</v>
      </c>
      <c r="D1585" t="s">
        <v>32135</v>
      </c>
      <c r="E1585" t="s">
        <v>1086</v>
      </c>
      <c r="F1585" t="s">
        <v>5868</v>
      </c>
      <c r="G1585" t="s">
        <v>5869</v>
      </c>
      <c r="H1585" t="s">
        <v>150</v>
      </c>
      <c r="I1585" t="s">
        <v>19</v>
      </c>
      <c r="J1585" s="3">
        <v>551126617268</v>
      </c>
      <c r="K1585" t="s">
        <v>5870</v>
      </c>
      <c r="L1585" t="s">
        <v>32135</v>
      </c>
      <c r="M1585" t="s">
        <v>32144</v>
      </c>
    </row>
    <row r="1586" spans="1:13" x14ac:dyDescent="0.25">
      <c r="A1586" t="s">
        <v>9639</v>
      </c>
      <c r="B1586" t="s">
        <v>13</v>
      </c>
      <c r="C1586" t="s">
        <v>7003</v>
      </c>
      <c r="D1586" t="s">
        <v>9640</v>
      </c>
      <c r="E1586" t="s">
        <v>1086</v>
      </c>
      <c r="F1586" t="s">
        <v>3084</v>
      </c>
      <c r="G1586" t="s">
        <v>9641</v>
      </c>
      <c r="H1586" t="s">
        <v>1090</v>
      </c>
      <c r="I1586" t="s">
        <v>19</v>
      </c>
      <c r="J1586" s="3" t="s">
        <v>9642</v>
      </c>
      <c r="K1586" t="s">
        <v>9643</v>
      </c>
      <c r="L1586" t="s">
        <v>1092</v>
      </c>
      <c r="M1586" t="s">
        <v>32144</v>
      </c>
    </row>
    <row r="1587" spans="1:13" x14ac:dyDescent="0.25">
      <c r="A1587" t="s">
        <v>28069</v>
      </c>
      <c r="B1587" t="s">
        <v>13</v>
      </c>
      <c r="C1587" s="1">
        <v>42041</v>
      </c>
      <c r="D1587" t="s">
        <v>28070</v>
      </c>
      <c r="E1587" t="s">
        <v>1086</v>
      </c>
      <c r="F1587" t="s">
        <v>3084</v>
      </c>
      <c r="G1587" t="s">
        <v>23405</v>
      </c>
      <c r="H1587" t="s">
        <v>150</v>
      </c>
      <c r="I1587" t="s">
        <v>19</v>
      </c>
      <c r="J1587" s="3" t="s">
        <v>28071</v>
      </c>
      <c r="K1587" t="s">
        <v>28072</v>
      </c>
      <c r="L1587" t="s">
        <v>439</v>
      </c>
      <c r="M1587" t="s">
        <v>32144</v>
      </c>
    </row>
    <row r="1588" spans="1:13" x14ac:dyDescent="0.25">
      <c r="A1588" t="s">
        <v>19459</v>
      </c>
      <c r="B1588" t="s">
        <v>13</v>
      </c>
      <c r="C1588" t="s">
        <v>19453</v>
      </c>
      <c r="D1588" t="s">
        <v>19460</v>
      </c>
      <c r="E1588" t="s">
        <v>1086</v>
      </c>
      <c r="F1588" t="s">
        <v>3084</v>
      </c>
      <c r="G1588" t="s">
        <v>5869</v>
      </c>
      <c r="H1588" t="s">
        <v>36</v>
      </c>
      <c r="I1588" t="s">
        <v>19</v>
      </c>
      <c r="J1588" s="3">
        <v>551126617268</v>
      </c>
      <c r="K1588" t="s">
        <v>19461</v>
      </c>
      <c r="L1588" t="s">
        <v>328</v>
      </c>
      <c r="M1588" t="s">
        <v>32144</v>
      </c>
    </row>
    <row r="1589" spans="1:13" x14ac:dyDescent="0.25">
      <c r="A1589" t="s">
        <v>3552</v>
      </c>
      <c r="B1589" t="s">
        <v>13</v>
      </c>
      <c r="C1589" t="s">
        <v>3553</v>
      </c>
      <c r="D1589" t="s">
        <v>3554</v>
      </c>
      <c r="E1589" s="2" t="s">
        <v>30784</v>
      </c>
      <c r="F1589" t="s">
        <v>3555</v>
      </c>
      <c r="G1589" t="s">
        <v>3556</v>
      </c>
      <c r="H1589" t="s">
        <v>265</v>
      </c>
      <c r="I1589" t="s">
        <v>19</v>
      </c>
      <c r="J1589" s="3">
        <f>55-16-36022530</f>
        <v>-36022491</v>
      </c>
      <c r="K1589" t="s">
        <v>3557</v>
      </c>
      <c r="L1589" t="s">
        <v>3558</v>
      </c>
      <c r="M1589" t="s">
        <v>32144</v>
      </c>
    </row>
    <row r="1590" spans="1:13" x14ac:dyDescent="0.25">
      <c r="A1590" t="s">
        <v>22730</v>
      </c>
      <c r="B1590" t="s">
        <v>13</v>
      </c>
      <c r="C1590" t="s">
        <v>22726</v>
      </c>
      <c r="D1590" t="s">
        <v>22731</v>
      </c>
      <c r="E1590" s="2" t="s">
        <v>32772</v>
      </c>
      <c r="F1590" t="s">
        <v>3084</v>
      </c>
      <c r="G1590" t="s">
        <v>22732</v>
      </c>
      <c r="H1590" t="s">
        <v>472</v>
      </c>
      <c r="I1590" t="s">
        <v>19</v>
      </c>
      <c r="J1590" s="3" t="s">
        <v>22733</v>
      </c>
      <c r="K1590" t="s">
        <v>22734</v>
      </c>
      <c r="L1590" t="s">
        <v>2101</v>
      </c>
      <c r="M1590" t="s">
        <v>32144</v>
      </c>
    </row>
    <row r="1591" spans="1:13" x14ac:dyDescent="0.25">
      <c r="A1591" t="s">
        <v>16868</v>
      </c>
      <c r="B1591" t="s">
        <v>13</v>
      </c>
      <c r="C1591" s="1">
        <v>43286</v>
      </c>
      <c r="D1591" t="s">
        <v>16869</v>
      </c>
      <c r="E1591" s="2" t="s">
        <v>31164</v>
      </c>
      <c r="F1591" t="s">
        <v>3084</v>
      </c>
      <c r="G1591" t="s">
        <v>16870</v>
      </c>
      <c r="H1591" t="s">
        <v>141</v>
      </c>
      <c r="I1591" t="s">
        <v>19</v>
      </c>
      <c r="J1591" s="3" t="s">
        <v>16871</v>
      </c>
      <c r="K1591" t="s">
        <v>16872</v>
      </c>
      <c r="L1591" t="s">
        <v>1058</v>
      </c>
      <c r="M1591" t="s">
        <v>32144</v>
      </c>
    </row>
    <row r="1592" spans="1:13" x14ac:dyDescent="0.25">
      <c r="A1592" t="s">
        <v>22380</v>
      </c>
      <c r="B1592" t="s">
        <v>13</v>
      </c>
      <c r="C1592" t="s">
        <v>7092</v>
      </c>
      <c r="D1592" t="s">
        <v>22381</v>
      </c>
      <c r="E1592" t="s">
        <v>22382</v>
      </c>
      <c r="F1592" t="s">
        <v>3084</v>
      </c>
      <c r="G1592" t="s">
        <v>22383</v>
      </c>
      <c r="H1592" t="s">
        <v>22384</v>
      </c>
      <c r="I1592" t="s">
        <v>19</v>
      </c>
      <c r="J1592" s="3">
        <v>5575988216838</v>
      </c>
      <c r="K1592" t="s">
        <v>22385</v>
      </c>
      <c r="L1592" t="s">
        <v>16290</v>
      </c>
      <c r="M1592" t="s">
        <v>32144</v>
      </c>
    </row>
    <row r="1593" spans="1:13" x14ac:dyDescent="0.25">
      <c r="A1593" t="s">
        <v>21510</v>
      </c>
      <c r="B1593" t="s">
        <v>13</v>
      </c>
      <c r="C1593" t="s">
        <v>16205</v>
      </c>
      <c r="D1593" t="s">
        <v>21511</v>
      </c>
      <c r="E1593" t="s">
        <v>21512</v>
      </c>
      <c r="F1593" t="s">
        <v>3084</v>
      </c>
      <c r="G1593" t="s">
        <v>21513</v>
      </c>
      <c r="H1593" t="s">
        <v>428</v>
      </c>
      <c r="I1593" t="s">
        <v>19</v>
      </c>
      <c r="J1593" s="3">
        <f>55-51-33039000</f>
        <v>-33038996</v>
      </c>
      <c r="K1593" t="s">
        <v>21514</v>
      </c>
      <c r="L1593" t="s">
        <v>1113</v>
      </c>
      <c r="M1593" t="s">
        <v>32144</v>
      </c>
    </row>
    <row r="1594" spans="1:13" x14ac:dyDescent="0.25">
      <c r="A1594" t="s">
        <v>11334</v>
      </c>
      <c r="B1594" t="s">
        <v>13</v>
      </c>
      <c r="C1594" t="s">
        <v>11304</v>
      </c>
      <c r="D1594" t="s">
        <v>11335</v>
      </c>
      <c r="E1594" t="s">
        <v>11336</v>
      </c>
      <c r="F1594" t="s">
        <v>1464</v>
      </c>
      <c r="G1594" t="s">
        <v>11337</v>
      </c>
      <c r="H1594" t="s">
        <v>36</v>
      </c>
      <c r="I1594" t="s">
        <v>19</v>
      </c>
      <c r="J1594" s="3">
        <f>55-11-55120028</f>
        <v>-55119984</v>
      </c>
      <c r="K1594" t="s">
        <v>11338</v>
      </c>
      <c r="L1594" t="s">
        <v>5007</v>
      </c>
      <c r="M1594" t="s">
        <v>32184</v>
      </c>
    </row>
    <row r="1595" spans="1:13" x14ac:dyDescent="0.25">
      <c r="A1595" t="s">
        <v>7430</v>
      </c>
      <c r="B1595" t="s">
        <v>13</v>
      </c>
      <c r="C1595" t="s">
        <v>7041</v>
      </c>
      <c r="D1595" t="s">
        <v>32139</v>
      </c>
      <c r="E1595" s="2" t="s">
        <v>31438</v>
      </c>
      <c r="F1595" t="s">
        <v>7431</v>
      </c>
      <c r="G1595" t="s">
        <v>7432</v>
      </c>
      <c r="H1595" t="s">
        <v>753</v>
      </c>
      <c r="I1595" t="s">
        <v>19</v>
      </c>
      <c r="J1595" s="3">
        <v>5567996929462</v>
      </c>
      <c r="K1595" t="s">
        <v>7433</v>
      </c>
      <c r="L1595" t="s">
        <v>32135</v>
      </c>
      <c r="M1595" t="s">
        <v>32144</v>
      </c>
    </row>
    <row r="1596" spans="1:13" x14ac:dyDescent="0.25">
      <c r="A1596" t="s">
        <v>18627</v>
      </c>
      <c r="B1596" t="s">
        <v>101</v>
      </c>
      <c r="C1596" t="s">
        <v>8477</v>
      </c>
      <c r="D1596" t="s">
        <v>18628</v>
      </c>
      <c r="E1596" t="s">
        <v>18629</v>
      </c>
      <c r="F1596" t="s">
        <v>6656</v>
      </c>
      <c r="G1596" t="s">
        <v>18630</v>
      </c>
      <c r="H1596" t="s">
        <v>489</v>
      </c>
      <c r="I1596" t="s">
        <v>19</v>
      </c>
      <c r="J1596" s="3">
        <f>55-41-33456260</f>
        <v>-33456246</v>
      </c>
      <c r="K1596" t="s">
        <v>18631</v>
      </c>
      <c r="L1596" t="s">
        <v>18632</v>
      </c>
      <c r="M1596" t="s">
        <v>32144</v>
      </c>
    </row>
    <row r="1597" spans="1:13" x14ac:dyDescent="0.25">
      <c r="A1597" t="s">
        <v>1084</v>
      </c>
      <c r="B1597" t="s">
        <v>13</v>
      </c>
      <c r="C1597" t="s">
        <v>1032</v>
      </c>
      <c r="D1597" t="s">
        <v>1085</v>
      </c>
      <c r="E1597" s="2" t="s">
        <v>31531</v>
      </c>
      <c r="F1597" t="s">
        <v>1088</v>
      </c>
      <c r="G1597" t="s">
        <v>1089</v>
      </c>
      <c r="H1597" t="s">
        <v>1090</v>
      </c>
      <c r="I1597" t="s">
        <v>19</v>
      </c>
      <c r="J1597" s="3">
        <f>55 - 83 - 999313245</f>
        <v>-999313273</v>
      </c>
      <c r="K1597" t="s">
        <v>1091</v>
      </c>
      <c r="L1597" t="s">
        <v>1092</v>
      </c>
      <c r="M1597" t="s">
        <v>32144</v>
      </c>
    </row>
    <row r="1598" spans="1:13" x14ac:dyDescent="0.25">
      <c r="A1598" t="s">
        <v>8096</v>
      </c>
      <c r="B1598" t="s">
        <v>13</v>
      </c>
      <c r="C1598" t="s">
        <v>8097</v>
      </c>
      <c r="D1598" t="s">
        <v>32135</v>
      </c>
      <c r="E1598" s="2" t="s">
        <v>31736</v>
      </c>
      <c r="F1598" t="s">
        <v>8098</v>
      </c>
      <c r="G1598" t="s">
        <v>8099</v>
      </c>
      <c r="H1598" t="s">
        <v>36</v>
      </c>
      <c r="I1598" t="s">
        <v>19</v>
      </c>
      <c r="J1598" s="3">
        <v>551640420312</v>
      </c>
      <c r="K1598" t="s">
        <v>8100</v>
      </c>
      <c r="L1598" t="s">
        <v>32135</v>
      </c>
      <c r="M1598" t="s">
        <v>32144</v>
      </c>
    </row>
    <row r="1599" spans="1:13" x14ac:dyDescent="0.25">
      <c r="A1599" t="s">
        <v>10953</v>
      </c>
      <c r="B1599" t="s">
        <v>13</v>
      </c>
      <c r="C1599" t="s">
        <v>10921</v>
      </c>
      <c r="D1599" t="s">
        <v>10954</v>
      </c>
      <c r="E1599" t="s">
        <v>10955</v>
      </c>
      <c r="F1599" t="s">
        <v>1129</v>
      </c>
      <c r="G1599" t="s">
        <v>10956</v>
      </c>
      <c r="H1599" t="s">
        <v>36</v>
      </c>
      <c r="I1599" t="s">
        <v>19</v>
      </c>
      <c r="J1599" s="3" t="s">
        <v>10957</v>
      </c>
      <c r="K1599" t="s">
        <v>10958</v>
      </c>
      <c r="L1599" t="s">
        <v>10959</v>
      </c>
      <c r="M1599" t="s">
        <v>32144</v>
      </c>
    </row>
    <row r="1600" spans="1:13" x14ac:dyDescent="0.25">
      <c r="A1600" t="s">
        <v>7564</v>
      </c>
      <c r="B1600" t="s">
        <v>101</v>
      </c>
      <c r="C1600" t="s">
        <v>6097</v>
      </c>
      <c r="D1600" t="s">
        <v>32135</v>
      </c>
      <c r="E1600" t="s">
        <v>7565</v>
      </c>
      <c r="G1600" t="s">
        <v>7566</v>
      </c>
      <c r="H1600" t="s">
        <v>179</v>
      </c>
      <c r="I1600" t="s">
        <v>19</v>
      </c>
      <c r="J1600" s="3">
        <f>55-22-981620979</f>
        <v>-981620946</v>
      </c>
      <c r="K1600" t="s">
        <v>7567</v>
      </c>
      <c r="L1600" t="s">
        <v>32135</v>
      </c>
      <c r="M1600" t="s">
        <v>32144</v>
      </c>
    </row>
    <row r="1601" spans="1:13" x14ac:dyDescent="0.25">
      <c r="A1601" t="s">
        <v>8173</v>
      </c>
      <c r="B1601" t="s">
        <v>13</v>
      </c>
      <c r="C1601" s="1">
        <v>44471</v>
      </c>
      <c r="D1601" t="s">
        <v>32135</v>
      </c>
      <c r="E1601" t="s">
        <v>5777</v>
      </c>
      <c r="F1601" t="s">
        <v>5777</v>
      </c>
      <c r="G1601" t="s">
        <v>8174</v>
      </c>
      <c r="H1601" t="s">
        <v>798</v>
      </c>
      <c r="I1601" t="s">
        <v>19</v>
      </c>
      <c r="J1601" s="3">
        <v>5561993675135</v>
      </c>
      <c r="K1601" t="s">
        <v>8175</v>
      </c>
      <c r="L1601" t="s">
        <v>32135</v>
      </c>
      <c r="M1601" t="s">
        <v>32144</v>
      </c>
    </row>
    <row r="1602" spans="1:13" x14ac:dyDescent="0.25">
      <c r="A1602" t="s">
        <v>19689</v>
      </c>
      <c r="B1602" t="s">
        <v>13</v>
      </c>
      <c r="C1602" s="1">
        <v>43443</v>
      </c>
      <c r="D1602" t="s">
        <v>19690</v>
      </c>
      <c r="E1602" t="s">
        <v>19691</v>
      </c>
      <c r="F1602" t="s">
        <v>3084</v>
      </c>
      <c r="G1602" t="s">
        <v>19692</v>
      </c>
      <c r="H1602" t="s">
        <v>4785</v>
      </c>
      <c r="I1602" t="s">
        <v>19</v>
      </c>
      <c r="J1602" s="3" t="s">
        <v>19693</v>
      </c>
      <c r="K1602" t="s">
        <v>19694</v>
      </c>
      <c r="L1602" t="s">
        <v>19692</v>
      </c>
      <c r="M1602" t="s">
        <v>32144</v>
      </c>
    </row>
    <row r="1603" spans="1:13" x14ac:dyDescent="0.25">
      <c r="A1603" t="s">
        <v>7540</v>
      </c>
      <c r="B1603" t="s">
        <v>101</v>
      </c>
      <c r="C1603" t="s">
        <v>7530</v>
      </c>
      <c r="D1603" t="s">
        <v>32135</v>
      </c>
      <c r="E1603" t="s">
        <v>7541</v>
      </c>
      <c r="F1603" t="s">
        <v>5777</v>
      </c>
      <c r="G1603" t="s">
        <v>7542</v>
      </c>
      <c r="H1603" t="s">
        <v>88</v>
      </c>
      <c r="I1603" t="s">
        <v>19</v>
      </c>
      <c r="J1603" s="3">
        <f>55-84-33425000</f>
        <v>-33425029</v>
      </c>
      <c r="K1603" t="s">
        <v>7543</v>
      </c>
      <c r="L1603" t="s">
        <v>32135</v>
      </c>
      <c r="M1603" t="s">
        <v>32144</v>
      </c>
    </row>
    <row r="1604" spans="1:13" x14ac:dyDescent="0.25">
      <c r="A1604" t="s">
        <v>5775</v>
      </c>
      <c r="B1604" t="s">
        <v>13</v>
      </c>
      <c r="C1604" s="1">
        <v>44327</v>
      </c>
      <c r="D1604" t="s">
        <v>5776</v>
      </c>
      <c r="E1604" s="2" t="s">
        <v>30858</v>
      </c>
      <c r="F1604" t="s">
        <v>5778</v>
      </c>
      <c r="G1604" t="s">
        <v>5779</v>
      </c>
      <c r="H1604" t="s">
        <v>352</v>
      </c>
      <c r="I1604" t="s">
        <v>19</v>
      </c>
      <c r="J1604" s="3" t="s">
        <v>5780</v>
      </c>
      <c r="K1604" t="s">
        <v>5781</v>
      </c>
      <c r="L1604" t="s">
        <v>32135</v>
      </c>
      <c r="M1604" t="s">
        <v>32144</v>
      </c>
    </row>
    <row r="1605" spans="1:13" x14ac:dyDescent="0.25">
      <c r="A1605" t="s">
        <v>27906</v>
      </c>
      <c r="B1605" t="s">
        <v>13</v>
      </c>
      <c r="C1605" t="s">
        <v>23258</v>
      </c>
      <c r="D1605" t="s">
        <v>27907</v>
      </c>
      <c r="E1605" t="s">
        <v>27908</v>
      </c>
      <c r="F1605" t="s">
        <v>3084</v>
      </c>
      <c r="G1605" t="s">
        <v>15122</v>
      </c>
      <c r="H1605" t="s">
        <v>195</v>
      </c>
      <c r="I1605" t="s">
        <v>19</v>
      </c>
      <c r="J1605" s="3" t="s">
        <v>27677</v>
      </c>
      <c r="K1605" t="s">
        <v>15124</v>
      </c>
      <c r="L1605" t="s">
        <v>15125</v>
      </c>
      <c r="M1605" t="s">
        <v>32144</v>
      </c>
    </row>
    <row r="1606" spans="1:13" x14ac:dyDescent="0.25">
      <c r="A1606" t="s">
        <v>18773</v>
      </c>
      <c r="B1606" t="s">
        <v>13</v>
      </c>
      <c r="C1606" t="s">
        <v>7549</v>
      </c>
      <c r="D1606" t="s">
        <v>18774</v>
      </c>
      <c r="E1606" t="s">
        <v>18775</v>
      </c>
      <c r="F1606" t="s">
        <v>3084</v>
      </c>
      <c r="G1606" t="s">
        <v>18776</v>
      </c>
      <c r="H1606" t="s">
        <v>18777</v>
      </c>
      <c r="I1606" t="s">
        <v>19</v>
      </c>
      <c r="J1606" s="3" t="s">
        <v>18778</v>
      </c>
      <c r="K1606" t="s">
        <v>18779</v>
      </c>
      <c r="L1606" t="s">
        <v>5562</v>
      </c>
      <c r="M1606" t="s">
        <v>32144</v>
      </c>
    </row>
    <row r="1607" spans="1:13" x14ac:dyDescent="0.25">
      <c r="A1607" t="s">
        <v>10558</v>
      </c>
      <c r="B1607" t="s">
        <v>13</v>
      </c>
      <c r="C1607" s="1">
        <v>44020</v>
      </c>
      <c r="D1607" t="s">
        <v>10559</v>
      </c>
      <c r="E1607" s="2" t="s">
        <v>30997</v>
      </c>
      <c r="F1607" t="s">
        <v>3084</v>
      </c>
      <c r="G1607" t="s">
        <v>10560</v>
      </c>
      <c r="H1607" t="s">
        <v>936</v>
      </c>
      <c r="I1607" t="s">
        <v>19</v>
      </c>
      <c r="J1607" s="3" t="s">
        <v>10561</v>
      </c>
      <c r="K1607" t="s">
        <v>10562</v>
      </c>
      <c r="L1607" t="s">
        <v>10560</v>
      </c>
      <c r="M1607" t="s">
        <v>32144</v>
      </c>
    </row>
    <row r="1608" spans="1:13" x14ac:dyDescent="0.25">
      <c r="A1608" t="s">
        <v>3333</v>
      </c>
      <c r="B1608" t="s">
        <v>13</v>
      </c>
      <c r="C1608" s="1">
        <v>44319</v>
      </c>
      <c r="D1608" t="s">
        <v>3334</v>
      </c>
      <c r="E1608" s="2" t="s">
        <v>31477</v>
      </c>
      <c r="F1608" t="s">
        <v>3335</v>
      </c>
      <c r="G1608" t="s">
        <v>3336</v>
      </c>
      <c r="H1608" t="s">
        <v>409</v>
      </c>
      <c r="I1608" t="s">
        <v>19</v>
      </c>
      <c r="J1608" s="3" t="s">
        <v>3337</v>
      </c>
      <c r="K1608" t="s">
        <v>3338</v>
      </c>
      <c r="L1608" t="s">
        <v>412</v>
      </c>
      <c r="M1608" t="s">
        <v>57</v>
      </c>
    </row>
    <row r="1609" spans="1:13" x14ac:dyDescent="0.25">
      <c r="A1609" t="s">
        <v>5758</v>
      </c>
      <c r="B1609" t="s">
        <v>13</v>
      </c>
      <c r="C1609" s="1">
        <v>44419</v>
      </c>
      <c r="D1609" t="s">
        <v>32135</v>
      </c>
      <c r="E1609" s="2" t="s">
        <v>30857</v>
      </c>
      <c r="F1609" t="s">
        <v>5759</v>
      </c>
      <c r="G1609" t="s">
        <v>5760</v>
      </c>
      <c r="H1609" t="s">
        <v>409</v>
      </c>
      <c r="I1609" t="s">
        <v>19</v>
      </c>
      <c r="J1609" s="3" t="s">
        <v>5761</v>
      </c>
      <c r="K1609" t="s">
        <v>5762</v>
      </c>
      <c r="L1609" t="s">
        <v>32135</v>
      </c>
      <c r="M1609" t="s">
        <v>792</v>
      </c>
    </row>
    <row r="1610" spans="1:13" x14ac:dyDescent="0.25">
      <c r="A1610" t="s">
        <v>21086</v>
      </c>
      <c r="B1610" t="s">
        <v>13</v>
      </c>
      <c r="C1610" t="s">
        <v>16610</v>
      </c>
      <c r="D1610" t="s">
        <v>21087</v>
      </c>
      <c r="E1610" s="2" t="s">
        <v>31275</v>
      </c>
      <c r="F1610" t="s">
        <v>3084</v>
      </c>
      <c r="G1610" t="s">
        <v>15122</v>
      </c>
      <c r="H1610" t="s">
        <v>195</v>
      </c>
      <c r="I1610" t="s">
        <v>19</v>
      </c>
      <c r="J1610" s="3">
        <f>55-16999859753</f>
        <v>-16999859698</v>
      </c>
      <c r="K1610" t="s">
        <v>15124</v>
      </c>
      <c r="L1610" t="s">
        <v>197</v>
      </c>
      <c r="M1610" t="s">
        <v>32144</v>
      </c>
    </row>
    <row r="1611" spans="1:13" x14ac:dyDescent="0.25">
      <c r="A1611" t="s">
        <v>3790</v>
      </c>
      <c r="B1611" t="s">
        <v>13</v>
      </c>
      <c r="C1611" t="s">
        <v>3780</v>
      </c>
      <c r="D1611" t="s">
        <v>3791</v>
      </c>
      <c r="E1611" t="s">
        <v>3792</v>
      </c>
      <c r="F1611" t="s">
        <v>1109</v>
      </c>
      <c r="G1611" t="s">
        <v>3793</v>
      </c>
      <c r="H1611" t="s">
        <v>36</v>
      </c>
      <c r="I1611" t="s">
        <v>19</v>
      </c>
      <c r="J1611" s="3" t="s">
        <v>3794</v>
      </c>
      <c r="K1611" t="s">
        <v>3795</v>
      </c>
      <c r="L1611" t="s">
        <v>3796</v>
      </c>
      <c r="M1611" t="s">
        <v>32144</v>
      </c>
    </row>
    <row r="1612" spans="1:13" x14ac:dyDescent="0.25">
      <c r="A1612" t="s">
        <v>1282</v>
      </c>
      <c r="B1612" t="s">
        <v>13</v>
      </c>
      <c r="C1612" t="s">
        <v>1283</v>
      </c>
      <c r="D1612" t="s">
        <v>1284</v>
      </c>
      <c r="E1612" t="s">
        <v>1285</v>
      </c>
      <c r="F1612" t="s">
        <v>1109</v>
      </c>
      <c r="G1612" t="s">
        <v>1286</v>
      </c>
      <c r="H1612" t="s">
        <v>36</v>
      </c>
      <c r="I1612" t="s">
        <v>19</v>
      </c>
      <c r="J1612" s="3">
        <f>55-11-30612954</f>
        <v>-30612910</v>
      </c>
      <c r="K1612" t="s">
        <v>1287</v>
      </c>
      <c r="L1612" t="s">
        <v>1288</v>
      </c>
      <c r="M1612" t="s">
        <v>32144</v>
      </c>
    </row>
    <row r="1613" spans="1:13" x14ac:dyDescent="0.25">
      <c r="A1613" t="s">
        <v>7519</v>
      </c>
      <c r="B1613" t="s">
        <v>13</v>
      </c>
      <c r="C1613" t="s">
        <v>7520</v>
      </c>
      <c r="D1613" t="s">
        <v>7521</v>
      </c>
      <c r="E1613" t="s">
        <v>7522</v>
      </c>
      <c r="F1613" t="s">
        <v>4639</v>
      </c>
      <c r="G1613" t="s">
        <v>7523</v>
      </c>
      <c r="H1613" t="s">
        <v>36</v>
      </c>
      <c r="I1613" t="s">
        <v>19</v>
      </c>
      <c r="J1613" s="3">
        <v>551126488053</v>
      </c>
      <c r="K1613" t="s">
        <v>7524</v>
      </c>
      <c r="L1613" t="s">
        <v>3512</v>
      </c>
      <c r="M1613" t="s">
        <v>785</v>
      </c>
    </row>
    <row r="1614" spans="1:13" x14ac:dyDescent="0.25">
      <c r="A1614" t="s">
        <v>7921</v>
      </c>
      <c r="B1614" t="s">
        <v>13</v>
      </c>
      <c r="C1614" t="s">
        <v>2611</v>
      </c>
      <c r="D1614" t="s">
        <v>7922</v>
      </c>
      <c r="E1614" t="s">
        <v>7923</v>
      </c>
      <c r="F1614" t="s">
        <v>1464</v>
      </c>
      <c r="G1614" t="s">
        <v>7924</v>
      </c>
      <c r="H1614" t="s">
        <v>18</v>
      </c>
      <c r="I1614" t="s">
        <v>19</v>
      </c>
      <c r="J1614" s="3">
        <f>55-19-3756-6888</f>
        <v>-10608</v>
      </c>
      <c r="K1614" t="s">
        <v>7925</v>
      </c>
      <c r="L1614" t="s">
        <v>7926</v>
      </c>
      <c r="M1614" t="s">
        <v>32147</v>
      </c>
    </row>
    <row r="1615" spans="1:13" x14ac:dyDescent="0.25">
      <c r="A1615" t="s">
        <v>24283</v>
      </c>
      <c r="B1615" t="s">
        <v>101</v>
      </c>
      <c r="C1615" t="s">
        <v>24278</v>
      </c>
      <c r="D1615" t="s">
        <v>24284</v>
      </c>
      <c r="E1615" t="s">
        <v>24285</v>
      </c>
      <c r="F1615" t="s">
        <v>1464</v>
      </c>
      <c r="G1615" t="s">
        <v>24286</v>
      </c>
      <c r="H1615" t="s">
        <v>927</v>
      </c>
      <c r="I1615" t="s">
        <v>19</v>
      </c>
      <c r="J1615" s="3" t="s">
        <v>24287</v>
      </c>
      <c r="K1615" t="s">
        <v>24288</v>
      </c>
      <c r="L1615" t="s">
        <v>439</v>
      </c>
      <c r="M1615" t="s">
        <v>1775</v>
      </c>
    </row>
    <row r="1616" spans="1:13" x14ac:dyDescent="0.25">
      <c r="A1616" t="s">
        <v>25225</v>
      </c>
      <c r="B1616" t="s">
        <v>13</v>
      </c>
      <c r="C1616" t="s">
        <v>9337</v>
      </c>
      <c r="D1616" t="s">
        <v>25226</v>
      </c>
      <c r="E1616" t="s">
        <v>25227</v>
      </c>
      <c r="F1616" t="s">
        <v>1464</v>
      </c>
      <c r="G1616" t="s">
        <v>25228</v>
      </c>
      <c r="H1616" t="s">
        <v>7772</v>
      </c>
      <c r="I1616" t="s">
        <v>19</v>
      </c>
      <c r="J1616" s="3">
        <v>5516981330826</v>
      </c>
      <c r="K1616" t="s">
        <v>25229</v>
      </c>
      <c r="L1616" t="s">
        <v>25230</v>
      </c>
      <c r="M1616" t="s">
        <v>32144</v>
      </c>
    </row>
    <row r="1617" spans="1:13" x14ac:dyDescent="0.25">
      <c r="A1617" t="s">
        <v>6918</v>
      </c>
      <c r="B1617" t="s">
        <v>13</v>
      </c>
      <c r="C1617" t="s">
        <v>6919</v>
      </c>
      <c r="D1617" t="s">
        <v>6920</v>
      </c>
      <c r="E1617" s="2" t="s">
        <v>30914</v>
      </c>
      <c r="F1617" t="s">
        <v>5126</v>
      </c>
      <c r="G1617" t="s">
        <v>6921</v>
      </c>
      <c r="H1617" t="s">
        <v>36</v>
      </c>
      <c r="I1617" t="s">
        <v>19</v>
      </c>
      <c r="J1617" s="3" t="s">
        <v>6922</v>
      </c>
      <c r="K1617" t="s">
        <v>6923</v>
      </c>
      <c r="L1617" t="s">
        <v>32135</v>
      </c>
      <c r="M1617" t="s">
        <v>1775</v>
      </c>
    </row>
    <row r="1618" spans="1:13" x14ac:dyDescent="0.25">
      <c r="A1618" t="s">
        <v>8768</v>
      </c>
      <c r="B1618" t="s">
        <v>13</v>
      </c>
      <c r="C1618" t="s">
        <v>8769</v>
      </c>
      <c r="D1618" t="s">
        <v>32135</v>
      </c>
      <c r="E1618" s="2" t="s">
        <v>31791</v>
      </c>
      <c r="F1618" t="s">
        <v>8770</v>
      </c>
      <c r="G1618" t="s">
        <v>8771</v>
      </c>
      <c r="H1618" t="s">
        <v>5844</v>
      </c>
      <c r="I1618" t="s">
        <v>19</v>
      </c>
      <c r="J1618" s="3">
        <f>55-19-981014366</f>
        <v>-981014330</v>
      </c>
      <c r="K1618" t="s">
        <v>8772</v>
      </c>
      <c r="L1618" t="s">
        <v>32135</v>
      </c>
      <c r="M1618" t="s">
        <v>337</v>
      </c>
    </row>
    <row r="1619" spans="1:13" x14ac:dyDescent="0.25">
      <c r="A1619" t="s">
        <v>25214</v>
      </c>
      <c r="B1619" t="s">
        <v>13</v>
      </c>
      <c r="C1619" t="s">
        <v>16691</v>
      </c>
      <c r="D1619" t="s">
        <v>25215</v>
      </c>
      <c r="E1619" t="s">
        <v>25216</v>
      </c>
      <c r="F1619" t="s">
        <v>117</v>
      </c>
      <c r="G1619" t="s">
        <v>25217</v>
      </c>
      <c r="H1619" t="s">
        <v>428</v>
      </c>
      <c r="I1619" t="s">
        <v>19</v>
      </c>
      <c r="J1619" s="3">
        <v>555133597621</v>
      </c>
      <c r="K1619" t="s">
        <v>25218</v>
      </c>
      <c r="L1619" t="s">
        <v>9145</v>
      </c>
      <c r="M1619" t="s">
        <v>32145</v>
      </c>
    </row>
    <row r="1620" spans="1:13" x14ac:dyDescent="0.25">
      <c r="A1620" t="s">
        <v>12351</v>
      </c>
      <c r="B1620" t="s">
        <v>13</v>
      </c>
      <c r="C1620" t="s">
        <v>12316</v>
      </c>
      <c r="D1620" t="s">
        <v>12352</v>
      </c>
      <c r="E1620" t="s">
        <v>12353</v>
      </c>
      <c r="F1620" t="s">
        <v>117</v>
      </c>
      <c r="G1620" t="s">
        <v>12354</v>
      </c>
      <c r="H1620" t="s">
        <v>2186</v>
      </c>
      <c r="I1620" t="s">
        <v>19</v>
      </c>
      <c r="J1620" s="3" t="s">
        <v>12355</v>
      </c>
      <c r="K1620" t="s">
        <v>12356</v>
      </c>
      <c r="L1620" t="s">
        <v>12357</v>
      </c>
      <c r="M1620" t="s">
        <v>32145</v>
      </c>
    </row>
    <row r="1621" spans="1:13" x14ac:dyDescent="0.25">
      <c r="A1621" t="s">
        <v>20042</v>
      </c>
      <c r="B1621" t="s">
        <v>13</v>
      </c>
      <c r="C1621" t="s">
        <v>12536</v>
      </c>
      <c r="D1621" t="s">
        <v>20043</v>
      </c>
      <c r="E1621" s="2" t="s">
        <v>31241</v>
      </c>
      <c r="F1621" t="s">
        <v>1464</v>
      </c>
      <c r="G1621" t="s">
        <v>15615</v>
      </c>
      <c r="H1621" t="s">
        <v>472</v>
      </c>
      <c r="I1621" t="s">
        <v>19</v>
      </c>
      <c r="J1621" s="3">
        <f>55813183-3378</f>
        <v>55809805</v>
      </c>
      <c r="K1621" t="s">
        <v>15616</v>
      </c>
      <c r="L1621" t="s">
        <v>1193</v>
      </c>
      <c r="M1621" t="s">
        <v>32145</v>
      </c>
    </row>
    <row r="1622" spans="1:13" x14ac:dyDescent="0.25">
      <c r="A1622" t="s">
        <v>6550</v>
      </c>
      <c r="B1622" t="s">
        <v>13</v>
      </c>
      <c r="C1622" t="s">
        <v>6551</v>
      </c>
      <c r="D1622" t="s">
        <v>32135</v>
      </c>
      <c r="E1622" s="2" t="s">
        <v>32125</v>
      </c>
      <c r="F1622" t="s">
        <v>6552</v>
      </c>
      <c r="G1622" t="s">
        <v>307</v>
      </c>
      <c r="H1622" t="s">
        <v>308</v>
      </c>
      <c r="I1622" t="s">
        <v>309</v>
      </c>
      <c r="J1622" s="3" t="s">
        <v>310</v>
      </c>
      <c r="K1622" t="s">
        <v>311</v>
      </c>
      <c r="L1622" t="s">
        <v>312</v>
      </c>
      <c r="M1622" t="s">
        <v>129</v>
      </c>
    </row>
    <row r="1623" spans="1:13" x14ac:dyDescent="0.25">
      <c r="A1623" t="s">
        <v>14937</v>
      </c>
      <c r="B1623" t="s">
        <v>13</v>
      </c>
      <c r="C1623" t="s">
        <v>6364</v>
      </c>
      <c r="D1623" t="s">
        <v>14938</v>
      </c>
      <c r="E1623" t="s">
        <v>405</v>
      </c>
      <c r="F1623" t="s">
        <v>9519</v>
      </c>
      <c r="G1623" t="s">
        <v>9914</v>
      </c>
      <c r="H1623" t="s">
        <v>472</v>
      </c>
      <c r="I1623" t="s">
        <v>19</v>
      </c>
      <c r="J1623" s="3">
        <v>55081997635971</v>
      </c>
      <c r="K1623" t="s">
        <v>9915</v>
      </c>
      <c r="L1623" t="s">
        <v>2101</v>
      </c>
      <c r="M1623" t="s">
        <v>32145</v>
      </c>
    </row>
    <row r="1624" spans="1:13" x14ac:dyDescent="0.25">
      <c r="A1624" t="s">
        <v>27641</v>
      </c>
      <c r="B1624" t="s">
        <v>13</v>
      </c>
      <c r="C1624" t="s">
        <v>27520</v>
      </c>
      <c r="D1624" t="s">
        <v>27642</v>
      </c>
      <c r="E1624" t="s">
        <v>2402</v>
      </c>
      <c r="F1624" t="s">
        <v>117</v>
      </c>
      <c r="G1624" t="s">
        <v>27643</v>
      </c>
      <c r="H1624" t="s">
        <v>462</v>
      </c>
      <c r="I1624" t="s">
        <v>19</v>
      </c>
      <c r="J1624" s="3" t="s">
        <v>27644</v>
      </c>
      <c r="K1624" t="s">
        <v>27645</v>
      </c>
      <c r="L1624" t="s">
        <v>27646</v>
      </c>
      <c r="M1624" t="s">
        <v>32145</v>
      </c>
    </row>
    <row r="1625" spans="1:13" x14ac:dyDescent="0.25">
      <c r="A1625" t="s">
        <v>26959</v>
      </c>
      <c r="B1625" t="s">
        <v>13</v>
      </c>
      <c r="C1625" s="1">
        <v>42431</v>
      </c>
      <c r="D1625" t="s">
        <v>26960</v>
      </c>
      <c r="E1625" t="s">
        <v>405</v>
      </c>
      <c r="F1625" t="s">
        <v>117</v>
      </c>
      <c r="G1625" t="s">
        <v>26961</v>
      </c>
      <c r="H1625" t="s">
        <v>45</v>
      </c>
      <c r="I1625" t="s">
        <v>19</v>
      </c>
      <c r="J1625" s="3">
        <v>558596927148</v>
      </c>
      <c r="K1625" t="s">
        <v>26962</v>
      </c>
      <c r="L1625" t="s">
        <v>2153</v>
      </c>
      <c r="M1625" t="s">
        <v>32145</v>
      </c>
    </row>
    <row r="1626" spans="1:13" x14ac:dyDescent="0.25">
      <c r="A1626" t="s">
        <v>12460</v>
      </c>
      <c r="B1626" t="s">
        <v>13</v>
      </c>
      <c r="C1626" s="1">
        <v>44016</v>
      </c>
      <c r="D1626" t="s">
        <v>12461</v>
      </c>
      <c r="E1626" t="s">
        <v>263</v>
      </c>
      <c r="F1626" t="s">
        <v>117</v>
      </c>
      <c r="G1626" t="s">
        <v>12462</v>
      </c>
      <c r="H1626" t="s">
        <v>1037</v>
      </c>
      <c r="I1626" t="s">
        <v>19</v>
      </c>
      <c r="J1626" s="3" t="s">
        <v>12463</v>
      </c>
      <c r="K1626" t="s">
        <v>12464</v>
      </c>
      <c r="L1626" t="s">
        <v>1040</v>
      </c>
      <c r="M1626" t="s">
        <v>32145</v>
      </c>
    </row>
    <row r="1627" spans="1:13" x14ac:dyDescent="0.25">
      <c r="A1627" t="s">
        <v>28046</v>
      </c>
      <c r="B1627" t="s">
        <v>13</v>
      </c>
      <c r="C1627" s="1">
        <v>42130</v>
      </c>
      <c r="D1627" t="s">
        <v>28047</v>
      </c>
      <c r="E1627" t="s">
        <v>405</v>
      </c>
      <c r="F1627" t="s">
        <v>306</v>
      </c>
      <c r="G1627" t="s">
        <v>28048</v>
      </c>
      <c r="H1627" t="s">
        <v>706</v>
      </c>
      <c r="I1627" t="s">
        <v>19</v>
      </c>
      <c r="J1627" s="3" t="s">
        <v>28049</v>
      </c>
      <c r="K1627" t="s">
        <v>28050</v>
      </c>
      <c r="L1627" t="s">
        <v>565</v>
      </c>
      <c r="M1627" t="s">
        <v>32145</v>
      </c>
    </row>
    <row r="1628" spans="1:13" x14ac:dyDescent="0.25">
      <c r="A1628" t="s">
        <v>15434</v>
      </c>
      <c r="B1628" t="s">
        <v>13</v>
      </c>
      <c r="C1628" t="s">
        <v>10689</v>
      </c>
      <c r="D1628" t="s">
        <v>15435</v>
      </c>
      <c r="E1628" t="s">
        <v>405</v>
      </c>
      <c r="F1628" t="s">
        <v>306</v>
      </c>
      <c r="G1628" t="s">
        <v>15436</v>
      </c>
      <c r="H1628" t="s">
        <v>2215</v>
      </c>
      <c r="I1628" t="s">
        <v>19</v>
      </c>
      <c r="J1628" s="3">
        <f>55-42-991317751</f>
        <v>-991317738</v>
      </c>
      <c r="K1628" t="s">
        <v>15437</v>
      </c>
      <c r="L1628" t="s">
        <v>2218</v>
      </c>
      <c r="M1628" t="s">
        <v>32145</v>
      </c>
    </row>
    <row r="1629" spans="1:13" x14ac:dyDescent="0.25">
      <c r="A1629" t="s">
        <v>17693</v>
      </c>
      <c r="B1629" t="s">
        <v>13</v>
      </c>
      <c r="C1629" t="s">
        <v>17669</v>
      </c>
      <c r="D1629" t="s">
        <v>17694</v>
      </c>
      <c r="E1629" t="s">
        <v>405</v>
      </c>
      <c r="F1629" t="s">
        <v>1464</v>
      </c>
      <c r="G1629" t="s">
        <v>17695</v>
      </c>
      <c r="H1629" t="s">
        <v>17696</v>
      </c>
      <c r="I1629" t="s">
        <v>19</v>
      </c>
      <c r="J1629" s="3">
        <f>55-14-30266498</f>
        <v>-30266457</v>
      </c>
      <c r="K1629" t="s">
        <v>17697</v>
      </c>
      <c r="L1629" t="s">
        <v>17698</v>
      </c>
      <c r="M1629" t="s">
        <v>32145</v>
      </c>
    </row>
    <row r="1630" spans="1:13" x14ac:dyDescent="0.25">
      <c r="A1630" t="s">
        <v>29455</v>
      </c>
      <c r="B1630" t="s">
        <v>13</v>
      </c>
      <c r="C1630" t="s">
        <v>29453</v>
      </c>
      <c r="D1630" t="s">
        <v>29456</v>
      </c>
      <c r="E1630" t="s">
        <v>405</v>
      </c>
      <c r="F1630" t="s">
        <v>1464</v>
      </c>
      <c r="G1630" t="s">
        <v>29457</v>
      </c>
      <c r="H1630" t="s">
        <v>798</v>
      </c>
      <c r="I1630" t="s">
        <v>19</v>
      </c>
      <c r="J1630" s="3" t="s">
        <v>29458</v>
      </c>
      <c r="K1630" t="s">
        <v>25016</v>
      </c>
      <c r="L1630" t="s">
        <v>29459</v>
      </c>
      <c r="M1630" t="s">
        <v>32145</v>
      </c>
    </row>
    <row r="1631" spans="1:13" x14ac:dyDescent="0.25">
      <c r="A1631" t="s">
        <v>24929</v>
      </c>
      <c r="B1631" t="s">
        <v>13</v>
      </c>
      <c r="C1631" t="s">
        <v>24930</v>
      </c>
      <c r="D1631" t="s">
        <v>24931</v>
      </c>
      <c r="E1631" t="s">
        <v>405</v>
      </c>
      <c r="F1631" t="s">
        <v>1464</v>
      </c>
      <c r="G1631" t="s">
        <v>24932</v>
      </c>
      <c r="H1631" t="s">
        <v>114</v>
      </c>
      <c r="I1631" t="s">
        <v>19</v>
      </c>
      <c r="J1631" s="3" t="s">
        <v>24933</v>
      </c>
      <c r="K1631" t="s">
        <v>24934</v>
      </c>
      <c r="L1631" t="s">
        <v>82</v>
      </c>
      <c r="M1631" t="s">
        <v>32145</v>
      </c>
    </row>
    <row r="1632" spans="1:13" x14ac:dyDescent="0.25">
      <c r="A1632" t="s">
        <v>15613</v>
      </c>
      <c r="B1632" t="s">
        <v>13</v>
      </c>
      <c r="C1632" s="1">
        <v>43748</v>
      </c>
      <c r="D1632" t="s">
        <v>15614</v>
      </c>
      <c r="E1632" t="s">
        <v>405</v>
      </c>
      <c r="F1632" t="s">
        <v>1464</v>
      </c>
      <c r="G1632" t="s">
        <v>15615</v>
      </c>
      <c r="H1632" t="s">
        <v>472</v>
      </c>
      <c r="I1632" t="s">
        <v>19</v>
      </c>
      <c r="J1632" s="3">
        <f>55813183-3378</f>
        <v>55809805</v>
      </c>
      <c r="K1632" t="s">
        <v>15616</v>
      </c>
      <c r="L1632" t="s">
        <v>1193</v>
      </c>
      <c r="M1632" t="s">
        <v>32145</v>
      </c>
    </row>
    <row r="1633" spans="1:13" x14ac:dyDescent="0.25">
      <c r="A1633" t="s">
        <v>1512</v>
      </c>
      <c r="B1633" t="s">
        <v>13</v>
      </c>
      <c r="C1633" t="s">
        <v>1513</v>
      </c>
      <c r="D1633" t="s">
        <v>1514</v>
      </c>
      <c r="E1633" t="s">
        <v>263</v>
      </c>
      <c r="F1633" t="s">
        <v>1515</v>
      </c>
      <c r="G1633" t="s">
        <v>768</v>
      </c>
      <c r="H1633" t="s">
        <v>265</v>
      </c>
      <c r="I1633" t="s">
        <v>19</v>
      </c>
      <c r="J1633" s="3">
        <v>551636022477</v>
      </c>
      <c r="K1633" t="s">
        <v>769</v>
      </c>
      <c r="L1633" t="s">
        <v>770</v>
      </c>
      <c r="M1633" t="s">
        <v>32145</v>
      </c>
    </row>
    <row r="1634" spans="1:13" x14ac:dyDescent="0.25">
      <c r="A1634" t="s">
        <v>18851</v>
      </c>
      <c r="B1634" t="s">
        <v>13</v>
      </c>
      <c r="C1634" s="1">
        <v>43263</v>
      </c>
      <c r="D1634" t="s">
        <v>18852</v>
      </c>
      <c r="E1634" t="s">
        <v>31138</v>
      </c>
      <c r="F1634" t="s">
        <v>306</v>
      </c>
      <c r="G1634" t="s">
        <v>18759</v>
      </c>
      <c r="H1634" t="s">
        <v>18853</v>
      </c>
      <c r="I1634" t="s">
        <v>19</v>
      </c>
      <c r="J1634" s="3">
        <f>55-61-31078903</f>
        <v>-31078909</v>
      </c>
      <c r="K1634" t="s">
        <v>18854</v>
      </c>
      <c r="L1634" t="s">
        <v>18855</v>
      </c>
      <c r="M1634" t="s">
        <v>32145</v>
      </c>
    </row>
    <row r="1635" spans="1:13" x14ac:dyDescent="0.25">
      <c r="A1635" t="s">
        <v>18866</v>
      </c>
      <c r="B1635" t="s">
        <v>13</v>
      </c>
      <c r="C1635" s="1">
        <v>43232</v>
      </c>
      <c r="D1635" t="s">
        <v>18867</v>
      </c>
      <c r="E1635" t="s">
        <v>31138</v>
      </c>
      <c r="F1635" t="s">
        <v>306</v>
      </c>
      <c r="G1635" t="s">
        <v>18759</v>
      </c>
      <c r="H1635" t="s">
        <v>7504</v>
      </c>
      <c r="I1635" t="s">
        <v>19</v>
      </c>
      <c r="J1635" s="3" t="s">
        <v>18760</v>
      </c>
      <c r="K1635" t="s">
        <v>18761</v>
      </c>
      <c r="L1635" t="s">
        <v>4378</v>
      </c>
      <c r="M1635" t="s">
        <v>32145</v>
      </c>
    </row>
    <row r="1636" spans="1:13" x14ac:dyDescent="0.25">
      <c r="A1636" t="s">
        <v>26374</v>
      </c>
      <c r="B1636" t="s">
        <v>13</v>
      </c>
      <c r="C1636" s="1">
        <v>42465</v>
      </c>
      <c r="D1636" t="s">
        <v>26375</v>
      </c>
      <c r="E1636" t="s">
        <v>26376</v>
      </c>
      <c r="F1636" t="s">
        <v>306</v>
      </c>
      <c r="G1636" t="s">
        <v>26377</v>
      </c>
      <c r="H1636" t="s">
        <v>2598</v>
      </c>
      <c r="I1636" t="s">
        <v>19</v>
      </c>
      <c r="J1636" s="3" t="s">
        <v>26378</v>
      </c>
      <c r="K1636" t="s">
        <v>26379</v>
      </c>
      <c r="L1636" t="s">
        <v>26380</v>
      </c>
      <c r="M1636" t="s">
        <v>32183</v>
      </c>
    </row>
    <row r="1637" spans="1:13" x14ac:dyDescent="0.25">
      <c r="A1637" t="s">
        <v>13950</v>
      </c>
      <c r="B1637" t="s">
        <v>13</v>
      </c>
      <c r="C1637" t="s">
        <v>12548</v>
      </c>
      <c r="D1637" t="s">
        <v>13951</v>
      </c>
      <c r="E1637" t="s">
        <v>13952</v>
      </c>
      <c r="F1637" t="s">
        <v>117</v>
      </c>
      <c r="G1637" t="s">
        <v>13953</v>
      </c>
      <c r="H1637" t="s">
        <v>36</v>
      </c>
      <c r="I1637" t="s">
        <v>19</v>
      </c>
      <c r="J1637" s="3">
        <f>55112711-298</f>
        <v>55112413</v>
      </c>
      <c r="K1637" t="s">
        <v>13954</v>
      </c>
      <c r="L1637" t="s">
        <v>13955</v>
      </c>
      <c r="M1637" t="s">
        <v>32145</v>
      </c>
    </row>
    <row r="1638" spans="1:13" x14ac:dyDescent="0.25">
      <c r="A1638" t="s">
        <v>40</v>
      </c>
      <c r="B1638" t="s">
        <v>13</v>
      </c>
      <c r="C1638" s="1">
        <v>44987</v>
      </c>
      <c r="D1638" t="s">
        <v>41</v>
      </c>
      <c r="E1638" t="s">
        <v>42</v>
      </c>
      <c r="F1638" t="s">
        <v>43</v>
      </c>
      <c r="G1638" t="s">
        <v>44</v>
      </c>
      <c r="H1638" t="s">
        <v>45</v>
      </c>
      <c r="I1638" t="s">
        <v>19</v>
      </c>
      <c r="J1638" s="3" t="s">
        <v>46</v>
      </c>
      <c r="K1638" t="s">
        <v>47</v>
      </c>
      <c r="L1638" t="s">
        <v>48</v>
      </c>
      <c r="M1638" t="s">
        <v>32145</v>
      </c>
    </row>
    <row r="1639" spans="1:13" x14ac:dyDescent="0.25">
      <c r="A1639" t="s">
        <v>17467</v>
      </c>
      <c r="B1639" t="s">
        <v>13</v>
      </c>
      <c r="C1639" s="1">
        <v>43530</v>
      </c>
      <c r="D1639" t="s">
        <v>17468</v>
      </c>
      <c r="E1639" s="2" t="s">
        <v>31178</v>
      </c>
      <c r="F1639" t="s">
        <v>9519</v>
      </c>
      <c r="G1639" t="s">
        <v>17469</v>
      </c>
      <c r="H1639" t="s">
        <v>45</v>
      </c>
      <c r="I1639" t="s">
        <v>19</v>
      </c>
      <c r="J1639" s="3" t="s">
        <v>17470</v>
      </c>
      <c r="K1639" t="s">
        <v>17471</v>
      </c>
      <c r="L1639" t="s">
        <v>48</v>
      </c>
      <c r="M1639" t="s">
        <v>32145</v>
      </c>
    </row>
    <row r="1640" spans="1:13" x14ac:dyDescent="0.25">
      <c r="A1640" t="s">
        <v>5213</v>
      </c>
      <c r="B1640" t="s">
        <v>13</v>
      </c>
      <c r="C1640" t="s">
        <v>5214</v>
      </c>
      <c r="D1640" t="s">
        <v>5215</v>
      </c>
      <c r="E1640" t="s">
        <v>5216</v>
      </c>
      <c r="F1640" t="s">
        <v>405</v>
      </c>
      <c r="G1640" t="s">
        <v>5217</v>
      </c>
      <c r="H1640" t="s">
        <v>615</v>
      </c>
      <c r="I1640" t="s">
        <v>19</v>
      </c>
      <c r="J1640" s="3" t="s">
        <v>5218</v>
      </c>
      <c r="K1640" t="s">
        <v>32135</v>
      </c>
      <c r="L1640" t="s">
        <v>32135</v>
      </c>
      <c r="M1640" t="s">
        <v>32145</v>
      </c>
    </row>
    <row r="1641" spans="1:13" x14ac:dyDescent="0.25">
      <c r="A1641" t="s">
        <v>433</v>
      </c>
      <c r="B1641" t="s">
        <v>13</v>
      </c>
      <c r="C1641" t="s">
        <v>423</v>
      </c>
      <c r="D1641" t="s">
        <v>434</v>
      </c>
      <c r="E1641" t="s">
        <v>435</v>
      </c>
      <c r="F1641" t="s">
        <v>263</v>
      </c>
      <c r="G1641" t="s">
        <v>436</v>
      </c>
      <c r="H1641" t="s">
        <v>36</v>
      </c>
      <c r="I1641" t="s">
        <v>19</v>
      </c>
      <c r="J1641" s="3" t="s">
        <v>437</v>
      </c>
      <c r="K1641" t="s">
        <v>438</v>
      </c>
      <c r="L1641" t="s">
        <v>439</v>
      </c>
      <c r="M1641" t="s">
        <v>32145</v>
      </c>
    </row>
    <row r="1642" spans="1:13" x14ac:dyDescent="0.25">
      <c r="A1642" t="s">
        <v>30458</v>
      </c>
      <c r="B1642" t="s">
        <v>13</v>
      </c>
      <c r="C1642" s="1">
        <v>41000</v>
      </c>
      <c r="D1642" t="s">
        <v>30459</v>
      </c>
      <c r="E1642" t="s">
        <v>15259</v>
      </c>
      <c r="F1642" t="s">
        <v>9519</v>
      </c>
      <c r="G1642" t="s">
        <v>30460</v>
      </c>
      <c r="H1642" t="s">
        <v>30461</v>
      </c>
      <c r="I1642" t="s">
        <v>19</v>
      </c>
      <c r="J1642" s="3" t="s">
        <v>30462</v>
      </c>
      <c r="K1642" t="s">
        <v>30463</v>
      </c>
      <c r="L1642" t="s">
        <v>625</v>
      </c>
      <c r="M1642" t="s">
        <v>32145</v>
      </c>
    </row>
    <row r="1643" spans="1:13" x14ac:dyDescent="0.25">
      <c r="A1643" t="s">
        <v>22358</v>
      </c>
      <c r="B1643" t="s">
        <v>13</v>
      </c>
      <c r="C1643" s="1">
        <v>43102</v>
      </c>
      <c r="D1643" t="s">
        <v>22359</v>
      </c>
      <c r="E1643" t="s">
        <v>15259</v>
      </c>
      <c r="F1643" t="s">
        <v>9519</v>
      </c>
      <c r="G1643" t="s">
        <v>22360</v>
      </c>
      <c r="H1643" t="s">
        <v>472</v>
      </c>
      <c r="I1643" t="s">
        <v>19</v>
      </c>
      <c r="J1643" s="3">
        <f>55-81-21268567</f>
        <v>-21268593</v>
      </c>
      <c r="K1643" t="s">
        <v>22361</v>
      </c>
      <c r="L1643" t="s">
        <v>2101</v>
      </c>
      <c r="M1643" t="s">
        <v>32145</v>
      </c>
    </row>
    <row r="1644" spans="1:13" x14ac:dyDescent="0.25">
      <c r="A1644" t="s">
        <v>19265</v>
      </c>
      <c r="B1644" t="s">
        <v>13</v>
      </c>
      <c r="C1644" t="s">
        <v>11467</v>
      </c>
      <c r="D1644" t="s">
        <v>19266</v>
      </c>
      <c r="E1644" t="s">
        <v>15259</v>
      </c>
      <c r="F1644" t="s">
        <v>9519</v>
      </c>
      <c r="G1644" t="s">
        <v>19267</v>
      </c>
      <c r="H1644" t="s">
        <v>18</v>
      </c>
      <c r="I1644" t="s">
        <v>19</v>
      </c>
      <c r="J1644" s="3">
        <f>55-19-982793558</f>
        <v>-982793522</v>
      </c>
      <c r="K1644" t="s">
        <v>8824</v>
      </c>
      <c r="L1644" t="s">
        <v>285</v>
      </c>
      <c r="M1644" t="s">
        <v>32145</v>
      </c>
    </row>
    <row r="1645" spans="1:13" x14ac:dyDescent="0.25">
      <c r="A1645" t="s">
        <v>28438</v>
      </c>
      <c r="B1645" t="s">
        <v>13</v>
      </c>
      <c r="C1645" t="s">
        <v>21712</v>
      </c>
      <c r="D1645" t="s">
        <v>28439</v>
      </c>
      <c r="E1645" t="s">
        <v>15259</v>
      </c>
      <c r="F1645" t="s">
        <v>117</v>
      </c>
      <c r="G1645" t="s">
        <v>28139</v>
      </c>
      <c r="H1645" t="s">
        <v>462</v>
      </c>
      <c r="I1645" t="s">
        <v>19</v>
      </c>
      <c r="J1645" s="3" t="s">
        <v>28140</v>
      </c>
      <c r="K1645" t="s">
        <v>28141</v>
      </c>
      <c r="L1645" t="s">
        <v>904</v>
      </c>
      <c r="M1645" t="s">
        <v>32145</v>
      </c>
    </row>
    <row r="1646" spans="1:13" x14ac:dyDescent="0.25">
      <c r="A1646" t="s">
        <v>1792</v>
      </c>
      <c r="B1646" t="s">
        <v>13</v>
      </c>
      <c r="C1646" s="1">
        <v>44752</v>
      </c>
      <c r="D1646" t="s">
        <v>1793</v>
      </c>
      <c r="E1646" t="s">
        <v>435</v>
      </c>
      <c r="F1646" t="s">
        <v>86</v>
      </c>
      <c r="G1646" t="s">
        <v>1794</v>
      </c>
      <c r="H1646" t="s">
        <v>798</v>
      </c>
      <c r="I1646" t="s">
        <v>19</v>
      </c>
      <c r="J1646" s="3" t="s">
        <v>1795</v>
      </c>
      <c r="K1646" t="s">
        <v>1796</v>
      </c>
      <c r="L1646" t="s">
        <v>1767</v>
      </c>
      <c r="M1646" t="s">
        <v>32145</v>
      </c>
    </row>
    <row r="1647" spans="1:13" x14ac:dyDescent="0.25">
      <c r="A1647" t="s">
        <v>29685</v>
      </c>
      <c r="B1647" t="s">
        <v>13</v>
      </c>
      <c r="C1647" t="s">
        <v>29686</v>
      </c>
      <c r="D1647" t="s">
        <v>29687</v>
      </c>
      <c r="E1647" t="s">
        <v>5216</v>
      </c>
      <c r="F1647" t="s">
        <v>1464</v>
      </c>
      <c r="G1647" t="s">
        <v>29688</v>
      </c>
      <c r="H1647" t="s">
        <v>29689</v>
      </c>
      <c r="I1647" t="s">
        <v>19</v>
      </c>
      <c r="J1647" s="3" t="s">
        <v>29690</v>
      </c>
      <c r="K1647" t="s">
        <v>29691</v>
      </c>
      <c r="L1647" t="s">
        <v>29688</v>
      </c>
      <c r="M1647" t="s">
        <v>32145</v>
      </c>
    </row>
    <row r="1648" spans="1:13" x14ac:dyDescent="0.25">
      <c r="A1648" t="s">
        <v>15678</v>
      </c>
      <c r="B1648" t="s">
        <v>13</v>
      </c>
      <c r="C1648" s="1">
        <v>43687</v>
      </c>
      <c r="D1648" t="s">
        <v>15679</v>
      </c>
      <c r="E1648" t="s">
        <v>15259</v>
      </c>
      <c r="G1648" t="s">
        <v>15680</v>
      </c>
      <c r="H1648" t="s">
        <v>11685</v>
      </c>
      <c r="I1648" t="s">
        <v>19</v>
      </c>
      <c r="J1648" s="3" t="s">
        <v>15681</v>
      </c>
      <c r="K1648" t="s">
        <v>15682</v>
      </c>
      <c r="L1648" t="s">
        <v>15683</v>
      </c>
      <c r="M1648" t="s">
        <v>32145</v>
      </c>
    </row>
    <row r="1649" spans="1:13" x14ac:dyDescent="0.25">
      <c r="A1649" t="s">
        <v>22613</v>
      </c>
      <c r="B1649" t="s">
        <v>13</v>
      </c>
      <c r="C1649" s="1">
        <v>43374</v>
      </c>
      <c r="D1649" t="s">
        <v>22614</v>
      </c>
      <c r="E1649" t="s">
        <v>22615</v>
      </c>
      <c r="F1649" t="s">
        <v>117</v>
      </c>
      <c r="G1649" t="s">
        <v>12845</v>
      </c>
      <c r="H1649" t="s">
        <v>472</v>
      </c>
      <c r="I1649" t="s">
        <v>19</v>
      </c>
      <c r="J1649" s="3" t="s">
        <v>22616</v>
      </c>
      <c r="K1649" t="s">
        <v>9915</v>
      </c>
      <c r="L1649" t="s">
        <v>2101</v>
      </c>
      <c r="M1649" t="s">
        <v>32145</v>
      </c>
    </row>
    <row r="1650" spans="1:13" x14ac:dyDescent="0.25">
      <c r="A1650" t="s">
        <v>25382</v>
      </c>
      <c r="B1650" t="s">
        <v>13</v>
      </c>
      <c r="C1650" t="s">
        <v>25380</v>
      </c>
      <c r="D1650" t="s">
        <v>25383</v>
      </c>
      <c r="E1650" t="s">
        <v>25384</v>
      </c>
      <c r="F1650" t="s">
        <v>306</v>
      </c>
      <c r="G1650" t="s">
        <v>25385</v>
      </c>
      <c r="H1650" t="s">
        <v>472</v>
      </c>
      <c r="I1650" t="s">
        <v>19</v>
      </c>
      <c r="J1650" s="3" t="s">
        <v>25386</v>
      </c>
      <c r="K1650" t="s">
        <v>25387</v>
      </c>
      <c r="L1650" t="s">
        <v>23006</v>
      </c>
      <c r="M1650" t="s">
        <v>32145</v>
      </c>
    </row>
    <row r="1651" spans="1:13" x14ac:dyDescent="0.25">
      <c r="A1651" t="s">
        <v>27897</v>
      </c>
      <c r="B1651" t="s">
        <v>13</v>
      </c>
      <c r="C1651" t="s">
        <v>27892</v>
      </c>
      <c r="D1651" t="s">
        <v>27898</v>
      </c>
      <c r="E1651" t="s">
        <v>27899</v>
      </c>
      <c r="F1651" t="s">
        <v>9519</v>
      </c>
      <c r="G1651" t="s">
        <v>27900</v>
      </c>
      <c r="H1651" t="s">
        <v>472</v>
      </c>
      <c r="I1651" t="s">
        <v>19</v>
      </c>
      <c r="J1651" s="3" t="s">
        <v>27901</v>
      </c>
      <c r="K1651" t="s">
        <v>27902</v>
      </c>
      <c r="L1651" t="s">
        <v>27903</v>
      </c>
      <c r="M1651" t="s">
        <v>32145</v>
      </c>
    </row>
    <row r="1652" spans="1:13" x14ac:dyDescent="0.25">
      <c r="A1652" t="s">
        <v>6714</v>
      </c>
      <c r="B1652" t="s">
        <v>13</v>
      </c>
      <c r="C1652" s="1">
        <v>42705</v>
      </c>
      <c r="D1652" t="s">
        <v>6715</v>
      </c>
      <c r="E1652" t="s">
        <v>6716</v>
      </c>
      <c r="F1652" t="s">
        <v>306</v>
      </c>
      <c r="G1652" t="s">
        <v>3286</v>
      </c>
      <c r="H1652" t="s">
        <v>18</v>
      </c>
      <c r="I1652" t="s">
        <v>19</v>
      </c>
      <c r="J1652" s="3" t="s">
        <v>6717</v>
      </c>
      <c r="K1652" t="s">
        <v>6718</v>
      </c>
      <c r="L1652" t="s">
        <v>6719</v>
      </c>
      <c r="M1652" t="s">
        <v>32145</v>
      </c>
    </row>
    <row r="1653" spans="1:13" x14ac:dyDescent="0.25">
      <c r="A1653" t="s">
        <v>22847</v>
      </c>
      <c r="B1653" t="s">
        <v>13</v>
      </c>
      <c r="C1653" s="1">
        <v>43051</v>
      </c>
      <c r="D1653" t="s">
        <v>22848</v>
      </c>
      <c r="E1653" s="2" t="s">
        <v>32302</v>
      </c>
      <c r="F1653" t="s">
        <v>306</v>
      </c>
      <c r="G1653" t="s">
        <v>22849</v>
      </c>
      <c r="H1653" t="s">
        <v>22850</v>
      </c>
      <c r="I1653" t="s">
        <v>19</v>
      </c>
      <c r="J1653" s="3">
        <f>55-21999643042</f>
        <v>-21999642987</v>
      </c>
      <c r="K1653" t="s">
        <v>22851</v>
      </c>
      <c r="L1653" t="s">
        <v>108</v>
      </c>
      <c r="M1653" t="s">
        <v>32145</v>
      </c>
    </row>
    <row r="1654" spans="1:13" x14ac:dyDescent="0.25">
      <c r="A1654" t="s">
        <v>19029</v>
      </c>
      <c r="B1654" t="s">
        <v>13</v>
      </c>
      <c r="C1654" s="1">
        <v>42047</v>
      </c>
      <c r="D1654" t="s">
        <v>19030</v>
      </c>
      <c r="E1654" t="s">
        <v>19031</v>
      </c>
      <c r="F1654" t="s">
        <v>9519</v>
      </c>
      <c r="G1654" t="s">
        <v>19032</v>
      </c>
      <c r="H1654" t="s">
        <v>195</v>
      </c>
      <c r="I1654" t="s">
        <v>19</v>
      </c>
      <c r="J1654" s="3">
        <v>5516988222747</v>
      </c>
      <c r="K1654" t="s">
        <v>19033</v>
      </c>
      <c r="L1654" t="s">
        <v>19034</v>
      </c>
      <c r="M1654" t="s">
        <v>32145</v>
      </c>
    </row>
    <row r="1655" spans="1:13" x14ac:dyDescent="0.25">
      <c r="A1655" t="s">
        <v>21214</v>
      </c>
      <c r="B1655" t="s">
        <v>13</v>
      </c>
      <c r="C1655" t="s">
        <v>21215</v>
      </c>
      <c r="D1655" t="s">
        <v>21216</v>
      </c>
      <c r="E1655" t="s">
        <v>32773</v>
      </c>
      <c r="F1655" t="s">
        <v>117</v>
      </c>
      <c r="G1655" t="s">
        <v>21217</v>
      </c>
      <c r="H1655" t="s">
        <v>18178</v>
      </c>
      <c r="I1655" t="s">
        <v>19</v>
      </c>
      <c r="J1655" s="3">
        <f>55-85-999258736</f>
        <v>-999258766</v>
      </c>
      <c r="K1655" t="s">
        <v>21218</v>
      </c>
      <c r="L1655" t="s">
        <v>74</v>
      </c>
      <c r="M1655" t="s">
        <v>32145</v>
      </c>
    </row>
    <row r="1656" spans="1:13" x14ac:dyDescent="0.25">
      <c r="A1656" t="s">
        <v>16347</v>
      </c>
      <c r="B1656" t="s">
        <v>13</v>
      </c>
      <c r="C1656" t="s">
        <v>16348</v>
      </c>
      <c r="D1656" t="s">
        <v>16349</v>
      </c>
      <c r="E1656" s="2" t="s">
        <v>31509</v>
      </c>
      <c r="F1656" t="s">
        <v>2947</v>
      </c>
      <c r="G1656" t="s">
        <v>16350</v>
      </c>
      <c r="H1656" t="s">
        <v>255</v>
      </c>
      <c r="I1656" t="s">
        <v>19</v>
      </c>
      <c r="J1656" s="3">
        <v>5506235211105</v>
      </c>
      <c r="K1656" t="s">
        <v>16351</v>
      </c>
      <c r="L1656" t="s">
        <v>2467</v>
      </c>
      <c r="M1656" t="s">
        <v>32145</v>
      </c>
    </row>
    <row r="1657" spans="1:13" x14ac:dyDescent="0.25">
      <c r="A1657" t="s">
        <v>8410</v>
      </c>
      <c r="B1657" t="s">
        <v>13</v>
      </c>
      <c r="C1657" s="1">
        <v>44198</v>
      </c>
      <c r="D1657" t="s">
        <v>8411</v>
      </c>
      <c r="E1657" s="2" t="s">
        <v>31401</v>
      </c>
      <c r="F1657" t="s">
        <v>8412</v>
      </c>
      <c r="G1657" t="s">
        <v>8413</v>
      </c>
      <c r="H1657" t="s">
        <v>706</v>
      </c>
      <c r="I1657" t="s">
        <v>19</v>
      </c>
      <c r="J1657" s="3" t="s">
        <v>8414</v>
      </c>
      <c r="K1657" t="s">
        <v>8415</v>
      </c>
      <c r="L1657" t="s">
        <v>32135</v>
      </c>
      <c r="M1657" t="s">
        <v>32145</v>
      </c>
    </row>
    <row r="1658" spans="1:13" x14ac:dyDescent="0.25">
      <c r="A1658" t="s">
        <v>27864</v>
      </c>
      <c r="B1658" t="s">
        <v>13</v>
      </c>
      <c r="C1658" s="1">
        <v>42192</v>
      </c>
      <c r="D1658" t="s">
        <v>27865</v>
      </c>
      <c r="E1658" t="s">
        <v>27866</v>
      </c>
      <c r="F1658" t="s">
        <v>117</v>
      </c>
      <c r="G1658" t="s">
        <v>27867</v>
      </c>
      <c r="H1658" t="s">
        <v>265</v>
      </c>
      <c r="I1658" t="s">
        <v>19</v>
      </c>
      <c r="J1658" s="3" t="s">
        <v>27868</v>
      </c>
      <c r="K1658" t="s">
        <v>15607</v>
      </c>
      <c r="L1658" t="s">
        <v>18956</v>
      </c>
      <c r="M1658" t="s">
        <v>32145</v>
      </c>
    </row>
    <row r="1659" spans="1:13" x14ac:dyDescent="0.25">
      <c r="A1659" t="s">
        <v>26208</v>
      </c>
      <c r="B1659" t="s">
        <v>13</v>
      </c>
      <c r="C1659" t="s">
        <v>26202</v>
      </c>
      <c r="D1659" t="s">
        <v>26209</v>
      </c>
      <c r="E1659" t="s">
        <v>32303</v>
      </c>
      <c r="F1659" t="s">
        <v>9519</v>
      </c>
      <c r="G1659" t="s">
        <v>9520</v>
      </c>
      <c r="H1659" t="s">
        <v>352</v>
      </c>
      <c r="I1659" t="s">
        <v>19</v>
      </c>
      <c r="J1659" s="3" t="s">
        <v>9521</v>
      </c>
      <c r="K1659" t="s">
        <v>9522</v>
      </c>
      <c r="L1659" t="s">
        <v>9523</v>
      </c>
      <c r="M1659" t="s">
        <v>32145</v>
      </c>
    </row>
    <row r="1660" spans="1:13" x14ac:dyDescent="0.25">
      <c r="A1660" t="s">
        <v>28100</v>
      </c>
      <c r="B1660" t="s">
        <v>13</v>
      </c>
      <c r="C1660" s="1">
        <v>42010</v>
      </c>
      <c r="D1660" t="s">
        <v>28101</v>
      </c>
      <c r="E1660" t="s">
        <v>28102</v>
      </c>
      <c r="F1660" t="s">
        <v>9519</v>
      </c>
      <c r="G1660" t="s">
        <v>28103</v>
      </c>
      <c r="H1660" t="s">
        <v>1466</v>
      </c>
      <c r="I1660" t="s">
        <v>19</v>
      </c>
      <c r="J1660" s="3" t="s">
        <v>17607</v>
      </c>
      <c r="K1660" t="s">
        <v>28104</v>
      </c>
      <c r="L1660" t="s">
        <v>1469</v>
      </c>
      <c r="M1660" t="s">
        <v>32145</v>
      </c>
    </row>
    <row r="1661" spans="1:13" x14ac:dyDescent="0.25">
      <c r="A1661" t="s">
        <v>23219</v>
      </c>
      <c r="B1661" t="s">
        <v>13</v>
      </c>
      <c r="C1661" t="s">
        <v>12593</v>
      </c>
      <c r="D1661" t="s">
        <v>23220</v>
      </c>
      <c r="E1661" t="s">
        <v>23221</v>
      </c>
      <c r="F1661" t="s">
        <v>9519</v>
      </c>
      <c r="G1661" t="s">
        <v>23222</v>
      </c>
      <c r="H1661" t="s">
        <v>45</v>
      </c>
      <c r="I1661" t="s">
        <v>19</v>
      </c>
      <c r="J1661" s="3">
        <v>5585999583546</v>
      </c>
      <c r="K1661" t="s">
        <v>23223</v>
      </c>
      <c r="L1661" t="s">
        <v>2153</v>
      </c>
      <c r="M1661" t="s">
        <v>32145</v>
      </c>
    </row>
    <row r="1662" spans="1:13" x14ac:dyDescent="0.25">
      <c r="A1662" t="s">
        <v>28538</v>
      </c>
      <c r="B1662" t="s">
        <v>13</v>
      </c>
      <c r="C1662" t="s">
        <v>28533</v>
      </c>
      <c r="D1662" t="s">
        <v>28539</v>
      </c>
      <c r="E1662" t="s">
        <v>28540</v>
      </c>
      <c r="F1662" t="s">
        <v>117</v>
      </c>
      <c r="G1662" t="s">
        <v>28541</v>
      </c>
      <c r="H1662" t="s">
        <v>1466</v>
      </c>
      <c r="I1662" t="s">
        <v>19</v>
      </c>
      <c r="J1662" s="3" t="s">
        <v>28542</v>
      </c>
      <c r="K1662" t="s">
        <v>24883</v>
      </c>
      <c r="L1662" t="s">
        <v>1469</v>
      </c>
      <c r="M1662" t="s">
        <v>32145</v>
      </c>
    </row>
    <row r="1663" spans="1:13" x14ac:dyDescent="0.25">
      <c r="A1663" t="s">
        <v>15768</v>
      </c>
      <c r="B1663" t="s">
        <v>13</v>
      </c>
      <c r="C1663" s="1">
        <v>43534</v>
      </c>
      <c r="D1663" t="s">
        <v>15769</v>
      </c>
      <c r="E1663" s="2" t="s">
        <v>31138</v>
      </c>
      <c r="F1663" t="s">
        <v>2758</v>
      </c>
      <c r="G1663" t="s">
        <v>15770</v>
      </c>
      <c r="H1663" t="s">
        <v>6091</v>
      </c>
      <c r="I1663" t="s">
        <v>19</v>
      </c>
      <c r="J1663" s="3">
        <f>55-99-981476060</f>
        <v>-981476104</v>
      </c>
      <c r="K1663" t="s">
        <v>15771</v>
      </c>
      <c r="L1663" t="s">
        <v>15772</v>
      </c>
      <c r="M1663" t="s">
        <v>32149</v>
      </c>
    </row>
    <row r="1664" spans="1:13" x14ac:dyDescent="0.25">
      <c r="A1664" t="s">
        <v>19775</v>
      </c>
      <c r="B1664" t="s">
        <v>101</v>
      </c>
      <c r="C1664" s="1">
        <v>43229</v>
      </c>
      <c r="D1664" t="s">
        <v>19776</v>
      </c>
      <c r="E1664" s="2" t="s">
        <v>31780</v>
      </c>
      <c r="F1664" t="s">
        <v>1464</v>
      </c>
      <c r="G1664" t="s">
        <v>19777</v>
      </c>
      <c r="H1664" t="s">
        <v>1047</v>
      </c>
      <c r="I1664" t="s">
        <v>19</v>
      </c>
      <c r="J1664" s="3">
        <f>55-27-992534941</f>
        <v>-992534913</v>
      </c>
      <c r="K1664" t="s">
        <v>19778</v>
      </c>
      <c r="L1664" t="s">
        <v>19779</v>
      </c>
      <c r="M1664" t="s">
        <v>32145</v>
      </c>
    </row>
    <row r="1665" spans="1:13" x14ac:dyDescent="0.25">
      <c r="A1665" t="s">
        <v>880</v>
      </c>
      <c r="B1665" t="s">
        <v>13</v>
      </c>
      <c r="C1665" t="s">
        <v>881</v>
      </c>
      <c r="D1665" t="s">
        <v>882</v>
      </c>
      <c r="E1665" s="2" t="s">
        <v>30692</v>
      </c>
      <c r="F1665" t="s">
        <v>883</v>
      </c>
      <c r="G1665" t="s">
        <v>884</v>
      </c>
      <c r="H1665" t="s">
        <v>885</v>
      </c>
      <c r="I1665" t="s">
        <v>19</v>
      </c>
      <c r="J1665" s="3" t="s">
        <v>886</v>
      </c>
      <c r="K1665" t="s">
        <v>887</v>
      </c>
      <c r="L1665" t="s">
        <v>439</v>
      </c>
      <c r="M1665" t="s">
        <v>32145</v>
      </c>
    </row>
    <row r="1666" spans="1:13" x14ac:dyDescent="0.25">
      <c r="A1666" t="s">
        <v>7987</v>
      </c>
      <c r="B1666" t="s">
        <v>13</v>
      </c>
      <c r="C1666" t="s">
        <v>7975</v>
      </c>
      <c r="D1666" t="s">
        <v>32135</v>
      </c>
      <c r="E1666" s="2" t="s">
        <v>32092</v>
      </c>
      <c r="F1666" t="s">
        <v>345</v>
      </c>
      <c r="G1666" t="s">
        <v>408</v>
      </c>
      <c r="H1666" t="s">
        <v>409</v>
      </c>
      <c r="I1666" t="s">
        <v>19</v>
      </c>
      <c r="J1666" s="3" t="s">
        <v>7989</v>
      </c>
      <c r="K1666" t="s">
        <v>4611</v>
      </c>
      <c r="L1666" t="s">
        <v>32135</v>
      </c>
      <c r="M1666" t="s">
        <v>771</v>
      </c>
    </row>
    <row r="1667" spans="1:13" x14ac:dyDescent="0.25">
      <c r="A1667" t="s">
        <v>18823</v>
      </c>
      <c r="B1667" t="s">
        <v>13</v>
      </c>
      <c r="C1667" s="1">
        <v>43416</v>
      </c>
      <c r="D1667" t="s">
        <v>18824</v>
      </c>
      <c r="E1667" s="2" t="s">
        <v>31550</v>
      </c>
      <c r="F1667" t="s">
        <v>9519</v>
      </c>
      <c r="G1667" t="s">
        <v>18825</v>
      </c>
      <c r="H1667" t="s">
        <v>1335</v>
      </c>
      <c r="I1667" t="s">
        <v>19</v>
      </c>
      <c r="J1667" s="3">
        <v>5543999282253</v>
      </c>
      <c r="K1667" t="s">
        <v>18826</v>
      </c>
      <c r="L1667" t="s">
        <v>18827</v>
      </c>
      <c r="M1667" t="s">
        <v>32145</v>
      </c>
    </row>
    <row r="1668" spans="1:13" x14ac:dyDescent="0.25">
      <c r="A1668" t="s">
        <v>22364</v>
      </c>
      <c r="B1668" t="s">
        <v>13</v>
      </c>
      <c r="C1668" s="1">
        <v>43102</v>
      </c>
      <c r="D1668" t="s">
        <v>22365</v>
      </c>
      <c r="E1668" s="2" t="s">
        <v>31529</v>
      </c>
      <c r="F1668" t="s">
        <v>2036</v>
      </c>
      <c r="G1668" t="s">
        <v>22366</v>
      </c>
      <c r="H1668" t="s">
        <v>2164</v>
      </c>
      <c r="I1668" t="s">
        <v>19</v>
      </c>
      <c r="J1668" s="3" t="s">
        <v>22367</v>
      </c>
      <c r="K1668" t="s">
        <v>22368</v>
      </c>
      <c r="L1668" t="s">
        <v>7668</v>
      </c>
      <c r="M1668" t="s">
        <v>57</v>
      </c>
    </row>
    <row r="1669" spans="1:13" x14ac:dyDescent="0.25">
      <c r="A1669" t="s">
        <v>11240</v>
      </c>
      <c r="B1669" t="s">
        <v>13</v>
      </c>
      <c r="C1669" t="s">
        <v>11241</v>
      </c>
      <c r="D1669" t="s">
        <v>11242</v>
      </c>
      <c r="E1669" s="2" t="s">
        <v>32097</v>
      </c>
      <c r="F1669" t="s">
        <v>1190</v>
      </c>
      <c r="G1669" t="s">
        <v>11243</v>
      </c>
      <c r="H1669" t="s">
        <v>472</v>
      </c>
      <c r="I1669" t="s">
        <v>19</v>
      </c>
      <c r="J1669" s="3" t="s">
        <v>11244</v>
      </c>
      <c r="K1669" t="s">
        <v>11245</v>
      </c>
      <c r="L1669" t="s">
        <v>1193</v>
      </c>
      <c r="M1669" t="s">
        <v>432</v>
      </c>
    </row>
    <row r="1670" spans="1:13" x14ac:dyDescent="0.25">
      <c r="A1670" t="s">
        <v>403</v>
      </c>
      <c r="B1670" t="s">
        <v>13</v>
      </c>
      <c r="C1670" t="s">
        <v>393</v>
      </c>
      <c r="D1670" t="s">
        <v>404</v>
      </c>
      <c r="E1670" t="s">
        <v>30678</v>
      </c>
      <c r="F1670" t="s">
        <v>407</v>
      </c>
      <c r="G1670" t="s">
        <v>408</v>
      </c>
      <c r="H1670" t="s">
        <v>409</v>
      </c>
      <c r="I1670" t="s">
        <v>19</v>
      </c>
      <c r="J1670" s="3" t="s">
        <v>410</v>
      </c>
      <c r="K1670" t="s">
        <v>411</v>
      </c>
      <c r="L1670" t="s">
        <v>412</v>
      </c>
      <c r="M1670" t="s">
        <v>32145</v>
      </c>
    </row>
    <row r="1671" spans="1:13" x14ac:dyDescent="0.25">
      <c r="A1671" t="s">
        <v>26554</v>
      </c>
      <c r="B1671" t="s">
        <v>13</v>
      </c>
      <c r="C1671" s="1">
        <v>42708</v>
      </c>
      <c r="D1671" t="s">
        <v>26555</v>
      </c>
      <c r="E1671" t="s">
        <v>26556</v>
      </c>
      <c r="F1671" t="s">
        <v>9519</v>
      </c>
      <c r="G1671" t="s">
        <v>26557</v>
      </c>
      <c r="H1671" t="s">
        <v>428</v>
      </c>
      <c r="I1671" t="s">
        <v>19</v>
      </c>
      <c r="J1671" s="3" t="s">
        <v>26558</v>
      </c>
      <c r="K1671" t="s">
        <v>26559</v>
      </c>
      <c r="L1671" t="s">
        <v>26560</v>
      </c>
      <c r="M1671" t="s">
        <v>32145</v>
      </c>
    </row>
    <row r="1672" spans="1:13" x14ac:dyDescent="0.25">
      <c r="A1672" t="s">
        <v>3179</v>
      </c>
      <c r="B1672" t="s">
        <v>13</v>
      </c>
      <c r="C1672" t="s">
        <v>3167</v>
      </c>
      <c r="D1672" t="s">
        <v>32135</v>
      </c>
      <c r="E1672" s="2" t="s">
        <v>31476</v>
      </c>
      <c r="F1672" t="s">
        <v>1458</v>
      </c>
      <c r="G1672" t="s">
        <v>3180</v>
      </c>
      <c r="H1672" t="s">
        <v>409</v>
      </c>
      <c r="I1672" t="s">
        <v>19</v>
      </c>
      <c r="J1672" s="3" t="s">
        <v>3181</v>
      </c>
      <c r="K1672" t="s">
        <v>3182</v>
      </c>
      <c r="L1672" t="s">
        <v>412</v>
      </c>
      <c r="M1672" t="s">
        <v>32145</v>
      </c>
    </row>
    <row r="1673" spans="1:13" x14ac:dyDescent="0.25">
      <c r="A1673" t="s">
        <v>11743</v>
      </c>
      <c r="B1673" t="s">
        <v>13</v>
      </c>
      <c r="C1673" t="s">
        <v>11721</v>
      </c>
      <c r="D1673" t="s">
        <v>11744</v>
      </c>
      <c r="E1673" s="2" t="s">
        <v>31023</v>
      </c>
      <c r="F1673" t="s">
        <v>117</v>
      </c>
      <c r="G1673" t="s">
        <v>4463</v>
      </c>
      <c r="H1673" t="s">
        <v>265</v>
      </c>
      <c r="I1673" t="s">
        <v>19</v>
      </c>
      <c r="J1673" s="3" t="s">
        <v>4464</v>
      </c>
      <c r="K1673" t="s">
        <v>4465</v>
      </c>
      <c r="L1673" t="s">
        <v>321</v>
      </c>
      <c r="M1673" t="s">
        <v>32145</v>
      </c>
    </row>
    <row r="1674" spans="1:13" x14ac:dyDescent="0.25">
      <c r="A1674" t="s">
        <v>7735</v>
      </c>
      <c r="B1674" t="s">
        <v>13</v>
      </c>
      <c r="C1674" s="1">
        <v>44321</v>
      </c>
      <c r="D1674" t="s">
        <v>32135</v>
      </c>
      <c r="E1674" s="2" t="s">
        <v>30937</v>
      </c>
      <c r="F1674" t="s">
        <v>7736</v>
      </c>
      <c r="G1674" t="s">
        <v>7737</v>
      </c>
      <c r="H1674" t="s">
        <v>179</v>
      </c>
      <c r="I1674" t="s">
        <v>19</v>
      </c>
      <c r="J1674" s="3" t="s">
        <v>7738</v>
      </c>
      <c r="K1674" t="s">
        <v>7739</v>
      </c>
      <c r="L1674" t="s">
        <v>32135</v>
      </c>
      <c r="M1674" t="s">
        <v>337</v>
      </c>
    </row>
    <row r="1675" spans="1:13" x14ac:dyDescent="0.25">
      <c r="A1675" t="s">
        <v>19924</v>
      </c>
      <c r="B1675" t="s">
        <v>13</v>
      </c>
      <c r="C1675" t="s">
        <v>19912</v>
      </c>
      <c r="D1675" t="s">
        <v>19925</v>
      </c>
      <c r="E1675" t="s">
        <v>19926</v>
      </c>
      <c r="F1675" t="s">
        <v>1464</v>
      </c>
      <c r="G1675" t="s">
        <v>19927</v>
      </c>
      <c r="H1675" t="s">
        <v>352</v>
      </c>
      <c r="I1675" t="s">
        <v>19</v>
      </c>
      <c r="J1675" s="3">
        <f>55-21987403303</f>
        <v>-21987403248</v>
      </c>
      <c r="K1675" t="s">
        <v>19928</v>
      </c>
      <c r="L1675" t="s">
        <v>1232</v>
      </c>
      <c r="M1675" t="s">
        <v>32183</v>
      </c>
    </row>
    <row r="1676" spans="1:13" x14ac:dyDescent="0.25">
      <c r="A1676" t="s">
        <v>24615</v>
      </c>
      <c r="B1676" t="s">
        <v>101</v>
      </c>
      <c r="C1676" t="s">
        <v>12252</v>
      </c>
      <c r="D1676" t="s">
        <v>24616</v>
      </c>
      <c r="E1676" t="s">
        <v>24617</v>
      </c>
      <c r="F1676" t="s">
        <v>2947</v>
      </c>
      <c r="G1676" t="s">
        <v>18105</v>
      </c>
      <c r="H1676" t="s">
        <v>11044</v>
      </c>
      <c r="I1676" t="s">
        <v>19</v>
      </c>
      <c r="J1676" s="3" t="s">
        <v>18106</v>
      </c>
      <c r="K1676" t="s">
        <v>18107</v>
      </c>
      <c r="L1676" t="s">
        <v>18108</v>
      </c>
      <c r="M1676" t="s">
        <v>771</v>
      </c>
    </row>
    <row r="1677" spans="1:13" x14ac:dyDescent="0.25">
      <c r="A1677" t="s">
        <v>18175</v>
      </c>
      <c r="B1677" t="s">
        <v>13</v>
      </c>
      <c r="C1677" s="1">
        <v>43772</v>
      </c>
      <c r="D1677" t="s">
        <v>18176</v>
      </c>
      <c r="E1677" s="2" t="s">
        <v>31592</v>
      </c>
      <c r="F1677" t="s">
        <v>9519</v>
      </c>
      <c r="G1677" t="s">
        <v>18177</v>
      </c>
      <c r="H1677" t="s">
        <v>18178</v>
      </c>
      <c r="I1677" t="s">
        <v>19</v>
      </c>
      <c r="J1677" s="3">
        <f>55-89-99728446</f>
        <v>-99728480</v>
      </c>
      <c r="K1677" t="s">
        <v>18179</v>
      </c>
      <c r="L1677" t="s">
        <v>74</v>
      </c>
      <c r="M1677" t="s">
        <v>32145</v>
      </c>
    </row>
    <row r="1678" spans="1:13" x14ac:dyDescent="0.25">
      <c r="A1678" t="s">
        <v>20259</v>
      </c>
      <c r="B1678" t="s">
        <v>13</v>
      </c>
      <c r="C1678" t="s">
        <v>20252</v>
      </c>
      <c r="D1678" t="s">
        <v>20260</v>
      </c>
      <c r="E1678" s="2" t="s">
        <v>31905</v>
      </c>
      <c r="F1678" t="s">
        <v>1464</v>
      </c>
      <c r="G1678" t="s">
        <v>20261</v>
      </c>
      <c r="H1678" t="s">
        <v>265</v>
      </c>
      <c r="I1678" t="s">
        <v>19</v>
      </c>
      <c r="J1678" s="3" t="s">
        <v>20262</v>
      </c>
      <c r="K1678" t="s">
        <v>20263</v>
      </c>
      <c r="L1678" t="s">
        <v>3558</v>
      </c>
      <c r="M1678" t="s">
        <v>32145</v>
      </c>
    </row>
    <row r="1679" spans="1:13" x14ac:dyDescent="0.25">
      <c r="A1679" t="s">
        <v>5237</v>
      </c>
      <c r="B1679" t="s">
        <v>13</v>
      </c>
      <c r="C1679" t="s">
        <v>5238</v>
      </c>
      <c r="D1679" t="s">
        <v>5239</v>
      </c>
      <c r="E1679" s="2" t="s">
        <v>31714</v>
      </c>
      <c r="F1679" t="s">
        <v>2947</v>
      </c>
      <c r="G1679" t="s">
        <v>5241</v>
      </c>
      <c r="H1679" t="s">
        <v>3618</v>
      </c>
      <c r="I1679" t="s">
        <v>19</v>
      </c>
      <c r="J1679" s="3">
        <v>5579999687465</v>
      </c>
      <c r="K1679" t="s">
        <v>5242</v>
      </c>
      <c r="L1679" t="s">
        <v>32135</v>
      </c>
      <c r="M1679" t="s">
        <v>771</v>
      </c>
    </row>
    <row r="1680" spans="1:13" x14ac:dyDescent="0.25">
      <c r="A1680" t="s">
        <v>83</v>
      </c>
      <c r="B1680" t="s">
        <v>13</v>
      </c>
      <c r="C1680" s="1">
        <v>44959</v>
      </c>
      <c r="D1680" t="s">
        <v>84</v>
      </c>
      <c r="E1680" t="s">
        <v>85</v>
      </c>
      <c r="F1680" t="s">
        <v>86</v>
      </c>
      <c r="G1680" t="s">
        <v>87</v>
      </c>
      <c r="H1680" t="s">
        <v>88</v>
      </c>
      <c r="I1680" t="s">
        <v>19</v>
      </c>
      <c r="J1680" s="3" t="s">
        <v>89</v>
      </c>
      <c r="K1680" t="s">
        <v>90</v>
      </c>
      <c r="L1680" t="s">
        <v>91</v>
      </c>
      <c r="M1680" t="s">
        <v>32145</v>
      </c>
    </row>
    <row r="1681" spans="1:13" x14ac:dyDescent="0.25">
      <c r="A1681" t="s">
        <v>20157</v>
      </c>
      <c r="B1681" t="s">
        <v>13</v>
      </c>
      <c r="C1681" s="1">
        <v>43259</v>
      </c>
      <c r="D1681" t="s">
        <v>20158</v>
      </c>
      <c r="E1681" s="2" t="s">
        <v>31244</v>
      </c>
      <c r="F1681" t="s">
        <v>9519</v>
      </c>
      <c r="G1681" t="s">
        <v>20159</v>
      </c>
      <c r="H1681" t="s">
        <v>150</v>
      </c>
      <c r="I1681" t="s">
        <v>19</v>
      </c>
      <c r="J1681" s="3">
        <f>55-11-982921793</f>
        <v>-982921749</v>
      </c>
      <c r="K1681" t="s">
        <v>20160</v>
      </c>
      <c r="L1681" t="s">
        <v>20161</v>
      </c>
      <c r="M1681" t="s">
        <v>32145</v>
      </c>
    </row>
    <row r="1682" spans="1:13" x14ac:dyDescent="0.25">
      <c r="A1682" t="s">
        <v>22504</v>
      </c>
      <c r="B1682" t="s">
        <v>13</v>
      </c>
      <c r="C1682" t="s">
        <v>20648</v>
      </c>
      <c r="D1682" t="s">
        <v>22505</v>
      </c>
      <c r="E1682" t="s">
        <v>22506</v>
      </c>
      <c r="F1682" t="s">
        <v>306</v>
      </c>
      <c r="G1682" t="s">
        <v>22507</v>
      </c>
      <c r="H1682" t="s">
        <v>409</v>
      </c>
      <c r="I1682" t="s">
        <v>19</v>
      </c>
      <c r="J1682" s="3" t="s">
        <v>22508</v>
      </c>
      <c r="K1682" t="s">
        <v>22509</v>
      </c>
      <c r="L1682" t="s">
        <v>412</v>
      </c>
      <c r="M1682" t="s">
        <v>32145</v>
      </c>
    </row>
    <row r="1683" spans="1:13" x14ac:dyDescent="0.25">
      <c r="A1683" t="s">
        <v>9826</v>
      </c>
      <c r="B1683" t="s">
        <v>13</v>
      </c>
      <c r="C1683" s="1">
        <v>44083</v>
      </c>
      <c r="D1683" t="s">
        <v>9827</v>
      </c>
      <c r="E1683" t="s">
        <v>592</v>
      </c>
      <c r="F1683" t="s">
        <v>2947</v>
      </c>
      <c r="G1683" t="s">
        <v>9828</v>
      </c>
      <c r="H1683" t="s">
        <v>9829</v>
      </c>
      <c r="I1683" t="s">
        <v>19</v>
      </c>
      <c r="J1683" s="3">
        <f>55-48-996001366</f>
        <v>-996001359</v>
      </c>
      <c r="K1683" t="s">
        <v>9830</v>
      </c>
      <c r="L1683" t="s">
        <v>9831</v>
      </c>
      <c r="M1683" t="s">
        <v>771</v>
      </c>
    </row>
    <row r="1684" spans="1:13" x14ac:dyDescent="0.25">
      <c r="A1684" t="s">
        <v>590</v>
      </c>
      <c r="B1684" t="s">
        <v>13</v>
      </c>
      <c r="C1684" s="1">
        <v>45200</v>
      </c>
      <c r="D1684" t="s">
        <v>591</v>
      </c>
      <c r="E1684" t="s">
        <v>592</v>
      </c>
      <c r="F1684" t="s">
        <v>43</v>
      </c>
      <c r="G1684" t="s">
        <v>593</v>
      </c>
      <c r="H1684" t="s">
        <v>352</v>
      </c>
      <c r="I1684" t="s">
        <v>19</v>
      </c>
      <c r="J1684" s="3" t="s">
        <v>594</v>
      </c>
      <c r="K1684" t="s">
        <v>595</v>
      </c>
      <c r="L1684" t="s">
        <v>550</v>
      </c>
      <c r="M1684" t="s">
        <v>32145</v>
      </c>
    </row>
    <row r="1685" spans="1:13" x14ac:dyDescent="0.25">
      <c r="A1685" t="s">
        <v>2123</v>
      </c>
      <c r="B1685" t="s">
        <v>13</v>
      </c>
      <c r="C1685" t="s">
        <v>2124</v>
      </c>
      <c r="D1685" t="s">
        <v>32135</v>
      </c>
      <c r="E1685" t="s">
        <v>592</v>
      </c>
      <c r="F1685" t="s">
        <v>2125</v>
      </c>
      <c r="G1685" t="s">
        <v>408</v>
      </c>
      <c r="H1685" t="s">
        <v>409</v>
      </c>
      <c r="I1685" t="s">
        <v>19</v>
      </c>
      <c r="J1685" s="3" t="s">
        <v>2126</v>
      </c>
      <c r="K1685" t="s">
        <v>411</v>
      </c>
      <c r="L1685" t="s">
        <v>412</v>
      </c>
      <c r="M1685" t="s">
        <v>32145</v>
      </c>
    </row>
    <row r="1686" spans="1:13" x14ac:dyDescent="0.25">
      <c r="A1686" t="s">
        <v>20910</v>
      </c>
      <c r="B1686" t="s">
        <v>13</v>
      </c>
      <c r="C1686" t="s">
        <v>2033</v>
      </c>
      <c r="D1686" t="s">
        <v>20911</v>
      </c>
      <c r="E1686" t="s">
        <v>592</v>
      </c>
      <c r="F1686" t="s">
        <v>9519</v>
      </c>
      <c r="G1686" t="s">
        <v>20716</v>
      </c>
      <c r="H1686" t="s">
        <v>255</v>
      </c>
      <c r="I1686" t="s">
        <v>19</v>
      </c>
      <c r="J1686" s="3" t="s">
        <v>20912</v>
      </c>
      <c r="K1686" t="s">
        <v>20717</v>
      </c>
      <c r="L1686" t="s">
        <v>2467</v>
      </c>
      <c r="M1686" t="s">
        <v>32145</v>
      </c>
    </row>
    <row r="1687" spans="1:13" x14ac:dyDescent="0.25">
      <c r="A1687" t="s">
        <v>2175</v>
      </c>
      <c r="B1687" t="s">
        <v>13</v>
      </c>
      <c r="C1687" s="1">
        <v>44904</v>
      </c>
      <c r="D1687" t="s">
        <v>2176</v>
      </c>
      <c r="E1687" t="s">
        <v>592</v>
      </c>
      <c r="F1687" t="s">
        <v>2177</v>
      </c>
      <c r="G1687" t="s">
        <v>2178</v>
      </c>
      <c r="H1687" t="s">
        <v>2112</v>
      </c>
      <c r="I1687" t="s">
        <v>19</v>
      </c>
      <c r="J1687" s="3">
        <v>554532203000</v>
      </c>
      <c r="K1687" t="s">
        <v>2179</v>
      </c>
      <c r="L1687" t="s">
        <v>2115</v>
      </c>
      <c r="M1687" t="s">
        <v>32145</v>
      </c>
    </row>
    <row r="1688" spans="1:13" x14ac:dyDescent="0.25">
      <c r="A1688" t="s">
        <v>1165</v>
      </c>
      <c r="B1688" t="s">
        <v>13</v>
      </c>
      <c r="C1688" t="s">
        <v>1149</v>
      </c>
      <c r="D1688" t="s">
        <v>1166</v>
      </c>
      <c r="E1688" t="s">
        <v>592</v>
      </c>
      <c r="F1688" t="s">
        <v>86</v>
      </c>
      <c r="G1688" t="s">
        <v>1167</v>
      </c>
      <c r="H1688" t="s">
        <v>1168</v>
      </c>
      <c r="I1688" t="s">
        <v>19</v>
      </c>
      <c r="J1688" s="3" t="s">
        <v>1169</v>
      </c>
      <c r="K1688" t="s">
        <v>1170</v>
      </c>
      <c r="L1688" t="s">
        <v>1171</v>
      </c>
      <c r="M1688" t="s">
        <v>32145</v>
      </c>
    </row>
    <row r="1689" spans="1:13" x14ac:dyDescent="0.25">
      <c r="A1689" t="s">
        <v>30522</v>
      </c>
      <c r="B1689" t="s">
        <v>13</v>
      </c>
      <c r="C1689" t="s">
        <v>30523</v>
      </c>
      <c r="D1689" t="s">
        <v>30524</v>
      </c>
      <c r="E1689" t="s">
        <v>592</v>
      </c>
      <c r="F1689" t="s">
        <v>306</v>
      </c>
      <c r="G1689" t="s">
        <v>20716</v>
      </c>
      <c r="H1689" t="s">
        <v>255</v>
      </c>
      <c r="I1689" t="s">
        <v>19</v>
      </c>
      <c r="J1689" s="3" t="s">
        <v>30525</v>
      </c>
      <c r="K1689" t="s">
        <v>20717</v>
      </c>
      <c r="L1689" t="s">
        <v>2467</v>
      </c>
      <c r="M1689" t="s">
        <v>32145</v>
      </c>
    </row>
    <row r="1690" spans="1:13" x14ac:dyDescent="0.25">
      <c r="A1690" t="s">
        <v>21857</v>
      </c>
      <c r="B1690" t="s">
        <v>13</v>
      </c>
      <c r="C1690" t="s">
        <v>21849</v>
      </c>
      <c r="D1690" t="s">
        <v>21858</v>
      </c>
      <c r="E1690" t="s">
        <v>21859</v>
      </c>
      <c r="F1690" t="s">
        <v>1464</v>
      </c>
      <c r="G1690" t="s">
        <v>21860</v>
      </c>
      <c r="H1690" t="s">
        <v>1466</v>
      </c>
      <c r="I1690" t="s">
        <v>19</v>
      </c>
      <c r="J1690" s="3">
        <f>55-35-991501022</f>
        <v>-991501002</v>
      </c>
      <c r="K1690" t="s">
        <v>21861</v>
      </c>
      <c r="L1690" t="s">
        <v>21254</v>
      </c>
      <c r="M1690" t="s">
        <v>32145</v>
      </c>
    </row>
    <row r="1691" spans="1:13" x14ac:dyDescent="0.25">
      <c r="A1691" t="s">
        <v>21164</v>
      </c>
      <c r="B1691" t="s">
        <v>13</v>
      </c>
      <c r="C1691" s="1">
        <v>43196</v>
      </c>
      <c r="D1691" t="s">
        <v>21165</v>
      </c>
      <c r="E1691" s="2" t="s">
        <v>31280</v>
      </c>
      <c r="F1691" t="s">
        <v>117</v>
      </c>
      <c r="G1691" t="s">
        <v>21166</v>
      </c>
      <c r="H1691" t="s">
        <v>21167</v>
      </c>
      <c r="I1691" t="s">
        <v>19</v>
      </c>
      <c r="J1691" s="3" t="s">
        <v>21168</v>
      </c>
      <c r="K1691" t="s">
        <v>21169</v>
      </c>
      <c r="L1691" t="s">
        <v>11487</v>
      </c>
      <c r="M1691" t="s">
        <v>32145</v>
      </c>
    </row>
    <row r="1692" spans="1:13" x14ac:dyDescent="0.25">
      <c r="A1692" t="s">
        <v>24878</v>
      </c>
      <c r="B1692" t="s">
        <v>13</v>
      </c>
      <c r="C1692" t="s">
        <v>17925</v>
      </c>
      <c r="D1692" t="s">
        <v>24879</v>
      </c>
      <c r="E1692" t="s">
        <v>24880</v>
      </c>
      <c r="F1692" t="s">
        <v>1464</v>
      </c>
      <c r="G1692" t="s">
        <v>24881</v>
      </c>
      <c r="H1692" t="s">
        <v>1466</v>
      </c>
      <c r="I1692" t="s">
        <v>19</v>
      </c>
      <c r="J1692" s="3" t="s">
        <v>24882</v>
      </c>
      <c r="K1692" t="s">
        <v>24883</v>
      </c>
      <c r="L1692" t="s">
        <v>1469</v>
      </c>
      <c r="M1692" t="s">
        <v>32145</v>
      </c>
    </row>
    <row r="1693" spans="1:13" x14ac:dyDescent="0.25">
      <c r="A1693" t="s">
        <v>26765</v>
      </c>
      <c r="B1693" t="s">
        <v>13</v>
      </c>
      <c r="C1693" t="s">
        <v>26759</v>
      </c>
      <c r="D1693" t="s">
        <v>26766</v>
      </c>
      <c r="E1693" t="s">
        <v>26767</v>
      </c>
      <c r="F1693" t="s">
        <v>117</v>
      </c>
      <c r="G1693" t="s">
        <v>26768</v>
      </c>
      <c r="H1693" t="s">
        <v>255</v>
      </c>
      <c r="I1693" t="s">
        <v>19</v>
      </c>
      <c r="J1693" s="3" t="s">
        <v>26769</v>
      </c>
      <c r="K1693" t="s">
        <v>26770</v>
      </c>
      <c r="L1693" t="s">
        <v>26771</v>
      </c>
      <c r="M1693" t="s">
        <v>32145</v>
      </c>
    </row>
    <row r="1694" spans="1:13" x14ac:dyDescent="0.25">
      <c r="A1694" t="s">
        <v>12689</v>
      </c>
      <c r="B1694" t="s">
        <v>13</v>
      </c>
      <c r="C1694" t="s">
        <v>7663</v>
      </c>
      <c r="D1694" t="s">
        <v>12690</v>
      </c>
      <c r="E1694" s="2" t="s">
        <v>32304</v>
      </c>
      <c r="F1694" t="s">
        <v>2758</v>
      </c>
      <c r="G1694" t="s">
        <v>12691</v>
      </c>
      <c r="H1694" t="s">
        <v>4506</v>
      </c>
      <c r="I1694" t="s">
        <v>19</v>
      </c>
      <c r="J1694" s="3" t="s">
        <v>12692</v>
      </c>
      <c r="K1694" t="s">
        <v>12693</v>
      </c>
      <c r="L1694" t="s">
        <v>12694</v>
      </c>
      <c r="M1694" t="s">
        <v>32149</v>
      </c>
    </row>
    <row r="1695" spans="1:13" x14ac:dyDescent="0.25">
      <c r="A1695" t="s">
        <v>13794</v>
      </c>
      <c r="B1695" t="s">
        <v>13</v>
      </c>
      <c r="C1695" t="s">
        <v>13789</v>
      </c>
      <c r="D1695" t="s">
        <v>13795</v>
      </c>
      <c r="E1695" t="s">
        <v>13796</v>
      </c>
      <c r="F1695" t="s">
        <v>117</v>
      </c>
      <c r="G1695" t="s">
        <v>13797</v>
      </c>
      <c r="H1695" t="s">
        <v>489</v>
      </c>
      <c r="I1695" t="s">
        <v>19</v>
      </c>
      <c r="J1695" s="3">
        <f>55-41-32712103</f>
        <v>-32712089</v>
      </c>
      <c r="K1695" t="s">
        <v>13798</v>
      </c>
      <c r="L1695" t="s">
        <v>2661</v>
      </c>
      <c r="M1695" t="s">
        <v>32145</v>
      </c>
    </row>
    <row r="1696" spans="1:13" x14ac:dyDescent="0.25">
      <c r="A1696" t="s">
        <v>16074</v>
      </c>
      <c r="B1696" t="s">
        <v>13</v>
      </c>
      <c r="C1696" t="s">
        <v>7263</v>
      </c>
      <c r="D1696" t="s">
        <v>16075</v>
      </c>
      <c r="E1696" t="s">
        <v>16076</v>
      </c>
      <c r="F1696" t="s">
        <v>9519</v>
      </c>
      <c r="G1696" t="s">
        <v>16077</v>
      </c>
      <c r="H1696" t="s">
        <v>472</v>
      </c>
      <c r="I1696" t="s">
        <v>19</v>
      </c>
      <c r="J1696" s="3">
        <f>55-81-991127615</f>
        <v>-991127641</v>
      </c>
      <c r="K1696" t="s">
        <v>16078</v>
      </c>
      <c r="L1696" t="s">
        <v>2101</v>
      </c>
      <c r="M1696" t="s">
        <v>32145</v>
      </c>
    </row>
    <row r="1697" spans="1:13" x14ac:dyDescent="0.25">
      <c r="A1697" t="s">
        <v>23661</v>
      </c>
      <c r="B1697" t="s">
        <v>13</v>
      </c>
      <c r="C1697" t="s">
        <v>8680</v>
      </c>
      <c r="D1697" t="s">
        <v>23662</v>
      </c>
      <c r="E1697" t="s">
        <v>23663</v>
      </c>
      <c r="F1697" t="s">
        <v>306</v>
      </c>
      <c r="G1697" t="s">
        <v>23664</v>
      </c>
      <c r="H1697" t="s">
        <v>36</v>
      </c>
      <c r="I1697" t="s">
        <v>19</v>
      </c>
      <c r="J1697" s="3">
        <v>5511982782266</v>
      </c>
      <c r="K1697" t="s">
        <v>23665</v>
      </c>
      <c r="L1697" t="s">
        <v>23666</v>
      </c>
      <c r="M1697" t="s">
        <v>32145</v>
      </c>
    </row>
    <row r="1698" spans="1:13" x14ac:dyDescent="0.25">
      <c r="A1698" t="s">
        <v>4232</v>
      </c>
      <c r="B1698" t="s">
        <v>13</v>
      </c>
      <c r="C1698" t="s">
        <v>4233</v>
      </c>
      <c r="D1698" t="s">
        <v>32135</v>
      </c>
      <c r="E1698" t="s">
        <v>4234</v>
      </c>
      <c r="F1698" t="s">
        <v>263</v>
      </c>
      <c r="G1698" t="s">
        <v>4235</v>
      </c>
      <c r="H1698" t="s">
        <v>4236</v>
      </c>
      <c r="I1698" t="s">
        <v>19</v>
      </c>
      <c r="J1698" s="3" t="s">
        <v>4237</v>
      </c>
      <c r="K1698" t="s">
        <v>4238</v>
      </c>
      <c r="L1698" t="s">
        <v>1727</v>
      </c>
      <c r="M1698" t="s">
        <v>32145</v>
      </c>
    </row>
    <row r="1699" spans="1:13" x14ac:dyDescent="0.25">
      <c r="A1699" t="s">
        <v>1852</v>
      </c>
      <c r="B1699" t="s">
        <v>13</v>
      </c>
      <c r="C1699" s="1">
        <v>44661</v>
      </c>
      <c r="D1699" t="s">
        <v>1853</v>
      </c>
      <c r="E1699" t="s">
        <v>1854</v>
      </c>
      <c r="F1699" t="s">
        <v>263</v>
      </c>
      <c r="G1699" t="s">
        <v>1855</v>
      </c>
      <c r="H1699" t="s">
        <v>18</v>
      </c>
      <c r="I1699" t="s">
        <v>19</v>
      </c>
      <c r="J1699" s="3" t="s">
        <v>1856</v>
      </c>
      <c r="K1699" t="s">
        <v>1857</v>
      </c>
      <c r="L1699" t="s">
        <v>1858</v>
      </c>
      <c r="M1699" t="s">
        <v>32145</v>
      </c>
    </row>
    <row r="1700" spans="1:13" x14ac:dyDescent="0.25">
      <c r="A1700" t="s">
        <v>13757</v>
      </c>
      <c r="B1700" t="s">
        <v>13</v>
      </c>
      <c r="C1700" s="1">
        <v>43892</v>
      </c>
      <c r="D1700" t="s">
        <v>13758</v>
      </c>
      <c r="E1700" t="s">
        <v>1854</v>
      </c>
      <c r="F1700" t="s">
        <v>2758</v>
      </c>
      <c r="G1700" t="s">
        <v>13759</v>
      </c>
      <c r="H1700" t="s">
        <v>45</v>
      </c>
      <c r="I1700" t="s">
        <v>19</v>
      </c>
      <c r="J1700" s="3" t="s">
        <v>13760</v>
      </c>
      <c r="K1700" t="s">
        <v>13761</v>
      </c>
      <c r="L1700" t="s">
        <v>13762</v>
      </c>
      <c r="M1700" t="s">
        <v>32149</v>
      </c>
    </row>
    <row r="1701" spans="1:13" x14ac:dyDescent="0.25">
      <c r="A1701" t="s">
        <v>259</v>
      </c>
      <c r="B1701" t="s">
        <v>13</v>
      </c>
      <c r="C1701" t="s">
        <v>260</v>
      </c>
      <c r="D1701" t="s">
        <v>261</v>
      </c>
      <c r="E1701" t="s">
        <v>262</v>
      </c>
      <c r="F1701" t="s">
        <v>263</v>
      </c>
      <c r="G1701" t="s">
        <v>264</v>
      </c>
      <c r="H1701" t="s">
        <v>265</v>
      </c>
      <c r="I1701" t="s">
        <v>19</v>
      </c>
      <c r="J1701" s="3" t="s">
        <v>266</v>
      </c>
      <c r="K1701" t="s">
        <v>267</v>
      </c>
      <c r="L1701" t="s">
        <v>268</v>
      </c>
      <c r="M1701" t="s">
        <v>32145</v>
      </c>
    </row>
    <row r="1702" spans="1:13" x14ac:dyDescent="0.25">
      <c r="A1702" t="s">
        <v>18366</v>
      </c>
      <c r="B1702" t="s">
        <v>13</v>
      </c>
      <c r="C1702" s="1">
        <v>43771</v>
      </c>
      <c r="D1702" t="s">
        <v>18367</v>
      </c>
      <c r="E1702" s="2" t="s">
        <v>31200</v>
      </c>
      <c r="F1702" t="s">
        <v>9519</v>
      </c>
      <c r="G1702" t="s">
        <v>18177</v>
      </c>
      <c r="H1702" t="s">
        <v>18178</v>
      </c>
      <c r="I1702" t="s">
        <v>19</v>
      </c>
      <c r="J1702" s="3">
        <v>89999728446</v>
      </c>
      <c r="K1702" t="s">
        <v>18179</v>
      </c>
      <c r="L1702" t="s">
        <v>74</v>
      </c>
      <c r="M1702" t="s">
        <v>32145</v>
      </c>
    </row>
    <row r="1703" spans="1:13" x14ac:dyDescent="0.25">
      <c r="A1703" t="s">
        <v>22049</v>
      </c>
      <c r="B1703" t="s">
        <v>13</v>
      </c>
      <c r="C1703" s="1">
        <v>43315</v>
      </c>
      <c r="D1703" t="s">
        <v>22050</v>
      </c>
      <c r="E1703" s="2" t="s">
        <v>31304</v>
      </c>
      <c r="F1703" t="s">
        <v>1464</v>
      </c>
      <c r="G1703" t="s">
        <v>22051</v>
      </c>
      <c r="H1703" t="s">
        <v>45</v>
      </c>
      <c r="I1703" t="s">
        <v>19</v>
      </c>
      <c r="J1703" s="3">
        <f>55-85-999160586</f>
        <v>-999160616</v>
      </c>
      <c r="K1703" t="s">
        <v>22052</v>
      </c>
      <c r="L1703" t="s">
        <v>14461</v>
      </c>
      <c r="M1703" t="s">
        <v>32199</v>
      </c>
    </row>
    <row r="1704" spans="1:13" x14ac:dyDescent="0.25">
      <c r="A1704" t="s">
        <v>7981</v>
      </c>
      <c r="B1704" t="s">
        <v>13</v>
      </c>
      <c r="C1704" t="s">
        <v>7975</v>
      </c>
      <c r="D1704" t="s">
        <v>7982</v>
      </c>
      <c r="E1704" t="s">
        <v>7983</v>
      </c>
      <c r="F1704" t="s">
        <v>7984</v>
      </c>
      <c r="G1704" t="s">
        <v>7985</v>
      </c>
      <c r="H1704" t="s">
        <v>1486</v>
      </c>
      <c r="I1704" t="s">
        <v>19</v>
      </c>
      <c r="J1704" s="3">
        <f>55-34-9976-2671</f>
        <v>-12626</v>
      </c>
      <c r="K1704" t="s">
        <v>7986</v>
      </c>
      <c r="L1704" t="s">
        <v>32135</v>
      </c>
      <c r="M1704" t="s">
        <v>32145</v>
      </c>
    </row>
    <row r="1705" spans="1:13" x14ac:dyDescent="0.25">
      <c r="A1705" t="s">
        <v>17604</v>
      </c>
      <c r="B1705" t="s">
        <v>13</v>
      </c>
      <c r="C1705" t="s">
        <v>17593</v>
      </c>
      <c r="D1705" t="s">
        <v>17605</v>
      </c>
      <c r="E1705" s="2" t="s">
        <v>32305</v>
      </c>
      <c r="F1705" t="s">
        <v>9519</v>
      </c>
      <c r="G1705" t="s">
        <v>17606</v>
      </c>
      <c r="H1705" t="s">
        <v>1466</v>
      </c>
      <c r="I1705" t="s">
        <v>19</v>
      </c>
      <c r="J1705" s="3" t="s">
        <v>17607</v>
      </c>
      <c r="K1705" t="s">
        <v>17608</v>
      </c>
      <c r="L1705" t="s">
        <v>1469</v>
      </c>
      <c r="M1705" t="s">
        <v>32145</v>
      </c>
    </row>
    <row r="1706" spans="1:13" x14ac:dyDescent="0.25">
      <c r="A1706" t="s">
        <v>21019</v>
      </c>
      <c r="B1706" t="s">
        <v>13</v>
      </c>
      <c r="C1706" t="s">
        <v>21006</v>
      </c>
      <c r="D1706" t="s">
        <v>21020</v>
      </c>
      <c r="E1706" s="2" t="s">
        <v>30699</v>
      </c>
      <c r="F1706" t="s">
        <v>1129</v>
      </c>
      <c r="G1706" t="s">
        <v>1130</v>
      </c>
      <c r="H1706" t="s">
        <v>1072</v>
      </c>
      <c r="I1706" t="s">
        <v>19</v>
      </c>
      <c r="J1706" s="3">
        <f>55-84-999150043</f>
        <v>-999150072</v>
      </c>
      <c r="K1706" t="s">
        <v>1132</v>
      </c>
      <c r="L1706" t="s">
        <v>18883</v>
      </c>
      <c r="M1706" t="s">
        <v>224</v>
      </c>
    </row>
    <row r="1707" spans="1:13" x14ac:dyDescent="0.25">
      <c r="A1707" t="s">
        <v>1127</v>
      </c>
      <c r="B1707" t="s">
        <v>13</v>
      </c>
      <c r="C1707" t="s">
        <v>3325</v>
      </c>
      <c r="D1707" t="s">
        <v>4100</v>
      </c>
      <c r="E1707" s="2" t="s">
        <v>30699</v>
      </c>
      <c r="F1707" t="s">
        <v>1129</v>
      </c>
      <c r="G1707" t="s">
        <v>1130</v>
      </c>
      <c r="H1707" t="s">
        <v>1072</v>
      </c>
      <c r="I1707" t="s">
        <v>19</v>
      </c>
      <c r="J1707" s="3">
        <v>5584999150043</v>
      </c>
      <c r="K1707" t="s">
        <v>1132</v>
      </c>
      <c r="L1707" t="s">
        <v>91</v>
      </c>
      <c r="M1707" t="s">
        <v>224</v>
      </c>
    </row>
    <row r="1708" spans="1:13" x14ac:dyDescent="0.25">
      <c r="A1708" t="s">
        <v>1127</v>
      </c>
      <c r="B1708" t="s">
        <v>13</v>
      </c>
      <c r="C1708" t="s">
        <v>1120</v>
      </c>
      <c r="D1708" t="s">
        <v>1128</v>
      </c>
      <c r="E1708" s="2" t="s">
        <v>30699</v>
      </c>
      <c r="F1708" t="s">
        <v>1129</v>
      </c>
      <c r="G1708" t="s">
        <v>1130</v>
      </c>
      <c r="H1708" t="s">
        <v>88</v>
      </c>
      <c r="I1708" t="s">
        <v>19</v>
      </c>
      <c r="J1708" s="3" t="s">
        <v>1131</v>
      </c>
      <c r="K1708" t="s">
        <v>1132</v>
      </c>
      <c r="L1708" t="s">
        <v>91</v>
      </c>
      <c r="M1708" t="s">
        <v>224</v>
      </c>
    </row>
    <row r="1709" spans="1:13" x14ac:dyDescent="0.25">
      <c r="A1709" t="s">
        <v>1735</v>
      </c>
      <c r="B1709" t="s">
        <v>13</v>
      </c>
      <c r="C1709" t="s">
        <v>1736</v>
      </c>
      <c r="D1709" t="s">
        <v>1737</v>
      </c>
      <c r="E1709" t="s">
        <v>1738</v>
      </c>
      <c r="F1709" t="s">
        <v>1739</v>
      </c>
      <c r="G1709" t="s">
        <v>1740</v>
      </c>
      <c r="H1709" t="s">
        <v>1741</v>
      </c>
      <c r="I1709" t="s">
        <v>19</v>
      </c>
      <c r="J1709" s="3" t="s">
        <v>1742</v>
      </c>
      <c r="K1709" t="s">
        <v>1743</v>
      </c>
      <c r="L1709" t="s">
        <v>1744</v>
      </c>
      <c r="M1709" t="s">
        <v>32145</v>
      </c>
    </row>
    <row r="1710" spans="1:13" x14ac:dyDescent="0.25">
      <c r="A1710" t="s">
        <v>22148</v>
      </c>
      <c r="B1710" t="s">
        <v>13</v>
      </c>
      <c r="C1710" t="s">
        <v>19254</v>
      </c>
      <c r="D1710" t="s">
        <v>22149</v>
      </c>
      <c r="E1710" s="2" t="s">
        <v>31867</v>
      </c>
      <c r="F1710" t="s">
        <v>2947</v>
      </c>
      <c r="G1710" t="s">
        <v>22150</v>
      </c>
      <c r="H1710" t="s">
        <v>4092</v>
      </c>
      <c r="I1710" t="s">
        <v>19</v>
      </c>
      <c r="J1710" s="3">
        <f>55 -14-21054000</f>
        <v>-21053959</v>
      </c>
      <c r="K1710" t="s">
        <v>22151</v>
      </c>
      <c r="L1710" t="s">
        <v>11114</v>
      </c>
      <c r="M1710" t="s">
        <v>771</v>
      </c>
    </row>
    <row r="1711" spans="1:13" x14ac:dyDescent="0.25">
      <c r="A1711" t="s">
        <v>2293</v>
      </c>
      <c r="B1711" t="s">
        <v>13</v>
      </c>
      <c r="C1711" t="s">
        <v>2294</v>
      </c>
      <c r="D1711" t="s">
        <v>2295</v>
      </c>
      <c r="E1711" s="2" t="s">
        <v>31690</v>
      </c>
      <c r="F1711" t="s">
        <v>405</v>
      </c>
      <c r="G1711" t="s">
        <v>2296</v>
      </c>
      <c r="H1711" t="s">
        <v>936</v>
      </c>
      <c r="I1711" t="s">
        <v>19</v>
      </c>
      <c r="J1711" s="3" t="s">
        <v>2297</v>
      </c>
      <c r="K1711" t="s">
        <v>2298</v>
      </c>
      <c r="L1711" t="s">
        <v>2299</v>
      </c>
      <c r="M1711" t="s">
        <v>32145</v>
      </c>
    </row>
    <row r="1712" spans="1:13" x14ac:dyDescent="0.25">
      <c r="A1712" t="s">
        <v>16873</v>
      </c>
      <c r="B1712" t="s">
        <v>13</v>
      </c>
      <c r="C1712" s="1">
        <v>43562</v>
      </c>
      <c r="D1712" t="s">
        <v>16874</v>
      </c>
      <c r="E1712" t="s">
        <v>1676</v>
      </c>
      <c r="F1712" t="s">
        <v>9519</v>
      </c>
      <c r="G1712" t="s">
        <v>16875</v>
      </c>
      <c r="H1712" t="s">
        <v>9434</v>
      </c>
      <c r="I1712" t="s">
        <v>19</v>
      </c>
      <c r="J1712" s="3" t="s">
        <v>16876</v>
      </c>
      <c r="K1712" t="s">
        <v>16877</v>
      </c>
      <c r="L1712" t="s">
        <v>16878</v>
      </c>
      <c r="M1712" t="s">
        <v>32145</v>
      </c>
    </row>
    <row r="1713" spans="1:13" x14ac:dyDescent="0.25">
      <c r="A1713" t="s">
        <v>1674</v>
      </c>
      <c r="B1713" t="s">
        <v>13</v>
      </c>
      <c r="C1713" t="s">
        <v>864</v>
      </c>
      <c r="D1713" t="s">
        <v>1675</v>
      </c>
      <c r="E1713" t="s">
        <v>1676</v>
      </c>
      <c r="F1713" t="s">
        <v>1427</v>
      </c>
      <c r="G1713" t="s">
        <v>1677</v>
      </c>
      <c r="H1713" t="s">
        <v>114</v>
      </c>
      <c r="I1713" t="s">
        <v>19</v>
      </c>
      <c r="J1713" s="3">
        <v>557932120800</v>
      </c>
      <c r="K1713" t="s">
        <v>1678</v>
      </c>
      <c r="L1713" t="s">
        <v>1679</v>
      </c>
      <c r="M1713" t="s">
        <v>1432</v>
      </c>
    </row>
    <row r="1714" spans="1:13" x14ac:dyDescent="0.25">
      <c r="A1714" t="s">
        <v>7229</v>
      </c>
      <c r="B1714" t="s">
        <v>13</v>
      </c>
      <c r="C1714" t="s">
        <v>7230</v>
      </c>
      <c r="D1714" t="s">
        <v>7231</v>
      </c>
      <c r="E1714" t="s">
        <v>7232</v>
      </c>
      <c r="F1714" t="s">
        <v>306</v>
      </c>
      <c r="G1714" t="s">
        <v>7233</v>
      </c>
      <c r="H1714" t="s">
        <v>7234</v>
      </c>
      <c r="I1714" t="s">
        <v>19</v>
      </c>
      <c r="J1714" s="3">
        <f>55-11-995415284</f>
        <v>-995415240</v>
      </c>
      <c r="K1714" t="s">
        <v>7235</v>
      </c>
      <c r="L1714" t="s">
        <v>1774</v>
      </c>
      <c r="M1714" t="s">
        <v>32145</v>
      </c>
    </row>
    <row r="1715" spans="1:13" x14ac:dyDescent="0.25">
      <c r="A1715" t="s">
        <v>29553</v>
      </c>
      <c r="B1715" t="s">
        <v>13</v>
      </c>
      <c r="C1715" t="s">
        <v>29547</v>
      </c>
      <c r="D1715" t="s">
        <v>29554</v>
      </c>
      <c r="E1715" t="s">
        <v>29555</v>
      </c>
      <c r="F1715" t="s">
        <v>117</v>
      </c>
      <c r="G1715" t="s">
        <v>28749</v>
      </c>
      <c r="H1715" t="s">
        <v>1466</v>
      </c>
      <c r="I1715" t="s">
        <v>19</v>
      </c>
      <c r="J1715" s="3" t="s">
        <v>28750</v>
      </c>
      <c r="K1715" t="s">
        <v>28751</v>
      </c>
      <c r="L1715" t="s">
        <v>28752</v>
      </c>
      <c r="M1715" t="s">
        <v>32145</v>
      </c>
    </row>
    <row r="1716" spans="1:13" x14ac:dyDescent="0.25">
      <c r="A1716" t="s">
        <v>6720</v>
      </c>
      <c r="B1716" t="s">
        <v>13</v>
      </c>
      <c r="C1716" s="1">
        <v>44508</v>
      </c>
      <c r="D1716" t="s">
        <v>6721</v>
      </c>
      <c r="E1716" t="s">
        <v>6722</v>
      </c>
      <c r="F1716" t="s">
        <v>117</v>
      </c>
      <c r="G1716" t="s">
        <v>6723</v>
      </c>
      <c r="H1716" t="s">
        <v>714</v>
      </c>
      <c r="I1716" t="s">
        <v>19</v>
      </c>
      <c r="J1716" s="3">
        <f>55-18-36362860</f>
        <v>-36362823</v>
      </c>
      <c r="K1716" t="s">
        <v>6724</v>
      </c>
      <c r="L1716" t="s">
        <v>6725</v>
      </c>
      <c r="M1716" t="s">
        <v>32145</v>
      </c>
    </row>
    <row r="1717" spans="1:13" x14ac:dyDescent="0.25">
      <c r="A1717" t="s">
        <v>22445</v>
      </c>
      <c r="B1717" t="s">
        <v>13</v>
      </c>
      <c r="C1717" t="s">
        <v>10219</v>
      </c>
      <c r="D1717" t="s">
        <v>22446</v>
      </c>
      <c r="E1717" t="s">
        <v>22447</v>
      </c>
      <c r="F1717" t="s">
        <v>1464</v>
      </c>
      <c r="G1717" t="s">
        <v>22448</v>
      </c>
      <c r="H1717" t="s">
        <v>10228</v>
      </c>
      <c r="I1717" t="s">
        <v>19</v>
      </c>
      <c r="J1717" s="3" t="s">
        <v>22449</v>
      </c>
      <c r="K1717" t="s">
        <v>22450</v>
      </c>
      <c r="L1717" t="s">
        <v>9587</v>
      </c>
      <c r="M1717" t="s">
        <v>129</v>
      </c>
    </row>
    <row r="1718" spans="1:13" x14ac:dyDescent="0.25">
      <c r="A1718" t="s">
        <v>24526</v>
      </c>
      <c r="B1718" t="s">
        <v>13</v>
      </c>
      <c r="C1718" t="s">
        <v>24527</v>
      </c>
      <c r="D1718" t="s">
        <v>24528</v>
      </c>
      <c r="E1718" t="s">
        <v>24529</v>
      </c>
      <c r="F1718" t="s">
        <v>11031</v>
      </c>
      <c r="G1718" t="s">
        <v>24530</v>
      </c>
      <c r="H1718" t="s">
        <v>1421</v>
      </c>
      <c r="I1718" t="s">
        <v>19</v>
      </c>
      <c r="J1718" s="3" t="s">
        <v>24531</v>
      </c>
      <c r="K1718" t="s">
        <v>24532</v>
      </c>
      <c r="L1718" t="s">
        <v>1909</v>
      </c>
      <c r="M1718" t="s">
        <v>741</v>
      </c>
    </row>
    <row r="1719" spans="1:13" x14ac:dyDescent="0.25">
      <c r="A1719" t="s">
        <v>4184</v>
      </c>
      <c r="B1719" t="s">
        <v>13</v>
      </c>
      <c r="C1719" t="s">
        <v>4185</v>
      </c>
      <c r="D1719" t="s">
        <v>4186</v>
      </c>
      <c r="E1719" t="s">
        <v>4187</v>
      </c>
      <c r="F1719" t="s">
        <v>1436</v>
      </c>
      <c r="G1719" t="s">
        <v>4188</v>
      </c>
      <c r="H1719" t="s">
        <v>615</v>
      </c>
      <c r="I1719" t="s">
        <v>19</v>
      </c>
      <c r="J1719" s="3" t="s">
        <v>4189</v>
      </c>
      <c r="K1719" t="s">
        <v>4190</v>
      </c>
      <c r="L1719" t="s">
        <v>4191</v>
      </c>
      <c r="M1719" t="s">
        <v>32121</v>
      </c>
    </row>
    <row r="1720" spans="1:13" x14ac:dyDescent="0.25">
      <c r="A1720" t="s">
        <v>9923</v>
      </c>
      <c r="B1720" t="s">
        <v>13</v>
      </c>
      <c r="C1720" s="1">
        <v>43870</v>
      </c>
      <c r="D1720" t="s">
        <v>9924</v>
      </c>
      <c r="E1720" t="s">
        <v>9925</v>
      </c>
      <c r="F1720" t="s">
        <v>9929</v>
      </c>
      <c r="G1720" t="s">
        <v>9926</v>
      </c>
      <c r="H1720" t="s">
        <v>9927</v>
      </c>
      <c r="I1720" t="s">
        <v>19</v>
      </c>
      <c r="J1720" s="3">
        <f>5541843215-4100</f>
        <v>5541839115</v>
      </c>
      <c r="K1720" t="s">
        <v>9928</v>
      </c>
      <c r="L1720" t="s">
        <v>764</v>
      </c>
      <c r="M1720" t="s">
        <v>57</v>
      </c>
    </row>
    <row r="1721" spans="1:13" x14ac:dyDescent="0.25">
      <c r="A1721" t="s">
        <v>12085</v>
      </c>
      <c r="B1721" t="s">
        <v>13</v>
      </c>
      <c r="C1721" t="s">
        <v>7455</v>
      </c>
      <c r="D1721" t="s">
        <v>12222</v>
      </c>
      <c r="E1721" t="s">
        <v>12223</v>
      </c>
      <c r="F1721" t="s">
        <v>306</v>
      </c>
      <c r="G1721" t="s">
        <v>11689</v>
      </c>
      <c r="H1721" t="s">
        <v>706</v>
      </c>
      <c r="I1721" t="s">
        <v>19</v>
      </c>
      <c r="J1721" s="3" t="s">
        <v>11690</v>
      </c>
      <c r="K1721" t="s">
        <v>11691</v>
      </c>
      <c r="L1721" t="s">
        <v>565</v>
      </c>
      <c r="M1721" t="s">
        <v>32145</v>
      </c>
    </row>
    <row r="1722" spans="1:13" x14ac:dyDescent="0.25">
      <c r="A1722" t="s">
        <v>12085</v>
      </c>
      <c r="B1722" t="s">
        <v>13</v>
      </c>
      <c r="C1722" t="s">
        <v>7455</v>
      </c>
      <c r="D1722" t="s">
        <v>12224</v>
      </c>
      <c r="E1722" t="s">
        <v>12225</v>
      </c>
      <c r="F1722" t="s">
        <v>117</v>
      </c>
      <c r="G1722" t="s">
        <v>11689</v>
      </c>
      <c r="H1722" t="s">
        <v>706</v>
      </c>
      <c r="I1722" t="s">
        <v>19</v>
      </c>
      <c r="J1722" s="3" t="s">
        <v>11690</v>
      </c>
      <c r="K1722" t="s">
        <v>11691</v>
      </c>
      <c r="L1722" t="s">
        <v>565</v>
      </c>
      <c r="M1722" t="s">
        <v>32145</v>
      </c>
    </row>
    <row r="1723" spans="1:13" x14ac:dyDescent="0.25">
      <c r="A1723" t="s">
        <v>16147</v>
      </c>
      <c r="B1723" t="s">
        <v>101</v>
      </c>
      <c r="C1723" s="1">
        <v>42621</v>
      </c>
      <c r="D1723" t="s">
        <v>16148</v>
      </c>
      <c r="E1723" t="s">
        <v>16149</v>
      </c>
      <c r="F1723" t="s">
        <v>1464</v>
      </c>
      <c r="G1723" t="s">
        <v>16150</v>
      </c>
      <c r="H1723" t="s">
        <v>706</v>
      </c>
      <c r="I1723" t="s">
        <v>2850</v>
      </c>
      <c r="J1723" s="3" t="s">
        <v>16151</v>
      </c>
      <c r="K1723" t="s">
        <v>16152</v>
      </c>
      <c r="L1723" t="s">
        <v>16153</v>
      </c>
      <c r="M1723" t="s">
        <v>1775</v>
      </c>
    </row>
    <row r="1724" spans="1:13" x14ac:dyDescent="0.25">
      <c r="A1724" t="s">
        <v>12297</v>
      </c>
      <c r="B1724" t="s">
        <v>13</v>
      </c>
      <c r="C1724" t="s">
        <v>8815</v>
      </c>
      <c r="D1724" t="s">
        <v>12298</v>
      </c>
      <c r="E1724" s="2" t="s">
        <v>32306</v>
      </c>
      <c r="F1724" t="s">
        <v>2758</v>
      </c>
      <c r="G1724" t="s">
        <v>12299</v>
      </c>
      <c r="H1724" t="s">
        <v>7612</v>
      </c>
      <c r="I1724" t="s">
        <v>19</v>
      </c>
      <c r="J1724" s="3">
        <f>55-34-996586774</f>
        <v>-996586753</v>
      </c>
      <c r="K1724" t="s">
        <v>12300</v>
      </c>
      <c r="L1724" t="s">
        <v>7614</v>
      </c>
      <c r="M1724" t="s">
        <v>32149</v>
      </c>
    </row>
    <row r="1725" spans="1:13" x14ac:dyDescent="0.25">
      <c r="A1725" t="s">
        <v>15373</v>
      </c>
      <c r="B1725" t="s">
        <v>13</v>
      </c>
      <c r="C1725" t="s">
        <v>7240</v>
      </c>
      <c r="D1725" t="s">
        <v>15374</v>
      </c>
      <c r="E1725" s="2" t="s">
        <v>32307</v>
      </c>
      <c r="F1725" t="s">
        <v>6686</v>
      </c>
      <c r="G1725" t="s">
        <v>15375</v>
      </c>
      <c r="H1725" t="s">
        <v>18</v>
      </c>
      <c r="I1725" t="s">
        <v>19</v>
      </c>
      <c r="J1725" s="3">
        <f>55-19-983310594</f>
        <v>-983310558</v>
      </c>
      <c r="K1725" t="s">
        <v>15376</v>
      </c>
      <c r="L1725" t="s">
        <v>10273</v>
      </c>
      <c r="M1725" t="s">
        <v>1349</v>
      </c>
    </row>
    <row r="1726" spans="1:13" x14ac:dyDescent="0.25">
      <c r="A1726" t="s">
        <v>25591</v>
      </c>
      <c r="B1726" t="s">
        <v>13</v>
      </c>
      <c r="C1726" s="1">
        <v>42499</v>
      </c>
      <c r="D1726" t="s">
        <v>25592</v>
      </c>
      <c r="E1726" t="s">
        <v>25593</v>
      </c>
      <c r="F1726" t="s">
        <v>6686</v>
      </c>
      <c r="G1726" t="s">
        <v>25594</v>
      </c>
      <c r="H1726" t="s">
        <v>36</v>
      </c>
      <c r="I1726" t="s">
        <v>19</v>
      </c>
      <c r="J1726" s="3" t="s">
        <v>25595</v>
      </c>
      <c r="K1726" t="s">
        <v>25596</v>
      </c>
      <c r="L1726" t="s">
        <v>344</v>
      </c>
      <c r="M1726" t="s">
        <v>337</v>
      </c>
    </row>
    <row r="1727" spans="1:13" x14ac:dyDescent="0.25">
      <c r="A1727" t="s">
        <v>7768</v>
      </c>
      <c r="B1727" t="s">
        <v>13</v>
      </c>
      <c r="C1727" s="1">
        <v>44291</v>
      </c>
      <c r="D1727" t="s">
        <v>7769</v>
      </c>
      <c r="E1727" t="s">
        <v>7770</v>
      </c>
      <c r="F1727" t="s">
        <v>6686</v>
      </c>
      <c r="G1727" t="s">
        <v>7771</v>
      </c>
      <c r="H1727" t="s">
        <v>7772</v>
      </c>
      <c r="I1727" t="s">
        <v>19</v>
      </c>
      <c r="J1727" s="3">
        <f>55-16-981980408</f>
        <v>-981980369</v>
      </c>
      <c r="K1727" t="s">
        <v>7773</v>
      </c>
      <c r="L1727" t="s">
        <v>7774</v>
      </c>
      <c r="M1727" t="s">
        <v>337</v>
      </c>
    </row>
    <row r="1728" spans="1:13" x14ac:dyDescent="0.25">
      <c r="A1728" t="s">
        <v>23932</v>
      </c>
      <c r="B1728" t="s">
        <v>13</v>
      </c>
      <c r="C1728" t="s">
        <v>23933</v>
      </c>
      <c r="D1728" t="s">
        <v>23934</v>
      </c>
      <c r="E1728" s="2" t="s">
        <v>31334</v>
      </c>
      <c r="F1728" t="s">
        <v>6686</v>
      </c>
      <c r="G1728" t="s">
        <v>23935</v>
      </c>
      <c r="H1728" t="s">
        <v>36</v>
      </c>
      <c r="I1728" t="s">
        <v>19</v>
      </c>
      <c r="J1728" s="3" t="s">
        <v>23936</v>
      </c>
      <c r="K1728" t="s">
        <v>23937</v>
      </c>
      <c r="L1728" t="s">
        <v>2725</v>
      </c>
      <c r="M1728" t="s">
        <v>337</v>
      </c>
    </row>
    <row r="1729" spans="1:13" x14ac:dyDescent="0.25">
      <c r="A1729" t="s">
        <v>13588</v>
      </c>
      <c r="B1729" t="s">
        <v>101</v>
      </c>
      <c r="C1729" s="1">
        <v>44137</v>
      </c>
      <c r="D1729" t="s">
        <v>13589</v>
      </c>
      <c r="E1729" s="2" t="s">
        <v>32308</v>
      </c>
      <c r="F1729" t="s">
        <v>6686</v>
      </c>
      <c r="G1729" t="s">
        <v>13590</v>
      </c>
      <c r="H1729" t="s">
        <v>3416</v>
      </c>
      <c r="I1729" t="s">
        <v>19</v>
      </c>
      <c r="J1729" s="3" t="s">
        <v>13591</v>
      </c>
      <c r="K1729" t="s">
        <v>13592</v>
      </c>
      <c r="L1729" t="s">
        <v>784</v>
      </c>
      <c r="M1729" t="s">
        <v>337</v>
      </c>
    </row>
    <row r="1730" spans="1:13" x14ac:dyDescent="0.25">
      <c r="A1730" t="s">
        <v>6517</v>
      </c>
      <c r="B1730" t="s">
        <v>13</v>
      </c>
      <c r="C1730" s="1">
        <v>44264</v>
      </c>
      <c r="D1730" t="s">
        <v>32135</v>
      </c>
      <c r="E1730" s="2" t="s">
        <v>31954</v>
      </c>
      <c r="F1730" t="s">
        <v>6518</v>
      </c>
      <c r="G1730" t="s">
        <v>6519</v>
      </c>
      <c r="H1730" t="s">
        <v>36</v>
      </c>
      <c r="I1730" t="s">
        <v>19</v>
      </c>
      <c r="J1730" s="3">
        <v>551155434722</v>
      </c>
      <c r="K1730" t="s">
        <v>6520</v>
      </c>
      <c r="L1730" t="s">
        <v>32135</v>
      </c>
      <c r="M1730" t="s">
        <v>337</v>
      </c>
    </row>
    <row r="1731" spans="1:13" x14ac:dyDescent="0.25">
      <c r="A1731" t="s">
        <v>15540</v>
      </c>
      <c r="B1731" t="s">
        <v>13</v>
      </c>
      <c r="C1731" s="1">
        <v>43779</v>
      </c>
      <c r="D1731" t="s">
        <v>15541</v>
      </c>
      <c r="E1731" s="2" t="s">
        <v>31560</v>
      </c>
      <c r="F1731" t="s">
        <v>1464</v>
      </c>
      <c r="G1731" t="s">
        <v>15542</v>
      </c>
      <c r="H1731" t="s">
        <v>15543</v>
      </c>
      <c r="I1731" t="s">
        <v>19</v>
      </c>
      <c r="J1731" s="3">
        <f>55-44-30114494</f>
        <v>-30114483</v>
      </c>
      <c r="K1731" t="s">
        <v>15544</v>
      </c>
      <c r="L1731" t="s">
        <v>904</v>
      </c>
      <c r="M1731" t="s">
        <v>1775</v>
      </c>
    </row>
    <row r="1732" spans="1:13" x14ac:dyDescent="0.25">
      <c r="A1732" t="s">
        <v>22229</v>
      </c>
      <c r="B1732" t="s">
        <v>13</v>
      </c>
      <c r="C1732" t="s">
        <v>12033</v>
      </c>
      <c r="D1732" t="s">
        <v>22230</v>
      </c>
      <c r="E1732" t="s">
        <v>22231</v>
      </c>
      <c r="F1732" t="s">
        <v>337</v>
      </c>
      <c r="G1732" t="s">
        <v>7718</v>
      </c>
      <c r="H1732" t="s">
        <v>170</v>
      </c>
      <c r="I1732" t="s">
        <v>19</v>
      </c>
      <c r="J1732" s="3" t="s">
        <v>7719</v>
      </c>
      <c r="K1732" t="s">
        <v>7720</v>
      </c>
      <c r="L1732" t="s">
        <v>7721</v>
      </c>
      <c r="M1732" t="s">
        <v>337</v>
      </c>
    </row>
    <row r="1733" spans="1:13" x14ac:dyDescent="0.25">
      <c r="A1733" t="s">
        <v>25285</v>
      </c>
      <c r="B1733" t="s">
        <v>13</v>
      </c>
      <c r="C1733" t="s">
        <v>25286</v>
      </c>
      <c r="D1733" t="s">
        <v>25287</v>
      </c>
      <c r="E1733" s="2" t="s">
        <v>31597</v>
      </c>
      <c r="F1733" t="s">
        <v>337</v>
      </c>
      <c r="G1733" t="s">
        <v>25288</v>
      </c>
      <c r="H1733" t="s">
        <v>372</v>
      </c>
      <c r="I1733" t="s">
        <v>19</v>
      </c>
      <c r="J1733" s="3" t="s">
        <v>25289</v>
      </c>
      <c r="K1733" t="s">
        <v>25290</v>
      </c>
      <c r="L1733" t="s">
        <v>25291</v>
      </c>
      <c r="M1733" t="s">
        <v>337</v>
      </c>
    </row>
    <row r="1734" spans="1:13" x14ac:dyDescent="0.25">
      <c r="A1734" t="s">
        <v>24583</v>
      </c>
      <c r="B1734" t="s">
        <v>13</v>
      </c>
      <c r="C1734" s="1">
        <v>42797</v>
      </c>
      <c r="D1734" t="s">
        <v>24584</v>
      </c>
      <c r="E1734" t="s">
        <v>24585</v>
      </c>
      <c r="F1734" t="s">
        <v>1464</v>
      </c>
      <c r="G1734" t="s">
        <v>24586</v>
      </c>
      <c r="H1734" t="s">
        <v>578</v>
      </c>
      <c r="I1734" t="s">
        <v>19</v>
      </c>
      <c r="J1734" s="3">
        <v>5592981639212</v>
      </c>
      <c r="K1734" t="s">
        <v>24587</v>
      </c>
      <c r="L1734" t="s">
        <v>678</v>
      </c>
      <c r="M1734" t="s">
        <v>337</v>
      </c>
    </row>
    <row r="1735" spans="1:13" x14ac:dyDescent="0.25">
      <c r="A1735" t="s">
        <v>24854</v>
      </c>
      <c r="B1735" t="s">
        <v>13</v>
      </c>
      <c r="C1735" t="s">
        <v>24855</v>
      </c>
      <c r="D1735" t="s">
        <v>24856</v>
      </c>
      <c r="E1735" t="s">
        <v>24857</v>
      </c>
      <c r="F1735" t="s">
        <v>5940</v>
      </c>
      <c r="G1735" t="s">
        <v>24858</v>
      </c>
      <c r="H1735" t="s">
        <v>1486</v>
      </c>
      <c r="I1735" t="s">
        <v>19</v>
      </c>
      <c r="J1735" s="3" t="s">
        <v>24859</v>
      </c>
      <c r="K1735" t="s">
        <v>24860</v>
      </c>
      <c r="L1735" t="s">
        <v>1489</v>
      </c>
      <c r="M1735" t="s">
        <v>741</v>
      </c>
    </row>
    <row r="1736" spans="1:13" x14ac:dyDescent="0.25">
      <c r="A1736" t="s">
        <v>27417</v>
      </c>
      <c r="B1736" t="s">
        <v>13</v>
      </c>
      <c r="C1736" t="s">
        <v>15195</v>
      </c>
      <c r="D1736" t="s">
        <v>27418</v>
      </c>
      <c r="E1736" s="2" t="s">
        <v>31349</v>
      </c>
      <c r="F1736" t="s">
        <v>5940</v>
      </c>
      <c r="G1736" t="s">
        <v>27419</v>
      </c>
      <c r="H1736" t="s">
        <v>462</v>
      </c>
      <c r="I1736" t="s">
        <v>19</v>
      </c>
      <c r="J1736" s="3" t="s">
        <v>27420</v>
      </c>
      <c r="K1736" t="s">
        <v>27421</v>
      </c>
      <c r="L1736" t="s">
        <v>904</v>
      </c>
      <c r="M1736" t="s">
        <v>741</v>
      </c>
    </row>
    <row r="1737" spans="1:13" x14ac:dyDescent="0.25">
      <c r="A1737" t="s">
        <v>21711</v>
      </c>
      <c r="B1737" t="s">
        <v>13</v>
      </c>
      <c r="C1737" t="s">
        <v>21712</v>
      </c>
      <c r="D1737" t="s">
        <v>21713</v>
      </c>
      <c r="E1737" s="2" t="s">
        <v>31297</v>
      </c>
      <c r="F1737" t="s">
        <v>771</v>
      </c>
      <c r="G1737" t="s">
        <v>21714</v>
      </c>
      <c r="H1737" t="s">
        <v>36</v>
      </c>
      <c r="I1737" t="s">
        <v>19</v>
      </c>
      <c r="J1737" s="3">
        <f>55 -11-3594-3800</f>
        <v>-7350</v>
      </c>
      <c r="K1737" t="s">
        <v>21715</v>
      </c>
      <c r="L1737" t="s">
        <v>21716</v>
      </c>
      <c r="M1737" t="s">
        <v>771</v>
      </c>
    </row>
    <row r="1738" spans="1:13" x14ac:dyDescent="0.25">
      <c r="A1738" t="s">
        <v>17448</v>
      </c>
      <c r="B1738" t="s">
        <v>13</v>
      </c>
      <c r="C1738" t="s">
        <v>16682</v>
      </c>
      <c r="D1738" t="s">
        <v>17449</v>
      </c>
      <c r="E1738" t="s">
        <v>17450</v>
      </c>
      <c r="F1738" t="s">
        <v>224</v>
      </c>
      <c r="G1738" t="s">
        <v>17451</v>
      </c>
      <c r="H1738" t="s">
        <v>706</v>
      </c>
      <c r="I1738" t="s">
        <v>19</v>
      </c>
      <c r="J1738" s="3" t="s">
        <v>17452</v>
      </c>
      <c r="K1738" t="s">
        <v>17453</v>
      </c>
      <c r="L1738" t="s">
        <v>565</v>
      </c>
      <c r="M1738" t="s">
        <v>224</v>
      </c>
    </row>
    <row r="1739" spans="1:13" x14ac:dyDescent="0.25">
      <c r="A1739" t="s">
        <v>2131</v>
      </c>
      <c r="B1739" t="s">
        <v>13</v>
      </c>
      <c r="C1739" t="s">
        <v>2124</v>
      </c>
      <c r="D1739" t="s">
        <v>2132</v>
      </c>
      <c r="E1739" t="s">
        <v>2133</v>
      </c>
      <c r="F1739" t="s">
        <v>2134</v>
      </c>
      <c r="G1739" t="s">
        <v>2135</v>
      </c>
      <c r="H1739" t="s">
        <v>1486</v>
      </c>
      <c r="I1739" t="s">
        <v>19</v>
      </c>
      <c r="J1739" s="3" t="s">
        <v>2136</v>
      </c>
      <c r="K1739" t="s">
        <v>2137</v>
      </c>
      <c r="L1739" t="s">
        <v>1489</v>
      </c>
      <c r="M1739" t="s">
        <v>32149</v>
      </c>
    </row>
    <row r="1740" spans="1:13" x14ac:dyDescent="0.25">
      <c r="A1740" t="s">
        <v>22992</v>
      </c>
      <c r="B1740" t="s">
        <v>13</v>
      </c>
      <c r="C1740" t="s">
        <v>22981</v>
      </c>
      <c r="D1740" t="s">
        <v>22993</v>
      </c>
      <c r="E1740" t="s">
        <v>22994</v>
      </c>
      <c r="F1740" t="s">
        <v>771</v>
      </c>
      <c r="G1740" t="s">
        <v>22089</v>
      </c>
      <c r="H1740" t="s">
        <v>706</v>
      </c>
      <c r="I1740" t="s">
        <v>19</v>
      </c>
      <c r="J1740" s="3" t="s">
        <v>22995</v>
      </c>
      <c r="K1740" t="s">
        <v>22090</v>
      </c>
      <c r="L1740" t="s">
        <v>2006</v>
      </c>
      <c r="M1740" t="s">
        <v>771</v>
      </c>
    </row>
    <row r="1741" spans="1:13" x14ac:dyDescent="0.25">
      <c r="A1741" t="s">
        <v>10452</v>
      </c>
      <c r="B1741" t="s">
        <v>13</v>
      </c>
      <c r="C1741" s="1">
        <v>44173</v>
      </c>
      <c r="D1741" t="s">
        <v>10453</v>
      </c>
      <c r="E1741" s="2" t="s">
        <v>30993</v>
      </c>
      <c r="F1741" t="s">
        <v>771</v>
      </c>
      <c r="G1741" t="s">
        <v>10454</v>
      </c>
      <c r="H1741" t="s">
        <v>36</v>
      </c>
      <c r="I1741" t="s">
        <v>19</v>
      </c>
      <c r="J1741" s="3">
        <f>55-11-55764848</f>
        <v>-55764804</v>
      </c>
      <c r="K1741" t="s">
        <v>10455</v>
      </c>
      <c r="L1741" t="s">
        <v>439</v>
      </c>
      <c r="M1741" t="s">
        <v>771</v>
      </c>
    </row>
    <row r="1742" spans="1:13" x14ac:dyDescent="0.25">
      <c r="A1742" t="s">
        <v>23017</v>
      </c>
      <c r="B1742" t="s">
        <v>13</v>
      </c>
      <c r="C1742" t="s">
        <v>23008</v>
      </c>
      <c r="D1742" t="s">
        <v>23018</v>
      </c>
      <c r="E1742" s="2" t="s">
        <v>32309</v>
      </c>
      <c r="F1742" t="s">
        <v>2765</v>
      </c>
      <c r="G1742" t="s">
        <v>3483</v>
      </c>
      <c r="H1742" t="s">
        <v>1949</v>
      </c>
      <c r="I1742" t="s">
        <v>19</v>
      </c>
      <c r="J1742" s="3">
        <f>55-55-999224402</f>
        <v>-999224402</v>
      </c>
      <c r="K1742" t="s">
        <v>3484</v>
      </c>
      <c r="L1742" t="s">
        <v>3485</v>
      </c>
      <c r="M1742" t="s">
        <v>771</v>
      </c>
    </row>
    <row r="1743" spans="1:13" x14ac:dyDescent="0.25">
      <c r="A1743" t="s">
        <v>6512</v>
      </c>
      <c r="B1743" t="s">
        <v>13</v>
      </c>
      <c r="C1743" s="1">
        <v>44356</v>
      </c>
      <c r="D1743" t="s">
        <v>6513</v>
      </c>
      <c r="E1743" s="2" t="s">
        <v>32309</v>
      </c>
      <c r="F1743" t="s">
        <v>2765</v>
      </c>
      <c r="G1743" t="s">
        <v>3483</v>
      </c>
      <c r="H1743" t="s">
        <v>1949</v>
      </c>
      <c r="I1743" t="s">
        <v>19</v>
      </c>
      <c r="J1743" s="3">
        <f>55-55-999224402</f>
        <v>-999224402</v>
      </c>
      <c r="K1743" t="s">
        <v>3484</v>
      </c>
      <c r="L1743" t="s">
        <v>3485</v>
      </c>
      <c r="M1743" t="s">
        <v>771</v>
      </c>
    </row>
    <row r="1744" spans="1:13" x14ac:dyDescent="0.25">
      <c r="A1744" t="s">
        <v>13382</v>
      </c>
      <c r="B1744" t="s">
        <v>101</v>
      </c>
      <c r="C1744" t="s">
        <v>13383</v>
      </c>
      <c r="D1744" t="s">
        <v>13384</v>
      </c>
      <c r="E1744" t="s">
        <v>13385</v>
      </c>
      <c r="F1744" t="s">
        <v>771</v>
      </c>
      <c r="G1744" t="s">
        <v>13386</v>
      </c>
      <c r="H1744" t="s">
        <v>798</v>
      </c>
      <c r="I1744" t="s">
        <v>19</v>
      </c>
      <c r="J1744" s="3">
        <f>55-61-982919474</f>
        <v>-982919480</v>
      </c>
      <c r="K1744" t="s">
        <v>13387</v>
      </c>
      <c r="L1744" t="s">
        <v>12387</v>
      </c>
      <c r="M1744" t="s">
        <v>771</v>
      </c>
    </row>
    <row r="1745" spans="1:13" x14ac:dyDescent="0.25">
      <c r="A1745" t="s">
        <v>28218</v>
      </c>
      <c r="B1745" t="s">
        <v>13</v>
      </c>
      <c r="C1745" s="1">
        <v>42313</v>
      </c>
      <c r="D1745" t="s">
        <v>28219</v>
      </c>
      <c r="E1745" t="s">
        <v>28220</v>
      </c>
      <c r="F1745" t="s">
        <v>337</v>
      </c>
      <c r="G1745" t="s">
        <v>28125</v>
      </c>
      <c r="H1745" t="s">
        <v>18178</v>
      </c>
      <c r="I1745" t="s">
        <v>19</v>
      </c>
      <c r="J1745" s="3" t="s">
        <v>28126</v>
      </c>
      <c r="K1745" t="s">
        <v>28127</v>
      </c>
      <c r="L1745" t="s">
        <v>74</v>
      </c>
      <c r="M1745" t="s">
        <v>337</v>
      </c>
    </row>
    <row r="1746" spans="1:13" x14ac:dyDescent="0.25">
      <c r="A1746" t="s">
        <v>9311</v>
      </c>
      <c r="B1746" t="s">
        <v>13</v>
      </c>
      <c r="C1746" s="1">
        <v>44053</v>
      </c>
      <c r="D1746" t="s">
        <v>9312</v>
      </c>
      <c r="E1746" s="2" t="s">
        <v>31407</v>
      </c>
      <c r="F1746" t="s">
        <v>129</v>
      </c>
      <c r="G1746" t="s">
        <v>9313</v>
      </c>
      <c r="H1746" t="s">
        <v>1329</v>
      </c>
      <c r="I1746" t="s">
        <v>19</v>
      </c>
      <c r="J1746" s="3">
        <v>5547999432827</v>
      </c>
      <c r="K1746" t="s">
        <v>9314</v>
      </c>
      <c r="L1746" t="s">
        <v>9315</v>
      </c>
      <c r="M1746" t="s">
        <v>129</v>
      </c>
    </row>
    <row r="1747" spans="1:13" x14ac:dyDescent="0.25">
      <c r="A1747" t="s">
        <v>25752</v>
      </c>
      <c r="B1747" t="s">
        <v>13</v>
      </c>
      <c r="C1747" s="1">
        <v>42590</v>
      </c>
      <c r="D1747" t="s">
        <v>25753</v>
      </c>
      <c r="E1747" t="s">
        <v>32310</v>
      </c>
      <c r="F1747" t="s">
        <v>129</v>
      </c>
      <c r="G1747" t="s">
        <v>25754</v>
      </c>
      <c r="H1747" t="s">
        <v>36</v>
      </c>
      <c r="I1747" t="s">
        <v>19</v>
      </c>
      <c r="J1747" s="3" t="s">
        <v>25755</v>
      </c>
      <c r="K1747" t="s">
        <v>25756</v>
      </c>
      <c r="L1747" t="s">
        <v>25757</v>
      </c>
      <c r="M1747" t="s">
        <v>129</v>
      </c>
    </row>
    <row r="1748" spans="1:13" x14ac:dyDescent="0.25">
      <c r="A1748" t="s">
        <v>26886</v>
      </c>
      <c r="B1748" t="s">
        <v>13</v>
      </c>
      <c r="C1748" s="1">
        <v>42372</v>
      </c>
      <c r="D1748" t="s">
        <v>26887</v>
      </c>
      <c r="E1748" t="s">
        <v>26888</v>
      </c>
      <c r="F1748" t="s">
        <v>129</v>
      </c>
      <c r="G1748" t="s">
        <v>26889</v>
      </c>
      <c r="H1748" t="s">
        <v>409</v>
      </c>
      <c r="I1748" t="s">
        <v>19</v>
      </c>
      <c r="J1748" s="3" t="s">
        <v>26890</v>
      </c>
      <c r="K1748" t="s">
        <v>23968</v>
      </c>
      <c r="L1748" t="s">
        <v>1823</v>
      </c>
      <c r="M1748" t="s">
        <v>129</v>
      </c>
    </row>
    <row r="1749" spans="1:13" x14ac:dyDescent="0.25">
      <c r="A1749" t="s">
        <v>18716</v>
      </c>
      <c r="B1749" t="s">
        <v>13</v>
      </c>
      <c r="C1749" t="s">
        <v>18710</v>
      </c>
      <c r="D1749" t="s">
        <v>18717</v>
      </c>
      <c r="E1749" t="s">
        <v>18718</v>
      </c>
      <c r="F1749" t="s">
        <v>129</v>
      </c>
      <c r="G1749" t="s">
        <v>18719</v>
      </c>
      <c r="H1749" t="s">
        <v>706</v>
      </c>
      <c r="I1749" t="s">
        <v>19</v>
      </c>
      <c r="J1749" s="3">
        <f>55-31-34094783</f>
        <v>-34094759</v>
      </c>
      <c r="K1749" t="s">
        <v>17345</v>
      </c>
      <c r="L1749" t="s">
        <v>565</v>
      </c>
      <c r="M1749" t="s">
        <v>129</v>
      </c>
    </row>
    <row r="1750" spans="1:13" x14ac:dyDescent="0.25">
      <c r="A1750" t="s">
        <v>21872</v>
      </c>
      <c r="B1750" t="s">
        <v>13</v>
      </c>
      <c r="C1750" t="s">
        <v>21873</v>
      </c>
      <c r="D1750" t="s">
        <v>21874</v>
      </c>
      <c r="E1750" s="2" t="s">
        <v>31787</v>
      </c>
      <c r="F1750" t="s">
        <v>129</v>
      </c>
      <c r="G1750" t="s">
        <v>16827</v>
      </c>
      <c r="H1750" t="s">
        <v>1466</v>
      </c>
      <c r="I1750" t="s">
        <v>19</v>
      </c>
      <c r="J1750" s="3">
        <v>553532912634</v>
      </c>
      <c r="K1750" t="s">
        <v>16828</v>
      </c>
      <c r="L1750" t="s">
        <v>21875</v>
      </c>
      <c r="M1750" t="s">
        <v>129</v>
      </c>
    </row>
    <row r="1751" spans="1:13" x14ac:dyDescent="0.25">
      <c r="A1751" t="s">
        <v>7775</v>
      </c>
      <c r="B1751" t="s">
        <v>13</v>
      </c>
      <c r="C1751" t="s">
        <v>7776</v>
      </c>
      <c r="D1751" t="s">
        <v>7777</v>
      </c>
      <c r="E1751" s="2" t="s">
        <v>30940</v>
      </c>
      <c r="F1751" t="s">
        <v>7778</v>
      </c>
      <c r="G1751" t="s">
        <v>7780</v>
      </c>
      <c r="H1751" t="s">
        <v>299</v>
      </c>
      <c r="I1751" t="s">
        <v>19</v>
      </c>
      <c r="J1751" s="3">
        <v>55041992050444</v>
      </c>
      <c r="K1751" t="s">
        <v>7781</v>
      </c>
      <c r="L1751" t="s">
        <v>32135</v>
      </c>
      <c r="M1751" t="s">
        <v>771</v>
      </c>
    </row>
    <row r="1752" spans="1:13" x14ac:dyDescent="0.25">
      <c r="A1752" t="s">
        <v>13735</v>
      </c>
      <c r="B1752" t="s">
        <v>13</v>
      </c>
      <c r="C1752" s="1">
        <v>43984</v>
      </c>
      <c r="D1752" t="s">
        <v>13736</v>
      </c>
      <c r="E1752" t="s">
        <v>32311</v>
      </c>
      <c r="F1752" t="s">
        <v>2036</v>
      </c>
      <c r="G1752" t="s">
        <v>13737</v>
      </c>
      <c r="H1752" t="s">
        <v>141</v>
      </c>
      <c r="I1752" t="s">
        <v>19</v>
      </c>
      <c r="J1752" s="3" t="s">
        <v>13738</v>
      </c>
      <c r="K1752" t="s">
        <v>3897</v>
      </c>
      <c r="L1752" t="s">
        <v>13739</v>
      </c>
      <c r="M1752" t="s">
        <v>57</v>
      </c>
    </row>
    <row r="1753" spans="1:13" x14ac:dyDescent="0.25">
      <c r="A1753" t="s">
        <v>7460</v>
      </c>
      <c r="B1753" t="s">
        <v>13</v>
      </c>
      <c r="C1753" t="s">
        <v>7461</v>
      </c>
      <c r="D1753" t="s">
        <v>7462</v>
      </c>
      <c r="E1753" s="2" t="s">
        <v>32312</v>
      </c>
      <c r="F1753" t="s">
        <v>57</v>
      </c>
      <c r="G1753" t="s">
        <v>4797</v>
      </c>
      <c r="H1753" t="s">
        <v>36</v>
      </c>
      <c r="I1753" t="s">
        <v>19</v>
      </c>
      <c r="J1753" s="3">
        <f>55-1130917418</f>
        <v>-1130917363</v>
      </c>
      <c r="K1753" t="s">
        <v>4798</v>
      </c>
      <c r="L1753" t="s">
        <v>4799</v>
      </c>
      <c r="M1753" t="s">
        <v>57</v>
      </c>
    </row>
    <row r="1754" spans="1:13" x14ac:dyDescent="0.25">
      <c r="A1754" t="s">
        <v>13817</v>
      </c>
      <c r="B1754" t="s">
        <v>13</v>
      </c>
      <c r="C1754" t="s">
        <v>13789</v>
      </c>
      <c r="D1754" t="s">
        <v>13818</v>
      </c>
      <c r="E1754" t="s">
        <v>32313</v>
      </c>
      <c r="F1754" t="s">
        <v>57</v>
      </c>
      <c r="G1754" t="s">
        <v>13819</v>
      </c>
      <c r="H1754" t="s">
        <v>36</v>
      </c>
      <c r="I1754" t="s">
        <v>19</v>
      </c>
      <c r="J1754" s="3">
        <v>551130917418</v>
      </c>
      <c r="K1754" t="s">
        <v>4798</v>
      </c>
      <c r="L1754" t="s">
        <v>3512</v>
      </c>
      <c r="M1754" t="s">
        <v>337</v>
      </c>
    </row>
    <row r="1755" spans="1:13" x14ac:dyDescent="0.25">
      <c r="A1755" t="s">
        <v>11064</v>
      </c>
      <c r="B1755" t="s">
        <v>13</v>
      </c>
      <c r="C1755" t="s">
        <v>11065</v>
      </c>
      <c r="D1755" t="s">
        <v>11066</v>
      </c>
      <c r="E1755" s="2" t="s">
        <v>32314</v>
      </c>
      <c r="F1755" t="s">
        <v>57</v>
      </c>
      <c r="G1755" t="s">
        <v>11067</v>
      </c>
      <c r="H1755" t="s">
        <v>36</v>
      </c>
      <c r="I1755" t="s">
        <v>19</v>
      </c>
      <c r="J1755" s="3" t="s">
        <v>11068</v>
      </c>
      <c r="K1755" t="s">
        <v>11069</v>
      </c>
      <c r="L1755" t="s">
        <v>11070</v>
      </c>
      <c r="M1755" t="s">
        <v>57</v>
      </c>
    </row>
    <row r="1756" spans="1:13" x14ac:dyDescent="0.25">
      <c r="A1756" t="s">
        <v>23829</v>
      </c>
      <c r="B1756" t="s">
        <v>13</v>
      </c>
      <c r="C1756" s="1">
        <v>42955</v>
      </c>
      <c r="D1756" t="s">
        <v>23830</v>
      </c>
      <c r="E1756" s="2" t="s">
        <v>31705</v>
      </c>
      <c r="F1756" t="s">
        <v>1129</v>
      </c>
      <c r="G1756" t="s">
        <v>23675</v>
      </c>
      <c r="H1756" t="s">
        <v>23676</v>
      </c>
      <c r="I1756" t="s">
        <v>19</v>
      </c>
      <c r="J1756" s="3" t="s">
        <v>23677</v>
      </c>
      <c r="K1756" t="s">
        <v>23678</v>
      </c>
      <c r="L1756" t="s">
        <v>439</v>
      </c>
      <c r="M1756" t="s">
        <v>224</v>
      </c>
    </row>
    <row r="1757" spans="1:13" x14ac:dyDescent="0.25">
      <c r="A1757" t="s">
        <v>28621</v>
      </c>
      <c r="B1757" t="s">
        <v>101</v>
      </c>
      <c r="C1757" s="1">
        <v>42279</v>
      </c>
      <c r="D1757" t="s">
        <v>28622</v>
      </c>
      <c r="E1757" t="s">
        <v>28623</v>
      </c>
      <c r="F1757" t="s">
        <v>224</v>
      </c>
      <c r="G1757" t="s">
        <v>28624</v>
      </c>
      <c r="H1757" t="s">
        <v>265</v>
      </c>
      <c r="I1757" t="s">
        <v>19</v>
      </c>
      <c r="J1757" s="3" t="s">
        <v>28625</v>
      </c>
      <c r="K1757" t="s">
        <v>28626</v>
      </c>
      <c r="L1757" t="s">
        <v>20477</v>
      </c>
      <c r="M1757" t="s">
        <v>224</v>
      </c>
    </row>
    <row r="1758" spans="1:13" x14ac:dyDescent="0.25">
      <c r="A1758" t="s">
        <v>20525</v>
      </c>
      <c r="B1758" t="s">
        <v>13</v>
      </c>
      <c r="C1758" t="s">
        <v>20522</v>
      </c>
      <c r="D1758" t="s">
        <v>20526</v>
      </c>
      <c r="E1758" s="2" t="s">
        <v>32049</v>
      </c>
      <c r="F1758" t="s">
        <v>432</v>
      </c>
      <c r="G1758" t="s">
        <v>20527</v>
      </c>
      <c r="H1758" t="s">
        <v>36</v>
      </c>
      <c r="I1758" t="s">
        <v>19</v>
      </c>
      <c r="J1758" s="3">
        <f>55-11-26618703</f>
        <v>-26618659</v>
      </c>
      <c r="K1758" t="s">
        <v>20528</v>
      </c>
      <c r="L1758" t="s">
        <v>20529</v>
      </c>
      <c r="M1758" t="s">
        <v>432</v>
      </c>
    </row>
    <row r="1759" spans="1:13" x14ac:dyDescent="0.25">
      <c r="A1759" t="s">
        <v>24289</v>
      </c>
      <c r="B1759" t="s">
        <v>13</v>
      </c>
      <c r="C1759" s="1">
        <v>43074</v>
      </c>
      <c r="D1759" t="s">
        <v>24290</v>
      </c>
      <c r="E1759" t="s">
        <v>32315</v>
      </c>
      <c r="F1759" t="s">
        <v>785</v>
      </c>
      <c r="G1759" t="s">
        <v>24291</v>
      </c>
      <c r="H1759" t="s">
        <v>409</v>
      </c>
      <c r="I1759" t="s">
        <v>19</v>
      </c>
      <c r="J1759" s="3" t="s">
        <v>24292</v>
      </c>
      <c r="K1759" t="s">
        <v>24293</v>
      </c>
      <c r="L1759" t="s">
        <v>1823</v>
      </c>
      <c r="M1759" t="s">
        <v>785</v>
      </c>
    </row>
    <row r="1760" spans="1:13" x14ac:dyDescent="0.25">
      <c r="A1760" t="s">
        <v>947</v>
      </c>
      <c r="B1760" t="s">
        <v>13</v>
      </c>
      <c r="C1760" t="s">
        <v>948</v>
      </c>
      <c r="D1760" t="s">
        <v>949</v>
      </c>
      <c r="E1760" t="s">
        <v>950</v>
      </c>
      <c r="F1760" t="s">
        <v>951</v>
      </c>
      <c r="G1760" t="s">
        <v>952</v>
      </c>
      <c r="H1760" t="s">
        <v>36</v>
      </c>
      <c r="I1760" t="s">
        <v>19</v>
      </c>
      <c r="J1760" s="3" t="s">
        <v>953</v>
      </c>
      <c r="K1760" t="s">
        <v>954</v>
      </c>
      <c r="L1760" t="s">
        <v>955</v>
      </c>
      <c r="M1760" t="s">
        <v>57</v>
      </c>
    </row>
    <row r="1761" spans="1:13" x14ac:dyDescent="0.25">
      <c r="A1761" t="s">
        <v>18009</v>
      </c>
      <c r="B1761" t="s">
        <v>13</v>
      </c>
      <c r="C1761" t="s">
        <v>16588</v>
      </c>
      <c r="D1761" t="s">
        <v>18010</v>
      </c>
      <c r="E1761" t="s">
        <v>18011</v>
      </c>
      <c r="F1761" t="s">
        <v>3084</v>
      </c>
      <c r="G1761" t="s">
        <v>18012</v>
      </c>
      <c r="H1761" t="s">
        <v>71</v>
      </c>
      <c r="I1761" t="s">
        <v>19</v>
      </c>
      <c r="J1761" s="3" t="s">
        <v>18013</v>
      </c>
      <c r="K1761" t="s">
        <v>18014</v>
      </c>
      <c r="L1761" t="s">
        <v>18015</v>
      </c>
      <c r="M1761" t="s">
        <v>32144</v>
      </c>
    </row>
    <row r="1762" spans="1:13" x14ac:dyDescent="0.25">
      <c r="A1762" t="s">
        <v>7722</v>
      </c>
      <c r="B1762" t="s">
        <v>13</v>
      </c>
      <c r="C1762" s="1">
        <v>44382</v>
      </c>
      <c r="D1762" t="s">
        <v>32135</v>
      </c>
      <c r="E1762" t="s">
        <v>32316</v>
      </c>
      <c r="F1762" t="s">
        <v>7031</v>
      </c>
      <c r="G1762" t="s">
        <v>7032</v>
      </c>
      <c r="H1762" t="s">
        <v>2598</v>
      </c>
      <c r="I1762" t="s">
        <v>19</v>
      </c>
      <c r="J1762" s="3" t="s">
        <v>7033</v>
      </c>
      <c r="K1762" t="s">
        <v>7034</v>
      </c>
      <c r="L1762" t="s">
        <v>32135</v>
      </c>
      <c r="M1762" t="s">
        <v>337</v>
      </c>
    </row>
    <row r="1763" spans="1:13" x14ac:dyDescent="0.25">
      <c r="A1763" t="s">
        <v>15273</v>
      </c>
      <c r="B1763" t="s">
        <v>13</v>
      </c>
      <c r="C1763" t="s">
        <v>9910</v>
      </c>
      <c r="D1763" t="s">
        <v>15274</v>
      </c>
      <c r="E1763" s="2" t="s">
        <v>31997</v>
      </c>
      <c r="F1763" t="s">
        <v>6130</v>
      </c>
      <c r="G1763" t="s">
        <v>5953</v>
      </c>
      <c r="H1763" t="s">
        <v>409</v>
      </c>
      <c r="I1763" t="s">
        <v>19</v>
      </c>
      <c r="J1763" s="3" t="s">
        <v>13247</v>
      </c>
      <c r="K1763" t="s">
        <v>5956</v>
      </c>
      <c r="L1763" t="s">
        <v>1480</v>
      </c>
      <c r="M1763" t="s">
        <v>32144</v>
      </c>
    </row>
    <row r="1764" spans="1:13" x14ac:dyDescent="0.25">
      <c r="A1764" t="s">
        <v>13399</v>
      </c>
      <c r="B1764" t="s">
        <v>101</v>
      </c>
      <c r="C1764" t="s">
        <v>12133</v>
      </c>
      <c r="D1764" t="s">
        <v>13400</v>
      </c>
      <c r="E1764" s="2" t="s">
        <v>31543</v>
      </c>
      <c r="F1764" t="s">
        <v>6130</v>
      </c>
      <c r="G1764" t="s">
        <v>13401</v>
      </c>
      <c r="H1764" t="s">
        <v>983</v>
      </c>
      <c r="I1764" t="s">
        <v>19</v>
      </c>
      <c r="J1764" s="3">
        <v>1937016730</v>
      </c>
      <c r="K1764" t="s">
        <v>13402</v>
      </c>
      <c r="L1764" t="s">
        <v>13403</v>
      </c>
      <c r="M1764" t="s">
        <v>32144</v>
      </c>
    </row>
    <row r="1765" spans="1:13" x14ac:dyDescent="0.25">
      <c r="A1765" t="s">
        <v>13033</v>
      </c>
      <c r="B1765" t="s">
        <v>101</v>
      </c>
      <c r="C1765" s="1">
        <v>44107</v>
      </c>
      <c r="D1765" t="s">
        <v>13034</v>
      </c>
      <c r="E1765" t="s">
        <v>13035</v>
      </c>
      <c r="F1765" t="s">
        <v>117</v>
      </c>
      <c r="G1765" t="s">
        <v>13036</v>
      </c>
      <c r="H1765" t="s">
        <v>13037</v>
      </c>
      <c r="I1765" t="s">
        <v>10059</v>
      </c>
      <c r="J1765" s="3">
        <v>17248327</v>
      </c>
      <c r="K1765" t="s">
        <v>13038</v>
      </c>
      <c r="L1765" t="s">
        <v>13039</v>
      </c>
      <c r="M1765" t="s">
        <v>32145</v>
      </c>
    </row>
    <row r="1766" spans="1:13" x14ac:dyDescent="0.25">
      <c r="A1766" t="s">
        <v>19160</v>
      </c>
      <c r="B1766" t="s">
        <v>13</v>
      </c>
      <c r="C1766" t="s">
        <v>19139</v>
      </c>
      <c r="D1766" t="s">
        <v>19161</v>
      </c>
      <c r="E1766" s="2" t="s">
        <v>31220</v>
      </c>
      <c r="F1766" t="s">
        <v>117</v>
      </c>
      <c r="G1766" t="s">
        <v>19162</v>
      </c>
      <c r="H1766" t="s">
        <v>409</v>
      </c>
      <c r="I1766" t="s">
        <v>19</v>
      </c>
      <c r="J1766" s="3" t="s">
        <v>19163</v>
      </c>
      <c r="K1766" t="s">
        <v>19164</v>
      </c>
      <c r="L1766" t="s">
        <v>412</v>
      </c>
      <c r="M1766" t="s">
        <v>32145</v>
      </c>
    </row>
    <row r="1767" spans="1:13" x14ac:dyDescent="0.25">
      <c r="A1767" t="s">
        <v>15230</v>
      </c>
      <c r="B1767" t="s">
        <v>13</v>
      </c>
      <c r="C1767" t="s">
        <v>303</v>
      </c>
      <c r="D1767" t="s">
        <v>15231</v>
      </c>
      <c r="E1767" t="s">
        <v>32317</v>
      </c>
      <c r="F1767" t="s">
        <v>57</v>
      </c>
      <c r="G1767" t="s">
        <v>15232</v>
      </c>
      <c r="H1767" t="s">
        <v>15233</v>
      </c>
      <c r="I1767" t="s">
        <v>19</v>
      </c>
      <c r="J1767" s="3" t="s">
        <v>15234</v>
      </c>
      <c r="K1767" t="s">
        <v>15235</v>
      </c>
      <c r="L1767" t="s">
        <v>8429</v>
      </c>
      <c r="M1767" t="s">
        <v>57</v>
      </c>
    </row>
    <row r="1768" spans="1:13" x14ac:dyDescent="0.25">
      <c r="A1768" t="s">
        <v>9076</v>
      </c>
      <c r="B1768" t="s">
        <v>13</v>
      </c>
      <c r="C1768" t="s">
        <v>7493</v>
      </c>
      <c r="D1768" t="s">
        <v>9077</v>
      </c>
      <c r="E1768" t="s">
        <v>32318</v>
      </c>
      <c r="F1768" t="s">
        <v>1464</v>
      </c>
      <c r="G1768" t="s">
        <v>9078</v>
      </c>
      <c r="H1768" t="s">
        <v>195</v>
      </c>
      <c r="I1768" t="s">
        <v>19</v>
      </c>
      <c r="J1768" s="3">
        <f>55-14-981547227</f>
        <v>-981547186</v>
      </c>
      <c r="K1768" t="s">
        <v>9079</v>
      </c>
      <c r="L1768" t="s">
        <v>9080</v>
      </c>
      <c r="M1768" t="s">
        <v>57</v>
      </c>
    </row>
    <row r="1769" spans="1:13" x14ac:dyDescent="0.25">
      <c r="A1769" t="s">
        <v>8987</v>
      </c>
      <c r="B1769" t="s">
        <v>13</v>
      </c>
      <c r="C1769" t="s">
        <v>8988</v>
      </c>
      <c r="D1769" t="s">
        <v>8989</v>
      </c>
      <c r="E1769" s="2" t="s">
        <v>32319</v>
      </c>
      <c r="F1769" t="s">
        <v>8990</v>
      </c>
      <c r="G1769" t="s">
        <v>8991</v>
      </c>
      <c r="H1769" t="s">
        <v>444</v>
      </c>
      <c r="I1769" t="s">
        <v>19</v>
      </c>
      <c r="J1769" s="3" t="s">
        <v>8992</v>
      </c>
      <c r="K1769" t="s">
        <v>8993</v>
      </c>
      <c r="L1769" t="s">
        <v>8994</v>
      </c>
      <c r="M1769" t="s">
        <v>224</v>
      </c>
    </row>
    <row r="1770" spans="1:13" x14ac:dyDescent="0.25">
      <c r="A1770" t="s">
        <v>11483</v>
      </c>
      <c r="B1770" t="s">
        <v>13</v>
      </c>
      <c r="C1770" s="1">
        <v>44049</v>
      </c>
      <c r="D1770" t="s">
        <v>11484</v>
      </c>
      <c r="E1770" t="s">
        <v>32320</v>
      </c>
      <c r="F1770" t="s">
        <v>1129</v>
      </c>
      <c r="G1770" t="s">
        <v>11485</v>
      </c>
      <c r="H1770" t="s">
        <v>10228</v>
      </c>
      <c r="I1770" t="s">
        <v>19</v>
      </c>
      <c r="J1770" s="3">
        <f>55-62-32401900</f>
        <v>-32401907</v>
      </c>
      <c r="K1770" t="s">
        <v>11486</v>
      </c>
      <c r="L1770" t="s">
        <v>11487</v>
      </c>
      <c r="M1770" t="s">
        <v>224</v>
      </c>
    </row>
    <row r="1771" spans="1:13" x14ac:dyDescent="0.25">
      <c r="A1771" t="s">
        <v>9744</v>
      </c>
      <c r="B1771" t="s">
        <v>13</v>
      </c>
      <c r="C1771" t="s">
        <v>9745</v>
      </c>
      <c r="D1771" t="s">
        <v>9746</v>
      </c>
      <c r="E1771" t="s">
        <v>9747</v>
      </c>
      <c r="F1771" t="s">
        <v>785</v>
      </c>
      <c r="G1771" t="s">
        <v>9748</v>
      </c>
      <c r="H1771" t="s">
        <v>706</v>
      </c>
      <c r="I1771" t="s">
        <v>19</v>
      </c>
      <c r="J1771" s="3">
        <f>55-31-987588527</f>
        <v>-987588503</v>
      </c>
      <c r="K1771" t="s">
        <v>9749</v>
      </c>
      <c r="L1771" t="s">
        <v>9750</v>
      </c>
      <c r="M1771" t="s">
        <v>785</v>
      </c>
    </row>
    <row r="1772" spans="1:13" x14ac:dyDescent="0.25">
      <c r="A1772" t="s">
        <v>21647</v>
      </c>
      <c r="B1772" t="s">
        <v>13</v>
      </c>
      <c r="C1772" s="1">
        <v>43195</v>
      </c>
      <c r="D1772" t="s">
        <v>21648</v>
      </c>
      <c r="E1772" s="2" t="s">
        <v>31294</v>
      </c>
      <c r="F1772" t="s">
        <v>2036</v>
      </c>
      <c r="G1772" t="s">
        <v>11363</v>
      </c>
      <c r="H1772" t="s">
        <v>2112</v>
      </c>
      <c r="I1772" t="s">
        <v>19</v>
      </c>
      <c r="J1772" s="3">
        <v>554532203130</v>
      </c>
      <c r="K1772" t="s">
        <v>11364</v>
      </c>
      <c r="L1772" t="s">
        <v>2115</v>
      </c>
      <c r="M1772" t="s">
        <v>57</v>
      </c>
    </row>
    <row r="1773" spans="1:13" x14ac:dyDescent="0.25">
      <c r="A1773" t="s">
        <v>11361</v>
      </c>
      <c r="B1773" t="s">
        <v>13</v>
      </c>
      <c r="C1773" t="s">
        <v>9573</v>
      </c>
      <c r="D1773" t="s">
        <v>11362</v>
      </c>
      <c r="E1773" s="2" t="s">
        <v>31013</v>
      </c>
      <c r="F1773" t="s">
        <v>2036</v>
      </c>
      <c r="G1773" t="s">
        <v>11363</v>
      </c>
      <c r="H1773" t="s">
        <v>2112</v>
      </c>
      <c r="I1773" t="s">
        <v>19</v>
      </c>
      <c r="J1773" s="3">
        <v>554532203130</v>
      </c>
      <c r="K1773" t="s">
        <v>11364</v>
      </c>
      <c r="L1773" t="s">
        <v>2115</v>
      </c>
      <c r="M1773" t="s">
        <v>57</v>
      </c>
    </row>
    <row r="1774" spans="1:13" x14ac:dyDescent="0.25">
      <c r="A1774" t="s">
        <v>19004</v>
      </c>
      <c r="B1774" t="s">
        <v>13</v>
      </c>
      <c r="C1774" t="s">
        <v>12812</v>
      </c>
      <c r="D1774" t="s">
        <v>19005</v>
      </c>
      <c r="E1774" s="2" t="s">
        <v>32774</v>
      </c>
      <c r="F1774" t="s">
        <v>792</v>
      </c>
      <c r="G1774" t="s">
        <v>19006</v>
      </c>
      <c r="H1774" t="s">
        <v>472</v>
      </c>
      <c r="I1774" t="s">
        <v>19</v>
      </c>
      <c r="J1774" s="3">
        <f>55-81-21224100</f>
        <v>-21224126</v>
      </c>
      <c r="K1774" t="s">
        <v>19007</v>
      </c>
      <c r="L1774" t="s">
        <v>18143</v>
      </c>
      <c r="M1774" t="s">
        <v>792</v>
      </c>
    </row>
    <row r="1775" spans="1:13" x14ac:dyDescent="0.25">
      <c r="A1775" t="s">
        <v>23845</v>
      </c>
      <c r="B1775" t="s">
        <v>13</v>
      </c>
      <c r="C1775" s="1">
        <v>42955</v>
      </c>
      <c r="D1775" t="s">
        <v>23846</v>
      </c>
      <c r="E1775" t="s">
        <v>23847</v>
      </c>
      <c r="F1775" t="s">
        <v>11797</v>
      </c>
      <c r="G1775" t="s">
        <v>20188</v>
      </c>
      <c r="H1775" t="s">
        <v>3630</v>
      </c>
      <c r="I1775" t="s">
        <v>19</v>
      </c>
      <c r="J1775" s="3" t="s">
        <v>23848</v>
      </c>
      <c r="K1775" t="s">
        <v>20189</v>
      </c>
      <c r="L1775" t="s">
        <v>5562</v>
      </c>
      <c r="M1775" t="s">
        <v>32195</v>
      </c>
    </row>
    <row r="1776" spans="1:13" x14ac:dyDescent="0.25">
      <c r="A1776" t="s">
        <v>17056</v>
      </c>
      <c r="B1776" t="s">
        <v>13</v>
      </c>
      <c r="C1776" t="s">
        <v>17046</v>
      </c>
      <c r="D1776" t="s">
        <v>17057</v>
      </c>
      <c r="E1776" t="s">
        <v>17058</v>
      </c>
      <c r="F1776" t="s">
        <v>2036</v>
      </c>
      <c r="G1776" t="s">
        <v>17043</v>
      </c>
      <c r="H1776" t="s">
        <v>4808</v>
      </c>
      <c r="I1776" t="s">
        <v>19</v>
      </c>
      <c r="J1776" s="3">
        <f>55-51-992123616</f>
        <v>-992123612</v>
      </c>
      <c r="K1776" t="s">
        <v>17044</v>
      </c>
      <c r="L1776" t="s">
        <v>993</v>
      </c>
      <c r="M1776" t="s">
        <v>57</v>
      </c>
    </row>
    <row r="1777" spans="1:13" x14ac:dyDescent="0.25">
      <c r="A1777" t="s">
        <v>21551</v>
      </c>
      <c r="B1777" t="s">
        <v>13</v>
      </c>
      <c r="C1777" s="1">
        <v>43409</v>
      </c>
      <c r="D1777" t="s">
        <v>21552</v>
      </c>
      <c r="E1777" t="s">
        <v>21553</v>
      </c>
      <c r="F1777" t="s">
        <v>57</v>
      </c>
      <c r="G1777" t="s">
        <v>21554</v>
      </c>
      <c r="H1777" t="s">
        <v>21555</v>
      </c>
      <c r="I1777" t="s">
        <v>19</v>
      </c>
      <c r="J1777" s="3">
        <v>55031988984478</v>
      </c>
      <c r="K1777" t="s">
        <v>21556</v>
      </c>
      <c r="L1777" t="s">
        <v>1944</v>
      </c>
      <c r="M1777" t="s">
        <v>57</v>
      </c>
    </row>
    <row r="1778" spans="1:13" x14ac:dyDescent="0.25">
      <c r="A1778" t="s">
        <v>18184</v>
      </c>
      <c r="B1778" t="s">
        <v>13</v>
      </c>
      <c r="C1778" s="1">
        <v>43253</v>
      </c>
      <c r="D1778" t="s">
        <v>18185</v>
      </c>
      <c r="E1778" t="s">
        <v>18186</v>
      </c>
      <c r="F1778" t="s">
        <v>2036</v>
      </c>
      <c r="G1778" t="s">
        <v>2461</v>
      </c>
      <c r="H1778" t="s">
        <v>669</v>
      </c>
      <c r="I1778" t="s">
        <v>670</v>
      </c>
      <c r="J1778" s="3">
        <v>5697122483</v>
      </c>
      <c r="K1778" t="s">
        <v>671</v>
      </c>
      <c r="L1778" t="s">
        <v>672</v>
      </c>
      <c r="M1778" t="s">
        <v>57</v>
      </c>
    </row>
    <row r="1779" spans="1:13" x14ac:dyDescent="0.25">
      <c r="A1779" t="s">
        <v>25169</v>
      </c>
      <c r="B1779" t="s">
        <v>13</v>
      </c>
      <c r="C1779" s="1">
        <v>42562</v>
      </c>
      <c r="D1779" t="s">
        <v>25170</v>
      </c>
      <c r="E1779" t="s">
        <v>25171</v>
      </c>
      <c r="F1779" t="s">
        <v>4639</v>
      </c>
      <c r="G1779" t="s">
        <v>21252</v>
      </c>
      <c r="H1779" t="s">
        <v>1466</v>
      </c>
      <c r="I1779" t="s">
        <v>19</v>
      </c>
      <c r="J1779" s="3" t="s">
        <v>24150</v>
      </c>
      <c r="K1779" t="s">
        <v>21253</v>
      </c>
      <c r="L1779" t="s">
        <v>25172</v>
      </c>
      <c r="M1779" t="s">
        <v>785</v>
      </c>
    </row>
    <row r="1780" spans="1:13" x14ac:dyDescent="0.25">
      <c r="A1780" t="s">
        <v>10370</v>
      </c>
      <c r="B1780" t="s">
        <v>13</v>
      </c>
      <c r="C1780" t="s">
        <v>10365</v>
      </c>
      <c r="D1780" t="s">
        <v>10371</v>
      </c>
      <c r="E1780" t="s">
        <v>32321</v>
      </c>
      <c r="F1780" t="s">
        <v>3084</v>
      </c>
      <c r="G1780" t="s">
        <v>10372</v>
      </c>
      <c r="H1780" t="s">
        <v>706</v>
      </c>
      <c r="I1780" t="s">
        <v>19</v>
      </c>
      <c r="J1780" s="3" t="s">
        <v>10373</v>
      </c>
      <c r="K1780" t="s">
        <v>10374</v>
      </c>
      <c r="L1780" t="s">
        <v>1944</v>
      </c>
      <c r="M1780" t="s">
        <v>32144</v>
      </c>
    </row>
    <row r="1781" spans="1:13" x14ac:dyDescent="0.25">
      <c r="A1781" t="s">
        <v>22832</v>
      </c>
      <c r="B1781" t="s">
        <v>13</v>
      </c>
      <c r="C1781" t="s">
        <v>22833</v>
      </c>
      <c r="D1781" t="s">
        <v>22834</v>
      </c>
      <c r="E1781" t="s">
        <v>32322</v>
      </c>
      <c r="F1781" t="s">
        <v>224</v>
      </c>
      <c r="G1781" t="s">
        <v>11485</v>
      </c>
      <c r="H1781" t="s">
        <v>10228</v>
      </c>
      <c r="I1781" t="s">
        <v>19</v>
      </c>
      <c r="J1781" s="3">
        <f>55-62-32401900</f>
        <v>-32401907</v>
      </c>
      <c r="K1781" t="s">
        <v>11486</v>
      </c>
      <c r="L1781" t="s">
        <v>11487</v>
      </c>
      <c r="M1781" t="s">
        <v>224</v>
      </c>
    </row>
    <row r="1782" spans="1:13" x14ac:dyDescent="0.25">
      <c r="A1782" t="s">
        <v>20747</v>
      </c>
      <c r="B1782" t="s">
        <v>13</v>
      </c>
      <c r="C1782" s="1">
        <v>43227</v>
      </c>
      <c r="D1782" t="s">
        <v>20748</v>
      </c>
      <c r="E1782" s="2" t="s">
        <v>32323</v>
      </c>
      <c r="F1782" t="s">
        <v>1129</v>
      </c>
      <c r="G1782" t="s">
        <v>11485</v>
      </c>
      <c r="H1782" t="s">
        <v>10228</v>
      </c>
      <c r="I1782" t="s">
        <v>19</v>
      </c>
      <c r="J1782" s="3">
        <f>55-62-32401900</f>
        <v>-32401907</v>
      </c>
      <c r="K1782" t="s">
        <v>11486</v>
      </c>
      <c r="L1782" t="s">
        <v>11487</v>
      </c>
      <c r="M1782" t="s">
        <v>224</v>
      </c>
    </row>
    <row r="1783" spans="1:13" x14ac:dyDescent="0.25">
      <c r="A1783" t="s">
        <v>5803</v>
      </c>
      <c r="B1783" t="s">
        <v>13</v>
      </c>
      <c r="C1783" s="1">
        <v>43896</v>
      </c>
      <c r="D1783" t="s">
        <v>5804</v>
      </c>
      <c r="E1783" t="s">
        <v>5805</v>
      </c>
      <c r="F1783" t="s">
        <v>785</v>
      </c>
      <c r="G1783" t="s">
        <v>130</v>
      </c>
      <c r="H1783" t="s">
        <v>131</v>
      </c>
      <c r="I1783" t="s">
        <v>19</v>
      </c>
      <c r="J1783" s="3" t="s">
        <v>132</v>
      </c>
      <c r="K1783" t="s">
        <v>133</v>
      </c>
      <c r="L1783" t="s">
        <v>134</v>
      </c>
      <c r="M1783" t="s">
        <v>785</v>
      </c>
    </row>
    <row r="1784" spans="1:13" x14ac:dyDescent="0.25">
      <c r="A1784" t="s">
        <v>16377</v>
      </c>
      <c r="B1784" t="s">
        <v>13</v>
      </c>
      <c r="C1784" s="1">
        <v>43681</v>
      </c>
      <c r="D1784" t="s">
        <v>16378</v>
      </c>
      <c r="E1784" t="s">
        <v>16379</v>
      </c>
      <c r="F1784" t="s">
        <v>57</v>
      </c>
      <c r="G1784" t="s">
        <v>16380</v>
      </c>
      <c r="H1784" t="s">
        <v>16381</v>
      </c>
      <c r="I1784" t="s">
        <v>19</v>
      </c>
      <c r="J1784" s="3" t="s">
        <v>16382</v>
      </c>
      <c r="K1784" t="s">
        <v>16383</v>
      </c>
      <c r="L1784" t="s">
        <v>1569</v>
      </c>
      <c r="M1784" t="s">
        <v>57</v>
      </c>
    </row>
    <row r="1785" spans="1:13" x14ac:dyDescent="0.25">
      <c r="A1785" t="s">
        <v>16373</v>
      </c>
      <c r="B1785" t="s">
        <v>101</v>
      </c>
      <c r="C1785" t="s">
        <v>16374</v>
      </c>
      <c r="D1785" t="s">
        <v>16375</v>
      </c>
      <c r="E1785" t="s">
        <v>16376</v>
      </c>
      <c r="F1785" t="s">
        <v>1464</v>
      </c>
      <c r="G1785" t="s">
        <v>16363</v>
      </c>
      <c r="H1785" t="s">
        <v>1802</v>
      </c>
      <c r="I1785" t="s">
        <v>19</v>
      </c>
      <c r="J1785" s="3">
        <v>5514997933860</v>
      </c>
      <c r="K1785" t="s">
        <v>16364</v>
      </c>
      <c r="L1785" t="s">
        <v>2621</v>
      </c>
      <c r="M1785" t="s">
        <v>1775</v>
      </c>
    </row>
    <row r="1786" spans="1:13" x14ac:dyDescent="0.25">
      <c r="A1786" t="s">
        <v>23095</v>
      </c>
      <c r="B1786" t="s">
        <v>101</v>
      </c>
      <c r="C1786" s="1">
        <v>42253</v>
      </c>
      <c r="D1786" t="s">
        <v>23096</v>
      </c>
      <c r="E1786" t="s">
        <v>23097</v>
      </c>
      <c r="F1786" t="s">
        <v>1464</v>
      </c>
      <c r="G1786" t="s">
        <v>5604</v>
      </c>
      <c r="H1786" t="s">
        <v>299</v>
      </c>
      <c r="I1786" t="s">
        <v>19</v>
      </c>
      <c r="J1786" s="3">
        <v>551438801650</v>
      </c>
      <c r="K1786" t="s">
        <v>5605</v>
      </c>
      <c r="L1786" t="s">
        <v>8598</v>
      </c>
      <c r="M1786" t="s">
        <v>1775</v>
      </c>
    </row>
    <row r="1787" spans="1:13" x14ac:dyDescent="0.25">
      <c r="A1787" t="s">
        <v>10053</v>
      </c>
      <c r="B1787" t="s">
        <v>13</v>
      </c>
      <c r="C1787" t="s">
        <v>10054</v>
      </c>
      <c r="D1787" t="s">
        <v>10055</v>
      </c>
      <c r="E1787" t="s">
        <v>10056</v>
      </c>
      <c r="F1787" t="s">
        <v>2758</v>
      </c>
      <c r="G1787" t="s">
        <v>10057</v>
      </c>
      <c r="H1787" t="s">
        <v>10058</v>
      </c>
      <c r="I1787" t="s">
        <v>10059</v>
      </c>
      <c r="J1787" s="3">
        <f>1-202-6231000</f>
        <v>-6231201</v>
      </c>
      <c r="K1787" t="s">
        <v>10060</v>
      </c>
      <c r="L1787" t="s">
        <v>10061</v>
      </c>
      <c r="M1787" t="s">
        <v>32149</v>
      </c>
    </row>
    <row r="1788" spans="1:13" x14ac:dyDescent="0.25">
      <c r="A1788" t="s">
        <v>17059</v>
      </c>
      <c r="B1788" t="s">
        <v>13</v>
      </c>
      <c r="C1788" t="s">
        <v>17060</v>
      </c>
      <c r="D1788" t="s">
        <v>17061</v>
      </c>
      <c r="E1788" t="s">
        <v>17062</v>
      </c>
      <c r="F1788" t="s">
        <v>1464</v>
      </c>
      <c r="G1788" t="s">
        <v>17063</v>
      </c>
      <c r="H1788" t="s">
        <v>5543</v>
      </c>
      <c r="I1788" t="s">
        <v>19</v>
      </c>
      <c r="J1788" s="3">
        <v>551636022488</v>
      </c>
      <c r="K1788" t="s">
        <v>17064</v>
      </c>
      <c r="L1788" t="s">
        <v>2943</v>
      </c>
      <c r="M1788" t="s">
        <v>129</v>
      </c>
    </row>
    <row r="1789" spans="1:13" x14ac:dyDescent="0.25">
      <c r="A1789" t="s">
        <v>23536</v>
      </c>
      <c r="B1789" t="s">
        <v>13</v>
      </c>
      <c r="C1789" t="s">
        <v>23537</v>
      </c>
      <c r="D1789" t="s">
        <v>23538</v>
      </c>
      <c r="E1789" t="s">
        <v>23539</v>
      </c>
      <c r="F1789" t="s">
        <v>6130</v>
      </c>
      <c r="G1789" t="s">
        <v>23540</v>
      </c>
      <c r="H1789" t="s">
        <v>1466</v>
      </c>
      <c r="I1789" t="s">
        <v>19</v>
      </c>
      <c r="J1789" s="3" t="s">
        <v>23541</v>
      </c>
      <c r="K1789" t="s">
        <v>23542</v>
      </c>
      <c r="L1789" t="s">
        <v>1469</v>
      </c>
      <c r="M1789" t="s">
        <v>32144</v>
      </c>
    </row>
    <row r="1790" spans="1:13" x14ac:dyDescent="0.25">
      <c r="A1790" t="s">
        <v>19556</v>
      </c>
      <c r="B1790" t="s">
        <v>13</v>
      </c>
      <c r="C1790" t="s">
        <v>2617</v>
      </c>
      <c r="D1790" t="s">
        <v>19557</v>
      </c>
      <c r="E1790" s="2" t="s">
        <v>31229</v>
      </c>
      <c r="F1790" t="s">
        <v>2036</v>
      </c>
      <c r="G1790" t="s">
        <v>19558</v>
      </c>
      <c r="H1790" t="s">
        <v>489</v>
      </c>
      <c r="I1790" t="s">
        <v>19</v>
      </c>
      <c r="J1790" s="3" t="s">
        <v>19559</v>
      </c>
      <c r="K1790" t="s">
        <v>19560</v>
      </c>
      <c r="L1790" t="s">
        <v>19392</v>
      </c>
      <c r="M1790" t="s">
        <v>57</v>
      </c>
    </row>
    <row r="1791" spans="1:13" x14ac:dyDescent="0.25">
      <c r="A1791" t="s">
        <v>19860</v>
      </c>
      <c r="B1791" t="s">
        <v>13</v>
      </c>
      <c r="C1791" t="s">
        <v>19855</v>
      </c>
      <c r="D1791" t="s">
        <v>19861</v>
      </c>
      <c r="E1791" s="2" t="s">
        <v>31229</v>
      </c>
      <c r="F1791" t="s">
        <v>1464</v>
      </c>
      <c r="G1791" t="s">
        <v>19862</v>
      </c>
      <c r="H1791" t="s">
        <v>489</v>
      </c>
      <c r="I1791" t="s">
        <v>19</v>
      </c>
      <c r="J1791" s="3" t="s">
        <v>19559</v>
      </c>
      <c r="K1791" t="s">
        <v>19863</v>
      </c>
      <c r="L1791" t="s">
        <v>19392</v>
      </c>
      <c r="M1791" t="s">
        <v>57</v>
      </c>
    </row>
    <row r="1792" spans="1:13" x14ac:dyDescent="0.25">
      <c r="A1792" t="s">
        <v>24626</v>
      </c>
      <c r="B1792" t="s">
        <v>13</v>
      </c>
      <c r="C1792" t="s">
        <v>20629</v>
      </c>
      <c r="D1792" t="s">
        <v>24627</v>
      </c>
      <c r="E1792" t="s">
        <v>1379</v>
      </c>
      <c r="F1792" t="s">
        <v>224</v>
      </c>
      <c r="G1792" t="s">
        <v>20822</v>
      </c>
      <c r="H1792" t="s">
        <v>36</v>
      </c>
      <c r="I1792" t="s">
        <v>19</v>
      </c>
      <c r="J1792" s="3" t="s">
        <v>24628</v>
      </c>
      <c r="K1792" t="s">
        <v>24061</v>
      </c>
      <c r="L1792" t="s">
        <v>223</v>
      </c>
      <c r="M1792" t="s">
        <v>32155</v>
      </c>
    </row>
    <row r="1793" spans="1:13" x14ac:dyDescent="0.25">
      <c r="A1793" t="s">
        <v>1377</v>
      </c>
      <c r="B1793" t="s">
        <v>13</v>
      </c>
      <c r="C1793" s="1">
        <v>44784</v>
      </c>
      <c r="D1793" t="s">
        <v>1378</v>
      </c>
      <c r="E1793" t="s">
        <v>1379</v>
      </c>
      <c r="F1793" t="s">
        <v>1380</v>
      </c>
      <c r="G1793" t="s">
        <v>1381</v>
      </c>
      <c r="H1793" t="s">
        <v>1382</v>
      </c>
      <c r="I1793" t="s">
        <v>19</v>
      </c>
      <c r="J1793" s="3" t="s">
        <v>1383</v>
      </c>
      <c r="K1793" t="s">
        <v>1384</v>
      </c>
      <c r="L1793" t="s">
        <v>1385</v>
      </c>
      <c r="M1793" t="s">
        <v>32155</v>
      </c>
    </row>
    <row r="1794" spans="1:13" x14ac:dyDescent="0.25">
      <c r="A1794" t="s">
        <v>9416</v>
      </c>
      <c r="B1794" t="s">
        <v>13</v>
      </c>
      <c r="C1794" t="s">
        <v>9417</v>
      </c>
      <c r="D1794" t="s">
        <v>9418</v>
      </c>
      <c r="E1794" t="s">
        <v>1379</v>
      </c>
      <c r="F1794" t="s">
        <v>1464</v>
      </c>
      <c r="G1794" t="s">
        <v>9419</v>
      </c>
      <c r="H1794" t="s">
        <v>9420</v>
      </c>
      <c r="I1794" t="s">
        <v>19</v>
      </c>
      <c r="J1794" s="3">
        <f>55-16-996223549</f>
        <v>-996223510</v>
      </c>
      <c r="K1794" t="s">
        <v>9421</v>
      </c>
      <c r="L1794" t="s">
        <v>2712</v>
      </c>
      <c r="M1794" t="s">
        <v>32155</v>
      </c>
    </row>
    <row r="1795" spans="1:13" x14ac:dyDescent="0.25">
      <c r="A1795" t="s">
        <v>4904</v>
      </c>
      <c r="B1795" t="s">
        <v>13</v>
      </c>
      <c r="C1795" t="s">
        <v>3467</v>
      </c>
      <c r="D1795" t="s">
        <v>32135</v>
      </c>
      <c r="E1795" t="s">
        <v>1379</v>
      </c>
      <c r="F1795" t="s">
        <v>1272</v>
      </c>
      <c r="G1795" t="s">
        <v>4905</v>
      </c>
      <c r="H1795" t="s">
        <v>36</v>
      </c>
      <c r="I1795" t="s">
        <v>19</v>
      </c>
      <c r="J1795" s="3">
        <v>5532998374744</v>
      </c>
      <c r="K1795" t="s">
        <v>4906</v>
      </c>
      <c r="L1795" t="s">
        <v>32135</v>
      </c>
      <c r="M1795" t="s">
        <v>32155</v>
      </c>
    </row>
    <row r="1796" spans="1:13" x14ac:dyDescent="0.25">
      <c r="A1796" t="s">
        <v>4690</v>
      </c>
      <c r="B1796" t="s">
        <v>13</v>
      </c>
      <c r="C1796" t="s">
        <v>119</v>
      </c>
      <c r="D1796" t="s">
        <v>32135</v>
      </c>
      <c r="E1796" s="2" t="s">
        <v>30818</v>
      </c>
      <c r="F1796" t="s">
        <v>4691</v>
      </c>
      <c r="G1796" t="s">
        <v>944</v>
      </c>
      <c r="H1796" t="s">
        <v>36</v>
      </c>
      <c r="I1796" t="s">
        <v>19</v>
      </c>
      <c r="J1796" s="3">
        <v>5511999530716</v>
      </c>
      <c r="K1796" t="s">
        <v>946</v>
      </c>
      <c r="L1796" t="s">
        <v>321</v>
      </c>
      <c r="M1796" t="s">
        <v>32155</v>
      </c>
    </row>
    <row r="1797" spans="1:13" x14ac:dyDescent="0.25">
      <c r="A1797" t="s">
        <v>23631</v>
      </c>
      <c r="B1797" t="s">
        <v>13</v>
      </c>
      <c r="C1797" s="1">
        <v>42834</v>
      </c>
      <c r="D1797" t="s">
        <v>23632</v>
      </c>
      <c r="E1797" t="s">
        <v>23633</v>
      </c>
      <c r="F1797" t="s">
        <v>10500</v>
      </c>
      <c r="G1797" t="s">
        <v>307</v>
      </c>
      <c r="H1797" t="s">
        <v>308</v>
      </c>
      <c r="I1797" t="s">
        <v>309</v>
      </c>
      <c r="J1797" s="3" t="s">
        <v>310</v>
      </c>
      <c r="K1797" t="s">
        <v>311</v>
      </c>
      <c r="L1797" t="s">
        <v>312</v>
      </c>
      <c r="M1797" t="s">
        <v>129</v>
      </c>
    </row>
    <row r="1798" spans="1:13" x14ac:dyDescent="0.25">
      <c r="A1798" t="s">
        <v>26130</v>
      </c>
      <c r="B1798" t="s">
        <v>13</v>
      </c>
      <c r="C1798" t="s">
        <v>26115</v>
      </c>
      <c r="D1798" t="s">
        <v>26131</v>
      </c>
      <c r="E1798" t="s">
        <v>26132</v>
      </c>
      <c r="F1798" t="s">
        <v>10500</v>
      </c>
      <c r="G1798" t="s">
        <v>26133</v>
      </c>
      <c r="H1798" t="s">
        <v>195</v>
      </c>
      <c r="I1798" t="s">
        <v>19</v>
      </c>
      <c r="J1798" s="3">
        <v>551634191979</v>
      </c>
      <c r="K1798" t="s">
        <v>26134</v>
      </c>
      <c r="L1798" t="s">
        <v>197</v>
      </c>
      <c r="M1798" t="s">
        <v>26135</v>
      </c>
    </row>
    <row r="1799" spans="1:13" x14ac:dyDescent="0.25">
      <c r="A1799" t="s">
        <v>19542</v>
      </c>
      <c r="B1799" t="s">
        <v>101</v>
      </c>
      <c r="C1799" t="s">
        <v>19543</v>
      </c>
      <c r="D1799" t="s">
        <v>19544</v>
      </c>
      <c r="E1799" s="2" t="s">
        <v>31951</v>
      </c>
      <c r="F1799" t="s">
        <v>1464</v>
      </c>
      <c r="G1799" t="s">
        <v>19545</v>
      </c>
      <c r="H1799" t="s">
        <v>36</v>
      </c>
      <c r="I1799" t="s">
        <v>19</v>
      </c>
      <c r="J1799" s="3" t="s">
        <v>19546</v>
      </c>
      <c r="K1799" t="s">
        <v>19547</v>
      </c>
      <c r="L1799" t="s">
        <v>19548</v>
      </c>
      <c r="M1799" t="s">
        <v>32155</v>
      </c>
    </row>
    <row r="1800" spans="1:13" x14ac:dyDescent="0.25">
      <c r="A1800" t="s">
        <v>12180</v>
      </c>
      <c r="B1800" t="s">
        <v>13</v>
      </c>
      <c r="C1800" t="s">
        <v>5305</v>
      </c>
      <c r="D1800" t="s">
        <v>12181</v>
      </c>
      <c r="E1800" t="s">
        <v>12182</v>
      </c>
      <c r="F1800" t="s">
        <v>10500</v>
      </c>
      <c r="G1800" t="s">
        <v>12183</v>
      </c>
      <c r="H1800" t="s">
        <v>36</v>
      </c>
      <c r="I1800" t="s">
        <v>19</v>
      </c>
      <c r="J1800" s="3">
        <f>55-11-981971692</f>
        <v>-981971648</v>
      </c>
      <c r="K1800" t="s">
        <v>12184</v>
      </c>
      <c r="L1800" t="s">
        <v>12185</v>
      </c>
      <c r="M1800" t="s">
        <v>32155</v>
      </c>
    </row>
    <row r="1801" spans="1:13" x14ac:dyDescent="0.25">
      <c r="A1801" t="s">
        <v>14499</v>
      </c>
      <c r="B1801" t="s">
        <v>13</v>
      </c>
      <c r="C1801" t="s">
        <v>14500</v>
      </c>
      <c r="D1801" t="s">
        <v>14501</v>
      </c>
      <c r="E1801" s="2" t="s">
        <v>31095</v>
      </c>
      <c r="F1801" t="s">
        <v>14502</v>
      </c>
      <c r="G1801" t="s">
        <v>14503</v>
      </c>
      <c r="H1801" t="s">
        <v>36</v>
      </c>
      <c r="I1801" t="s">
        <v>19</v>
      </c>
      <c r="J1801" s="3">
        <v>551151807821</v>
      </c>
      <c r="K1801" t="s">
        <v>14504</v>
      </c>
      <c r="L1801" t="s">
        <v>10554</v>
      </c>
      <c r="M1801" t="s">
        <v>32155</v>
      </c>
    </row>
    <row r="1802" spans="1:13" x14ac:dyDescent="0.25">
      <c r="A1802" t="s">
        <v>27849</v>
      </c>
      <c r="B1802" t="s">
        <v>13</v>
      </c>
      <c r="C1802" s="1">
        <v>42315</v>
      </c>
      <c r="D1802" t="s">
        <v>27850</v>
      </c>
      <c r="E1802" t="s">
        <v>27851</v>
      </c>
      <c r="F1802" t="s">
        <v>332</v>
      </c>
      <c r="G1802" t="s">
        <v>27852</v>
      </c>
      <c r="H1802" t="s">
        <v>27853</v>
      </c>
      <c r="I1802" t="s">
        <v>19</v>
      </c>
      <c r="J1802" s="3" t="s">
        <v>27854</v>
      </c>
      <c r="K1802" t="s">
        <v>27855</v>
      </c>
      <c r="L1802" t="s">
        <v>1805</v>
      </c>
      <c r="M1802" t="s">
        <v>337</v>
      </c>
    </row>
    <row r="1803" spans="1:13" x14ac:dyDescent="0.25">
      <c r="A1803" t="s">
        <v>22213</v>
      </c>
      <c r="B1803" t="s">
        <v>13</v>
      </c>
      <c r="C1803" t="s">
        <v>12033</v>
      </c>
      <c r="D1803" t="s">
        <v>22214</v>
      </c>
      <c r="E1803" s="2" t="s">
        <v>31962</v>
      </c>
      <c r="F1803" t="s">
        <v>12383</v>
      </c>
      <c r="G1803" t="s">
        <v>22215</v>
      </c>
      <c r="H1803" t="s">
        <v>36</v>
      </c>
      <c r="I1803" t="s">
        <v>19</v>
      </c>
      <c r="J1803" s="3" t="s">
        <v>22216</v>
      </c>
      <c r="K1803" t="s">
        <v>22217</v>
      </c>
      <c r="L1803" t="s">
        <v>22218</v>
      </c>
      <c r="M1803" t="s">
        <v>32155</v>
      </c>
    </row>
    <row r="1804" spans="1:13" x14ac:dyDescent="0.25">
      <c r="A1804" t="s">
        <v>26381</v>
      </c>
      <c r="B1804" t="s">
        <v>101</v>
      </c>
      <c r="C1804" s="1">
        <v>42465</v>
      </c>
      <c r="D1804" t="s">
        <v>26382</v>
      </c>
      <c r="E1804" t="s">
        <v>26383</v>
      </c>
      <c r="F1804" t="s">
        <v>1464</v>
      </c>
      <c r="G1804" t="s">
        <v>26384</v>
      </c>
      <c r="H1804" t="s">
        <v>1802</v>
      </c>
      <c r="I1804" t="s">
        <v>19</v>
      </c>
      <c r="J1804" s="3" t="s">
        <v>26385</v>
      </c>
      <c r="K1804" t="s">
        <v>26386</v>
      </c>
      <c r="L1804" t="s">
        <v>26387</v>
      </c>
      <c r="M1804" t="s">
        <v>32155</v>
      </c>
    </row>
    <row r="1805" spans="1:13" x14ac:dyDescent="0.25">
      <c r="A1805" t="s">
        <v>20860</v>
      </c>
      <c r="B1805" t="s">
        <v>13</v>
      </c>
      <c r="C1805" t="s">
        <v>20848</v>
      </c>
      <c r="D1805" t="s">
        <v>20861</v>
      </c>
      <c r="E1805" t="s">
        <v>14885</v>
      </c>
      <c r="F1805" t="s">
        <v>1464</v>
      </c>
      <c r="G1805" t="s">
        <v>19910</v>
      </c>
      <c r="H1805" t="s">
        <v>36</v>
      </c>
      <c r="I1805" t="s">
        <v>19</v>
      </c>
      <c r="J1805" s="3">
        <v>55011983221272</v>
      </c>
      <c r="K1805" t="s">
        <v>19911</v>
      </c>
      <c r="L1805" t="s">
        <v>5007</v>
      </c>
      <c r="M1805" t="s">
        <v>32155</v>
      </c>
    </row>
    <row r="1806" spans="1:13" x14ac:dyDescent="0.25">
      <c r="A1806" t="s">
        <v>20883</v>
      </c>
      <c r="B1806" t="s">
        <v>13</v>
      </c>
      <c r="C1806" t="s">
        <v>5288</v>
      </c>
      <c r="D1806" t="s">
        <v>20884</v>
      </c>
      <c r="E1806" t="s">
        <v>20885</v>
      </c>
      <c r="F1806" t="s">
        <v>12383</v>
      </c>
      <c r="G1806" t="s">
        <v>944</v>
      </c>
      <c r="H1806" t="s">
        <v>229</v>
      </c>
      <c r="I1806" t="s">
        <v>19</v>
      </c>
      <c r="J1806" s="3">
        <v>5511999530716</v>
      </c>
      <c r="K1806" t="s">
        <v>18498</v>
      </c>
      <c r="L1806" t="s">
        <v>13173</v>
      </c>
      <c r="M1806" t="s">
        <v>32155</v>
      </c>
    </row>
    <row r="1807" spans="1:13" x14ac:dyDescent="0.25">
      <c r="A1807" t="s">
        <v>3634</v>
      </c>
      <c r="B1807" t="s">
        <v>13</v>
      </c>
      <c r="C1807" s="1">
        <v>44900</v>
      </c>
      <c r="D1807" t="s">
        <v>3635</v>
      </c>
      <c r="E1807" t="s">
        <v>3636</v>
      </c>
      <c r="F1807" t="s">
        <v>3637</v>
      </c>
      <c r="G1807" t="s">
        <v>3638</v>
      </c>
      <c r="H1807" t="s">
        <v>265</v>
      </c>
      <c r="I1807" t="s">
        <v>19</v>
      </c>
      <c r="J1807" s="3" t="s">
        <v>3639</v>
      </c>
      <c r="K1807" t="s">
        <v>3640</v>
      </c>
      <c r="L1807" t="s">
        <v>3641</v>
      </c>
      <c r="M1807" t="s">
        <v>224</v>
      </c>
    </row>
    <row r="1808" spans="1:13" x14ac:dyDescent="0.25">
      <c r="A1808" t="s">
        <v>1680</v>
      </c>
      <c r="B1808" t="s">
        <v>101</v>
      </c>
      <c r="C1808" t="s">
        <v>864</v>
      </c>
      <c r="D1808" t="s">
        <v>1681</v>
      </c>
      <c r="E1808" t="s">
        <v>1682</v>
      </c>
      <c r="F1808" t="s">
        <v>1683</v>
      </c>
      <c r="G1808" t="s">
        <v>1684</v>
      </c>
      <c r="H1808" t="s">
        <v>428</v>
      </c>
      <c r="I1808" t="s">
        <v>19</v>
      </c>
      <c r="J1808" s="3" t="s">
        <v>1685</v>
      </c>
      <c r="K1808" t="s">
        <v>1686</v>
      </c>
      <c r="L1808" t="s">
        <v>1687</v>
      </c>
      <c r="M1808" t="s">
        <v>1349</v>
      </c>
    </row>
    <row r="1809" spans="1:13" x14ac:dyDescent="0.25">
      <c r="A1809" t="s">
        <v>9058</v>
      </c>
      <c r="B1809" t="s">
        <v>13</v>
      </c>
      <c r="C1809" t="s">
        <v>9059</v>
      </c>
      <c r="D1809" t="s">
        <v>9060</v>
      </c>
      <c r="E1809" s="2" t="s">
        <v>31676</v>
      </c>
      <c r="F1809" t="s">
        <v>1464</v>
      </c>
      <c r="G1809" t="s">
        <v>9061</v>
      </c>
      <c r="H1809" t="s">
        <v>352</v>
      </c>
      <c r="I1809" t="s">
        <v>19</v>
      </c>
      <c r="J1809" s="3">
        <f>55-21-980935401</f>
        <v>-980935367</v>
      </c>
      <c r="K1809" t="s">
        <v>9062</v>
      </c>
      <c r="L1809" t="s">
        <v>9063</v>
      </c>
      <c r="M1809" t="s">
        <v>1349</v>
      </c>
    </row>
    <row r="1810" spans="1:13" x14ac:dyDescent="0.25">
      <c r="A1810" t="s">
        <v>15579</v>
      </c>
      <c r="B1810" t="s">
        <v>13</v>
      </c>
      <c r="C1810" s="1">
        <v>43748</v>
      </c>
      <c r="D1810" t="s">
        <v>15580</v>
      </c>
      <c r="E1810" t="s">
        <v>15581</v>
      </c>
      <c r="F1810" t="s">
        <v>3084</v>
      </c>
      <c r="G1810" t="s">
        <v>15582</v>
      </c>
      <c r="H1810" t="s">
        <v>265</v>
      </c>
      <c r="I1810" t="s">
        <v>19</v>
      </c>
      <c r="J1810" s="3">
        <f>55-16-33150196</f>
        <v>-33150157</v>
      </c>
      <c r="K1810" t="s">
        <v>15583</v>
      </c>
      <c r="L1810" t="s">
        <v>15584</v>
      </c>
      <c r="M1810" t="s">
        <v>32144</v>
      </c>
    </row>
    <row r="1811" spans="1:13" x14ac:dyDescent="0.25">
      <c r="A1811" t="s">
        <v>20877</v>
      </c>
      <c r="B1811" t="s">
        <v>13</v>
      </c>
      <c r="C1811" t="s">
        <v>5288</v>
      </c>
      <c r="D1811" t="s">
        <v>20878</v>
      </c>
      <c r="E1811" t="s">
        <v>20879</v>
      </c>
      <c r="F1811" t="s">
        <v>224</v>
      </c>
      <c r="G1811" t="s">
        <v>20880</v>
      </c>
      <c r="H1811" t="s">
        <v>472</v>
      </c>
      <c r="I1811" t="s">
        <v>19</v>
      </c>
      <c r="J1811" s="3" t="s">
        <v>20881</v>
      </c>
      <c r="K1811" t="s">
        <v>20882</v>
      </c>
      <c r="L1811" t="s">
        <v>1193</v>
      </c>
      <c r="M1811" t="s">
        <v>224</v>
      </c>
    </row>
    <row r="1812" spans="1:13" x14ac:dyDescent="0.25">
      <c r="A1812" t="s">
        <v>5359</v>
      </c>
      <c r="B1812" t="s">
        <v>13</v>
      </c>
      <c r="C1812" s="1">
        <v>44481</v>
      </c>
      <c r="D1812" t="s">
        <v>32135</v>
      </c>
      <c r="E1812" t="s">
        <v>32324</v>
      </c>
      <c r="F1812" t="s">
        <v>5360</v>
      </c>
      <c r="G1812" t="s">
        <v>5361</v>
      </c>
      <c r="H1812" t="s">
        <v>141</v>
      </c>
      <c r="I1812" t="s">
        <v>19</v>
      </c>
      <c r="K1812" t="s">
        <v>5362</v>
      </c>
      <c r="L1812" t="s">
        <v>32135</v>
      </c>
      <c r="M1812" t="s">
        <v>32149</v>
      </c>
    </row>
    <row r="1813" spans="1:13" x14ac:dyDescent="0.25">
      <c r="A1813" t="s">
        <v>7544</v>
      </c>
      <c r="B1813" t="s">
        <v>13</v>
      </c>
      <c r="C1813" t="s">
        <v>6097</v>
      </c>
      <c r="D1813" t="s">
        <v>32135</v>
      </c>
      <c r="E1813" s="2" t="s">
        <v>32325</v>
      </c>
      <c r="F1813" t="s">
        <v>7545</v>
      </c>
      <c r="G1813" t="s">
        <v>7546</v>
      </c>
      <c r="H1813" t="s">
        <v>265</v>
      </c>
      <c r="I1813" t="s">
        <v>19</v>
      </c>
      <c r="J1813" s="3">
        <f>55-16-33154181</f>
        <v>-33154142</v>
      </c>
      <c r="K1813" t="s">
        <v>7547</v>
      </c>
      <c r="L1813" t="s">
        <v>32135</v>
      </c>
      <c r="M1813" t="s">
        <v>32149</v>
      </c>
    </row>
    <row r="1814" spans="1:13" x14ac:dyDescent="0.25">
      <c r="A1814" t="s">
        <v>16285</v>
      </c>
      <c r="B1814" t="s">
        <v>13</v>
      </c>
      <c r="C1814" s="1">
        <v>43533</v>
      </c>
      <c r="D1814" t="s">
        <v>16286</v>
      </c>
      <c r="E1814" t="s">
        <v>32326</v>
      </c>
      <c r="F1814" t="s">
        <v>6072</v>
      </c>
      <c r="G1814" t="s">
        <v>16287</v>
      </c>
      <c r="H1814" t="s">
        <v>141</v>
      </c>
      <c r="I1814" t="s">
        <v>19</v>
      </c>
      <c r="J1814" s="3" t="s">
        <v>16288</v>
      </c>
      <c r="K1814" t="s">
        <v>16289</v>
      </c>
      <c r="L1814" t="s">
        <v>16290</v>
      </c>
      <c r="M1814" t="s">
        <v>32144</v>
      </c>
    </row>
    <row r="1815" spans="1:13" x14ac:dyDescent="0.25">
      <c r="A1815" t="s">
        <v>26418</v>
      </c>
      <c r="B1815" t="s">
        <v>13</v>
      </c>
      <c r="C1815" t="s">
        <v>26408</v>
      </c>
      <c r="D1815" t="s">
        <v>26419</v>
      </c>
      <c r="E1815" t="s">
        <v>26420</v>
      </c>
      <c r="F1815" t="s">
        <v>1432</v>
      </c>
      <c r="G1815" t="s">
        <v>26421</v>
      </c>
      <c r="H1815" t="s">
        <v>7904</v>
      </c>
      <c r="I1815" t="s">
        <v>19</v>
      </c>
      <c r="J1815" s="3" t="s">
        <v>26422</v>
      </c>
      <c r="K1815" t="s">
        <v>26423</v>
      </c>
      <c r="L1815" t="s">
        <v>22652</v>
      </c>
      <c r="M1815" t="s">
        <v>1432</v>
      </c>
    </row>
    <row r="1816" spans="1:13" x14ac:dyDescent="0.25">
      <c r="A1816" t="s">
        <v>27709</v>
      </c>
      <c r="B1816" t="s">
        <v>13</v>
      </c>
      <c r="C1816" t="s">
        <v>27710</v>
      </c>
      <c r="D1816" t="s">
        <v>27711</v>
      </c>
      <c r="E1816" t="s">
        <v>27712</v>
      </c>
      <c r="F1816" t="s">
        <v>4338</v>
      </c>
      <c r="G1816" t="s">
        <v>27713</v>
      </c>
      <c r="H1816" t="s">
        <v>141</v>
      </c>
      <c r="I1816" t="s">
        <v>19</v>
      </c>
      <c r="J1816" s="3" t="s">
        <v>27714</v>
      </c>
      <c r="K1816" t="s">
        <v>27715</v>
      </c>
      <c r="L1816" t="s">
        <v>1058</v>
      </c>
      <c r="M1816" t="s">
        <v>1432</v>
      </c>
    </row>
    <row r="1817" spans="1:13" x14ac:dyDescent="0.25">
      <c r="A1817" t="s">
        <v>17124</v>
      </c>
      <c r="B1817" t="s">
        <v>101</v>
      </c>
      <c r="C1817" s="1">
        <v>43351</v>
      </c>
      <c r="D1817" t="s">
        <v>17125</v>
      </c>
      <c r="E1817" t="s">
        <v>17126</v>
      </c>
      <c r="F1817" t="s">
        <v>1464</v>
      </c>
      <c r="G1817" t="s">
        <v>17127</v>
      </c>
      <c r="H1817" t="s">
        <v>472</v>
      </c>
      <c r="I1817" t="s">
        <v>19</v>
      </c>
      <c r="J1817" s="3" t="s">
        <v>17128</v>
      </c>
      <c r="K1817" t="s">
        <v>17129</v>
      </c>
      <c r="L1817" t="s">
        <v>17130</v>
      </c>
      <c r="M1817" t="s">
        <v>1432</v>
      </c>
    </row>
    <row r="1818" spans="1:13" x14ac:dyDescent="0.25">
      <c r="A1818" t="s">
        <v>29525</v>
      </c>
      <c r="B1818" t="s">
        <v>13</v>
      </c>
      <c r="C1818" t="s">
        <v>29526</v>
      </c>
      <c r="D1818" t="s">
        <v>29527</v>
      </c>
      <c r="E1818" t="s">
        <v>29528</v>
      </c>
      <c r="F1818" t="s">
        <v>1432</v>
      </c>
      <c r="G1818" t="s">
        <v>29529</v>
      </c>
      <c r="H1818" t="s">
        <v>798</v>
      </c>
      <c r="I1818" t="s">
        <v>19</v>
      </c>
      <c r="J1818" s="3" t="s">
        <v>29530</v>
      </c>
      <c r="K1818" t="s">
        <v>29531</v>
      </c>
      <c r="L1818" t="s">
        <v>29532</v>
      </c>
      <c r="M1818" t="s">
        <v>1432</v>
      </c>
    </row>
    <row r="1819" spans="1:13" x14ac:dyDescent="0.25">
      <c r="A1819" t="s">
        <v>15658</v>
      </c>
      <c r="B1819" t="s">
        <v>13</v>
      </c>
      <c r="C1819" s="1">
        <v>43718</v>
      </c>
      <c r="D1819" t="s">
        <v>15659</v>
      </c>
      <c r="E1819" t="s">
        <v>15660</v>
      </c>
      <c r="F1819" t="s">
        <v>1349</v>
      </c>
      <c r="G1819" t="s">
        <v>4803</v>
      </c>
      <c r="H1819" t="s">
        <v>4236</v>
      </c>
      <c r="I1819" t="s">
        <v>19</v>
      </c>
      <c r="J1819" s="3">
        <v>5598988522021</v>
      </c>
      <c r="K1819" t="s">
        <v>895</v>
      </c>
      <c r="L1819" t="s">
        <v>1727</v>
      </c>
      <c r="M1819" t="s">
        <v>1349</v>
      </c>
    </row>
    <row r="1820" spans="1:13" x14ac:dyDescent="0.25">
      <c r="A1820" t="s">
        <v>8311</v>
      </c>
      <c r="B1820" t="s">
        <v>13</v>
      </c>
      <c r="C1820" s="1">
        <v>44318</v>
      </c>
      <c r="D1820" t="s">
        <v>8312</v>
      </c>
      <c r="E1820" s="2" t="s">
        <v>31737</v>
      </c>
      <c r="F1820" t="s">
        <v>8313</v>
      </c>
      <c r="G1820" t="s">
        <v>8314</v>
      </c>
      <c r="H1820" t="s">
        <v>36</v>
      </c>
      <c r="I1820" t="s">
        <v>19</v>
      </c>
      <c r="J1820" s="3" t="s">
        <v>8315</v>
      </c>
      <c r="K1820" t="s">
        <v>8316</v>
      </c>
      <c r="L1820" t="s">
        <v>32135</v>
      </c>
      <c r="M1820" t="s">
        <v>32147</v>
      </c>
    </row>
    <row r="1821" spans="1:13" x14ac:dyDescent="0.25">
      <c r="A1821" t="s">
        <v>26152</v>
      </c>
      <c r="B1821" t="s">
        <v>13</v>
      </c>
      <c r="C1821" t="s">
        <v>23624</v>
      </c>
      <c r="D1821" t="s">
        <v>26153</v>
      </c>
      <c r="E1821" s="2" t="s">
        <v>31342</v>
      </c>
      <c r="F1821" t="s">
        <v>8193</v>
      </c>
      <c r="G1821" t="s">
        <v>25749</v>
      </c>
      <c r="H1821" t="s">
        <v>265</v>
      </c>
      <c r="I1821" t="s">
        <v>19</v>
      </c>
      <c r="J1821" s="3" t="s">
        <v>25750</v>
      </c>
      <c r="K1821" t="s">
        <v>25751</v>
      </c>
      <c r="L1821" t="s">
        <v>2943</v>
      </c>
      <c r="M1821" t="s">
        <v>129</v>
      </c>
    </row>
    <row r="1822" spans="1:13" x14ac:dyDescent="0.25">
      <c r="A1822" t="s">
        <v>1255</v>
      </c>
      <c r="B1822" t="s">
        <v>13</v>
      </c>
      <c r="C1822" t="s">
        <v>1220</v>
      </c>
      <c r="D1822" t="s">
        <v>1256</v>
      </c>
      <c r="E1822" t="s">
        <v>1257</v>
      </c>
      <c r="F1822" t="s">
        <v>1258</v>
      </c>
      <c r="G1822" t="s">
        <v>1259</v>
      </c>
      <c r="H1822" t="s">
        <v>88</v>
      </c>
      <c r="I1822" t="s">
        <v>19</v>
      </c>
      <c r="J1822" s="3" t="s">
        <v>1260</v>
      </c>
      <c r="K1822" t="s">
        <v>1261</v>
      </c>
      <c r="L1822" t="s">
        <v>1262</v>
      </c>
      <c r="M1822" t="s">
        <v>1349</v>
      </c>
    </row>
    <row r="1823" spans="1:13" x14ac:dyDescent="0.25">
      <c r="A1823" t="s">
        <v>4439</v>
      </c>
      <c r="B1823" t="s">
        <v>13</v>
      </c>
      <c r="C1823" s="1">
        <v>44745</v>
      </c>
      <c r="D1823" t="s">
        <v>4440</v>
      </c>
      <c r="E1823" s="2" t="s">
        <v>31428</v>
      </c>
      <c r="F1823" t="s">
        <v>4441</v>
      </c>
      <c r="G1823" t="s">
        <v>4442</v>
      </c>
      <c r="H1823" t="s">
        <v>18</v>
      </c>
      <c r="I1823" t="s">
        <v>19</v>
      </c>
      <c r="J1823" s="3" t="s">
        <v>4443</v>
      </c>
      <c r="K1823" t="s">
        <v>4444</v>
      </c>
      <c r="L1823" t="s">
        <v>1224</v>
      </c>
      <c r="M1823" t="s">
        <v>432</v>
      </c>
    </row>
    <row r="1824" spans="1:13" x14ac:dyDescent="0.25">
      <c r="A1824" t="s">
        <v>12123</v>
      </c>
      <c r="B1824" t="s">
        <v>13</v>
      </c>
      <c r="C1824" t="s">
        <v>9668</v>
      </c>
      <c r="D1824" t="s">
        <v>12124</v>
      </c>
      <c r="E1824" s="2" t="s">
        <v>31501</v>
      </c>
      <c r="F1824" t="s">
        <v>1464</v>
      </c>
      <c r="G1824" t="s">
        <v>12125</v>
      </c>
      <c r="H1824" t="s">
        <v>2626</v>
      </c>
      <c r="I1824" t="s">
        <v>19</v>
      </c>
      <c r="J1824" s="3">
        <v>16992125338</v>
      </c>
      <c r="K1824" t="s">
        <v>12126</v>
      </c>
      <c r="L1824" t="s">
        <v>3305</v>
      </c>
      <c r="M1824" t="s">
        <v>1349</v>
      </c>
    </row>
    <row r="1825" spans="1:13" x14ac:dyDescent="0.25">
      <c r="A1825" t="s">
        <v>23456</v>
      </c>
      <c r="B1825" t="s">
        <v>13</v>
      </c>
      <c r="C1825" t="s">
        <v>8668</v>
      </c>
      <c r="D1825" t="s">
        <v>23457</v>
      </c>
      <c r="E1825" s="2" t="s">
        <v>31330</v>
      </c>
      <c r="F1825" t="s">
        <v>2036</v>
      </c>
      <c r="G1825" t="s">
        <v>19536</v>
      </c>
      <c r="H1825" t="s">
        <v>2678</v>
      </c>
      <c r="I1825" t="s">
        <v>19</v>
      </c>
      <c r="J1825" s="3" t="s">
        <v>19537</v>
      </c>
      <c r="K1825" t="s">
        <v>14218</v>
      </c>
      <c r="L1825" t="s">
        <v>993</v>
      </c>
      <c r="M1825" t="s">
        <v>57</v>
      </c>
    </row>
    <row r="1826" spans="1:13" x14ac:dyDescent="0.25">
      <c r="A1826" t="s">
        <v>16898</v>
      </c>
      <c r="B1826" t="s">
        <v>13</v>
      </c>
      <c r="C1826" t="s">
        <v>16899</v>
      </c>
      <c r="D1826" t="s">
        <v>16900</v>
      </c>
      <c r="E1826" t="s">
        <v>12970</v>
      </c>
      <c r="F1826" t="s">
        <v>117</v>
      </c>
      <c r="G1826" t="s">
        <v>16901</v>
      </c>
      <c r="H1826" t="s">
        <v>16902</v>
      </c>
      <c r="I1826" t="s">
        <v>19</v>
      </c>
      <c r="J1826" s="3" t="s">
        <v>16903</v>
      </c>
      <c r="K1826" t="s">
        <v>16904</v>
      </c>
      <c r="L1826" t="s">
        <v>904</v>
      </c>
      <c r="M1826" t="s">
        <v>32145</v>
      </c>
    </row>
    <row r="1827" spans="1:13" x14ac:dyDescent="0.25">
      <c r="A1827" t="s">
        <v>30328</v>
      </c>
      <c r="B1827" t="s">
        <v>13</v>
      </c>
      <c r="C1827" t="s">
        <v>30142</v>
      </c>
      <c r="D1827" t="s">
        <v>30329</v>
      </c>
      <c r="E1827" t="s">
        <v>30330</v>
      </c>
      <c r="F1827" t="s">
        <v>306</v>
      </c>
      <c r="G1827" t="s">
        <v>30331</v>
      </c>
      <c r="H1827" t="s">
        <v>352</v>
      </c>
      <c r="I1827" t="s">
        <v>19</v>
      </c>
      <c r="J1827" s="3" t="s">
        <v>30332</v>
      </c>
      <c r="K1827" t="s">
        <v>27895</v>
      </c>
      <c r="L1827" t="s">
        <v>27896</v>
      </c>
      <c r="M1827" t="s">
        <v>32145</v>
      </c>
    </row>
    <row r="1828" spans="1:13" x14ac:dyDescent="0.25">
      <c r="A1828" t="s">
        <v>29203</v>
      </c>
      <c r="B1828" t="s">
        <v>13</v>
      </c>
      <c r="C1828" s="1">
        <v>41914</v>
      </c>
      <c r="D1828" t="s">
        <v>29204</v>
      </c>
      <c r="E1828" t="s">
        <v>29205</v>
      </c>
      <c r="F1828" t="s">
        <v>2947</v>
      </c>
      <c r="G1828" t="s">
        <v>19981</v>
      </c>
      <c r="H1828" t="s">
        <v>352</v>
      </c>
      <c r="I1828" t="s">
        <v>19</v>
      </c>
      <c r="J1828" s="3" t="s">
        <v>29206</v>
      </c>
      <c r="K1828" t="s">
        <v>29207</v>
      </c>
      <c r="L1828" t="s">
        <v>9948</v>
      </c>
      <c r="M1828" t="s">
        <v>771</v>
      </c>
    </row>
    <row r="1829" spans="1:13" x14ac:dyDescent="0.25">
      <c r="A1829" t="s">
        <v>19807</v>
      </c>
      <c r="B1829" t="s">
        <v>13</v>
      </c>
      <c r="C1829" s="1">
        <v>43168</v>
      </c>
      <c r="D1829" t="s">
        <v>19808</v>
      </c>
      <c r="E1829" t="s">
        <v>19809</v>
      </c>
      <c r="F1829" t="s">
        <v>306</v>
      </c>
      <c r="G1829" t="s">
        <v>19810</v>
      </c>
      <c r="H1829" t="s">
        <v>255</v>
      </c>
      <c r="I1829" t="s">
        <v>19</v>
      </c>
      <c r="J1829" s="3" t="s">
        <v>19811</v>
      </c>
      <c r="K1829" t="s">
        <v>19812</v>
      </c>
      <c r="L1829" t="s">
        <v>2467</v>
      </c>
      <c r="M1829" t="s">
        <v>32145</v>
      </c>
    </row>
    <row r="1830" spans="1:13" x14ac:dyDescent="0.25">
      <c r="A1830" t="s">
        <v>26638</v>
      </c>
      <c r="B1830" t="s">
        <v>13</v>
      </c>
      <c r="C1830" s="1">
        <v>42373</v>
      </c>
      <c r="D1830" t="s">
        <v>26639</v>
      </c>
      <c r="E1830" t="s">
        <v>26640</v>
      </c>
      <c r="F1830" t="s">
        <v>771</v>
      </c>
      <c r="G1830" t="s">
        <v>25033</v>
      </c>
      <c r="H1830" t="s">
        <v>409</v>
      </c>
      <c r="I1830" t="s">
        <v>19</v>
      </c>
      <c r="J1830" s="3" t="s">
        <v>25034</v>
      </c>
      <c r="K1830" t="s">
        <v>25035</v>
      </c>
      <c r="L1830" t="s">
        <v>412</v>
      </c>
      <c r="M1830" t="s">
        <v>771</v>
      </c>
    </row>
    <row r="1831" spans="1:13" x14ac:dyDescent="0.25">
      <c r="A1831" t="s">
        <v>25305</v>
      </c>
      <c r="B1831" t="s">
        <v>13</v>
      </c>
      <c r="C1831" t="s">
        <v>25286</v>
      </c>
      <c r="D1831" t="s">
        <v>25306</v>
      </c>
      <c r="E1831" t="s">
        <v>25307</v>
      </c>
      <c r="F1831" t="s">
        <v>117</v>
      </c>
      <c r="G1831" t="s">
        <v>25308</v>
      </c>
      <c r="H1831" t="s">
        <v>936</v>
      </c>
      <c r="I1831" t="s">
        <v>19</v>
      </c>
      <c r="J1831" s="3" t="s">
        <v>25309</v>
      </c>
      <c r="K1831" t="s">
        <v>25310</v>
      </c>
      <c r="L1831" t="s">
        <v>25311</v>
      </c>
      <c r="M1831" t="s">
        <v>32145</v>
      </c>
    </row>
    <row r="1832" spans="1:13" x14ac:dyDescent="0.25">
      <c r="A1832" t="s">
        <v>23646</v>
      </c>
      <c r="B1832" t="s">
        <v>13</v>
      </c>
      <c r="C1832" t="s">
        <v>8680</v>
      </c>
      <c r="D1832" t="s">
        <v>23647</v>
      </c>
      <c r="E1832" t="s">
        <v>23648</v>
      </c>
      <c r="F1832" t="s">
        <v>1464</v>
      </c>
      <c r="G1832" t="s">
        <v>23649</v>
      </c>
      <c r="H1832" t="s">
        <v>753</v>
      </c>
      <c r="I1832" t="s">
        <v>19</v>
      </c>
      <c r="J1832" s="3" t="s">
        <v>23650</v>
      </c>
      <c r="K1832" t="s">
        <v>23651</v>
      </c>
      <c r="L1832" t="s">
        <v>2762</v>
      </c>
      <c r="M1832" t="s">
        <v>32145</v>
      </c>
    </row>
    <row r="1833" spans="1:13" x14ac:dyDescent="0.25">
      <c r="A1833" t="s">
        <v>10163</v>
      </c>
      <c r="B1833" t="s">
        <v>13</v>
      </c>
      <c r="C1833" t="s">
        <v>8861</v>
      </c>
      <c r="D1833" t="s">
        <v>10164</v>
      </c>
      <c r="E1833" t="s">
        <v>10165</v>
      </c>
      <c r="F1833" t="s">
        <v>2947</v>
      </c>
      <c r="G1833" t="s">
        <v>10166</v>
      </c>
      <c r="H1833" t="s">
        <v>255</v>
      </c>
      <c r="I1833" t="s">
        <v>19</v>
      </c>
      <c r="J1833" s="3" t="s">
        <v>10167</v>
      </c>
      <c r="K1833" t="s">
        <v>10168</v>
      </c>
      <c r="L1833" t="s">
        <v>2467</v>
      </c>
      <c r="M1833" t="s">
        <v>771</v>
      </c>
    </row>
    <row r="1834" spans="1:13" x14ac:dyDescent="0.25">
      <c r="A1834" t="s">
        <v>25000</v>
      </c>
      <c r="B1834" t="s">
        <v>13</v>
      </c>
      <c r="C1834" s="1">
        <v>42594</v>
      </c>
      <c r="D1834" t="s">
        <v>25001</v>
      </c>
      <c r="E1834" t="s">
        <v>25002</v>
      </c>
      <c r="F1834" t="s">
        <v>2947</v>
      </c>
      <c r="G1834" t="s">
        <v>25003</v>
      </c>
      <c r="H1834" t="s">
        <v>255</v>
      </c>
      <c r="I1834" t="s">
        <v>19</v>
      </c>
      <c r="J1834" s="3" t="s">
        <v>25004</v>
      </c>
      <c r="K1834" t="s">
        <v>25005</v>
      </c>
      <c r="L1834" t="s">
        <v>11812</v>
      </c>
      <c r="M1834" t="s">
        <v>771</v>
      </c>
    </row>
    <row r="1835" spans="1:13" x14ac:dyDescent="0.25">
      <c r="A1835" t="s">
        <v>13469</v>
      </c>
      <c r="B1835" t="s">
        <v>13</v>
      </c>
      <c r="C1835" t="s">
        <v>4227</v>
      </c>
      <c r="D1835" t="s">
        <v>13470</v>
      </c>
      <c r="E1835" t="s">
        <v>1761</v>
      </c>
      <c r="F1835" t="s">
        <v>129</v>
      </c>
      <c r="G1835" t="s">
        <v>12119</v>
      </c>
      <c r="H1835" t="s">
        <v>12120</v>
      </c>
      <c r="I1835" t="s">
        <v>19</v>
      </c>
      <c r="J1835" s="3">
        <f>55-24-992192494</f>
        <v>-992192463</v>
      </c>
      <c r="K1835" t="s">
        <v>12121</v>
      </c>
      <c r="L1835" t="s">
        <v>12122</v>
      </c>
      <c r="M1835" t="s">
        <v>129</v>
      </c>
    </row>
    <row r="1836" spans="1:13" x14ac:dyDescent="0.25">
      <c r="A1836" t="s">
        <v>10000</v>
      </c>
      <c r="B1836" t="s">
        <v>13</v>
      </c>
      <c r="C1836" t="s">
        <v>7112</v>
      </c>
      <c r="D1836" t="s">
        <v>10001</v>
      </c>
      <c r="E1836" t="s">
        <v>1761</v>
      </c>
      <c r="F1836" t="s">
        <v>8193</v>
      </c>
      <c r="G1836" t="s">
        <v>10002</v>
      </c>
      <c r="H1836" t="s">
        <v>36</v>
      </c>
      <c r="I1836" t="s">
        <v>19</v>
      </c>
      <c r="J1836" s="3">
        <v>11996641185</v>
      </c>
      <c r="K1836" t="s">
        <v>10003</v>
      </c>
      <c r="L1836" t="s">
        <v>153</v>
      </c>
      <c r="M1836" t="s">
        <v>129</v>
      </c>
    </row>
    <row r="1837" spans="1:13" x14ac:dyDescent="0.25">
      <c r="A1837" t="s">
        <v>16600</v>
      </c>
      <c r="B1837" t="s">
        <v>13</v>
      </c>
      <c r="C1837" t="s">
        <v>16601</v>
      </c>
      <c r="D1837" t="s">
        <v>16602</v>
      </c>
      <c r="E1837" t="s">
        <v>1761</v>
      </c>
      <c r="F1837" t="s">
        <v>1464</v>
      </c>
      <c r="G1837" t="s">
        <v>12119</v>
      </c>
      <c r="H1837" t="s">
        <v>12120</v>
      </c>
      <c r="I1837" t="s">
        <v>19</v>
      </c>
      <c r="J1837" s="3">
        <f>55-24-992192494</f>
        <v>-992192463</v>
      </c>
      <c r="K1837" t="s">
        <v>12121</v>
      </c>
      <c r="L1837" t="s">
        <v>12122</v>
      </c>
      <c r="M1837" t="s">
        <v>129</v>
      </c>
    </row>
    <row r="1838" spans="1:13" x14ac:dyDescent="0.25">
      <c r="A1838" t="s">
        <v>10668</v>
      </c>
      <c r="B1838" t="s">
        <v>13</v>
      </c>
      <c r="C1838" s="1">
        <v>43476</v>
      </c>
      <c r="D1838" t="s">
        <v>10669</v>
      </c>
      <c r="E1838" t="s">
        <v>1761</v>
      </c>
      <c r="F1838" t="s">
        <v>1464</v>
      </c>
      <c r="G1838" t="s">
        <v>10670</v>
      </c>
      <c r="H1838" t="s">
        <v>195</v>
      </c>
      <c r="I1838" t="s">
        <v>19</v>
      </c>
      <c r="J1838" s="3">
        <f>55-16-33519577</f>
        <v>-33519538</v>
      </c>
      <c r="K1838" t="s">
        <v>10671</v>
      </c>
      <c r="L1838" t="s">
        <v>197</v>
      </c>
      <c r="M1838" t="s">
        <v>129</v>
      </c>
    </row>
    <row r="1839" spans="1:13" x14ac:dyDescent="0.25">
      <c r="A1839" t="s">
        <v>16879</v>
      </c>
      <c r="B1839" t="s">
        <v>13</v>
      </c>
      <c r="C1839" s="1">
        <v>43562</v>
      </c>
      <c r="D1839" t="s">
        <v>16880</v>
      </c>
      <c r="E1839" s="2" t="s">
        <v>31871</v>
      </c>
      <c r="F1839" t="s">
        <v>8193</v>
      </c>
      <c r="G1839" t="s">
        <v>16881</v>
      </c>
      <c r="H1839" t="s">
        <v>88</v>
      </c>
      <c r="I1839" t="s">
        <v>19</v>
      </c>
      <c r="J1839" s="3">
        <v>558433422002</v>
      </c>
      <c r="K1839" t="s">
        <v>16882</v>
      </c>
      <c r="L1839" t="s">
        <v>91</v>
      </c>
      <c r="M1839" t="s">
        <v>129</v>
      </c>
    </row>
    <row r="1840" spans="1:13" x14ac:dyDescent="0.25">
      <c r="A1840" t="s">
        <v>22516</v>
      </c>
      <c r="B1840" t="s">
        <v>13</v>
      </c>
      <c r="C1840" t="s">
        <v>20648</v>
      </c>
      <c r="D1840" t="s">
        <v>22517</v>
      </c>
      <c r="E1840" s="2" t="s">
        <v>31374</v>
      </c>
      <c r="F1840" t="s">
        <v>1464</v>
      </c>
      <c r="G1840" t="s">
        <v>22518</v>
      </c>
      <c r="H1840" t="s">
        <v>114</v>
      </c>
      <c r="I1840" t="s">
        <v>19</v>
      </c>
      <c r="J1840" s="3" t="s">
        <v>22519</v>
      </c>
      <c r="K1840" t="s">
        <v>13949</v>
      </c>
      <c r="L1840" t="s">
        <v>82</v>
      </c>
      <c r="M1840" t="s">
        <v>129</v>
      </c>
    </row>
    <row r="1841" spans="1:13" x14ac:dyDescent="0.25">
      <c r="A1841" t="s">
        <v>24245</v>
      </c>
      <c r="B1841" t="s">
        <v>13</v>
      </c>
      <c r="C1841" s="1">
        <v>43074</v>
      </c>
      <c r="D1841" t="s">
        <v>24246</v>
      </c>
      <c r="E1841" t="s">
        <v>5121</v>
      </c>
      <c r="F1841" t="s">
        <v>129</v>
      </c>
      <c r="G1841" t="s">
        <v>24247</v>
      </c>
      <c r="H1841" t="s">
        <v>265</v>
      </c>
      <c r="I1841" t="s">
        <v>19</v>
      </c>
      <c r="J1841" s="3" t="s">
        <v>24248</v>
      </c>
      <c r="K1841" t="s">
        <v>24249</v>
      </c>
      <c r="L1841" t="s">
        <v>1569</v>
      </c>
      <c r="M1841" t="s">
        <v>129</v>
      </c>
    </row>
    <row r="1842" spans="1:13" x14ac:dyDescent="0.25">
      <c r="A1842" t="s">
        <v>24209</v>
      </c>
      <c r="B1842" t="s">
        <v>13</v>
      </c>
      <c r="C1842" t="s">
        <v>24210</v>
      </c>
      <c r="D1842" t="s">
        <v>24211</v>
      </c>
      <c r="E1842" t="s">
        <v>24212</v>
      </c>
      <c r="F1842" t="s">
        <v>2036</v>
      </c>
      <c r="G1842" t="s">
        <v>24213</v>
      </c>
      <c r="H1842" t="s">
        <v>503</v>
      </c>
      <c r="I1842" t="s">
        <v>19</v>
      </c>
      <c r="J1842" s="3" t="s">
        <v>24214</v>
      </c>
      <c r="K1842" t="s">
        <v>24215</v>
      </c>
      <c r="L1842" t="s">
        <v>412</v>
      </c>
      <c r="M1842" t="s">
        <v>57</v>
      </c>
    </row>
    <row r="1843" spans="1:13" x14ac:dyDescent="0.25">
      <c r="A1843" t="s">
        <v>1194</v>
      </c>
      <c r="B1843" t="s">
        <v>13</v>
      </c>
      <c r="C1843" t="s">
        <v>1179</v>
      </c>
      <c r="D1843" t="s">
        <v>1195</v>
      </c>
      <c r="E1843" t="s">
        <v>1196</v>
      </c>
      <c r="F1843" t="s">
        <v>122</v>
      </c>
      <c r="G1843" t="s">
        <v>1197</v>
      </c>
      <c r="H1843" t="s">
        <v>927</v>
      </c>
      <c r="I1843" t="s">
        <v>19</v>
      </c>
      <c r="J1843" s="3" t="s">
        <v>1198</v>
      </c>
      <c r="K1843" t="s">
        <v>1199</v>
      </c>
      <c r="L1843" t="s">
        <v>1200</v>
      </c>
      <c r="M1843" t="s">
        <v>337</v>
      </c>
    </row>
    <row r="1844" spans="1:13" x14ac:dyDescent="0.25">
      <c r="A1844" t="s">
        <v>27639</v>
      </c>
      <c r="B1844" t="s">
        <v>101</v>
      </c>
      <c r="C1844" t="s">
        <v>27520</v>
      </c>
      <c r="D1844" t="s">
        <v>27640</v>
      </c>
      <c r="E1844" t="s">
        <v>5164</v>
      </c>
      <c r="F1844" t="s">
        <v>1464</v>
      </c>
      <c r="G1844" t="s">
        <v>19527</v>
      </c>
      <c r="H1844" t="s">
        <v>409</v>
      </c>
      <c r="I1844" t="s">
        <v>19</v>
      </c>
      <c r="J1844" s="3" t="s">
        <v>19528</v>
      </c>
      <c r="K1844" t="s">
        <v>19529</v>
      </c>
      <c r="L1844" t="s">
        <v>412</v>
      </c>
      <c r="M1844" t="s">
        <v>32147</v>
      </c>
    </row>
    <row r="1845" spans="1:13" x14ac:dyDescent="0.25">
      <c r="A1845" t="s">
        <v>17953</v>
      </c>
      <c r="B1845" t="s">
        <v>13</v>
      </c>
      <c r="C1845" t="s">
        <v>16588</v>
      </c>
      <c r="D1845" t="s">
        <v>17954</v>
      </c>
      <c r="E1845" s="2" t="s">
        <v>31570</v>
      </c>
      <c r="F1845" t="s">
        <v>306</v>
      </c>
      <c r="G1845" t="s">
        <v>17955</v>
      </c>
      <c r="H1845" t="s">
        <v>88</v>
      </c>
      <c r="I1845" t="s">
        <v>19</v>
      </c>
      <c r="J1845" s="3">
        <v>5584999943176</v>
      </c>
      <c r="K1845" t="s">
        <v>17956</v>
      </c>
      <c r="L1845" t="s">
        <v>91</v>
      </c>
      <c r="M1845" t="s">
        <v>32145</v>
      </c>
    </row>
    <row r="1846" spans="1:13" x14ac:dyDescent="0.25">
      <c r="A1846" t="s">
        <v>16769</v>
      </c>
      <c r="B1846" t="s">
        <v>13</v>
      </c>
      <c r="C1846" t="s">
        <v>16755</v>
      </c>
      <c r="D1846" t="s">
        <v>16770</v>
      </c>
      <c r="E1846" t="s">
        <v>4090</v>
      </c>
      <c r="F1846" t="s">
        <v>2036</v>
      </c>
      <c r="G1846" t="s">
        <v>16771</v>
      </c>
      <c r="H1846" t="s">
        <v>428</v>
      </c>
      <c r="I1846" t="s">
        <v>19</v>
      </c>
      <c r="J1846" s="3">
        <v>5505133038884</v>
      </c>
      <c r="K1846" t="s">
        <v>16772</v>
      </c>
      <c r="L1846" t="s">
        <v>1113</v>
      </c>
      <c r="M1846" t="s">
        <v>57</v>
      </c>
    </row>
    <row r="1847" spans="1:13" x14ac:dyDescent="0.25">
      <c r="A1847" t="s">
        <v>11775</v>
      </c>
      <c r="B1847" t="s">
        <v>13</v>
      </c>
      <c r="C1847" t="s">
        <v>5698</v>
      </c>
      <c r="D1847" t="s">
        <v>11776</v>
      </c>
      <c r="E1847" t="s">
        <v>11777</v>
      </c>
      <c r="F1847" t="s">
        <v>6308</v>
      </c>
      <c r="G1847" t="s">
        <v>11778</v>
      </c>
      <c r="H1847" t="s">
        <v>1802</v>
      </c>
      <c r="I1847" t="s">
        <v>19</v>
      </c>
      <c r="J1847" s="3">
        <f>55-14-3235-8000</f>
        <v>-11194</v>
      </c>
      <c r="K1847" t="s">
        <v>11779</v>
      </c>
      <c r="L1847" t="s">
        <v>1805</v>
      </c>
      <c r="M1847" t="s">
        <v>432</v>
      </c>
    </row>
    <row r="1848" spans="1:13" x14ac:dyDescent="0.25">
      <c r="A1848" t="s">
        <v>14373</v>
      </c>
      <c r="B1848" t="s">
        <v>13</v>
      </c>
      <c r="C1848" s="1">
        <v>43891</v>
      </c>
      <c r="D1848" t="s">
        <v>14374</v>
      </c>
      <c r="E1848" t="s">
        <v>11777</v>
      </c>
      <c r="F1848" t="s">
        <v>6308</v>
      </c>
      <c r="G1848" t="s">
        <v>11778</v>
      </c>
      <c r="H1848" t="s">
        <v>1802</v>
      </c>
      <c r="I1848" t="s">
        <v>19</v>
      </c>
      <c r="J1848" s="3">
        <f>55-14-3235-8000</f>
        <v>-11194</v>
      </c>
      <c r="K1848" t="s">
        <v>11779</v>
      </c>
      <c r="L1848" t="s">
        <v>1805</v>
      </c>
      <c r="M1848" t="s">
        <v>432</v>
      </c>
    </row>
    <row r="1849" spans="1:13" x14ac:dyDescent="0.25">
      <c r="A1849" t="s">
        <v>10648</v>
      </c>
      <c r="B1849" t="s">
        <v>13</v>
      </c>
      <c r="C1849" s="1">
        <v>43898</v>
      </c>
      <c r="D1849" t="s">
        <v>10649</v>
      </c>
      <c r="E1849" t="s">
        <v>4090</v>
      </c>
      <c r="F1849" t="s">
        <v>1464</v>
      </c>
      <c r="G1849" t="s">
        <v>10650</v>
      </c>
      <c r="H1849" t="s">
        <v>4017</v>
      </c>
      <c r="I1849" t="s">
        <v>19</v>
      </c>
      <c r="J1849" s="3">
        <f>55-81-998699877</f>
        <v>-998699903</v>
      </c>
      <c r="K1849" t="s">
        <v>10651</v>
      </c>
      <c r="L1849" t="s">
        <v>2101</v>
      </c>
      <c r="M1849" t="s">
        <v>32147</v>
      </c>
    </row>
    <row r="1850" spans="1:13" x14ac:dyDescent="0.25">
      <c r="A1850" t="s">
        <v>23358</v>
      </c>
      <c r="B1850" t="s">
        <v>13</v>
      </c>
      <c r="C1850" s="1">
        <v>43049</v>
      </c>
      <c r="D1850" t="s">
        <v>23359</v>
      </c>
      <c r="E1850" t="s">
        <v>4090</v>
      </c>
      <c r="F1850" t="s">
        <v>1190</v>
      </c>
      <c r="G1850" t="s">
        <v>23360</v>
      </c>
      <c r="H1850" t="s">
        <v>1802</v>
      </c>
      <c r="I1850" t="s">
        <v>19</v>
      </c>
      <c r="J1850" s="3" t="s">
        <v>23361</v>
      </c>
      <c r="K1850" t="s">
        <v>23362</v>
      </c>
      <c r="L1850" t="s">
        <v>13223</v>
      </c>
      <c r="M1850" t="s">
        <v>432</v>
      </c>
    </row>
    <row r="1851" spans="1:13" x14ac:dyDescent="0.25">
      <c r="A1851" t="s">
        <v>16840</v>
      </c>
      <c r="B1851" t="s">
        <v>13</v>
      </c>
      <c r="C1851" s="1">
        <v>43684</v>
      </c>
      <c r="D1851" t="s">
        <v>16841</v>
      </c>
      <c r="E1851" s="2" t="s">
        <v>32775</v>
      </c>
      <c r="F1851" t="s">
        <v>2036</v>
      </c>
      <c r="G1851" t="s">
        <v>16842</v>
      </c>
      <c r="H1851" t="s">
        <v>428</v>
      </c>
      <c r="I1851" t="s">
        <v>19</v>
      </c>
      <c r="J1851" s="3">
        <f>55-51-999768811</f>
        <v>-999768807</v>
      </c>
      <c r="K1851" t="s">
        <v>16843</v>
      </c>
      <c r="L1851" t="s">
        <v>1113</v>
      </c>
      <c r="M1851" t="s">
        <v>57</v>
      </c>
    </row>
    <row r="1852" spans="1:13" x14ac:dyDescent="0.25">
      <c r="A1852" t="s">
        <v>4088</v>
      </c>
      <c r="B1852" t="s">
        <v>13</v>
      </c>
      <c r="C1852" t="s">
        <v>4066</v>
      </c>
      <c r="D1852" t="s">
        <v>4089</v>
      </c>
      <c r="E1852" s="2" t="s">
        <v>30799</v>
      </c>
      <c r="F1852" t="s">
        <v>1327</v>
      </c>
      <c r="G1852" t="s">
        <v>4091</v>
      </c>
      <c r="H1852" t="s">
        <v>4092</v>
      </c>
      <c r="I1852" t="s">
        <v>19</v>
      </c>
      <c r="J1852" s="3">
        <f>55-14-34021300</f>
        <v>-34021259</v>
      </c>
      <c r="K1852" t="s">
        <v>4093</v>
      </c>
      <c r="L1852" t="s">
        <v>4094</v>
      </c>
      <c r="M1852" t="s">
        <v>57</v>
      </c>
    </row>
    <row r="1853" spans="1:13" x14ac:dyDescent="0.25">
      <c r="A1853" t="s">
        <v>6209</v>
      </c>
      <c r="B1853" t="s">
        <v>13</v>
      </c>
      <c r="C1853" t="s">
        <v>6210</v>
      </c>
      <c r="D1853" t="s">
        <v>32135</v>
      </c>
      <c r="E1853" t="s">
        <v>4530</v>
      </c>
      <c r="F1853" t="s">
        <v>147</v>
      </c>
      <c r="G1853" t="s">
        <v>6211</v>
      </c>
      <c r="H1853" t="s">
        <v>372</v>
      </c>
      <c r="I1853" t="s">
        <v>19</v>
      </c>
      <c r="J1853" s="3">
        <f>55-19-996815092</f>
        <v>-996815056</v>
      </c>
      <c r="K1853" t="s">
        <v>6212</v>
      </c>
      <c r="L1853" t="s">
        <v>32135</v>
      </c>
      <c r="M1853" t="s">
        <v>32165</v>
      </c>
    </row>
    <row r="1854" spans="1:13" x14ac:dyDescent="0.25">
      <c r="A1854" t="s">
        <v>19477</v>
      </c>
      <c r="B1854" t="s">
        <v>13</v>
      </c>
      <c r="C1854" t="s">
        <v>19478</v>
      </c>
      <c r="D1854" t="s">
        <v>19479</v>
      </c>
      <c r="E1854" t="s">
        <v>19480</v>
      </c>
      <c r="F1854" t="s">
        <v>741</v>
      </c>
      <c r="G1854" t="s">
        <v>19481</v>
      </c>
      <c r="H1854" t="s">
        <v>17190</v>
      </c>
      <c r="I1854" t="s">
        <v>19</v>
      </c>
      <c r="J1854" s="3" t="s">
        <v>19482</v>
      </c>
      <c r="K1854" t="s">
        <v>19483</v>
      </c>
      <c r="L1854" t="s">
        <v>4852</v>
      </c>
      <c r="M1854" t="s">
        <v>741</v>
      </c>
    </row>
    <row r="1855" spans="1:13" x14ac:dyDescent="0.25">
      <c r="A1855" t="s">
        <v>16696</v>
      </c>
      <c r="B1855" t="s">
        <v>13</v>
      </c>
      <c r="C1855" t="s">
        <v>16697</v>
      </c>
      <c r="D1855" t="s">
        <v>16698</v>
      </c>
      <c r="E1855" t="s">
        <v>16699</v>
      </c>
      <c r="F1855" t="s">
        <v>332</v>
      </c>
      <c r="G1855" t="s">
        <v>9689</v>
      </c>
      <c r="H1855" t="s">
        <v>428</v>
      </c>
      <c r="I1855" t="s">
        <v>19</v>
      </c>
      <c r="J1855" s="3" t="s">
        <v>16700</v>
      </c>
      <c r="K1855" t="s">
        <v>16701</v>
      </c>
      <c r="L1855" t="s">
        <v>2412</v>
      </c>
      <c r="M1855" t="s">
        <v>337</v>
      </c>
    </row>
    <row r="1856" spans="1:13" x14ac:dyDescent="0.25">
      <c r="A1856" t="s">
        <v>11585</v>
      </c>
      <c r="B1856" t="s">
        <v>13</v>
      </c>
      <c r="C1856" s="1">
        <v>43836</v>
      </c>
      <c r="D1856" t="s">
        <v>11586</v>
      </c>
      <c r="E1856" t="s">
        <v>32327</v>
      </c>
      <c r="F1856" t="s">
        <v>1464</v>
      </c>
      <c r="G1856" t="s">
        <v>11587</v>
      </c>
      <c r="H1856" t="s">
        <v>11588</v>
      </c>
      <c r="I1856" t="s">
        <v>19</v>
      </c>
      <c r="J1856" s="3">
        <f>55-33-999882565</f>
        <v>-999882543</v>
      </c>
      <c r="K1856" t="s">
        <v>11589</v>
      </c>
      <c r="L1856" t="s">
        <v>11590</v>
      </c>
      <c r="M1856" t="s">
        <v>32144</v>
      </c>
    </row>
    <row r="1857" spans="1:13" x14ac:dyDescent="0.25">
      <c r="A1857" t="s">
        <v>4001</v>
      </c>
      <c r="B1857" t="s">
        <v>13</v>
      </c>
      <c r="C1857" s="1">
        <v>44777</v>
      </c>
      <c r="D1857" t="s">
        <v>4002</v>
      </c>
      <c r="E1857" s="2" t="s">
        <v>31688</v>
      </c>
      <c r="F1857" t="s">
        <v>4003</v>
      </c>
      <c r="G1857" t="s">
        <v>4004</v>
      </c>
      <c r="H1857" t="s">
        <v>4005</v>
      </c>
      <c r="I1857" t="s">
        <v>19</v>
      </c>
      <c r="J1857" s="3">
        <f>55-53-981196567</f>
        <v>-981196565</v>
      </c>
      <c r="K1857" t="s">
        <v>4006</v>
      </c>
      <c r="L1857" t="s">
        <v>4007</v>
      </c>
      <c r="M1857" t="s">
        <v>1775</v>
      </c>
    </row>
    <row r="1858" spans="1:13" x14ac:dyDescent="0.25">
      <c r="A1858" t="s">
        <v>22706</v>
      </c>
      <c r="B1858" t="s">
        <v>13</v>
      </c>
      <c r="C1858" s="1">
        <v>43132</v>
      </c>
      <c r="D1858" t="s">
        <v>22707</v>
      </c>
      <c r="E1858" t="s">
        <v>22708</v>
      </c>
      <c r="F1858" t="s">
        <v>10546</v>
      </c>
      <c r="G1858" t="s">
        <v>22709</v>
      </c>
      <c r="H1858" t="s">
        <v>265</v>
      </c>
      <c r="I1858" t="s">
        <v>19</v>
      </c>
      <c r="J1858" s="3" t="s">
        <v>22710</v>
      </c>
      <c r="K1858" t="s">
        <v>22711</v>
      </c>
      <c r="L1858" t="s">
        <v>391</v>
      </c>
      <c r="M1858" t="s">
        <v>129</v>
      </c>
    </row>
    <row r="1859" spans="1:13" x14ac:dyDescent="0.25">
      <c r="A1859" t="s">
        <v>7275</v>
      </c>
      <c r="B1859" t="s">
        <v>13</v>
      </c>
      <c r="C1859" s="1">
        <v>44202</v>
      </c>
      <c r="D1859" t="s">
        <v>7276</v>
      </c>
      <c r="E1859" s="2" t="s">
        <v>31892</v>
      </c>
      <c r="F1859" t="s">
        <v>1435</v>
      </c>
      <c r="G1859" t="s">
        <v>7278</v>
      </c>
      <c r="H1859" t="s">
        <v>1741</v>
      </c>
      <c r="I1859" t="s">
        <v>19</v>
      </c>
      <c r="J1859" s="3">
        <f>55-35-992247600</f>
        <v>-992247580</v>
      </c>
      <c r="K1859" t="s">
        <v>7279</v>
      </c>
      <c r="L1859" t="s">
        <v>32135</v>
      </c>
      <c r="M1859" t="s">
        <v>57</v>
      </c>
    </row>
    <row r="1860" spans="1:13" x14ac:dyDescent="0.25">
      <c r="A1860" t="s">
        <v>1433</v>
      </c>
      <c r="B1860" t="s">
        <v>13</v>
      </c>
      <c r="C1860" s="1">
        <v>44662</v>
      </c>
      <c r="D1860" t="s">
        <v>1434</v>
      </c>
      <c r="E1860" s="2" t="s">
        <v>30707</v>
      </c>
      <c r="F1860" t="s">
        <v>1437</v>
      </c>
      <c r="G1860" t="s">
        <v>1438</v>
      </c>
      <c r="H1860" t="s">
        <v>1090</v>
      </c>
      <c r="I1860" t="s">
        <v>19</v>
      </c>
      <c r="J1860" s="3" t="s">
        <v>1439</v>
      </c>
      <c r="K1860" t="s">
        <v>1440</v>
      </c>
      <c r="L1860" t="s">
        <v>1092</v>
      </c>
      <c r="M1860" t="s">
        <v>32121</v>
      </c>
    </row>
    <row r="1861" spans="1:13" x14ac:dyDescent="0.25">
      <c r="A1861" t="s">
        <v>12931</v>
      </c>
      <c r="B1861" t="s">
        <v>13</v>
      </c>
      <c r="C1861" t="s">
        <v>8968</v>
      </c>
      <c r="D1861" t="s">
        <v>12932</v>
      </c>
      <c r="E1861" s="2" t="s">
        <v>31938</v>
      </c>
      <c r="F1861" t="s">
        <v>1464</v>
      </c>
      <c r="G1861" t="s">
        <v>12933</v>
      </c>
      <c r="H1861" t="s">
        <v>12934</v>
      </c>
      <c r="I1861" t="s">
        <v>19</v>
      </c>
      <c r="J1861" s="3">
        <f>55-12-39479028</f>
        <v>-39478985</v>
      </c>
      <c r="K1861" t="s">
        <v>12935</v>
      </c>
      <c r="L1861" t="s">
        <v>12936</v>
      </c>
      <c r="M1861" t="s">
        <v>337</v>
      </c>
    </row>
    <row r="1862" spans="1:13" x14ac:dyDescent="0.25">
      <c r="A1862" t="s">
        <v>22119</v>
      </c>
      <c r="B1862" t="s">
        <v>13</v>
      </c>
      <c r="C1862" s="1">
        <v>43103</v>
      </c>
      <c r="D1862" t="s">
        <v>22120</v>
      </c>
      <c r="E1862" t="s">
        <v>8007</v>
      </c>
      <c r="F1862" t="s">
        <v>1464</v>
      </c>
      <c r="G1862" t="s">
        <v>11829</v>
      </c>
      <c r="H1862" t="s">
        <v>3416</v>
      </c>
      <c r="I1862" t="s">
        <v>19</v>
      </c>
      <c r="J1862" s="3" t="s">
        <v>11830</v>
      </c>
      <c r="K1862" t="s">
        <v>11831</v>
      </c>
      <c r="L1862" t="s">
        <v>11832</v>
      </c>
      <c r="M1862" t="s">
        <v>337</v>
      </c>
    </row>
    <row r="1863" spans="1:13" x14ac:dyDescent="0.25">
      <c r="A1863" t="s">
        <v>21225</v>
      </c>
      <c r="B1863" t="s">
        <v>13</v>
      </c>
      <c r="C1863" t="s">
        <v>21222</v>
      </c>
      <c r="D1863" t="s">
        <v>21226</v>
      </c>
      <c r="E1863" t="s">
        <v>8007</v>
      </c>
      <c r="F1863" t="s">
        <v>332</v>
      </c>
      <c r="G1863" t="s">
        <v>21227</v>
      </c>
      <c r="H1863" t="s">
        <v>3416</v>
      </c>
      <c r="I1863" t="s">
        <v>19</v>
      </c>
      <c r="J1863" s="3" t="s">
        <v>21228</v>
      </c>
      <c r="K1863" t="s">
        <v>21229</v>
      </c>
      <c r="L1863" t="s">
        <v>21230</v>
      </c>
      <c r="M1863" t="s">
        <v>337</v>
      </c>
    </row>
    <row r="1864" spans="1:13" x14ac:dyDescent="0.25">
      <c r="A1864" t="s">
        <v>24639</v>
      </c>
      <c r="B1864" t="s">
        <v>101</v>
      </c>
      <c r="C1864" t="s">
        <v>24640</v>
      </c>
      <c r="D1864" t="s">
        <v>24641</v>
      </c>
      <c r="E1864" t="s">
        <v>10420</v>
      </c>
      <c r="F1864" t="s">
        <v>1464</v>
      </c>
      <c r="G1864" t="s">
        <v>24642</v>
      </c>
      <c r="H1864" t="s">
        <v>372</v>
      </c>
      <c r="I1864" t="s">
        <v>19</v>
      </c>
      <c r="J1864" s="3" t="s">
        <v>24643</v>
      </c>
      <c r="K1864" t="s">
        <v>24644</v>
      </c>
      <c r="L1864" t="s">
        <v>9980</v>
      </c>
      <c r="M1864" t="s">
        <v>337</v>
      </c>
    </row>
    <row r="1865" spans="1:13" x14ac:dyDescent="0.25">
      <c r="A1865" t="s">
        <v>10418</v>
      </c>
      <c r="B1865" t="s">
        <v>13</v>
      </c>
      <c r="C1865" t="s">
        <v>9982</v>
      </c>
      <c r="D1865" t="s">
        <v>10419</v>
      </c>
      <c r="E1865" s="2" t="s">
        <v>32776</v>
      </c>
      <c r="F1865" t="s">
        <v>1464</v>
      </c>
      <c r="G1865" t="s">
        <v>10421</v>
      </c>
      <c r="H1865" t="s">
        <v>255</v>
      </c>
      <c r="I1865" t="s">
        <v>19</v>
      </c>
      <c r="J1865" s="3" t="s">
        <v>10422</v>
      </c>
      <c r="K1865" t="s">
        <v>10423</v>
      </c>
      <c r="L1865" t="s">
        <v>10424</v>
      </c>
      <c r="M1865" t="s">
        <v>129</v>
      </c>
    </row>
    <row r="1866" spans="1:13" x14ac:dyDescent="0.25">
      <c r="A1866" t="s">
        <v>25144</v>
      </c>
      <c r="B1866" t="s">
        <v>13</v>
      </c>
      <c r="C1866" t="s">
        <v>25142</v>
      </c>
      <c r="D1866" t="s">
        <v>25145</v>
      </c>
      <c r="E1866" t="s">
        <v>25146</v>
      </c>
      <c r="F1866" t="s">
        <v>1464</v>
      </c>
      <c r="G1866" t="s">
        <v>25147</v>
      </c>
      <c r="H1866" t="s">
        <v>1466</v>
      </c>
      <c r="I1866" t="s">
        <v>19</v>
      </c>
      <c r="J1866" s="3" t="s">
        <v>25148</v>
      </c>
      <c r="K1866" t="s">
        <v>25149</v>
      </c>
      <c r="L1866" t="s">
        <v>1469</v>
      </c>
      <c r="M1866" t="s">
        <v>337</v>
      </c>
    </row>
    <row r="1867" spans="1:13" x14ac:dyDescent="0.25">
      <c r="A1867" t="s">
        <v>6164</v>
      </c>
      <c r="B1867" t="s">
        <v>13</v>
      </c>
      <c r="C1867" s="1">
        <v>44206</v>
      </c>
      <c r="D1867" t="s">
        <v>6165</v>
      </c>
      <c r="E1867" t="s">
        <v>6166</v>
      </c>
      <c r="F1867" t="s">
        <v>1464</v>
      </c>
      <c r="G1867" t="s">
        <v>6167</v>
      </c>
      <c r="H1867" t="s">
        <v>88</v>
      </c>
      <c r="I1867" t="s">
        <v>19</v>
      </c>
      <c r="J1867" s="3">
        <v>5583998546528</v>
      </c>
      <c r="K1867" t="s">
        <v>6168</v>
      </c>
      <c r="L1867" t="s">
        <v>32135</v>
      </c>
      <c r="M1867" t="s">
        <v>337</v>
      </c>
    </row>
    <row r="1868" spans="1:13" x14ac:dyDescent="0.25">
      <c r="A1868" t="s">
        <v>8005</v>
      </c>
      <c r="B1868" t="s">
        <v>13</v>
      </c>
      <c r="C1868" t="s">
        <v>8001</v>
      </c>
      <c r="D1868" t="s">
        <v>8006</v>
      </c>
      <c r="E1868" s="2" t="s">
        <v>32134</v>
      </c>
      <c r="F1868" t="s">
        <v>1006</v>
      </c>
      <c r="H1868" t="s">
        <v>32135</v>
      </c>
      <c r="I1868" t="s">
        <v>32135</v>
      </c>
      <c r="J1868" t="s">
        <v>32135</v>
      </c>
      <c r="K1868" s="3" t="s">
        <v>32135</v>
      </c>
      <c r="L1868" t="s">
        <v>32135</v>
      </c>
      <c r="M1868" t="s">
        <v>337</v>
      </c>
    </row>
    <row r="1869" spans="1:13" x14ac:dyDescent="0.25">
      <c r="A1869" t="s">
        <v>18041</v>
      </c>
      <c r="B1869" t="s">
        <v>13</v>
      </c>
      <c r="C1869" t="s">
        <v>14236</v>
      </c>
      <c r="D1869" t="s">
        <v>18042</v>
      </c>
      <c r="E1869" s="2" t="s">
        <v>31571</v>
      </c>
      <c r="F1869" t="s">
        <v>1464</v>
      </c>
      <c r="G1869" t="s">
        <v>11622</v>
      </c>
      <c r="H1869" t="s">
        <v>88</v>
      </c>
      <c r="I1869" t="s">
        <v>19</v>
      </c>
      <c r="J1869" s="3" t="s">
        <v>18043</v>
      </c>
      <c r="K1869" t="s">
        <v>11623</v>
      </c>
      <c r="L1869" t="s">
        <v>91</v>
      </c>
      <c r="M1869" t="s">
        <v>337</v>
      </c>
    </row>
    <row r="1870" spans="1:13" x14ac:dyDescent="0.25">
      <c r="A1870" t="s">
        <v>3967</v>
      </c>
      <c r="B1870" t="s">
        <v>101</v>
      </c>
      <c r="C1870" s="1">
        <v>44899</v>
      </c>
      <c r="D1870" t="s">
        <v>3968</v>
      </c>
      <c r="E1870" t="s">
        <v>2780</v>
      </c>
      <c r="F1870" t="s">
        <v>2781</v>
      </c>
      <c r="G1870" t="s">
        <v>2782</v>
      </c>
      <c r="H1870" t="s">
        <v>2783</v>
      </c>
      <c r="I1870" t="s">
        <v>19</v>
      </c>
      <c r="J1870" s="3" t="s">
        <v>2784</v>
      </c>
      <c r="K1870" t="s">
        <v>2785</v>
      </c>
      <c r="L1870" t="s">
        <v>3969</v>
      </c>
      <c r="M1870" t="s">
        <v>337</v>
      </c>
    </row>
    <row r="1871" spans="1:13" x14ac:dyDescent="0.25">
      <c r="A1871" t="s">
        <v>2777</v>
      </c>
      <c r="B1871" t="s">
        <v>101</v>
      </c>
      <c r="C1871" t="s">
        <v>2778</v>
      </c>
      <c r="D1871" t="s">
        <v>2779</v>
      </c>
      <c r="E1871" t="s">
        <v>2780</v>
      </c>
      <c r="F1871" t="s">
        <v>2781</v>
      </c>
      <c r="G1871" t="s">
        <v>2782</v>
      </c>
      <c r="H1871" t="s">
        <v>2783</v>
      </c>
      <c r="I1871" t="s">
        <v>19</v>
      </c>
      <c r="J1871" s="3" t="s">
        <v>2784</v>
      </c>
      <c r="K1871" t="s">
        <v>2785</v>
      </c>
      <c r="L1871" t="s">
        <v>2786</v>
      </c>
      <c r="M1871" t="s">
        <v>337</v>
      </c>
    </row>
    <row r="1872" spans="1:13" x14ac:dyDescent="0.25">
      <c r="A1872" t="s">
        <v>4702</v>
      </c>
      <c r="B1872" t="s">
        <v>13</v>
      </c>
      <c r="C1872" t="s">
        <v>119</v>
      </c>
      <c r="D1872" t="s">
        <v>32135</v>
      </c>
      <c r="E1872" t="s">
        <v>2780</v>
      </c>
      <c r="F1872" t="s">
        <v>4703</v>
      </c>
      <c r="G1872" t="s">
        <v>4704</v>
      </c>
      <c r="H1872" t="s">
        <v>4705</v>
      </c>
      <c r="I1872" t="s">
        <v>19</v>
      </c>
      <c r="J1872" s="3" t="s">
        <v>4706</v>
      </c>
      <c r="K1872" t="s">
        <v>4707</v>
      </c>
      <c r="L1872" t="s">
        <v>1774</v>
      </c>
      <c r="M1872" t="s">
        <v>337</v>
      </c>
    </row>
    <row r="1873" spans="1:13" x14ac:dyDescent="0.25">
      <c r="A1873" t="s">
        <v>4931</v>
      </c>
      <c r="B1873" t="s">
        <v>13</v>
      </c>
      <c r="C1873" t="s">
        <v>1387</v>
      </c>
      <c r="D1873" t="s">
        <v>4932</v>
      </c>
      <c r="E1873" s="2" t="s">
        <v>30828</v>
      </c>
      <c r="F1873" t="s">
        <v>4890</v>
      </c>
      <c r="G1873" t="s">
        <v>1237</v>
      </c>
      <c r="H1873" t="s">
        <v>1238</v>
      </c>
      <c r="I1873" t="s">
        <v>19</v>
      </c>
      <c r="J1873" s="3" t="s">
        <v>4933</v>
      </c>
      <c r="K1873" t="s">
        <v>1240</v>
      </c>
      <c r="L1873" t="s">
        <v>32135</v>
      </c>
      <c r="M1873" t="s">
        <v>32149</v>
      </c>
    </row>
    <row r="1874" spans="1:13" x14ac:dyDescent="0.25">
      <c r="A1874" t="s">
        <v>27780</v>
      </c>
      <c r="B1874" t="s">
        <v>13</v>
      </c>
      <c r="C1874" t="s">
        <v>27781</v>
      </c>
      <c r="D1874" t="s">
        <v>27782</v>
      </c>
      <c r="E1874" t="s">
        <v>27783</v>
      </c>
      <c r="F1874" t="s">
        <v>332</v>
      </c>
      <c r="G1874" t="s">
        <v>14166</v>
      </c>
      <c r="H1874" t="s">
        <v>3416</v>
      </c>
      <c r="I1874" t="s">
        <v>19</v>
      </c>
      <c r="J1874" s="3">
        <v>551633016411</v>
      </c>
      <c r="K1874" t="s">
        <v>14167</v>
      </c>
      <c r="L1874" t="s">
        <v>3441</v>
      </c>
      <c r="M1874" t="s">
        <v>337</v>
      </c>
    </row>
    <row r="1875" spans="1:13" x14ac:dyDescent="0.25">
      <c r="A1875" t="s">
        <v>30166</v>
      </c>
      <c r="B1875" t="s">
        <v>13</v>
      </c>
      <c r="C1875" t="s">
        <v>14184</v>
      </c>
      <c r="D1875" t="s">
        <v>30167</v>
      </c>
      <c r="E1875" t="s">
        <v>28329</v>
      </c>
      <c r="F1875" t="s">
        <v>1464</v>
      </c>
      <c r="G1875" t="s">
        <v>14154</v>
      </c>
      <c r="H1875" t="s">
        <v>3416</v>
      </c>
      <c r="I1875" t="s">
        <v>19</v>
      </c>
      <c r="J1875" s="3" t="s">
        <v>26842</v>
      </c>
      <c r="K1875" t="s">
        <v>14155</v>
      </c>
      <c r="L1875" t="s">
        <v>2548</v>
      </c>
      <c r="M1875" t="s">
        <v>337</v>
      </c>
    </row>
    <row r="1876" spans="1:13" x14ac:dyDescent="0.25">
      <c r="A1876" t="s">
        <v>28327</v>
      </c>
      <c r="B1876" t="s">
        <v>13</v>
      </c>
      <c r="C1876" t="s">
        <v>23074</v>
      </c>
      <c r="D1876" t="s">
        <v>28328</v>
      </c>
      <c r="E1876" t="s">
        <v>28329</v>
      </c>
      <c r="F1876" t="s">
        <v>1464</v>
      </c>
      <c r="G1876" t="s">
        <v>14154</v>
      </c>
      <c r="H1876" t="s">
        <v>3416</v>
      </c>
      <c r="I1876" t="s">
        <v>19</v>
      </c>
      <c r="J1876" s="3" t="s">
        <v>26842</v>
      </c>
      <c r="K1876" t="s">
        <v>14155</v>
      </c>
      <c r="L1876" t="s">
        <v>2548</v>
      </c>
      <c r="M1876" t="s">
        <v>337</v>
      </c>
    </row>
    <row r="1877" spans="1:13" x14ac:dyDescent="0.25">
      <c r="A1877" t="s">
        <v>29400</v>
      </c>
      <c r="B1877" t="s">
        <v>13</v>
      </c>
      <c r="C1877" s="1">
        <v>41126</v>
      </c>
      <c r="D1877" t="s">
        <v>29401</v>
      </c>
      <c r="E1877" t="s">
        <v>27890</v>
      </c>
      <c r="F1877" t="s">
        <v>1464</v>
      </c>
      <c r="G1877" t="s">
        <v>14166</v>
      </c>
      <c r="H1877" t="s">
        <v>3416</v>
      </c>
      <c r="I1877" t="s">
        <v>19</v>
      </c>
      <c r="J1877" s="3" t="s">
        <v>29402</v>
      </c>
      <c r="K1877" t="s">
        <v>14167</v>
      </c>
      <c r="L1877" t="s">
        <v>29403</v>
      </c>
      <c r="M1877" t="s">
        <v>337</v>
      </c>
    </row>
    <row r="1878" spans="1:13" x14ac:dyDescent="0.25">
      <c r="A1878" t="s">
        <v>27888</v>
      </c>
      <c r="B1878" t="s">
        <v>13</v>
      </c>
      <c r="C1878" t="s">
        <v>8726</v>
      </c>
      <c r="D1878" t="s">
        <v>27889</v>
      </c>
      <c r="E1878" t="s">
        <v>27890</v>
      </c>
      <c r="F1878" t="s">
        <v>1464</v>
      </c>
      <c r="G1878" t="s">
        <v>14166</v>
      </c>
      <c r="H1878" t="s">
        <v>3416</v>
      </c>
      <c r="I1878" t="s">
        <v>19</v>
      </c>
      <c r="J1878" s="3">
        <v>551633016411</v>
      </c>
      <c r="K1878" t="s">
        <v>14167</v>
      </c>
      <c r="L1878" t="s">
        <v>3441</v>
      </c>
      <c r="M1878" t="s">
        <v>337</v>
      </c>
    </row>
    <row r="1879" spans="1:13" x14ac:dyDescent="0.25">
      <c r="A1879" t="s">
        <v>8252</v>
      </c>
      <c r="B1879" t="s">
        <v>13</v>
      </c>
      <c r="C1879" s="1">
        <v>44410</v>
      </c>
      <c r="D1879" t="s">
        <v>8253</v>
      </c>
      <c r="E1879" t="s">
        <v>8254</v>
      </c>
      <c r="F1879" t="s">
        <v>5372</v>
      </c>
      <c r="G1879" t="s">
        <v>8255</v>
      </c>
      <c r="H1879" t="s">
        <v>8228</v>
      </c>
      <c r="I1879" t="s">
        <v>19</v>
      </c>
      <c r="J1879" s="3" t="s">
        <v>8256</v>
      </c>
      <c r="K1879" t="s">
        <v>8257</v>
      </c>
      <c r="L1879" t="s">
        <v>32135</v>
      </c>
      <c r="M1879" t="s">
        <v>1775</v>
      </c>
    </row>
    <row r="1880" spans="1:13" x14ac:dyDescent="0.25">
      <c r="A1880" t="s">
        <v>20510</v>
      </c>
      <c r="B1880" t="s">
        <v>13</v>
      </c>
      <c r="C1880" t="s">
        <v>20499</v>
      </c>
      <c r="D1880" t="s">
        <v>20511</v>
      </c>
      <c r="E1880" t="s">
        <v>20512</v>
      </c>
      <c r="F1880" t="s">
        <v>1464</v>
      </c>
      <c r="G1880" t="s">
        <v>20513</v>
      </c>
      <c r="H1880" t="s">
        <v>36</v>
      </c>
      <c r="I1880" t="s">
        <v>19</v>
      </c>
      <c r="J1880" s="3">
        <f>55-11-55764430</f>
        <v>-55764386</v>
      </c>
      <c r="K1880" t="s">
        <v>20514</v>
      </c>
      <c r="L1880" t="s">
        <v>15311</v>
      </c>
      <c r="M1880" t="s">
        <v>1775</v>
      </c>
    </row>
    <row r="1881" spans="1:13" x14ac:dyDescent="0.25">
      <c r="A1881" t="s">
        <v>7624</v>
      </c>
      <c r="B1881" t="s">
        <v>13</v>
      </c>
      <c r="C1881" s="1">
        <v>44535</v>
      </c>
      <c r="D1881" t="s">
        <v>7625</v>
      </c>
      <c r="E1881" t="s">
        <v>7626</v>
      </c>
      <c r="F1881" t="s">
        <v>3084</v>
      </c>
      <c r="G1881" t="s">
        <v>7627</v>
      </c>
      <c r="H1881" t="s">
        <v>1335</v>
      </c>
      <c r="I1881" t="s">
        <v>19</v>
      </c>
      <c r="J1881" s="3" t="s">
        <v>7628</v>
      </c>
      <c r="K1881" t="s">
        <v>7629</v>
      </c>
      <c r="L1881" t="s">
        <v>1461</v>
      </c>
      <c r="M1881" t="s">
        <v>32144</v>
      </c>
    </row>
    <row r="1882" spans="1:13" x14ac:dyDescent="0.25">
      <c r="A1882" t="s">
        <v>19624</v>
      </c>
      <c r="B1882" t="s">
        <v>13</v>
      </c>
      <c r="C1882" t="s">
        <v>9251</v>
      </c>
      <c r="D1882" t="s">
        <v>19625</v>
      </c>
      <c r="E1882" t="s">
        <v>19626</v>
      </c>
      <c r="F1882" t="s">
        <v>19627</v>
      </c>
      <c r="G1882" t="s">
        <v>19628</v>
      </c>
      <c r="H1882" t="s">
        <v>706</v>
      </c>
      <c r="I1882" t="s">
        <v>19</v>
      </c>
      <c r="J1882" s="3">
        <v>553134094792</v>
      </c>
      <c r="K1882" t="s">
        <v>19629</v>
      </c>
      <c r="L1882" t="s">
        <v>3966</v>
      </c>
      <c r="M1882" t="s">
        <v>1775</v>
      </c>
    </row>
    <row r="1883" spans="1:13" x14ac:dyDescent="0.25">
      <c r="A1883" t="s">
        <v>26954</v>
      </c>
      <c r="B1883" t="s">
        <v>13</v>
      </c>
      <c r="C1883" s="1">
        <v>42431</v>
      </c>
      <c r="D1883" t="s">
        <v>26955</v>
      </c>
      <c r="E1883" t="s">
        <v>26956</v>
      </c>
      <c r="F1883" t="s">
        <v>2036</v>
      </c>
      <c r="G1883" t="s">
        <v>26957</v>
      </c>
      <c r="H1883" t="s">
        <v>1090</v>
      </c>
      <c r="I1883" t="s">
        <v>19</v>
      </c>
      <c r="J1883" s="3" t="s">
        <v>2207</v>
      </c>
      <c r="K1883" t="s">
        <v>26958</v>
      </c>
      <c r="L1883" t="s">
        <v>12876</v>
      </c>
      <c r="M1883" t="s">
        <v>57</v>
      </c>
    </row>
    <row r="1884" spans="1:13" x14ac:dyDescent="0.25">
      <c r="A1884" t="s">
        <v>5952</v>
      </c>
      <c r="B1884" t="s">
        <v>13</v>
      </c>
      <c r="C1884" t="s">
        <v>5931</v>
      </c>
      <c r="D1884" t="s">
        <v>32135</v>
      </c>
      <c r="E1884" t="s">
        <v>2793</v>
      </c>
      <c r="F1884" t="s">
        <v>5208</v>
      </c>
      <c r="G1884" t="s">
        <v>5953</v>
      </c>
      <c r="H1884" t="s">
        <v>5954</v>
      </c>
      <c r="I1884" t="s">
        <v>19</v>
      </c>
      <c r="J1884" s="3" t="s">
        <v>5955</v>
      </c>
      <c r="K1884" t="s">
        <v>5956</v>
      </c>
      <c r="L1884" t="s">
        <v>32135</v>
      </c>
      <c r="M1884" t="s">
        <v>1775</v>
      </c>
    </row>
    <row r="1885" spans="1:13" x14ac:dyDescent="0.25">
      <c r="A1885" t="s">
        <v>26114</v>
      </c>
      <c r="B1885" t="s">
        <v>13</v>
      </c>
      <c r="C1885" t="s">
        <v>26115</v>
      </c>
      <c r="D1885" t="s">
        <v>26116</v>
      </c>
      <c r="E1885" t="s">
        <v>5932</v>
      </c>
      <c r="F1885" t="s">
        <v>1464</v>
      </c>
      <c r="G1885" t="s">
        <v>18613</v>
      </c>
      <c r="H1885" t="s">
        <v>26117</v>
      </c>
      <c r="I1885" t="s">
        <v>19</v>
      </c>
      <c r="J1885" s="3" t="s">
        <v>26118</v>
      </c>
      <c r="K1885" t="s">
        <v>26119</v>
      </c>
      <c r="L1885" t="s">
        <v>13173</v>
      </c>
      <c r="M1885" t="s">
        <v>1775</v>
      </c>
    </row>
    <row r="1886" spans="1:13" x14ac:dyDescent="0.25">
      <c r="A1886" t="s">
        <v>19247</v>
      </c>
      <c r="B1886" t="s">
        <v>13</v>
      </c>
      <c r="C1886" t="s">
        <v>19229</v>
      </c>
      <c r="D1886" t="s">
        <v>19248</v>
      </c>
      <c r="E1886" t="s">
        <v>32328</v>
      </c>
      <c r="F1886" t="s">
        <v>2765</v>
      </c>
      <c r="G1886" t="s">
        <v>19249</v>
      </c>
      <c r="H1886" t="s">
        <v>18</v>
      </c>
      <c r="I1886" t="s">
        <v>19</v>
      </c>
      <c r="J1886" s="3">
        <v>551935218630</v>
      </c>
      <c r="K1886" t="s">
        <v>19250</v>
      </c>
      <c r="L1886" t="s">
        <v>12250</v>
      </c>
      <c r="M1886" t="s">
        <v>771</v>
      </c>
    </row>
    <row r="1887" spans="1:13" x14ac:dyDescent="0.25">
      <c r="A1887" t="s">
        <v>25806</v>
      </c>
      <c r="B1887" t="s">
        <v>13</v>
      </c>
      <c r="C1887" t="s">
        <v>25786</v>
      </c>
      <c r="D1887" t="s">
        <v>25807</v>
      </c>
      <c r="E1887" t="s">
        <v>25808</v>
      </c>
      <c r="F1887" t="s">
        <v>9519</v>
      </c>
      <c r="G1887" t="s">
        <v>25809</v>
      </c>
      <c r="H1887" t="s">
        <v>1802</v>
      </c>
      <c r="I1887" t="s">
        <v>19</v>
      </c>
      <c r="J1887" s="3" t="s">
        <v>25810</v>
      </c>
      <c r="K1887" t="s">
        <v>25811</v>
      </c>
      <c r="L1887" t="s">
        <v>14212</v>
      </c>
      <c r="M1887" t="s">
        <v>32145</v>
      </c>
    </row>
    <row r="1888" spans="1:13" x14ac:dyDescent="0.25">
      <c r="A1888" t="s">
        <v>22759</v>
      </c>
      <c r="B1888" t="s">
        <v>13</v>
      </c>
      <c r="C1888" t="s">
        <v>22748</v>
      </c>
      <c r="D1888" t="s">
        <v>22760</v>
      </c>
      <c r="E1888" t="s">
        <v>22761</v>
      </c>
      <c r="F1888" t="s">
        <v>1464</v>
      </c>
      <c r="G1888" t="s">
        <v>22762</v>
      </c>
      <c r="H1888" t="s">
        <v>36</v>
      </c>
      <c r="I1888" t="s">
        <v>19</v>
      </c>
      <c r="J1888" s="3" t="s">
        <v>14875</v>
      </c>
      <c r="K1888" t="s">
        <v>22763</v>
      </c>
      <c r="L1888" t="s">
        <v>14876</v>
      </c>
      <c r="M1888" t="s">
        <v>1775</v>
      </c>
    </row>
    <row r="1889" spans="1:13" x14ac:dyDescent="0.25">
      <c r="A1889" t="s">
        <v>30242</v>
      </c>
      <c r="B1889" t="s">
        <v>13</v>
      </c>
      <c r="C1889" t="s">
        <v>15685</v>
      </c>
      <c r="D1889" t="s">
        <v>30243</v>
      </c>
      <c r="E1889" t="s">
        <v>30244</v>
      </c>
      <c r="F1889" t="s">
        <v>1464</v>
      </c>
      <c r="G1889" t="s">
        <v>30245</v>
      </c>
      <c r="H1889" t="s">
        <v>88</v>
      </c>
      <c r="I1889" t="s">
        <v>19</v>
      </c>
      <c r="J1889" s="3" t="s">
        <v>30246</v>
      </c>
      <c r="K1889" t="s">
        <v>30247</v>
      </c>
      <c r="L1889" t="s">
        <v>91</v>
      </c>
      <c r="M1889" t="s">
        <v>1775</v>
      </c>
    </row>
    <row r="1890" spans="1:13" x14ac:dyDescent="0.25">
      <c r="A1890" t="s">
        <v>27321</v>
      </c>
      <c r="B1890" t="s">
        <v>13</v>
      </c>
      <c r="C1890" t="s">
        <v>27322</v>
      </c>
      <c r="D1890" t="s">
        <v>27323</v>
      </c>
      <c r="E1890" t="s">
        <v>27324</v>
      </c>
      <c r="F1890" t="s">
        <v>1464</v>
      </c>
      <c r="G1890" t="s">
        <v>19102</v>
      </c>
      <c r="H1890" t="s">
        <v>4092</v>
      </c>
      <c r="I1890" t="s">
        <v>19</v>
      </c>
      <c r="J1890" s="3">
        <f>55143402-1300</f>
        <v>55142102</v>
      </c>
      <c r="K1890" t="s">
        <v>22336</v>
      </c>
      <c r="L1890" t="s">
        <v>4094</v>
      </c>
      <c r="M1890" t="s">
        <v>1775</v>
      </c>
    </row>
    <row r="1891" spans="1:13" x14ac:dyDescent="0.25">
      <c r="A1891" t="s">
        <v>25933</v>
      </c>
      <c r="B1891" t="s">
        <v>13</v>
      </c>
      <c r="C1891" s="1">
        <v>42681</v>
      </c>
      <c r="D1891" t="s">
        <v>25934</v>
      </c>
      <c r="E1891" t="s">
        <v>25935</v>
      </c>
      <c r="F1891" t="s">
        <v>1464</v>
      </c>
      <c r="G1891" t="s">
        <v>19647</v>
      </c>
      <c r="H1891" t="s">
        <v>36</v>
      </c>
      <c r="I1891" t="s">
        <v>19</v>
      </c>
      <c r="J1891" s="3" t="s">
        <v>25936</v>
      </c>
      <c r="K1891" t="s">
        <v>19648</v>
      </c>
      <c r="L1891" t="s">
        <v>328</v>
      </c>
      <c r="M1891" t="s">
        <v>1775</v>
      </c>
    </row>
    <row r="1892" spans="1:13" x14ac:dyDescent="0.25">
      <c r="A1892" t="s">
        <v>8556</v>
      </c>
      <c r="B1892" t="s">
        <v>13</v>
      </c>
      <c r="C1892" s="1">
        <v>44531</v>
      </c>
      <c r="D1892" t="s">
        <v>32135</v>
      </c>
      <c r="E1892" t="s">
        <v>32329</v>
      </c>
      <c r="F1892" t="s">
        <v>2233</v>
      </c>
      <c r="G1892" t="s">
        <v>8557</v>
      </c>
      <c r="H1892" t="s">
        <v>352</v>
      </c>
      <c r="I1892" t="s">
        <v>19</v>
      </c>
      <c r="J1892" s="3" t="s">
        <v>8558</v>
      </c>
      <c r="K1892" t="s">
        <v>8559</v>
      </c>
      <c r="L1892" t="s">
        <v>32135</v>
      </c>
      <c r="M1892" t="s">
        <v>1775</v>
      </c>
    </row>
    <row r="1893" spans="1:13" x14ac:dyDescent="0.25">
      <c r="A1893" t="s">
        <v>27746</v>
      </c>
      <c r="B1893" t="s">
        <v>13</v>
      </c>
      <c r="C1893" t="s">
        <v>27733</v>
      </c>
      <c r="D1893" t="s">
        <v>27747</v>
      </c>
      <c r="E1893" t="s">
        <v>32330</v>
      </c>
      <c r="F1893" t="s">
        <v>771</v>
      </c>
      <c r="G1893" t="s">
        <v>27748</v>
      </c>
      <c r="H1893" t="s">
        <v>927</v>
      </c>
      <c r="I1893" t="s">
        <v>19</v>
      </c>
      <c r="J1893" s="3" t="s">
        <v>27749</v>
      </c>
      <c r="K1893" t="s">
        <v>27750</v>
      </c>
      <c r="L1893" t="s">
        <v>439</v>
      </c>
      <c r="M1893" t="s">
        <v>771</v>
      </c>
    </row>
    <row r="1894" spans="1:13" x14ac:dyDescent="0.25">
      <c r="A1894" t="s">
        <v>22371</v>
      </c>
      <c r="B1894" t="s">
        <v>13</v>
      </c>
      <c r="C1894" t="s">
        <v>7092</v>
      </c>
      <c r="D1894" t="s">
        <v>22372</v>
      </c>
      <c r="E1894" t="s">
        <v>22373</v>
      </c>
      <c r="F1894" t="s">
        <v>8193</v>
      </c>
      <c r="G1894" t="s">
        <v>22374</v>
      </c>
      <c r="H1894" t="s">
        <v>4092</v>
      </c>
      <c r="I1894" t="s">
        <v>19</v>
      </c>
      <c r="J1894" s="3" t="s">
        <v>22375</v>
      </c>
      <c r="K1894" t="s">
        <v>22376</v>
      </c>
      <c r="L1894" t="s">
        <v>22377</v>
      </c>
      <c r="M1894" t="s">
        <v>129</v>
      </c>
    </row>
    <row r="1895" spans="1:13" x14ac:dyDescent="0.25">
      <c r="A1895" t="s">
        <v>20589</v>
      </c>
      <c r="B1895" t="s">
        <v>13</v>
      </c>
      <c r="C1895" s="1">
        <v>43411</v>
      </c>
      <c r="D1895" t="s">
        <v>20590</v>
      </c>
      <c r="E1895" s="2" t="s">
        <v>31258</v>
      </c>
      <c r="F1895" t="s">
        <v>1464</v>
      </c>
      <c r="G1895" t="s">
        <v>3854</v>
      </c>
      <c r="H1895" t="s">
        <v>489</v>
      </c>
      <c r="I1895" t="s">
        <v>19</v>
      </c>
      <c r="J1895" s="3">
        <f>55-41-996404919</f>
        <v>-996404905</v>
      </c>
      <c r="K1895" t="s">
        <v>14585</v>
      </c>
      <c r="L1895" t="s">
        <v>625</v>
      </c>
      <c r="M1895" t="s">
        <v>1775</v>
      </c>
    </row>
    <row r="1896" spans="1:13" x14ac:dyDescent="0.25">
      <c r="A1896" t="s">
        <v>5930</v>
      </c>
      <c r="B1896" t="s">
        <v>13</v>
      </c>
      <c r="C1896" t="s">
        <v>5931</v>
      </c>
      <c r="D1896" t="s">
        <v>32135</v>
      </c>
      <c r="E1896" s="2" t="s">
        <v>30867</v>
      </c>
      <c r="F1896" t="s">
        <v>2835</v>
      </c>
      <c r="G1896" t="s">
        <v>1826</v>
      </c>
      <c r="H1896" t="s">
        <v>428</v>
      </c>
      <c r="I1896" t="s">
        <v>19</v>
      </c>
      <c r="J1896" s="3">
        <f>55-51-33038876</f>
        <v>-33038872</v>
      </c>
      <c r="K1896" t="s">
        <v>1827</v>
      </c>
      <c r="L1896" t="s">
        <v>32135</v>
      </c>
      <c r="M1896" t="s">
        <v>1775</v>
      </c>
    </row>
    <row r="1897" spans="1:13" x14ac:dyDescent="0.25">
      <c r="A1897" t="s">
        <v>12524</v>
      </c>
      <c r="B1897" t="s">
        <v>13</v>
      </c>
      <c r="C1897" s="1">
        <v>43103</v>
      </c>
      <c r="D1897" t="s">
        <v>12525</v>
      </c>
      <c r="E1897" s="2" t="s">
        <v>32071</v>
      </c>
      <c r="F1897" t="s">
        <v>332</v>
      </c>
      <c r="G1897" t="s">
        <v>12526</v>
      </c>
      <c r="H1897" t="s">
        <v>372</v>
      </c>
      <c r="I1897" t="s">
        <v>19</v>
      </c>
      <c r="J1897" s="3" t="s">
        <v>12527</v>
      </c>
      <c r="K1897" t="s">
        <v>12528</v>
      </c>
      <c r="L1897" t="s">
        <v>12529</v>
      </c>
      <c r="M1897" t="s">
        <v>337</v>
      </c>
    </row>
    <row r="1898" spans="1:13" x14ac:dyDescent="0.25">
      <c r="A1898" t="s">
        <v>24588</v>
      </c>
      <c r="B1898" t="s">
        <v>101</v>
      </c>
      <c r="C1898" t="s">
        <v>24589</v>
      </c>
      <c r="D1898" t="s">
        <v>24590</v>
      </c>
      <c r="E1898" t="s">
        <v>24591</v>
      </c>
      <c r="F1898" t="s">
        <v>1775</v>
      </c>
      <c r="G1898" t="s">
        <v>18105</v>
      </c>
      <c r="H1898" t="s">
        <v>11044</v>
      </c>
      <c r="I1898" t="s">
        <v>19</v>
      </c>
      <c r="J1898" s="3" t="s">
        <v>18106</v>
      </c>
      <c r="K1898" t="s">
        <v>18107</v>
      </c>
      <c r="L1898" t="s">
        <v>18108</v>
      </c>
      <c r="M1898" t="s">
        <v>1775</v>
      </c>
    </row>
    <row r="1899" spans="1:13" x14ac:dyDescent="0.25">
      <c r="A1899" t="s">
        <v>29600</v>
      </c>
      <c r="B1899" t="s">
        <v>13</v>
      </c>
      <c r="C1899" s="1">
        <v>41493</v>
      </c>
      <c r="D1899" t="s">
        <v>29601</v>
      </c>
      <c r="E1899" t="s">
        <v>29602</v>
      </c>
      <c r="F1899" t="s">
        <v>9519</v>
      </c>
      <c r="G1899" t="s">
        <v>29603</v>
      </c>
      <c r="H1899" t="s">
        <v>29604</v>
      </c>
      <c r="I1899" t="s">
        <v>19</v>
      </c>
      <c r="J1899" s="3" t="s">
        <v>29605</v>
      </c>
      <c r="K1899" t="s">
        <v>29606</v>
      </c>
      <c r="L1899" t="s">
        <v>29607</v>
      </c>
      <c r="M1899" t="s">
        <v>32145</v>
      </c>
    </row>
    <row r="1900" spans="1:13" x14ac:dyDescent="0.25">
      <c r="A1900" t="s">
        <v>7420</v>
      </c>
      <c r="B1900" t="s">
        <v>13</v>
      </c>
      <c r="C1900" t="s">
        <v>7041</v>
      </c>
      <c r="D1900" t="s">
        <v>7421</v>
      </c>
      <c r="E1900" t="s">
        <v>7422</v>
      </c>
      <c r="F1900" t="s">
        <v>1464</v>
      </c>
      <c r="G1900" t="s">
        <v>7423</v>
      </c>
      <c r="H1900" t="s">
        <v>2395</v>
      </c>
      <c r="I1900" t="s">
        <v>19</v>
      </c>
      <c r="J1900" s="3">
        <f>55-84-988719597</f>
        <v>-988719626</v>
      </c>
      <c r="K1900" t="s">
        <v>7424</v>
      </c>
      <c r="L1900" t="s">
        <v>1880</v>
      </c>
      <c r="M1900" t="s">
        <v>32145</v>
      </c>
    </row>
    <row r="1901" spans="1:13" x14ac:dyDescent="0.25">
      <c r="A1901" t="s">
        <v>22004</v>
      </c>
      <c r="B1901" t="s">
        <v>13</v>
      </c>
      <c r="C1901" s="1">
        <v>43012</v>
      </c>
      <c r="D1901" t="s">
        <v>22005</v>
      </c>
      <c r="E1901" t="s">
        <v>22006</v>
      </c>
      <c r="F1901" t="s">
        <v>1129</v>
      </c>
      <c r="G1901" t="s">
        <v>22007</v>
      </c>
      <c r="H1901" t="s">
        <v>22008</v>
      </c>
      <c r="I1901" t="s">
        <v>19</v>
      </c>
      <c r="J1901" s="3" t="s">
        <v>22009</v>
      </c>
      <c r="K1901" t="s">
        <v>22010</v>
      </c>
      <c r="L1901" t="s">
        <v>2101</v>
      </c>
      <c r="M1901" t="s">
        <v>224</v>
      </c>
    </row>
    <row r="1902" spans="1:13" x14ac:dyDescent="0.25">
      <c r="A1902" t="s">
        <v>22331</v>
      </c>
      <c r="B1902" t="s">
        <v>13</v>
      </c>
      <c r="C1902" s="1">
        <v>43133</v>
      </c>
      <c r="D1902" t="s">
        <v>22332</v>
      </c>
      <c r="E1902" t="s">
        <v>22333</v>
      </c>
      <c r="F1902" t="s">
        <v>1775</v>
      </c>
      <c r="G1902" t="s">
        <v>22334</v>
      </c>
      <c r="H1902" t="s">
        <v>4092</v>
      </c>
      <c r="I1902" t="s">
        <v>19</v>
      </c>
      <c r="J1902" s="3" t="s">
        <v>22335</v>
      </c>
      <c r="K1902" t="s">
        <v>22336</v>
      </c>
      <c r="L1902" t="s">
        <v>2548</v>
      </c>
      <c r="M1902" t="s">
        <v>1775</v>
      </c>
    </row>
    <row r="1903" spans="1:13" x14ac:dyDescent="0.25">
      <c r="A1903" t="s">
        <v>17280</v>
      </c>
      <c r="B1903" t="s">
        <v>13</v>
      </c>
      <c r="C1903" s="1">
        <v>43591</v>
      </c>
      <c r="D1903" t="s">
        <v>17281</v>
      </c>
      <c r="E1903" s="2" t="s">
        <v>31172</v>
      </c>
      <c r="F1903" t="s">
        <v>2036</v>
      </c>
      <c r="G1903" t="s">
        <v>17282</v>
      </c>
      <c r="H1903" t="s">
        <v>4092</v>
      </c>
      <c r="I1903" t="s">
        <v>19</v>
      </c>
      <c r="J1903" s="3" t="s">
        <v>17283</v>
      </c>
      <c r="K1903" t="s">
        <v>17284</v>
      </c>
      <c r="L1903" t="s">
        <v>17285</v>
      </c>
      <c r="M1903" t="s">
        <v>57</v>
      </c>
    </row>
    <row r="1904" spans="1:13" x14ac:dyDescent="0.25">
      <c r="A1904" t="s">
        <v>17382</v>
      </c>
      <c r="B1904" t="s">
        <v>13</v>
      </c>
      <c r="C1904" s="1">
        <v>43561</v>
      </c>
      <c r="D1904" t="s">
        <v>17383</v>
      </c>
      <c r="E1904" s="2" t="s">
        <v>31770</v>
      </c>
      <c r="F1904" t="s">
        <v>2036</v>
      </c>
      <c r="G1904" t="s">
        <v>17384</v>
      </c>
      <c r="H1904" t="s">
        <v>1486</v>
      </c>
      <c r="I1904" t="s">
        <v>19</v>
      </c>
      <c r="J1904" s="3">
        <v>5534991429682</v>
      </c>
      <c r="K1904" t="s">
        <v>17385</v>
      </c>
      <c r="L1904" t="s">
        <v>1489</v>
      </c>
      <c r="M1904" t="s">
        <v>57</v>
      </c>
    </row>
    <row r="1905" spans="1:13" x14ac:dyDescent="0.25">
      <c r="A1905" t="s">
        <v>11640</v>
      </c>
      <c r="B1905" t="s">
        <v>13</v>
      </c>
      <c r="C1905" t="s">
        <v>11065</v>
      </c>
      <c r="D1905" t="s">
        <v>11641</v>
      </c>
      <c r="E1905" s="2" t="s">
        <v>31020</v>
      </c>
      <c r="F1905" t="s">
        <v>306</v>
      </c>
      <c r="G1905" t="s">
        <v>11642</v>
      </c>
      <c r="H1905" t="s">
        <v>472</v>
      </c>
      <c r="I1905" t="s">
        <v>19</v>
      </c>
      <c r="J1905" s="3" t="s">
        <v>11643</v>
      </c>
      <c r="K1905" t="s">
        <v>11644</v>
      </c>
      <c r="L1905" t="s">
        <v>2101</v>
      </c>
      <c r="M1905" t="s">
        <v>32145</v>
      </c>
    </row>
    <row r="1906" spans="1:13" x14ac:dyDescent="0.25">
      <c r="A1906" t="s">
        <v>13301</v>
      </c>
      <c r="B1906" t="s">
        <v>13</v>
      </c>
      <c r="C1906" t="s">
        <v>13302</v>
      </c>
      <c r="D1906" t="s">
        <v>13303</v>
      </c>
      <c r="E1906" s="2" t="s">
        <v>31689</v>
      </c>
      <c r="F1906" t="s">
        <v>1464</v>
      </c>
      <c r="G1906" t="s">
        <v>13304</v>
      </c>
      <c r="H1906" t="s">
        <v>13305</v>
      </c>
      <c r="I1906" t="s">
        <v>19</v>
      </c>
      <c r="J1906" s="3">
        <f>55-34-984119771</f>
        <v>-984119750</v>
      </c>
      <c r="K1906" t="s">
        <v>13306</v>
      </c>
      <c r="L1906" t="s">
        <v>3305</v>
      </c>
      <c r="M1906" t="s">
        <v>1775</v>
      </c>
    </row>
    <row r="1907" spans="1:13" x14ac:dyDescent="0.25">
      <c r="A1907" t="s">
        <v>19154</v>
      </c>
      <c r="B1907" t="s">
        <v>13</v>
      </c>
      <c r="C1907" t="s">
        <v>19139</v>
      </c>
      <c r="D1907" t="s">
        <v>19155</v>
      </c>
      <c r="E1907" s="2" t="s">
        <v>31876</v>
      </c>
      <c r="F1907" t="s">
        <v>2036</v>
      </c>
      <c r="G1907" t="s">
        <v>19156</v>
      </c>
      <c r="H1907" t="s">
        <v>608</v>
      </c>
      <c r="I1907" t="s">
        <v>19</v>
      </c>
      <c r="J1907" s="3" t="s">
        <v>19157</v>
      </c>
      <c r="K1907" t="s">
        <v>19158</v>
      </c>
      <c r="L1907" t="s">
        <v>19159</v>
      </c>
      <c r="M1907" t="s">
        <v>57</v>
      </c>
    </row>
    <row r="1908" spans="1:13" x14ac:dyDescent="0.25">
      <c r="A1908" t="s">
        <v>23426</v>
      </c>
      <c r="B1908" t="s">
        <v>13</v>
      </c>
      <c r="C1908" t="s">
        <v>23427</v>
      </c>
      <c r="D1908" t="s">
        <v>23428</v>
      </c>
      <c r="E1908" t="s">
        <v>23429</v>
      </c>
      <c r="F1908" t="s">
        <v>2036</v>
      </c>
      <c r="G1908" t="s">
        <v>18096</v>
      </c>
      <c r="H1908" t="s">
        <v>4092</v>
      </c>
      <c r="I1908" t="s">
        <v>19</v>
      </c>
      <c r="J1908" s="3" t="s">
        <v>15525</v>
      </c>
      <c r="K1908" t="s">
        <v>18097</v>
      </c>
      <c r="L1908" t="s">
        <v>18098</v>
      </c>
      <c r="M1908" t="s">
        <v>57</v>
      </c>
    </row>
    <row r="1909" spans="1:13" x14ac:dyDescent="0.25">
      <c r="A1909" t="s">
        <v>15791</v>
      </c>
      <c r="B1909" t="s">
        <v>13</v>
      </c>
      <c r="C1909" t="s">
        <v>15792</v>
      </c>
      <c r="D1909" t="s">
        <v>15793</v>
      </c>
      <c r="E1909" s="2" t="s">
        <v>31139</v>
      </c>
      <c r="F1909" t="s">
        <v>306</v>
      </c>
      <c r="G1909" t="s">
        <v>10128</v>
      </c>
      <c r="H1909" t="s">
        <v>15794</v>
      </c>
      <c r="I1909" t="s">
        <v>19</v>
      </c>
      <c r="J1909" s="3">
        <v>5586999939674</v>
      </c>
      <c r="K1909" t="s">
        <v>10129</v>
      </c>
      <c r="L1909" t="s">
        <v>15795</v>
      </c>
      <c r="M1909" t="s">
        <v>32145</v>
      </c>
    </row>
    <row r="1910" spans="1:13" x14ac:dyDescent="0.25">
      <c r="A1910" t="s">
        <v>9944</v>
      </c>
      <c r="B1910" t="s">
        <v>13</v>
      </c>
      <c r="C1910" s="1">
        <v>44081</v>
      </c>
      <c r="D1910" t="s">
        <v>9945</v>
      </c>
      <c r="E1910" s="2" t="s">
        <v>31677</v>
      </c>
      <c r="F1910" t="s">
        <v>1464</v>
      </c>
      <c r="G1910" t="s">
        <v>9946</v>
      </c>
      <c r="H1910" t="s">
        <v>352</v>
      </c>
      <c r="I1910" t="s">
        <v>19</v>
      </c>
      <c r="J1910" s="3">
        <f>55-21-993513435</f>
        <v>-993513401</v>
      </c>
      <c r="K1910" t="s">
        <v>9947</v>
      </c>
      <c r="L1910" t="s">
        <v>9948</v>
      </c>
      <c r="M1910" t="s">
        <v>1775</v>
      </c>
    </row>
    <row r="1911" spans="1:13" x14ac:dyDescent="0.25">
      <c r="A1911" t="s">
        <v>566</v>
      </c>
      <c r="B1911" t="s">
        <v>13</v>
      </c>
      <c r="C1911" s="1">
        <v>45231</v>
      </c>
      <c r="D1911" t="s">
        <v>567</v>
      </c>
      <c r="E1911" t="s">
        <v>30684</v>
      </c>
      <c r="F1911" t="s">
        <v>568</v>
      </c>
      <c r="G1911" t="s">
        <v>569</v>
      </c>
      <c r="H1911" t="s">
        <v>45</v>
      </c>
      <c r="I1911" t="s">
        <v>19</v>
      </c>
      <c r="J1911" s="3" t="s">
        <v>570</v>
      </c>
      <c r="K1911" t="s">
        <v>571</v>
      </c>
      <c r="L1911" t="s">
        <v>572</v>
      </c>
      <c r="M1911" t="s">
        <v>1775</v>
      </c>
    </row>
    <row r="1912" spans="1:13" x14ac:dyDescent="0.25">
      <c r="A1912" t="s">
        <v>9496</v>
      </c>
      <c r="B1912" t="s">
        <v>13</v>
      </c>
      <c r="C1912" t="s">
        <v>9445</v>
      </c>
      <c r="D1912" t="s">
        <v>9497</v>
      </c>
      <c r="E1912" t="s">
        <v>9498</v>
      </c>
      <c r="F1912" t="s">
        <v>337</v>
      </c>
      <c r="G1912" t="s">
        <v>9499</v>
      </c>
      <c r="H1912" t="s">
        <v>36</v>
      </c>
      <c r="I1912" t="s">
        <v>19</v>
      </c>
      <c r="J1912" s="3">
        <f>55-11-30315007</f>
        <v>-30314963</v>
      </c>
      <c r="K1912" t="s">
        <v>9500</v>
      </c>
      <c r="L1912" t="s">
        <v>9501</v>
      </c>
      <c r="M1912" t="s">
        <v>337</v>
      </c>
    </row>
    <row r="1913" spans="1:13" x14ac:dyDescent="0.25">
      <c r="A1913" t="s">
        <v>15547</v>
      </c>
      <c r="B1913" t="s">
        <v>13</v>
      </c>
      <c r="C1913" s="1">
        <v>43779</v>
      </c>
      <c r="D1913" t="s">
        <v>15548</v>
      </c>
      <c r="E1913" t="s">
        <v>32331</v>
      </c>
      <c r="F1913" t="s">
        <v>337</v>
      </c>
      <c r="G1913" t="s">
        <v>15549</v>
      </c>
      <c r="H1913" t="s">
        <v>114</v>
      </c>
      <c r="I1913" t="s">
        <v>19</v>
      </c>
      <c r="J1913" s="3">
        <f>55-79-999777001</f>
        <v>-999777025</v>
      </c>
      <c r="K1913" t="s">
        <v>11897</v>
      </c>
      <c r="L1913" t="s">
        <v>82</v>
      </c>
      <c r="M1913" t="s">
        <v>337</v>
      </c>
    </row>
    <row r="1914" spans="1:13" x14ac:dyDescent="0.25">
      <c r="A1914" t="s">
        <v>772</v>
      </c>
      <c r="B1914" t="s">
        <v>13</v>
      </c>
      <c r="C1914" t="s">
        <v>758</v>
      </c>
      <c r="D1914" t="s">
        <v>32135</v>
      </c>
      <c r="E1914" t="s">
        <v>32332</v>
      </c>
      <c r="F1914" t="s">
        <v>773</v>
      </c>
      <c r="G1914" t="s">
        <v>774</v>
      </c>
      <c r="H1914" t="s">
        <v>255</v>
      </c>
      <c r="I1914" t="s">
        <v>19</v>
      </c>
      <c r="J1914" s="3" t="s">
        <v>256</v>
      </c>
      <c r="K1914" t="s">
        <v>775</v>
      </c>
      <c r="L1914" t="s">
        <v>258</v>
      </c>
      <c r="M1914" t="s">
        <v>337</v>
      </c>
    </row>
    <row r="1915" spans="1:13" x14ac:dyDescent="0.25">
      <c r="A1915" t="s">
        <v>13832</v>
      </c>
      <c r="B1915" t="s">
        <v>13</v>
      </c>
      <c r="C1915" t="s">
        <v>13789</v>
      </c>
      <c r="D1915" t="s">
        <v>13833</v>
      </c>
      <c r="E1915" s="2" t="s">
        <v>32333</v>
      </c>
      <c r="F1915" t="s">
        <v>771</v>
      </c>
      <c r="G1915" t="s">
        <v>13834</v>
      </c>
      <c r="H1915" t="s">
        <v>18</v>
      </c>
      <c r="I1915" t="s">
        <v>19</v>
      </c>
      <c r="J1915" s="3">
        <v>551935218382</v>
      </c>
      <c r="K1915" t="s">
        <v>13835</v>
      </c>
      <c r="L1915" t="s">
        <v>13836</v>
      </c>
      <c r="M1915" t="s">
        <v>771</v>
      </c>
    </row>
    <row r="1916" spans="1:13" x14ac:dyDescent="0.25">
      <c r="A1916" t="s">
        <v>13569</v>
      </c>
      <c r="B1916" t="s">
        <v>13</v>
      </c>
      <c r="C1916" t="s">
        <v>13550</v>
      </c>
      <c r="D1916" t="s">
        <v>13570</v>
      </c>
      <c r="E1916" s="2" t="s">
        <v>32333</v>
      </c>
      <c r="F1916" t="s">
        <v>771</v>
      </c>
      <c r="G1916" t="s">
        <v>13571</v>
      </c>
      <c r="H1916" t="s">
        <v>18</v>
      </c>
      <c r="I1916" t="s">
        <v>19</v>
      </c>
      <c r="J1916" s="3">
        <v>551935218316</v>
      </c>
      <c r="K1916" t="s">
        <v>13572</v>
      </c>
      <c r="L1916" t="s">
        <v>13573</v>
      </c>
      <c r="M1916" t="s">
        <v>771</v>
      </c>
    </row>
    <row r="1917" spans="1:13" x14ac:dyDescent="0.25">
      <c r="A1917" t="s">
        <v>14457</v>
      </c>
      <c r="B1917" t="s">
        <v>13</v>
      </c>
      <c r="C1917" t="s">
        <v>14435</v>
      </c>
      <c r="D1917" t="s">
        <v>14458</v>
      </c>
      <c r="E1917" t="s">
        <v>1947</v>
      </c>
      <c r="F1917" t="s">
        <v>2947</v>
      </c>
      <c r="G1917" t="s">
        <v>14459</v>
      </c>
      <c r="H1917" t="s">
        <v>45</v>
      </c>
      <c r="I1917" t="s">
        <v>19</v>
      </c>
      <c r="J1917" s="3">
        <v>5588996351616</v>
      </c>
      <c r="K1917" t="s">
        <v>14460</v>
      </c>
      <c r="L1917" t="s">
        <v>14461</v>
      </c>
      <c r="M1917" t="s">
        <v>771</v>
      </c>
    </row>
    <row r="1918" spans="1:13" x14ac:dyDescent="0.25">
      <c r="A1918" t="s">
        <v>22278</v>
      </c>
      <c r="B1918" t="s">
        <v>13</v>
      </c>
      <c r="C1918" s="1">
        <v>43253</v>
      </c>
      <c r="D1918" t="s">
        <v>22279</v>
      </c>
      <c r="E1918" t="s">
        <v>32334</v>
      </c>
      <c r="F1918" t="s">
        <v>1349</v>
      </c>
      <c r="G1918" t="s">
        <v>22280</v>
      </c>
      <c r="H1918" t="s">
        <v>299</v>
      </c>
      <c r="I1918" t="s">
        <v>19</v>
      </c>
      <c r="J1918" s="3">
        <f>55143880-1603</f>
        <v>55142277</v>
      </c>
      <c r="K1918" t="s">
        <v>22281</v>
      </c>
      <c r="L1918" t="s">
        <v>22282</v>
      </c>
      <c r="M1918" t="s">
        <v>1349</v>
      </c>
    </row>
    <row r="1919" spans="1:13" x14ac:dyDescent="0.25">
      <c r="A1919" t="s">
        <v>2102</v>
      </c>
      <c r="B1919" t="s">
        <v>13</v>
      </c>
      <c r="C1919" s="1">
        <v>43924</v>
      </c>
      <c r="D1919" t="s">
        <v>2103</v>
      </c>
      <c r="E1919" s="2" t="s">
        <v>30726</v>
      </c>
      <c r="F1919" t="s">
        <v>2104</v>
      </c>
      <c r="G1919" t="s">
        <v>2105</v>
      </c>
      <c r="H1919" t="s">
        <v>36</v>
      </c>
      <c r="I1919" t="s">
        <v>19</v>
      </c>
      <c r="J1919" s="3">
        <v>551155764430</v>
      </c>
      <c r="K1919" t="s">
        <v>2106</v>
      </c>
      <c r="L1919" t="s">
        <v>439</v>
      </c>
      <c r="M1919" t="s">
        <v>32144</v>
      </c>
    </row>
    <row r="1920" spans="1:13" x14ac:dyDescent="0.25">
      <c r="A1920" t="s">
        <v>28425</v>
      </c>
      <c r="B1920" t="s">
        <v>13</v>
      </c>
      <c r="C1920" t="s">
        <v>28419</v>
      </c>
      <c r="D1920" t="s">
        <v>28426</v>
      </c>
      <c r="E1920" t="s">
        <v>28427</v>
      </c>
      <c r="F1920" t="s">
        <v>3084</v>
      </c>
      <c r="G1920" t="s">
        <v>15675</v>
      </c>
      <c r="H1920" t="s">
        <v>2678</v>
      </c>
      <c r="I1920" t="s">
        <v>19</v>
      </c>
      <c r="J1920" s="3" t="s">
        <v>15676</v>
      </c>
      <c r="K1920" t="s">
        <v>15677</v>
      </c>
      <c r="L1920" t="s">
        <v>4608</v>
      </c>
      <c r="M1920" t="s">
        <v>32144</v>
      </c>
    </row>
    <row r="1921" spans="1:13" x14ac:dyDescent="0.25">
      <c r="A1921" t="s">
        <v>2769</v>
      </c>
      <c r="B1921" t="s">
        <v>13</v>
      </c>
      <c r="C1921" t="s">
        <v>2770</v>
      </c>
      <c r="D1921" t="s">
        <v>32135</v>
      </c>
      <c r="E1921" t="s">
        <v>2771</v>
      </c>
      <c r="F1921" t="s">
        <v>2772</v>
      </c>
      <c r="G1921" t="s">
        <v>2773</v>
      </c>
      <c r="H1921" t="s">
        <v>2564</v>
      </c>
      <c r="I1921" t="s">
        <v>19</v>
      </c>
      <c r="J1921" s="3" t="s">
        <v>2774</v>
      </c>
      <c r="K1921" t="s">
        <v>2775</v>
      </c>
      <c r="L1921" t="s">
        <v>2776</v>
      </c>
      <c r="M1921" t="s">
        <v>1775</v>
      </c>
    </row>
    <row r="1922" spans="1:13" x14ac:dyDescent="0.25">
      <c r="A1922" t="s">
        <v>23</v>
      </c>
      <c r="B1922" t="s">
        <v>13</v>
      </c>
      <c r="C1922" s="1">
        <v>44987</v>
      </c>
      <c r="D1922" t="s">
        <v>24</v>
      </c>
      <c r="E1922" t="s">
        <v>25</v>
      </c>
      <c r="F1922" t="s">
        <v>26</v>
      </c>
      <c r="G1922" t="s">
        <v>27</v>
      </c>
      <c r="H1922" t="s">
        <v>28</v>
      </c>
      <c r="I1922" t="s">
        <v>19</v>
      </c>
      <c r="J1922" s="3">
        <f>55-32-21023841</f>
        <v>-21023818</v>
      </c>
      <c r="K1922" t="s">
        <v>29</v>
      </c>
      <c r="L1922" t="s">
        <v>30</v>
      </c>
      <c r="M1922" t="s">
        <v>32144</v>
      </c>
    </row>
    <row r="1923" spans="1:13" x14ac:dyDescent="0.25">
      <c r="A1923" t="s">
        <v>2413</v>
      </c>
      <c r="B1923" t="s">
        <v>13</v>
      </c>
      <c r="C1923" t="s">
        <v>2366</v>
      </c>
      <c r="D1923" t="s">
        <v>2414</v>
      </c>
      <c r="E1923" s="2" t="s">
        <v>31452</v>
      </c>
      <c r="F1923" t="s">
        <v>2415</v>
      </c>
      <c r="G1923" t="s">
        <v>2416</v>
      </c>
      <c r="H1923" t="s">
        <v>489</v>
      </c>
      <c r="I1923" t="s">
        <v>19</v>
      </c>
      <c r="J1923" s="3" t="s">
        <v>2417</v>
      </c>
      <c r="K1923" t="s">
        <v>275</v>
      </c>
      <c r="L1923" t="s">
        <v>2418</v>
      </c>
      <c r="M1923" t="s">
        <v>432</v>
      </c>
    </row>
    <row r="1924" spans="1:13" x14ac:dyDescent="0.25">
      <c r="A1924" t="s">
        <v>6684</v>
      </c>
      <c r="B1924" t="s">
        <v>13</v>
      </c>
      <c r="C1924" s="1">
        <v>44538</v>
      </c>
      <c r="D1924" t="s">
        <v>32135</v>
      </c>
      <c r="E1924" s="2" t="s">
        <v>30904</v>
      </c>
      <c r="F1924" t="s">
        <v>6686</v>
      </c>
      <c r="G1924" t="s">
        <v>6687</v>
      </c>
      <c r="H1924" t="s">
        <v>45</v>
      </c>
      <c r="I1924" t="s">
        <v>19</v>
      </c>
      <c r="J1924" s="3" t="s">
        <v>6688</v>
      </c>
      <c r="K1924" t="s">
        <v>6689</v>
      </c>
      <c r="L1924" t="s">
        <v>32135</v>
      </c>
      <c r="M1924" t="s">
        <v>337</v>
      </c>
    </row>
    <row r="1925" spans="1:13" x14ac:dyDescent="0.25">
      <c r="A1925" t="s">
        <v>20841</v>
      </c>
      <c r="B1925" t="s">
        <v>13</v>
      </c>
      <c r="C1925" t="s">
        <v>14026</v>
      </c>
      <c r="D1925" t="s">
        <v>20842</v>
      </c>
      <c r="E1925" t="s">
        <v>20843</v>
      </c>
      <c r="F1925" t="s">
        <v>129</v>
      </c>
      <c r="G1925" t="s">
        <v>20844</v>
      </c>
      <c r="H1925" t="s">
        <v>36</v>
      </c>
      <c r="I1925" t="s">
        <v>19</v>
      </c>
      <c r="J1925" s="3">
        <f>55-11-59048499</f>
        <v>-59048455</v>
      </c>
      <c r="K1925" t="s">
        <v>20845</v>
      </c>
      <c r="L1925" t="s">
        <v>20846</v>
      </c>
      <c r="M1925" t="s">
        <v>129</v>
      </c>
    </row>
    <row r="1926" spans="1:13" x14ac:dyDescent="0.25">
      <c r="A1926" t="s">
        <v>27760</v>
      </c>
      <c r="B1926" t="s">
        <v>13</v>
      </c>
      <c r="C1926" t="s">
        <v>27761</v>
      </c>
      <c r="D1926" t="s">
        <v>27762</v>
      </c>
      <c r="E1926" t="s">
        <v>27763</v>
      </c>
      <c r="F1926" t="s">
        <v>306</v>
      </c>
      <c r="G1926" t="s">
        <v>27764</v>
      </c>
      <c r="H1926" t="s">
        <v>936</v>
      </c>
      <c r="I1926" t="s">
        <v>19</v>
      </c>
      <c r="J1926" s="3" t="s">
        <v>27765</v>
      </c>
      <c r="K1926" t="s">
        <v>25310</v>
      </c>
      <c r="L1926" t="s">
        <v>27766</v>
      </c>
      <c r="M1926" t="s">
        <v>32145</v>
      </c>
    </row>
    <row r="1927" spans="1:13" x14ac:dyDescent="0.25">
      <c r="A1927" t="s">
        <v>28880</v>
      </c>
      <c r="B1927" t="s">
        <v>13</v>
      </c>
      <c r="C1927" t="s">
        <v>28881</v>
      </c>
      <c r="D1927" t="s">
        <v>28882</v>
      </c>
      <c r="E1927" t="s">
        <v>28491</v>
      </c>
      <c r="F1927" t="s">
        <v>9519</v>
      </c>
      <c r="G1927" t="s">
        <v>28883</v>
      </c>
      <c r="H1927" t="s">
        <v>706</v>
      </c>
      <c r="I1927" t="s">
        <v>19</v>
      </c>
      <c r="J1927" s="3" t="s">
        <v>28884</v>
      </c>
      <c r="K1927" t="s">
        <v>28885</v>
      </c>
      <c r="L1927" t="s">
        <v>565</v>
      </c>
      <c r="M1927" t="s">
        <v>32145</v>
      </c>
    </row>
    <row r="1928" spans="1:13" x14ac:dyDescent="0.25">
      <c r="A1928" t="s">
        <v>28489</v>
      </c>
      <c r="B1928" t="s">
        <v>13</v>
      </c>
      <c r="C1928" s="1">
        <v>42097</v>
      </c>
      <c r="D1928" t="s">
        <v>28490</v>
      </c>
      <c r="E1928" t="s">
        <v>28491</v>
      </c>
      <c r="F1928" t="s">
        <v>9519</v>
      </c>
      <c r="G1928" t="s">
        <v>26802</v>
      </c>
      <c r="H1928" t="s">
        <v>706</v>
      </c>
      <c r="I1928" t="s">
        <v>19</v>
      </c>
      <c r="J1928" s="3" t="s">
        <v>28492</v>
      </c>
      <c r="K1928" t="s">
        <v>15485</v>
      </c>
      <c r="L1928" t="s">
        <v>9537</v>
      </c>
      <c r="M1928" t="s">
        <v>32145</v>
      </c>
    </row>
    <row r="1929" spans="1:13" x14ac:dyDescent="0.25">
      <c r="A1929" t="s">
        <v>10980</v>
      </c>
      <c r="B1929" t="s">
        <v>13</v>
      </c>
      <c r="C1929" t="s">
        <v>10981</v>
      </c>
      <c r="D1929" t="s">
        <v>10982</v>
      </c>
      <c r="E1929" s="2" t="s">
        <v>32335</v>
      </c>
      <c r="F1929" t="s">
        <v>9519</v>
      </c>
      <c r="G1929" t="s">
        <v>10102</v>
      </c>
      <c r="H1929" t="s">
        <v>372</v>
      </c>
      <c r="I1929" t="s">
        <v>19</v>
      </c>
      <c r="J1929" s="3" t="s">
        <v>10983</v>
      </c>
      <c r="K1929" t="s">
        <v>10103</v>
      </c>
      <c r="L1929" t="s">
        <v>10984</v>
      </c>
      <c r="M1929" t="s">
        <v>32145</v>
      </c>
    </row>
    <row r="1930" spans="1:13" x14ac:dyDescent="0.25">
      <c r="A1930" t="s">
        <v>24884</v>
      </c>
      <c r="B1930" t="s">
        <v>13</v>
      </c>
      <c r="C1930" t="s">
        <v>17925</v>
      </c>
      <c r="D1930" t="s">
        <v>24885</v>
      </c>
      <c r="E1930" t="s">
        <v>24886</v>
      </c>
      <c r="F1930" t="s">
        <v>1464</v>
      </c>
      <c r="G1930" t="s">
        <v>24887</v>
      </c>
      <c r="H1930" t="s">
        <v>28</v>
      </c>
      <c r="I1930" t="s">
        <v>19</v>
      </c>
      <c r="J1930" s="3" t="s">
        <v>24888</v>
      </c>
      <c r="K1930" t="s">
        <v>24889</v>
      </c>
      <c r="L1930" t="s">
        <v>24890</v>
      </c>
      <c r="M1930" t="s">
        <v>32145</v>
      </c>
    </row>
    <row r="1931" spans="1:13" x14ac:dyDescent="0.25">
      <c r="A1931" t="s">
        <v>12996</v>
      </c>
      <c r="B1931" t="s">
        <v>13</v>
      </c>
      <c r="C1931" s="1">
        <v>44138</v>
      </c>
      <c r="D1931" t="s">
        <v>12997</v>
      </c>
      <c r="E1931" t="s">
        <v>32336</v>
      </c>
      <c r="F1931" t="s">
        <v>117</v>
      </c>
      <c r="G1931" t="s">
        <v>12998</v>
      </c>
      <c r="H1931" t="s">
        <v>927</v>
      </c>
      <c r="I1931" t="s">
        <v>19</v>
      </c>
      <c r="J1931" s="3">
        <v>551332290100</v>
      </c>
      <c r="K1931" t="s">
        <v>12999</v>
      </c>
      <c r="L1931" t="s">
        <v>439</v>
      </c>
      <c r="M1931" t="s">
        <v>32145</v>
      </c>
    </row>
    <row r="1932" spans="1:13" x14ac:dyDescent="0.25">
      <c r="A1932" t="s">
        <v>9687</v>
      </c>
      <c r="B1932" t="s">
        <v>13</v>
      </c>
      <c r="C1932" t="s">
        <v>5087</v>
      </c>
      <c r="D1932" t="s">
        <v>9688</v>
      </c>
      <c r="E1932" s="2" t="s">
        <v>32337</v>
      </c>
      <c r="F1932" t="s">
        <v>117</v>
      </c>
      <c r="G1932" t="s">
        <v>9689</v>
      </c>
      <c r="H1932" t="s">
        <v>428</v>
      </c>
      <c r="I1932" t="s">
        <v>19</v>
      </c>
      <c r="J1932" s="3">
        <f>55-51-33572407</f>
        <v>-33572403</v>
      </c>
      <c r="K1932" t="s">
        <v>9690</v>
      </c>
      <c r="L1932" t="s">
        <v>2412</v>
      </c>
      <c r="M1932" t="s">
        <v>1349</v>
      </c>
    </row>
    <row r="1933" spans="1:13" x14ac:dyDescent="0.25">
      <c r="A1933" t="s">
        <v>5243</v>
      </c>
      <c r="B1933" t="s">
        <v>101</v>
      </c>
      <c r="C1933" t="s">
        <v>2770</v>
      </c>
      <c r="D1933" t="s">
        <v>5244</v>
      </c>
      <c r="E1933" s="2" t="s">
        <v>32338</v>
      </c>
      <c r="F1933" t="s">
        <v>833</v>
      </c>
      <c r="G1933" t="s">
        <v>5245</v>
      </c>
      <c r="H1933" t="s">
        <v>352</v>
      </c>
      <c r="I1933" t="s">
        <v>19</v>
      </c>
      <c r="J1933" s="3" t="s">
        <v>5246</v>
      </c>
      <c r="K1933" t="s">
        <v>5247</v>
      </c>
      <c r="L1933" t="s">
        <v>32135</v>
      </c>
      <c r="M1933" t="s">
        <v>32145</v>
      </c>
    </row>
    <row r="1934" spans="1:13" x14ac:dyDescent="0.25">
      <c r="A1934" t="s">
        <v>1776</v>
      </c>
      <c r="B1934" t="s">
        <v>13</v>
      </c>
      <c r="C1934" s="1">
        <v>44844</v>
      </c>
      <c r="D1934" t="s">
        <v>1777</v>
      </c>
      <c r="E1934" t="s">
        <v>1778</v>
      </c>
      <c r="F1934" t="s">
        <v>1779</v>
      </c>
      <c r="G1934" t="s">
        <v>1780</v>
      </c>
      <c r="H1934" t="s">
        <v>1781</v>
      </c>
      <c r="I1934" t="s">
        <v>19</v>
      </c>
      <c r="J1934" s="3" t="s">
        <v>1782</v>
      </c>
      <c r="K1934" t="s">
        <v>1783</v>
      </c>
      <c r="L1934" t="s">
        <v>1784</v>
      </c>
      <c r="M1934" t="s">
        <v>337</v>
      </c>
    </row>
    <row r="1935" spans="1:13" x14ac:dyDescent="0.25">
      <c r="A1935" t="s">
        <v>17615</v>
      </c>
      <c r="B1935" t="s">
        <v>13</v>
      </c>
      <c r="C1935" t="s">
        <v>14786</v>
      </c>
      <c r="D1935" t="s">
        <v>17616</v>
      </c>
      <c r="E1935" t="s">
        <v>1778</v>
      </c>
      <c r="F1935" t="s">
        <v>1464</v>
      </c>
      <c r="G1935" t="s">
        <v>17617</v>
      </c>
      <c r="H1935" t="s">
        <v>372</v>
      </c>
      <c r="I1935" t="s">
        <v>19</v>
      </c>
      <c r="J1935" s="3" t="s">
        <v>17618</v>
      </c>
      <c r="K1935" t="s">
        <v>17619</v>
      </c>
      <c r="L1935" t="s">
        <v>9980</v>
      </c>
      <c r="M1935" t="s">
        <v>337</v>
      </c>
    </row>
    <row r="1936" spans="1:13" x14ac:dyDescent="0.25">
      <c r="A1936" t="s">
        <v>20181</v>
      </c>
      <c r="B1936" t="s">
        <v>13</v>
      </c>
      <c r="C1936" s="1">
        <v>42377</v>
      </c>
      <c r="D1936" t="s">
        <v>20182</v>
      </c>
      <c r="E1936" t="s">
        <v>32339</v>
      </c>
      <c r="F1936" t="s">
        <v>1464</v>
      </c>
      <c r="G1936" t="s">
        <v>20183</v>
      </c>
      <c r="H1936" t="s">
        <v>893</v>
      </c>
      <c r="I1936" t="s">
        <v>19</v>
      </c>
      <c r="J1936" s="3" t="s">
        <v>20184</v>
      </c>
      <c r="K1936" t="s">
        <v>20185</v>
      </c>
      <c r="L1936" t="s">
        <v>7453</v>
      </c>
      <c r="M1936" t="s">
        <v>337</v>
      </c>
    </row>
    <row r="1937" spans="1:13" x14ac:dyDescent="0.25">
      <c r="A1937" t="s">
        <v>9033</v>
      </c>
      <c r="B1937" t="s">
        <v>13</v>
      </c>
      <c r="C1937" t="s">
        <v>499</v>
      </c>
      <c r="D1937" t="s">
        <v>9034</v>
      </c>
      <c r="E1937" s="2" t="s">
        <v>32340</v>
      </c>
      <c r="F1937" t="s">
        <v>1464</v>
      </c>
      <c r="G1937" t="s">
        <v>9035</v>
      </c>
      <c r="H1937" t="s">
        <v>893</v>
      </c>
      <c r="I1937" t="s">
        <v>19</v>
      </c>
      <c r="J1937" s="3">
        <v>5598991287973</v>
      </c>
      <c r="K1937" t="s">
        <v>9036</v>
      </c>
      <c r="L1937" t="s">
        <v>7453</v>
      </c>
      <c r="M1937" t="s">
        <v>337</v>
      </c>
    </row>
    <row r="1938" spans="1:13" x14ac:dyDescent="0.25">
      <c r="A1938" t="s">
        <v>12541</v>
      </c>
      <c r="B1938" t="s">
        <v>13</v>
      </c>
      <c r="C1938" s="1">
        <v>43865</v>
      </c>
      <c r="D1938" t="s">
        <v>12542</v>
      </c>
      <c r="E1938" s="2" t="s">
        <v>31043</v>
      </c>
      <c r="F1938" t="s">
        <v>1464</v>
      </c>
      <c r="G1938" t="s">
        <v>12543</v>
      </c>
      <c r="H1938" t="s">
        <v>71</v>
      </c>
      <c r="I1938" t="s">
        <v>19</v>
      </c>
      <c r="J1938" s="3" t="s">
        <v>12544</v>
      </c>
      <c r="K1938" t="s">
        <v>12545</v>
      </c>
      <c r="L1938" t="s">
        <v>12546</v>
      </c>
      <c r="M1938" t="s">
        <v>337</v>
      </c>
    </row>
    <row r="1939" spans="1:13" x14ac:dyDescent="0.25">
      <c r="A1939" t="s">
        <v>24824</v>
      </c>
      <c r="B1939" t="s">
        <v>13</v>
      </c>
      <c r="C1939" t="s">
        <v>23427</v>
      </c>
      <c r="D1939" t="s">
        <v>24825</v>
      </c>
      <c r="E1939" s="2" t="s">
        <v>31885</v>
      </c>
      <c r="F1939" t="s">
        <v>1464</v>
      </c>
      <c r="G1939" t="s">
        <v>24181</v>
      </c>
      <c r="H1939" t="s">
        <v>2215</v>
      </c>
      <c r="I1939" t="s">
        <v>19</v>
      </c>
      <c r="J1939" s="3" t="s">
        <v>24826</v>
      </c>
      <c r="K1939" t="s">
        <v>24827</v>
      </c>
      <c r="L1939" t="s">
        <v>2218</v>
      </c>
      <c r="M1939" t="s">
        <v>337</v>
      </c>
    </row>
    <row r="1940" spans="1:13" x14ac:dyDescent="0.25">
      <c r="A1940" t="s">
        <v>27451</v>
      </c>
      <c r="B1940" t="s">
        <v>13</v>
      </c>
      <c r="C1940" t="s">
        <v>27435</v>
      </c>
      <c r="D1940" t="s">
        <v>27452</v>
      </c>
      <c r="E1940" t="s">
        <v>27453</v>
      </c>
      <c r="F1940" t="s">
        <v>129</v>
      </c>
      <c r="G1940" t="s">
        <v>27454</v>
      </c>
      <c r="H1940" t="s">
        <v>18</v>
      </c>
      <c r="I1940" t="s">
        <v>19</v>
      </c>
      <c r="J1940" s="3" t="s">
        <v>7673</v>
      </c>
      <c r="K1940" t="s">
        <v>27455</v>
      </c>
      <c r="L1940" t="s">
        <v>12982</v>
      </c>
      <c r="M1940" t="s">
        <v>129</v>
      </c>
    </row>
    <row r="1941" spans="1:13" x14ac:dyDescent="0.25">
      <c r="A1941" t="s">
        <v>26812</v>
      </c>
      <c r="B1941" t="s">
        <v>13</v>
      </c>
      <c r="C1941" s="1">
        <v>42554</v>
      </c>
      <c r="D1941" t="s">
        <v>26813</v>
      </c>
      <c r="E1941" t="s">
        <v>2378</v>
      </c>
      <c r="F1941" t="s">
        <v>6656</v>
      </c>
      <c r="G1941" t="s">
        <v>26814</v>
      </c>
      <c r="H1941" t="s">
        <v>409</v>
      </c>
      <c r="I1941" t="s">
        <v>19</v>
      </c>
      <c r="J1941" s="3" t="s">
        <v>26815</v>
      </c>
      <c r="K1941" t="s">
        <v>26816</v>
      </c>
      <c r="L1941" t="s">
        <v>26817</v>
      </c>
      <c r="M1941" t="s">
        <v>6656</v>
      </c>
    </row>
    <row r="1942" spans="1:13" x14ac:dyDescent="0.25">
      <c r="A1942" t="s">
        <v>16253</v>
      </c>
      <c r="B1942" t="s">
        <v>13</v>
      </c>
      <c r="C1942" s="1">
        <v>43717</v>
      </c>
      <c r="D1942" t="s">
        <v>16254</v>
      </c>
      <c r="E1942" s="2" t="s">
        <v>31150</v>
      </c>
      <c r="F1942" t="s">
        <v>1349</v>
      </c>
      <c r="G1942" t="s">
        <v>16255</v>
      </c>
      <c r="H1942" t="s">
        <v>3222</v>
      </c>
      <c r="I1942" t="s">
        <v>19</v>
      </c>
      <c r="J1942" s="3">
        <f>55-22-988147111</f>
        <v>-988147078</v>
      </c>
      <c r="K1942" t="s">
        <v>16256</v>
      </c>
      <c r="L1942" t="s">
        <v>16257</v>
      </c>
      <c r="M1942" t="s">
        <v>1349</v>
      </c>
    </row>
    <row r="1943" spans="1:13" x14ac:dyDescent="0.25">
      <c r="A1943" t="s">
        <v>7385</v>
      </c>
      <c r="B1943" t="s">
        <v>13</v>
      </c>
      <c r="C1943" t="s">
        <v>7363</v>
      </c>
      <c r="D1943" t="s">
        <v>32135</v>
      </c>
      <c r="E1943" t="s">
        <v>7386</v>
      </c>
      <c r="F1943" t="s">
        <v>1307</v>
      </c>
      <c r="G1943" t="s">
        <v>7387</v>
      </c>
      <c r="H1943" t="s">
        <v>36</v>
      </c>
      <c r="I1943" t="s">
        <v>19</v>
      </c>
      <c r="J1943" s="3" t="s">
        <v>7388</v>
      </c>
      <c r="K1943" t="s">
        <v>7389</v>
      </c>
      <c r="L1943" t="s">
        <v>32135</v>
      </c>
      <c r="M1943" t="s">
        <v>129</v>
      </c>
    </row>
    <row r="1944" spans="1:13" x14ac:dyDescent="0.25">
      <c r="A1944" t="s">
        <v>8416</v>
      </c>
      <c r="B1944" t="s">
        <v>13</v>
      </c>
      <c r="C1944" s="1">
        <v>44198</v>
      </c>
      <c r="D1944" t="s">
        <v>8417</v>
      </c>
      <c r="E1944" t="s">
        <v>7386</v>
      </c>
      <c r="F1944" t="s">
        <v>1307</v>
      </c>
      <c r="G1944" t="s">
        <v>8418</v>
      </c>
      <c r="H1944" t="s">
        <v>36</v>
      </c>
      <c r="I1944" t="s">
        <v>19</v>
      </c>
      <c r="J1944" s="3" t="s">
        <v>8419</v>
      </c>
      <c r="K1944" t="s">
        <v>8420</v>
      </c>
      <c r="L1944" t="s">
        <v>32135</v>
      </c>
      <c r="M1944" t="s">
        <v>129</v>
      </c>
    </row>
    <row r="1945" spans="1:13" x14ac:dyDescent="0.25">
      <c r="A1945" t="s">
        <v>1305</v>
      </c>
      <c r="B1945" t="s">
        <v>13</v>
      </c>
      <c r="C1945" t="s">
        <v>1278</v>
      </c>
      <c r="D1945" t="s">
        <v>1306</v>
      </c>
      <c r="E1945" s="2" t="s">
        <v>30705</v>
      </c>
      <c r="F1945" t="s">
        <v>160</v>
      </c>
      <c r="G1945" t="s">
        <v>1309</v>
      </c>
      <c r="H1945" t="s">
        <v>88</v>
      </c>
      <c r="I1945" t="s">
        <v>19</v>
      </c>
      <c r="J1945" s="3">
        <f>55-84-33422006</f>
        <v>-33422035</v>
      </c>
      <c r="K1945" t="s">
        <v>1310</v>
      </c>
      <c r="L1945" t="s">
        <v>91</v>
      </c>
      <c r="M1945" t="s">
        <v>32147</v>
      </c>
    </row>
    <row r="1946" spans="1:13" x14ac:dyDescent="0.25">
      <c r="A1946" t="s">
        <v>5120</v>
      </c>
      <c r="B1946" t="s">
        <v>13</v>
      </c>
      <c r="C1946" s="1">
        <v>44866</v>
      </c>
      <c r="D1946" t="s">
        <v>32135</v>
      </c>
      <c r="E1946" s="2" t="s">
        <v>31821</v>
      </c>
      <c r="F1946" t="s">
        <v>1847</v>
      </c>
      <c r="G1946" t="s">
        <v>5122</v>
      </c>
      <c r="H1946" t="s">
        <v>18</v>
      </c>
      <c r="I1946" t="s">
        <v>19</v>
      </c>
      <c r="J1946" s="3">
        <f>55-19-35219306</f>
        <v>-35219270</v>
      </c>
      <c r="K1946" t="s">
        <v>5123</v>
      </c>
      <c r="L1946" t="s">
        <v>32135</v>
      </c>
      <c r="M1946" t="s">
        <v>129</v>
      </c>
    </row>
    <row r="1947" spans="1:13" x14ac:dyDescent="0.25">
      <c r="A1947" t="s">
        <v>22315</v>
      </c>
      <c r="B1947" t="s">
        <v>13</v>
      </c>
      <c r="C1947" s="1">
        <v>43222</v>
      </c>
      <c r="D1947" t="s">
        <v>22316</v>
      </c>
      <c r="E1947" s="2" t="s">
        <v>31820</v>
      </c>
      <c r="F1947" t="s">
        <v>8193</v>
      </c>
      <c r="G1947" t="s">
        <v>22317</v>
      </c>
      <c r="H1947" t="s">
        <v>11783</v>
      </c>
      <c r="I1947" t="s">
        <v>19</v>
      </c>
      <c r="J1947" s="3" t="s">
        <v>22318</v>
      </c>
      <c r="K1947" t="s">
        <v>5792</v>
      </c>
      <c r="L1947" t="s">
        <v>17013</v>
      </c>
      <c r="M1947" t="s">
        <v>129</v>
      </c>
    </row>
    <row r="1948" spans="1:13" x14ac:dyDescent="0.25">
      <c r="A1948" t="s">
        <v>29035</v>
      </c>
      <c r="B1948" t="s">
        <v>13</v>
      </c>
      <c r="C1948" s="1">
        <v>41827</v>
      </c>
      <c r="D1948" t="s">
        <v>29036</v>
      </c>
      <c r="E1948" t="s">
        <v>29037</v>
      </c>
      <c r="F1948" t="s">
        <v>8193</v>
      </c>
      <c r="G1948" t="s">
        <v>29038</v>
      </c>
      <c r="H1948" t="s">
        <v>18</v>
      </c>
      <c r="I1948" t="s">
        <v>19</v>
      </c>
      <c r="J1948" s="3" t="s">
        <v>29039</v>
      </c>
      <c r="K1948" t="s">
        <v>29040</v>
      </c>
      <c r="L1948" t="s">
        <v>285</v>
      </c>
      <c r="M1948" t="s">
        <v>129</v>
      </c>
    </row>
    <row r="1949" spans="1:13" x14ac:dyDescent="0.25">
      <c r="A1949" t="s">
        <v>18528</v>
      </c>
      <c r="B1949" t="s">
        <v>13</v>
      </c>
      <c r="C1949" s="1">
        <v>43678</v>
      </c>
      <c r="D1949" t="s">
        <v>18529</v>
      </c>
      <c r="E1949" s="2" t="s">
        <v>31725</v>
      </c>
      <c r="F1949" t="s">
        <v>741</v>
      </c>
      <c r="G1949" t="s">
        <v>18530</v>
      </c>
      <c r="H1949" t="s">
        <v>150</v>
      </c>
      <c r="I1949" t="s">
        <v>19</v>
      </c>
      <c r="J1949" s="3">
        <f>55-11-2661-5057</f>
        <v>-7674</v>
      </c>
      <c r="K1949" t="s">
        <v>18531</v>
      </c>
      <c r="L1949" t="s">
        <v>18532</v>
      </c>
      <c r="M1949" t="s">
        <v>741</v>
      </c>
    </row>
    <row r="1950" spans="1:13" x14ac:dyDescent="0.25">
      <c r="A1950" t="s">
        <v>28020</v>
      </c>
      <c r="B1950" t="s">
        <v>13</v>
      </c>
      <c r="C1950" s="1">
        <v>42222</v>
      </c>
      <c r="D1950" t="s">
        <v>28021</v>
      </c>
      <c r="E1950" t="s">
        <v>28022</v>
      </c>
      <c r="F1950" t="s">
        <v>1464</v>
      </c>
      <c r="G1950" t="s">
        <v>28023</v>
      </c>
      <c r="H1950" t="s">
        <v>428</v>
      </c>
      <c r="I1950" t="s">
        <v>19</v>
      </c>
      <c r="J1950" s="3" t="s">
        <v>28024</v>
      </c>
      <c r="K1950" t="s">
        <v>28025</v>
      </c>
      <c r="L1950" t="s">
        <v>28026</v>
      </c>
      <c r="M1950" t="s">
        <v>771</v>
      </c>
    </row>
    <row r="1951" spans="1:13" x14ac:dyDescent="0.25">
      <c r="A1951" t="s">
        <v>29984</v>
      </c>
      <c r="B1951" t="s">
        <v>13</v>
      </c>
      <c r="C1951" t="s">
        <v>14184</v>
      </c>
      <c r="D1951" t="s">
        <v>29985</v>
      </c>
      <c r="E1951" t="s">
        <v>15720</v>
      </c>
      <c r="F1951" t="s">
        <v>1464</v>
      </c>
      <c r="G1951" t="s">
        <v>29986</v>
      </c>
      <c r="H1951" t="s">
        <v>428</v>
      </c>
      <c r="I1951" t="s">
        <v>19</v>
      </c>
      <c r="J1951" s="3" t="s">
        <v>18994</v>
      </c>
      <c r="K1951" t="s">
        <v>29987</v>
      </c>
      <c r="L1951" t="s">
        <v>4056</v>
      </c>
      <c r="M1951" t="s">
        <v>129</v>
      </c>
    </row>
    <row r="1952" spans="1:13" x14ac:dyDescent="0.25">
      <c r="A1952" t="s">
        <v>23458</v>
      </c>
      <c r="B1952" t="s">
        <v>13</v>
      </c>
      <c r="C1952" t="s">
        <v>8668</v>
      </c>
      <c r="D1952" t="s">
        <v>23459</v>
      </c>
      <c r="E1952" t="s">
        <v>23460</v>
      </c>
      <c r="F1952" t="s">
        <v>5940</v>
      </c>
      <c r="G1952" t="s">
        <v>23461</v>
      </c>
      <c r="H1952" t="s">
        <v>472</v>
      </c>
      <c r="I1952" t="s">
        <v>19</v>
      </c>
      <c r="J1952" s="3" t="s">
        <v>23462</v>
      </c>
      <c r="K1952" t="s">
        <v>23463</v>
      </c>
      <c r="L1952" t="s">
        <v>2101</v>
      </c>
      <c r="M1952" t="s">
        <v>741</v>
      </c>
    </row>
    <row r="1953" spans="1:13" x14ac:dyDescent="0.25">
      <c r="A1953" t="s">
        <v>27245</v>
      </c>
      <c r="B1953" t="s">
        <v>101</v>
      </c>
      <c r="C1953" s="1">
        <v>42047</v>
      </c>
      <c r="D1953" t="s">
        <v>27246</v>
      </c>
      <c r="E1953" t="s">
        <v>32341</v>
      </c>
      <c r="F1953" t="s">
        <v>1464</v>
      </c>
      <c r="G1953" t="s">
        <v>27247</v>
      </c>
      <c r="H1953" t="s">
        <v>6121</v>
      </c>
      <c r="I1953" t="s">
        <v>19</v>
      </c>
      <c r="J1953" s="3">
        <v>553588529530</v>
      </c>
      <c r="K1953" t="s">
        <v>27248</v>
      </c>
      <c r="L1953" t="s">
        <v>27249</v>
      </c>
      <c r="M1953" t="s">
        <v>337</v>
      </c>
    </row>
    <row r="1954" spans="1:13" x14ac:dyDescent="0.25">
      <c r="A1954" t="s">
        <v>22238</v>
      </c>
      <c r="B1954" t="s">
        <v>13</v>
      </c>
      <c r="C1954" t="s">
        <v>22239</v>
      </c>
      <c r="D1954" t="s">
        <v>22240</v>
      </c>
      <c r="E1954" t="s">
        <v>22241</v>
      </c>
      <c r="F1954" t="s">
        <v>12383</v>
      </c>
      <c r="G1954" t="s">
        <v>22242</v>
      </c>
      <c r="H1954" t="s">
        <v>428</v>
      </c>
      <c r="I1954" t="s">
        <v>19</v>
      </c>
      <c r="J1954" s="3" t="s">
        <v>22243</v>
      </c>
      <c r="K1954" t="s">
        <v>22244</v>
      </c>
      <c r="L1954" t="s">
        <v>22245</v>
      </c>
      <c r="M1954" t="s">
        <v>32155</v>
      </c>
    </row>
    <row r="1955" spans="1:13" x14ac:dyDescent="0.25">
      <c r="A1955" t="s">
        <v>20013</v>
      </c>
      <c r="B1955" t="s">
        <v>13</v>
      </c>
      <c r="C1955" t="s">
        <v>20005</v>
      </c>
      <c r="D1955" t="s">
        <v>20014</v>
      </c>
      <c r="E1955" s="2" t="s">
        <v>31240</v>
      </c>
      <c r="F1955" t="s">
        <v>1464</v>
      </c>
      <c r="G1955" t="s">
        <v>20015</v>
      </c>
      <c r="H1955" t="s">
        <v>1622</v>
      </c>
      <c r="I1955" t="s">
        <v>19</v>
      </c>
      <c r="J1955" s="3">
        <v>5511988645808</v>
      </c>
      <c r="K1955" t="s">
        <v>20016</v>
      </c>
      <c r="L1955" t="s">
        <v>20017</v>
      </c>
      <c r="M1955" t="s">
        <v>32149</v>
      </c>
    </row>
    <row r="1956" spans="1:13" x14ac:dyDescent="0.25">
      <c r="A1956" t="s">
        <v>7861</v>
      </c>
      <c r="B1956" t="s">
        <v>13</v>
      </c>
      <c r="C1956" t="s">
        <v>7663</v>
      </c>
      <c r="D1956" t="s">
        <v>7862</v>
      </c>
      <c r="E1956" s="2" t="s">
        <v>31472</v>
      </c>
      <c r="F1956" t="s">
        <v>2036</v>
      </c>
      <c r="G1956" t="s">
        <v>7863</v>
      </c>
      <c r="H1956" t="s">
        <v>7864</v>
      </c>
      <c r="I1956" t="s">
        <v>19</v>
      </c>
      <c r="J1956" s="3">
        <f>55-54-991277012</f>
        <v>-991277011</v>
      </c>
      <c r="K1956" t="s">
        <v>7865</v>
      </c>
      <c r="L1956" t="s">
        <v>610</v>
      </c>
      <c r="M1956" t="s">
        <v>57</v>
      </c>
    </row>
    <row r="1957" spans="1:13" x14ac:dyDescent="0.25">
      <c r="A1957" t="s">
        <v>26780</v>
      </c>
      <c r="B1957" t="s">
        <v>13</v>
      </c>
      <c r="C1957" s="1">
        <v>42677</v>
      </c>
      <c r="D1957" t="s">
        <v>26781</v>
      </c>
      <c r="E1957" t="s">
        <v>14780</v>
      </c>
      <c r="F1957" t="s">
        <v>224</v>
      </c>
      <c r="G1957" t="s">
        <v>23482</v>
      </c>
      <c r="H1957" t="s">
        <v>352</v>
      </c>
      <c r="I1957" t="s">
        <v>19</v>
      </c>
      <c r="J1957" s="3" t="s">
        <v>23483</v>
      </c>
      <c r="K1957" t="s">
        <v>23484</v>
      </c>
      <c r="L1957" t="s">
        <v>23485</v>
      </c>
      <c r="M1957" t="s">
        <v>224</v>
      </c>
    </row>
    <row r="1958" spans="1:13" x14ac:dyDescent="0.25">
      <c r="A1958" t="s">
        <v>17004</v>
      </c>
      <c r="B1958" t="s">
        <v>13</v>
      </c>
      <c r="C1958" t="s">
        <v>2945</v>
      </c>
      <c r="D1958" t="s">
        <v>17005</v>
      </c>
      <c r="E1958" t="s">
        <v>14780</v>
      </c>
      <c r="F1958" t="s">
        <v>224</v>
      </c>
      <c r="G1958" t="s">
        <v>17006</v>
      </c>
      <c r="H1958" t="s">
        <v>36</v>
      </c>
      <c r="I1958" t="s">
        <v>19</v>
      </c>
      <c r="J1958" s="3">
        <f>55-11-41776100</f>
        <v>-41776056</v>
      </c>
      <c r="K1958" t="s">
        <v>17007</v>
      </c>
      <c r="L1958" t="s">
        <v>328</v>
      </c>
      <c r="M1958" t="s">
        <v>32121</v>
      </c>
    </row>
    <row r="1959" spans="1:13" x14ac:dyDescent="0.25">
      <c r="A1959" t="s">
        <v>29045</v>
      </c>
      <c r="B1959" t="s">
        <v>13</v>
      </c>
      <c r="C1959" t="s">
        <v>29046</v>
      </c>
      <c r="D1959" t="s">
        <v>29047</v>
      </c>
      <c r="E1959" t="s">
        <v>14780</v>
      </c>
      <c r="F1959" t="s">
        <v>1129</v>
      </c>
      <c r="G1959" t="s">
        <v>29048</v>
      </c>
      <c r="H1959" t="s">
        <v>36</v>
      </c>
      <c r="I1959" t="s">
        <v>19</v>
      </c>
      <c r="J1959" s="3" t="s">
        <v>29049</v>
      </c>
      <c r="K1959" t="s">
        <v>29050</v>
      </c>
      <c r="L1959" t="s">
        <v>9723</v>
      </c>
      <c r="M1959" t="s">
        <v>224</v>
      </c>
    </row>
    <row r="1960" spans="1:13" x14ac:dyDescent="0.25">
      <c r="A1960" t="s">
        <v>16918</v>
      </c>
      <c r="B1960" t="s">
        <v>13</v>
      </c>
      <c r="C1960" t="s">
        <v>16919</v>
      </c>
      <c r="D1960" t="s">
        <v>16920</v>
      </c>
      <c r="E1960" t="s">
        <v>14780</v>
      </c>
      <c r="F1960" t="s">
        <v>1129</v>
      </c>
      <c r="G1960" t="s">
        <v>16921</v>
      </c>
      <c r="H1960" t="s">
        <v>472</v>
      </c>
      <c r="I1960" t="s">
        <v>19</v>
      </c>
      <c r="J1960" s="3" t="s">
        <v>16922</v>
      </c>
      <c r="K1960" t="s">
        <v>9247</v>
      </c>
      <c r="L1960" t="s">
        <v>16923</v>
      </c>
      <c r="M1960" t="s">
        <v>224</v>
      </c>
    </row>
    <row r="1961" spans="1:13" x14ac:dyDescent="0.25">
      <c r="A1961" t="s">
        <v>14777</v>
      </c>
      <c r="B1961" t="s">
        <v>13</v>
      </c>
      <c r="C1961" t="s">
        <v>14778</v>
      </c>
      <c r="D1961" t="s">
        <v>14779</v>
      </c>
      <c r="E1961" t="s">
        <v>14780</v>
      </c>
      <c r="F1961" t="s">
        <v>1129</v>
      </c>
      <c r="G1961" t="s">
        <v>14781</v>
      </c>
      <c r="H1961" t="s">
        <v>2678</v>
      </c>
      <c r="I1961" t="s">
        <v>19</v>
      </c>
      <c r="J1961" s="3" t="s">
        <v>14782</v>
      </c>
      <c r="K1961" t="s">
        <v>14783</v>
      </c>
      <c r="L1961" t="s">
        <v>14784</v>
      </c>
      <c r="M1961" t="s">
        <v>224</v>
      </c>
    </row>
    <row r="1962" spans="1:13" x14ac:dyDescent="0.25">
      <c r="A1962" t="s">
        <v>19662</v>
      </c>
      <c r="B1962" t="s">
        <v>13</v>
      </c>
      <c r="C1962" t="s">
        <v>8719</v>
      </c>
      <c r="D1962" t="s">
        <v>19663</v>
      </c>
      <c r="E1962" s="2" t="s">
        <v>31233</v>
      </c>
      <c r="F1962" t="s">
        <v>1129</v>
      </c>
      <c r="G1962" t="s">
        <v>19664</v>
      </c>
      <c r="H1962" t="s">
        <v>18</v>
      </c>
      <c r="I1962" t="s">
        <v>19</v>
      </c>
      <c r="J1962" s="3">
        <v>5519981274743</v>
      </c>
      <c r="K1962" t="s">
        <v>19665</v>
      </c>
      <c r="L1962" t="s">
        <v>19666</v>
      </c>
      <c r="M1962" t="s">
        <v>224</v>
      </c>
    </row>
    <row r="1963" spans="1:13" x14ac:dyDescent="0.25">
      <c r="A1963" t="s">
        <v>17249</v>
      </c>
      <c r="B1963" t="s">
        <v>101</v>
      </c>
      <c r="C1963" s="1">
        <v>43622</v>
      </c>
      <c r="D1963" t="s">
        <v>17250</v>
      </c>
      <c r="E1963" t="s">
        <v>17251</v>
      </c>
      <c r="F1963" t="s">
        <v>224</v>
      </c>
      <c r="G1963" t="s">
        <v>17252</v>
      </c>
      <c r="H1963" t="s">
        <v>36</v>
      </c>
      <c r="I1963" t="s">
        <v>19</v>
      </c>
      <c r="J1963" s="3" t="s">
        <v>17253</v>
      </c>
      <c r="K1963" t="s">
        <v>17254</v>
      </c>
      <c r="L1963" t="s">
        <v>344</v>
      </c>
      <c r="M1963" t="s">
        <v>224</v>
      </c>
    </row>
    <row r="1964" spans="1:13" x14ac:dyDescent="0.25">
      <c r="A1964" t="s">
        <v>22458</v>
      </c>
      <c r="B1964" t="s">
        <v>13</v>
      </c>
      <c r="C1964" t="s">
        <v>10219</v>
      </c>
      <c r="D1964" t="s">
        <v>22459</v>
      </c>
      <c r="E1964" t="s">
        <v>22460</v>
      </c>
      <c r="F1964" t="s">
        <v>32121</v>
      </c>
      <c r="G1964" t="s">
        <v>22461</v>
      </c>
      <c r="H1964" t="s">
        <v>36</v>
      </c>
      <c r="I1964" t="s">
        <v>19</v>
      </c>
      <c r="J1964" s="3" t="s">
        <v>22462</v>
      </c>
      <c r="K1964" t="s">
        <v>22463</v>
      </c>
      <c r="L1964" t="s">
        <v>22464</v>
      </c>
      <c r="M1964" t="s">
        <v>32121</v>
      </c>
    </row>
    <row r="1965" spans="1:13" x14ac:dyDescent="0.25">
      <c r="A1965" t="s">
        <v>22178</v>
      </c>
      <c r="B1965" t="s">
        <v>13</v>
      </c>
      <c r="C1965" t="s">
        <v>14223</v>
      </c>
      <c r="D1965" t="s">
        <v>22179</v>
      </c>
      <c r="E1965" t="s">
        <v>22180</v>
      </c>
      <c r="F1965" t="s">
        <v>129</v>
      </c>
      <c r="G1965" t="s">
        <v>14544</v>
      </c>
      <c r="H1965" t="s">
        <v>229</v>
      </c>
      <c r="I1965" t="s">
        <v>19</v>
      </c>
      <c r="J1965" s="3">
        <f>55-11-49935400</f>
        <v>-49935356</v>
      </c>
      <c r="K1965" t="s">
        <v>14545</v>
      </c>
      <c r="L1965" t="s">
        <v>13173</v>
      </c>
      <c r="M1965" t="s">
        <v>129</v>
      </c>
    </row>
    <row r="1966" spans="1:13" x14ac:dyDescent="0.25">
      <c r="A1966" t="s">
        <v>14540</v>
      </c>
      <c r="B1966" t="s">
        <v>13</v>
      </c>
      <c r="C1966" t="s">
        <v>14541</v>
      </c>
      <c r="D1966" t="s">
        <v>14542</v>
      </c>
      <c r="E1966" t="s">
        <v>14543</v>
      </c>
      <c r="F1966" t="s">
        <v>1349</v>
      </c>
      <c r="G1966" t="s">
        <v>14544</v>
      </c>
      <c r="H1966" t="s">
        <v>229</v>
      </c>
      <c r="I1966" t="s">
        <v>19</v>
      </c>
      <c r="J1966" s="3">
        <f>55-11-49935400</f>
        <v>-49935356</v>
      </c>
      <c r="K1966" t="s">
        <v>14545</v>
      </c>
      <c r="L1966" t="s">
        <v>13173</v>
      </c>
      <c r="M1966" t="s">
        <v>1349</v>
      </c>
    </row>
    <row r="1967" spans="1:13" x14ac:dyDescent="0.25">
      <c r="A1967" t="s">
        <v>25633</v>
      </c>
      <c r="B1967" t="s">
        <v>13</v>
      </c>
      <c r="C1967" t="s">
        <v>25634</v>
      </c>
      <c r="D1967" t="s">
        <v>25635</v>
      </c>
      <c r="E1967" t="s">
        <v>25636</v>
      </c>
      <c r="F1967" t="s">
        <v>6072</v>
      </c>
      <c r="G1967" t="s">
        <v>25637</v>
      </c>
      <c r="H1967" t="s">
        <v>462</v>
      </c>
      <c r="I1967" t="s">
        <v>19</v>
      </c>
      <c r="J1967" s="3">
        <v>554499820215</v>
      </c>
      <c r="K1967" t="s">
        <v>25638</v>
      </c>
      <c r="L1967" t="s">
        <v>904</v>
      </c>
      <c r="M1967" t="s">
        <v>337</v>
      </c>
    </row>
    <row r="1968" spans="1:13" x14ac:dyDescent="0.25">
      <c r="A1968" t="s">
        <v>20082</v>
      </c>
      <c r="B1968" t="s">
        <v>13</v>
      </c>
      <c r="C1968" s="1">
        <v>43351</v>
      </c>
      <c r="D1968" t="s">
        <v>20083</v>
      </c>
      <c r="E1968" s="2" t="s">
        <v>32342</v>
      </c>
      <c r="F1968" t="s">
        <v>337</v>
      </c>
      <c r="G1968" t="s">
        <v>20084</v>
      </c>
      <c r="H1968" t="s">
        <v>798</v>
      </c>
      <c r="I1968" t="s">
        <v>19</v>
      </c>
      <c r="J1968" s="3" t="s">
        <v>20085</v>
      </c>
      <c r="K1968" t="s">
        <v>20086</v>
      </c>
      <c r="L1968" t="s">
        <v>20087</v>
      </c>
      <c r="M1968" t="s">
        <v>337</v>
      </c>
    </row>
    <row r="1969" spans="1:13" x14ac:dyDescent="0.25">
      <c r="A1969" t="s">
        <v>18267</v>
      </c>
      <c r="B1969" t="s">
        <v>13</v>
      </c>
      <c r="C1969" t="s">
        <v>9845</v>
      </c>
      <c r="D1969" t="s">
        <v>18268</v>
      </c>
      <c r="E1969" s="2" t="s">
        <v>32343</v>
      </c>
      <c r="F1969" t="s">
        <v>57</v>
      </c>
      <c r="G1969" t="s">
        <v>18269</v>
      </c>
      <c r="H1969" t="s">
        <v>36</v>
      </c>
      <c r="I1969" t="s">
        <v>19</v>
      </c>
      <c r="J1969" s="3">
        <v>551155764848</v>
      </c>
      <c r="K1969" t="s">
        <v>18270</v>
      </c>
      <c r="L1969" t="s">
        <v>439</v>
      </c>
      <c r="M1969" t="s">
        <v>57</v>
      </c>
    </row>
    <row r="1970" spans="1:13" x14ac:dyDescent="0.25">
      <c r="A1970" t="s">
        <v>12465</v>
      </c>
      <c r="B1970" t="s">
        <v>13</v>
      </c>
      <c r="C1970" s="1">
        <v>44016</v>
      </c>
      <c r="D1970" t="s">
        <v>12466</v>
      </c>
      <c r="E1970" t="s">
        <v>12467</v>
      </c>
      <c r="F1970" t="s">
        <v>337</v>
      </c>
      <c r="G1970" t="s">
        <v>12468</v>
      </c>
      <c r="H1970" t="s">
        <v>428</v>
      </c>
      <c r="I1970" t="s">
        <v>19</v>
      </c>
      <c r="J1970" s="3" t="s">
        <v>12469</v>
      </c>
      <c r="K1970" t="s">
        <v>12470</v>
      </c>
      <c r="L1970" t="s">
        <v>3299</v>
      </c>
      <c r="M1970" t="s">
        <v>337</v>
      </c>
    </row>
    <row r="1971" spans="1:13" x14ac:dyDescent="0.25">
      <c r="A1971" t="s">
        <v>15608</v>
      </c>
      <c r="B1971" t="s">
        <v>13</v>
      </c>
      <c r="C1971" s="1">
        <v>43748</v>
      </c>
      <c r="D1971" t="s">
        <v>15609</v>
      </c>
      <c r="E1971" s="2" t="s">
        <v>31830</v>
      </c>
      <c r="F1971" t="s">
        <v>129</v>
      </c>
      <c r="G1971" t="s">
        <v>15610</v>
      </c>
      <c r="H1971" t="s">
        <v>489</v>
      </c>
      <c r="I1971" t="s">
        <v>19</v>
      </c>
      <c r="J1971" s="3">
        <v>5541999196805</v>
      </c>
      <c r="K1971" t="s">
        <v>15611</v>
      </c>
      <c r="L1971" t="s">
        <v>15612</v>
      </c>
      <c r="M1971" t="s">
        <v>129</v>
      </c>
    </row>
    <row r="1972" spans="1:13" x14ac:dyDescent="0.25">
      <c r="A1972" t="s">
        <v>7341</v>
      </c>
      <c r="B1972" t="s">
        <v>13</v>
      </c>
      <c r="C1972" t="s">
        <v>7339</v>
      </c>
      <c r="D1972" t="s">
        <v>32135</v>
      </c>
      <c r="E1972" s="2" t="s">
        <v>30929</v>
      </c>
      <c r="F1972" t="s">
        <v>7342</v>
      </c>
      <c r="G1972" t="s">
        <v>7343</v>
      </c>
      <c r="H1972" t="s">
        <v>36</v>
      </c>
      <c r="I1972" t="s">
        <v>19</v>
      </c>
      <c r="J1972" s="3" t="s">
        <v>7344</v>
      </c>
      <c r="K1972" t="s">
        <v>7345</v>
      </c>
      <c r="L1972" t="s">
        <v>32135</v>
      </c>
      <c r="M1972" t="s">
        <v>337</v>
      </c>
    </row>
    <row r="1973" spans="1:13" x14ac:dyDescent="0.25">
      <c r="A1973" t="s">
        <v>15268</v>
      </c>
      <c r="B1973" t="s">
        <v>13</v>
      </c>
      <c r="C1973" t="s">
        <v>9910</v>
      </c>
      <c r="D1973" t="s">
        <v>15269</v>
      </c>
      <c r="E1973" t="s">
        <v>5277</v>
      </c>
      <c r="F1973" t="s">
        <v>2947</v>
      </c>
      <c r="G1973" t="s">
        <v>15270</v>
      </c>
      <c r="H1973" t="s">
        <v>88</v>
      </c>
      <c r="I1973" t="s">
        <v>19</v>
      </c>
      <c r="J1973" s="3" t="s">
        <v>15271</v>
      </c>
      <c r="K1973" t="s">
        <v>15272</v>
      </c>
      <c r="L1973" t="s">
        <v>91</v>
      </c>
      <c r="M1973" t="s">
        <v>771</v>
      </c>
    </row>
    <row r="1974" spans="1:13" x14ac:dyDescent="0.25">
      <c r="A1974" t="s">
        <v>28831</v>
      </c>
      <c r="B1974" t="s">
        <v>13</v>
      </c>
      <c r="C1974" s="1">
        <v>41770</v>
      </c>
      <c r="D1974" t="s">
        <v>28832</v>
      </c>
      <c r="E1974" s="2" t="s">
        <v>31359</v>
      </c>
      <c r="F1974" t="s">
        <v>771</v>
      </c>
      <c r="G1974" t="s">
        <v>28833</v>
      </c>
      <c r="H1974" t="s">
        <v>36</v>
      </c>
      <c r="I1974" t="s">
        <v>19</v>
      </c>
      <c r="J1974" s="3" t="s">
        <v>28834</v>
      </c>
      <c r="K1974" t="s">
        <v>28835</v>
      </c>
      <c r="L1974" t="s">
        <v>439</v>
      </c>
      <c r="M1974" t="s">
        <v>771</v>
      </c>
    </row>
    <row r="1975" spans="1:13" x14ac:dyDescent="0.25">
      <c r="A1975" t="s">
        <v>8055</v>
      </c>
      <c r="B1975" t="s">
        <v>13</v>
      </c>
      <c r="C1975" s="1">
        <v>44199</v>
      </c>
      <c r="D1975" t="s">
        <v>8056</v>
      </c>
      <c r="E1975" s="2" t="s">
        <v>30946</v>
      </c>
      <c r="F1975" t="s">
        <v>406</v>
      </c>
      <c r="G1975" t="s">
        <v>8057</v>
      </c>
      <c r="H1975" t="s">
        <v>265</v>
      </c>
      <c r="I1975" t="s">
        <v>19</v>
      </c>
      <c r="J1975" s="3">
        <f>55016-999923446</f>
        <v>-999868430</v>
      </c>
      <c r="K1975" t="s">
        <v>8058</v>
      </c>
      <c r="L1975" t="s">
        <v>32135</v>
      </c>
      <c r="M1975" t="s">
        <v>785</v>
      </c>
    </row>
    <row r="1976" spans="1:13" x14ac:dyDescent="0.25">
      <c r="A1976" t="s">
        <v>14200</v>
      </c>
      <c r="B1976" t="s">
        <v>13</v>
      </c>
      <c r="C1976" t="s">
        <v>14201</v>
      </c>
      <c r="D1976" t="s">
        <v>14202</v>
      </c>
      <c r="E1976" t="s">
        <v>14203</v>
      </c>
      <c r="F1976" t="s">
        <v>306</v>
      </c>
      <c r="G1976" t="s">
        <v>14204</v>
      </c>
      <c r="H1976" t="s">
        <v>352</v>
      </c>
      <c r="I1976" t="s">
        <v>19</v>
      </c>
      <c r="J1976" s="3">
        <f>55-21-983177480</f>
        <v>-983177446</v>
      </c>
      <c r="K1976" t="s">
        <v>14205</v>
      </c>
      <c r="L1976" t="s">
        <v>550</v>
      </c>
      <c r="M1976" t="s">
        <v>32145</v>
      </c>
    </row>
    <row r="1977" spans="1:13" x14ac:dyDescent="0.25">
      <c r="A1977" t="s">
        <v>7913</v>
      </c>
      <c r="B1977" t="s">
        <v>13</v>
      </c>
      <c r="C1977" t="s">
        <v>7914</v>
      </c>
      <c r="D1977" t="s">
        <v>7915</v>
      </c>
      <c r="E1977" t="s">
        <v>7916</v>
      </c>
      <c r="F1977" t="s">
        <v>2947</v>
      </c>
      <c r="G1977" t="s">
        <v>7917</v>
      </c>
      <c r="H1977" t="s">
        <v>444</v>
      </c>
      <c r="I1977" t="s">
        <v>19</v>
      </c>
      <c r="J1977" s="3" t="s">
        <v>7918</v>
      </c>
      <c r="K1977" t="s">
        <v>7919</v>
      </c>
      <c r="L1977" t="s">
        <v>7920</v>
      </c>
      <c r="M1977" t="s">
        <v>771</v>
      </c>
    </row>
    <row r="1978" spans="1:13" x14ac:dyDescent="0.25">
      <c r="A1978" t="s">
        <v>16854</v>
      </c>
      <c r="B1978" t="s">
        <v>13</v>
      </c>
      <c r="C1978" s="1">
        <v>43592</v>
      </c>
      <c r="D1978" t="s">
        <v>16855</v>
      </c>
      <c r="E1978" t="s">
        <v>11969</v>
      </c>
      <c r="F1978" t="s">
        <v>2947</v>
      </c>
      <c r="G1978" t="s">
        <v>16856</v>
      </c>
      <c r="H1978" t="s">
        <v>105</v>
      </c>
      <c r="I1978" t="s">
        <v>19</v>
      </c>
      <c r="J1978" s="3" t="s">
        <v>16857</v>
      </c>
      <c r="K1978" t="s">
        <v>13501</v>
      </c>
      <c r="L1978" t="s">
        <v>108</v>
      </c>
      <c r="M1978" t="s">
        <v>771</v>
      </c>
    </row>
    <row r="1979" spans="1:13" x14ac:dyDescent="0.25">
      <c r="A1979" t="s">
        <v>11967</v>
      </c>
      <c r="B1979" t="s">
        <v>13</v>
      </c>
      <c r="C1979" s="1">
        <v>43987</v>
      </c>
      <c r="D1979" t="s">
        <v>11968</v>
      </c>
      <c r="E1979" t="s">
        <v>11969</v>
      </c>
      <c r="F1979" t="s">
        <v>2947</v>
      </c>
      <c r="G1979" t="s">
        <v>11970</v>
      </c>
      <c r="H1979" t="s">
        <v>88</v>
      </c>
      <c r="I1979" t="s">
        <v>19</v>
      </c>
      <c r="J1979" s="3" t="s">
        <v>11971</v>
      </c>
      <c r="K1979" t="s">
        <v>11972</v>
      </c>
      <c r="L1979" t="s">
        <v>91</v>
      </c>
      <c r="M1979" t="s">
        <v>771</v>
      </c>
    </row>
    <row r="1980" spans="1:13" x14ac:dyDescent="0.25">
      <c r="A1980" t="s">
        <v>10582</v>
      </c>
      <c r="B1980" t="s">
        <v>13</v>
      </c>
      <c r="C1980" s="1">
        <v>43990</v>
      </c>
      <c r="D1980" t="s">
        <v>10583</v>
      </c>
      <c r="E1980" t="s">
        <v>1454</v>
      </c>
      <c r="F1980" t="s">
        <v>771</v>
      </c>
      <c r="G1980" t="s">
        <v>10290</v>
      </c>
      <c r="H1980" t="s">
        <v>927</v>
      </c>
      <c r="I1980" t="s">
        <v>19</v>
      </c>
      <c r="J1980" s="3" t="s">
        <v>10291</v>
      </c>
      <c r="K1980" t="s">
        <v>10292</v>
      </c>
      <c r="L1980" t="s">
        <v>3232</v>
      </c>
      <c r="M1980" t="s">
        <v>771</v>
      </c>
    </row>
    <row r="1981" spans="1:13" x14ac:dyDescent="0.25">
      <c r="A1981" t="s">
        <v>17716</v>
      </c>
      <c r="B1981" t="s">
        <v>13</v>
      </c>
      <c r="C1981" t="s">
        <v>17669</v>
      </c>
      <c r="D1981" t="s">
        <v>17717</v>
      </c>
      <c r="E1981" t="s">
        <v>2801</v>
      </c>
      <c r="F1981" t="s">
        <v>771</v>
      </c>
      <c r="G1981" t="s">
        <v>17718</v>
      </c>
      <c r="H1981" t="s">
        <v>2206</v>
      </c>
      <c r="I1981" t="s">
        <v>19</v>
      </c>
      <c r="J1981" s="3">
        <v>558332167417</v>
      </c>
      <c r="K1981" t="s">
        <v>17719</v>
      </c>
      <c r="L1981" t="s">
        <v>1092</v>
      </c>
      <c r="M1981" t="s">
        <v>771</v>
      </c>
    </row>
    <row r="1982" spans="1:13" x14ac:dyDescent="0.25">
      <c r="A1982" t="s">
        <v>11939</v>
      </c>
      <c r="B1982" t="s">
        <v>13</v>
      </c>
      <c r="C1982" t="s">
        <v>11940</v>
      </c>
      <c r="D1982" t="s">
        <v>11941</v>
      </c>
      <c r="E1982" t="s">
        <v>11942</v>
      </c>
      <c r="F1982" t="s">
        <v>771</v>
      </c>
      <c r="G1982" t="s">
        <v>11943</v>
      </c>
      <c r="H1982" t="s">
        <v>352</v>
      </c>
      <c r="I1982" t="s">
        <v>19</v>
      </c>
      <c r="J1982" s="3">
        <f>55-21-23342062</f>
        <v>-23342028</v>
      </c>
      <c r="K1982" t="s">
        <v>11944</v>
      </c>
      <c r="L1982" t="s">
        <v>4246</v>
      </c>
      <c r="M1982" t="s">
        <v>771</v>
      </c>
    </row>
    <row r="1983" spans="1:13" x14ac:dyDescent="0.25">
      <c r="A1983" t="s">
        <v>2799</v>
      </c>
      <c r="B1983" t="s">
        <v>13</v>
      </c>
      <c r="C1983" t="s">
        <v>2787</v>
      </c>
      <c r="D1983" t="s">
        <v>2800</v>
      </c>
      <c r="E1983" t="s">
        <v>2801</v>
      </c>
      <c r="F1983" t="s">
        <v>2802</v>
      </c>
      <c r="G1983" t="s">
        <v>2803</v>
      </c>
      <c r="H1983" t="s">
        <v>753</v>
      </c>
      <c r="I1983" t="s">
        <v>19</v>
      </c>
      <c r="J1983" s="3" t="s">
        <v>2804</v>
      </c>
      <c r="K1983" t="s">
        <v>2805</v>
      </c>
      <c r="L1983" t="s">
        <v>2762</v>
      </c>
      <c r="M1983" t="s">
        <v>771</v>
      </c>
    </row>
    <row r="1984" spans="1:13" x14ac:dyDescent="0.25">
      <c r="A1984" t="s">
        <v>24592</v>
      </c>
      <c r="B1984" t="s">
        <v>13</v>
      </c>
      <c r="C1984" t="s">
        <v>24589</v>
      </c>
      <c r="D1984" t="s">
        <v>24593</v>
      </c>
      <c r="E1984" t="s">
        <v>24594</v>
      </c>
      <c r="F1984" t="s">
        <v>2947</v>
      </c>
      <c r="G1984" t="s">
        <v>18105</v>
      </c>
      <c r="H1984" t="s">
        <v>11044</v>
      </c>
      <c r="I1984" t="s">
        <v>19</v>
      </c>
      <c r="J1984" s="3" t="s">
        <v>18106</v>
      </c>
      <c r="K1984" t="s">
        <v>18107</v>
      </c>
      <c r="L1984" t="s">
        <v>18108</v>
      </c>
      <c r="M1984" t="s">
        <v>771</v>
      </c>
    </row>
    <row r="1985" spans="1:13" x14ac:dyDescent="0.25">
      <c r="A1985" t="s">
        <v>26729</v>
      </c>
      <c r="B1985" t="s">
        <v>13</v>
      </c>
      <c r="C1985" t="s">
        <v>26730</v>
      </c>
      <c r="D1985" t="s">
        <v>26731</v>
      </c>
      <c r="E1985" t="s">
        <v>26732</v>
      </c>
      <c r="F1985" t="s">
        <v>771</v>
      </c>
      <c r="G1985" t="s">
        <v>15680</v>
      </c>
      <c r="H1985" t="s">
        <v>45</v>
      </c>
      <c r="I1985" t="s">
        <v>19</v>
      </c>
      <c r="J1985" s="3" t="s">
        <v>26733</v>
      </c>
      <c r="K1985" t="s">
        <v>15682</v>
      </c>
      <c r="L1985" t="s">
        <v>15683</v>
      </c>
      <c r="M1985" t="s">
        <v>771</v>
      </c>
    </row>
    <row r="1986" spans="1:13" x14ac:dyDescent="0.25">
      <c r="A1986" t="s">
        <v>16515</v>
      </c>
      <c r="B1986" t="s">
        <v>13</v>
      </c>
      <c r="C1986" t="s">
        <v>16508</v>
      </c>
      <c r="D1986" t="s">
        <v>16516</v>
      </c>
      <c r="E1986" s="2" t="s">
        <v>31158</v>
      </c>
      <c r="F1986" t="s">
        <v>306</v>
      </c>
      <c r="G1986" t="s">
        <v>16517</v>
      </c>
      <c r="H1986" t="s">
        <v>1047</v>
      </c>
      <c r="I1986" t="s">
        <v>19</v>
      </c>
      <c r="J1986" s="3">
        <f>55-27-40092638</f>
        <v>-40092610</v>
      </c>
      <c r="K1986" t="s">
        <v>16518</v>
      </c>
      <c r="L1986" t="s">
        <v>1050</v>
      </c>
      <c r="M1986" t="s">
        <v>32145</v>
      </c>
    </row>
    <row r="1987" spans="1:13" x14ac:dyDescent="0.25">
      <c r="A1987" t="s">
        <v>1452</v>
      </c>
      <c r="B1987" t="s">
        <v>13</v>
      </c>
      <c r="C1987" s="1">
        <v>44631</v>
      </c>
      <c r="D1987" t="s">
        <v>1453</v>
      </c>
      <c r="E1987" s="2" t="s">
        <v>32068</v>
      </c>
      <c r="F1987" t="s">
        <v>1458</v>
      </c>
      <c r="G1987" t="s">
        <v>1459</v>
      </c>
      <c r="H1987" t="s">
        <v>1335</v>
      </c>
      <c r="I1987" t="s">
        <v>19</v>
      </c>
      <c r="J1987" s="3">
        <v>554333714144</v>
      </c>
      <c r="K1987" t="s">
        <v>1460</v>
      </c>
      <c r="L1987" t="s">
        <v>1461</v>
      </c>
      <c r="M1987" t="s">
        <v>32145</v>
      </c>
    </row>
    <row r="1988" spans="1:13" x14ac:dyDescent="0.25">
      <c r="A1988" t="s">
        <v>26596</v>
      </c>
      <c r="B1988" t="s">
        <v>13</v>
      </c>
      <c r="C1988" s="1">
        <v>42586</v>
      </c>
      <c r="D1988" t="s">
        <v>26597</v>
      </c>
      <c r="E1988" t="s">
        <v>26598</v>
      </c>
      <c r="F1988" t="s">
        <v>332</v>
      </c>
      <c r="G1988" t="s">
        <v>26599</v>
      </c>
      <c r="H1988" t="s">
        <v>472</v>
      </c>
      <c r="I1988" t="s">
        <v>19</v>
      </c>
      <c r="J1988" s="3" t="s">
        <v>26600</v>
      </c>
      <c r="K1988" t="s">
        <v>26601</v>
      </c>
      <c r="L1988" t="s">
        <v>26602</v>
      </c>
      <c r="M1988" t="s">
        <v>337</v>
      </c>
    </row>
    <row r="1989" spans="1:13" x14ac:dyDescent="0.25">
      <c r="A1989" t="s">
        <v>4669</v>
      </c>
      <c r="B1989" t="s">
        <v>13</v>
      </c>
      <c r="C1989" t="s">
        <v>4495</v>
      </c>
      <c r="D1989" t="s">
        <v>4670</v>
      </c>
      <c r="E1989" s="2" t="s">
        <v>31795</v>
      </c>
      <c r="F1989" t="s">
        <v>4671</v>
      </c>
      <c r="G1989" t="s">
        <v>4672</v>
      </c>
      <c r="H1989" t="s">
        <v>706</v>
      </c>
      <c r="I1989" t="s">
        <v>19</v>
      </c>
      <c r="J1989" s="3" t="s">
        <v>4673</v>
      </c>
      <c r="K1989" t="s">
        <v>4674</v>
      </c>
      <c r="L1989" t="s">
        <v>4675</v>
      </c>
      <c r="M1989" t="s">
        <v>1349</v>
      </c>
    </row>
    <row r="1990" spans="1:13" x14ac:dyDescent="0.25">
      <c r="A1990" t="s">
        <v>21146</v>
      </c>
      <c r="B1990" t="s">
        <v>13</v>
      </c>
      <c r="C1990" s="1">
        <v>43226</v>
      </c>
      <c r="D1990" t="s">
        <v>21147</v>
      </c>
      <c r="E1990" s="2" t="s">
        <v>31278</v>
      </c>
      <c r="F1990" t="s">
        <v>117</v>
      </c>
      <c r="G1990" t="s">
        <v>21148</v>
      </c>
      <c r="H1990" t="s">
        <v>18</v>
      </c>
      <c r="I1990" t="s">
        <v>19</v>
      </c>
      <c r="J1990" s="3">
        <v>5501935217155</v>
      </c>
      <c r="K1990" t="s">
        <v>21149</v>
      </c>
      <c r="L1990" t="s">
        <v>285</v>
      </c>
      <c r="M1990" t="s">
        <v>32145</v>
      </c>
    </row>
    <row r="1991" spans="1:13" x14ac:dyDescent="0.25">
      <c r="A1991" t="s">
        <v>12941</v>
      </c>
      <c r="B1991" t="s">
        <v>13</v>
      </c>
      <c r="C1991" t="s">
        <v>12942</v>
      </c>
      <c r="D1991" t="s">
        <v>12943</v>
      </c>
      <c r="E1991" s="2" t="s">
        <v>32344</v>
      </c>
      <c r="F1991" t="s">
        <v>32147</v>
      </c>
      <c r="G1991" t="s">
        <v>12944</v>
      </c>
      <c r="H1991" t="s">
        <v>12945</v>
      </c>
      <c r="I1991" t="s">
        <v>19</v>
      </c>
      <c r="J1991" s="3" t="s">
        <v>12946</v>
      </c>
      <c r="K1991" t="s">
        <v>12947</v>
      </c>
      <c r="L1991" t="s">
        <v>82</v>
      </c>
      <c r="M1991" t="s">
        <v>32147</v>
      </c>
    </row>
    <row r="1992" spans="1:13" x14ac:dyDescent="0.25">
      <c r="A1992" t="s">
        <v>8632</v>
      </c>
      <c r="B1992" t="s">
        <v>13</v>
      </c>
      <c r="C1992" t="s">
        <v>8633</v>
      </c>
      <c r="D1992" t="s">
        <v>8634</v>
      </c>
      <c r="E1992" t="s">
        <v>32345</v>
      </c>
      <c r="F1992" t="s">
        <v>1775</v>
      </c>
      <c r="G1992" t="s">
        <v>8635</v>
      </c>
      <c r="H1992" t="s">
        <v>428</v>
      </c>
      <c r="I1992" t="s">
        <v>19</v>
      </c>
      <c r="K1992" t="s">
        <v>8636</v>
      </c>
      <c r="L1992" t="s">
        <v>32135</v>
      </c>
      <c r="M1992" t="s">
        <v>32144</v>
      </c>
    </row>
    <row r="1993" spans="1:13" x14ac:dyDescent="0.25">
      <c r="A1993" t="s">
        <v>4724</v>
      </c>
      <c r="B1993" t="s">
        <v>13</v>
      </c>
      <c r="C1993" t="s">
        <v>4698</v>
      </c>
      <c r="D1993" t="s">
        <v>4725</v>
      </c>
      <c r="E1993" s="2" t="s">
        <v>30820</v>
      </c>
      <c r="F1993" t="s">
        <v>4727</v>
      </c>
      <c r="G1993" t="s">
        <v>4728</v>
      </c>
      <c r="H1993" t="s">
        <v>45</v>
      </c>
      <c r="I1993" t="s">
        <v>19</v>
      </c>
      <c r="J1993" s="3" t="s">
        <v>4729</v>
      </c>
      <c r="K1993" t="s">
        <v>4730</v>
      </c>
      <c r="L1993" t="s">
        <v>1909</v>
      </c>
      <c r="M1993" t="s">
        <v>1775</v>
      </c>
    </row>
    <row r="1994" spans="1:13" x14ac:dyDescent="0.25">
      <c r="A1994" t="s">
        <v>14272</v>
      </c>
      <c r="B1994" t="s">
        <v>13</v>
      </c>
      <c r="C1994" s="1">
        <v>44075</v>
      </c>
      <c r="D1994" t="s">
        <v>14273</v>
      </c>
      <c r="E1994" s="2" t="s">
        <v>31471</v>
      </c>
      <c r="F1994" t="s">
        <v>2036</v>
      </c>
      <c r="G1994" t="s">
        <v>14274</v>
      </c>
      <c r="H1994" t="s">
        <v>14275</v>
      </c>
      <c r="I1994" t="s">
        <v>19</v>
      </c>
      <c r="J1994" s="3">
        <f>55-35-99626554</f>
        <v>-99626534</v>
      </c>
      <c r="K1994" t="s">
        <v>14276</v>
      </c>
      <c r="L1994" t="s">
        <v>1469</v>
      </c>
      <c r="M1994" t="s">
        <v>57</v>
      </c>
    </row>
    <row r="1995" spans="1:13" x14ac:dyDescent="0.25">
      <c r="A1995" t="s">
        <v>5287</v>
      </c>
      <c r="B1995" t="s">
        <v>13</v>
      </c>
      <c r="C1995" t="s">
        <v>5288</v>
      </c>
      <c r="D1995" t="s">
        <v>5289</v>
      </c>
      <c r="E1995" t="s">
        <v>5290</v>
      </c>
      <c r="F1995" t="s">
        <v>1349</v>
      </c>
      <c r="G1995" t="s">
        <v>5291</v>
      </c>
      <c r="H1995" t="s">
        <v>5292</v>
      </c>
      <c r="I1995" t="s">
        <v>19</v>
      </c>
      <c r="J1995" s="3" t="s">
        <v>5293</v>
      </c>
      <c r="K1995" t="s">
        <v>5294</v>
      </c>
      <c r="L1995" t="s">
        <v>5295</v>
      </c>
      <c r="M1995" t="s">
        <v>1349</v>
      </c>
    </row>
    <row r="1996" spans="1:13" x14ac:dyDescent="0.25">
      <c r="A1996" t="s">
        <v>5340</v>
      </c>
      <c r="B1996" t="s">
        <v>13</v>
      </c>
      <c r="C1996" t="s">
        <v>5341</v>
      </c>
      <c r="D1996" t="s">
        <v>5342</v>
      </c>
      <c r="E1996" t="s">
        <v>5290</v>
      </c>
      <c r="F1996" t="s">
        <v>1349</v>
      </c>
      <c r="G1996" t="s">
        <v>5291</v>
      </c>
      <c r="H1996" t="s">
        <v>5292</v>
      </c>
      <c r="I1996" t="s">
        <v>19</v>
      </c>
      <c r="J1996" s="3">
        <v>5133318704</v>
      </c>
      <c r="K1996" t="s">
        <v>5294</v>
      </c>
      <c r="L1996" t="s">
        <v>5295</v>
      </c>
      <c r="M1996" t="s">
        <v>1349</v>
      </c>
    </row>
    <row r="1997" spans="1:13" x14ac:dyDescent="0.25">
      <c r="A1997" t="s">
        <v>13000</v>
      </c>
      <c r="B1997" t="s">
        <v>13</v>
      </c>
      <c r="C1997" s="1">
        <v>44138</v>
      </c>
      <c r="D1997" t="s">
        <v>13001</v>
      </c>
      <c r="E1997" t="s">
        <v>13002</v>
      </c>
      <c r="F1997" t="s">
        <v>1190</v>
      </c>
      <c r="G1997" t="s">
        <v>12762</v>
      </c>
      <c r="H1997" t="s">
        <v>195</v>
      </c>
      <c r="I1997" t="s">
        <v>19</v>
      </c>
      <c r="J1997" s="3">
        <f>55-16-33518448</f>
        <v>-33518409</v>
      </c>
      <c r="K1997" t="s">
        <v>12763</v>
      </c>
      <c r="L1997" t="s">
        <v>197</v>
      </c>
      <c r="M1997" t="s">
        <v>432</v>
      </c>
    </row>
    <row r="1998" spans="1:13" x14ac:dyDescent="0.25">
      <c r="A1998" t="s">
        <v>20422</v>
      </c>
      <c r="B1998" t="s">
        <v>13</v>
      </c>
      <c r="C1998" t="s">
        <v>5704</v>
      </c>
      <c r="D1998" t="s">
        <v>20423</v>
      </c>
      <c r="E1998" t="s">
        <v>20424</v>
      </c>
      <c r="F1998" t="s">
        <v>1464</v>
      </c>
      <c r="G1998" t="s">
        <v>20425</v>
      </c>
      <c r="H1998" t="s">
        <v>714</v>
      </c>
      <c r="I1998" t="s">
        <v>19</v>
      </c>
      <c r="J1998" s="3">
        <f>55-18-36363347</f>
        <v>-36363310</v>
      </c>
      <c r="K1998" t="s">
        <v>20426</v>
      </c>
      <c r="L1998" t="s">
        <v>717</v>
      </c>
      <c r="M1998" t="s">
        <v>337</v>
      </c>
    </row>
    <row r="1999" spans="1:13" x14ac:dyDescent="0.25">
      <c r="A1999" t="s">
        <v>644</v>
      </c>
      <c r="B1999" t="s">
        <v>13</v>
      </c>
      <c r="C1999" s="1">
        <v>45047</v>
      </c>
      <c r="D1999" t="s">
        <v>645</v>
      </c>
      <c r="E1999" t="s">
        <v>646</v>
      </c>
      <c r="F1999" t="s">
        <v>647</v>
      </c>
      <c r="G1999" t="s">
        <v>307</v>
      </c>
      <c r="H1999" t="s">
        <v>308</v>
      </c>
      <c r="I1999" t="s">
        <v>309</v>
      </c>
      <c r="J1999" s="3" t="s">
        <v>310</v>
      </c>
      <c r="K1999" t="s">
        <v>311</v>
      </c>
      <c r="L1999" t="s">
        <v>312</v>
      </c>
      <c r="M1999" t="s">
        <v>32149</v>
      </c>
    </row>
    <row r="2000" spans="1:13" x14ac:dyDescent="0.25">
      <c r="A2000" t="s">
        <v>4964</v>
      </c>
      <c r="B2000" t="s">
        <v>13</v>
      </c>
      <c r="C2000" t="s">
        <v>4959</v>
      </c>
      <c r="D2000" t="s">
        <v>4965</v>
      </c>
      <c r="E2000" t="s">
        <v>4966</v>
      </c>
      <c r="F2000" t="s">
        <v>4967</v>
      </c>
      <c r="G2000" t="s">
        <v>4968</v>
      </c>
      <c r="H2000" t="s">
        <v>18</v>
      </c>
      <c r="I2000" t="s">
        <v>19</v>
      </c>
      <c r="J2000" s="3">
        <v>551932113600</v>
      </c>
      <c r="K2000" t="s">
        <v>4969</v>
      </c>
      <c r="L2000" t="s">
        <v>32135</v>
      </c>
      <c r="M2000" t="s">
        <v>337</v>
      </c>
    </row>
    <row r="2001" spans="1:13" x14ac:dyDescent="0.25">
      <c r="A2001" t="s">
        <v>17924</v>
      </c>
      <c r="B2001" t="s">
        <v>13</v>
      </c>
      <c r="C2001" t="s">
        <v>17925</v>
      </c>
      <c r="D2001" t="s">
        <v>17926</v>
      </c>
      <c r="E2001" t="s">
        <v>17927</v>
      </c>
      <c r="F2001" t="s">
        <v>32121</v>
      </c>
      <c r="G2001" t="s">
        <v>17928</v>
      </c>
      <c r="H2001" t="s">
        <v>1090</v>
      </c>
      <c r="I2001" t="s">
        <v>19</v>
      </c>
      <c r="J2001" s="3" t="s">
        <v>17929</v>
      </c>
      <c r="K2001" t="s">
        <v>17930</v>
      </c>
      <c r="L2001" t="s">
        <v>10302</v>
      </c>
      <c r="M2001" t="s">
        <v>32121</v>
      </c>
    </row>
    <row r="2002" spans="1:13" x14ac:dyDescent="0.25">
      <c r="A2002" t="s">
        <v>27967</v>
      </c>
      <c r="B2002" t="s">
        <v>13</v>
      </c>
      <c r="C2002" t="s">
        <v>27968</v>
      </c>
      <c r="D2002" t="s">
        <v>27969</v>
      </c>
      <c r="E2002" t="s">
        <v>27970</v>
      </c>
      <c r="F2002" t="s">
        <v>32121</v>
      </c>
      <c r="G2002" t="s">
        <v>307</v>
      </c>
      <c r="H2002" t="s">
        <v>308</v>
      </c>
      <c r="I2002" t="s">
        <v>309</v>
      </c>
      <c r="J2002" s="3" t="s">
        <v>310</v>
      </c>
      <c r="K2002" t="s">
        <v>311</v>
      </c>
      <c r="L2002" t="s">
        <v>312</v>
      </c>
      <c r="M2002" t="s">
        <v>32121</v>
      </c>
    </row>
    <row r="2003" spans="1:13" x14ac:dyDescent="0.25">
      <c r="A2003" t="s">
        <v>16091</v>
      </c>
      <c r="B2003" t="s">
        <v>13</v>
      </c>
      <c r="C2003" t="s">
        <v>7263</v>
      </c>
      <c r="D2003" t="s">
        <v>16092</v>
      </c>
      <c r="E2003" t="s">
        <v>16093</v>
      </c>
      <c r="F2003" t="s">
        <v>3084</v>
      </c>
      <c r="G2003" t="s">
        <v>16094</v>
      </c>
      <c r="H2003" t="s">
        <v>36</v>
      </c>
      <c r="I2003" t="s">
        <v>19</v>
      </c>
      <c r="J2003" s="3" t="s">
        <v>16095</v>
      </c>
      <c r="K2003" t="s">
        <v>16096</v>
      </c>
      <c r="L2003" t="s">
        <v>439</v>
      </c>
      <c r="M2003" t="s">
        <v>32144</v>
      </c>
    </row>
    <row r="2004" spans="1:13" x14ac:dyDescent="0.25">
      <c r="A2004" t="s">
        <v>656</v>
      </c>
      <c r="B2004" t="s">
        <v>13</v>
      </c>
      <c r="C2004" s="1">
        <v>45047</v>
      </c>
      <c r="D2004" t="s">
        <v>657</v>
      </c>
      <c r="E2004" t="s">
        <v>658</v>
      </c>
      <c r="F2004" t="s">
        <v>659</v>
      </c>
      <c r="G2004" t="s">
        <v>660</v>
      </c>
      <c r="H2004" t="s">
        <v>661</v>
      </c>
      <c r="I2004" t="s">
        <v>19</v>
      </c>
      <c r="J2004" s="3" t="s">
        <v>662</v>
      </c>
      <c r="K2004" t="s">
        <v>663</v>
      </c>
      <c r="L2004" t="s">
        <v>664</v>
      </c>
      <c r="M2004" t="s">
        <v>1775</v>
      </c>
    </row>
    <row r="2005" spans="1:13" x14ac:dyDescent="0.25">
      <c r="A2005" t="s">
        <v>5390</v>
      </c>
      <c r="B2005" t="s">
        <v>13</v>
      </c>
      <c r="C2005" s="1">
        <v>44420</v>
      </c>
      <c r="D2005" t="s">
        <v>32135</v>
      </c>
      <c r="E2005" t="s">
        <v>658</v>
      </c>
      <c r="F2005" t="s">
        <v>442</v>
      </c>
      <c r="G2005" t="s">
        <v>5391</v>
      </c>
      <c r="H2005" t="s">
        <v>150</v>
      </c>
      <c r="I2005" t="s">
        <v>19</v>
      </c>
      <c r="J2005" s="3" t="s">
        <v>5392</v>
      </c>
      <c r="K2005" t="s">
        <v>5393</v>
      </c>
      <c r="L2005" t="s">
        <v>32135</v>
      </c>
      <c r="M2005" t="s">
        <v>32144</v>
      </c>
    </row>
    <row r="2006" spans="1:13" x14ac:dyDescent="0.25">
      <c r="A2006" t="s">
        <v>6460</v>
      </c>
      <c r="B2006" t="s">
        <v>13</v>
      </c>
      <c r="C2006" s="1">
        <v>44448</v>
      </c>
      <c r="D2006" t="s">
        <v>32135</v>
      </c>
      <c r="E2006" s="2" t="s">
        <v>31701</v>
      </c>
      <c r="F2006" t="s">
        <v>1484</v>
      </c>
      <c r="G2006" t="s">
        <v>6461</v>
      </c>
      <c r="H2006" t="s">
        <v>927</v>
      </c>
      <c r="I2006" t="s">
        <v>19</v>
      </c>
      <c r="J2006" s="3">
        <f>55-11-981798528</f>
        <v>-981798484</v>
      </c>
      <c r="K2006" t="s">
        <v>6462</v>
      </c>
      <c r="L2006" t="s">
        <v>32135</v>
      </c>
      <c r="M2006" t="s">
        <v>1775</v>
      </c>
    </row>
    <row r="2007" spans="1:13" x14ac:dyDescent="0.25">
      <c r="A2007" t="s">
        <v>5312</v>
      </c>
      <c r="B2007" t="s">
        <v>13</v>
      </c>
      <c r="C2007" t="s">
        <v>5311</v>
      </c>
      <c r="D2007" t="s">
        <v>5313</v>
      </c>
      <c r="E2007" s="2" t="s">
        <v>30841</v>
      </c>
      <c r="F2007" t="s">
        <v>658</v>
      </c>
      <c r="G2007" t="s">
        <v>5314</v>
      </c>
      <c r="H2007" t="s">
        <v>1656</v>
      </c>
      <c r="I2007" t="s">
        <v>19</v>
      </c>
      <c r="J2007" s="3" t="s">
        <v>5315</v>
      </c>
      <c r="K2007" t="s">
        <v>5316</v>
      </c>
      <c r="L2007" t="s">
        <v>32135</v>
      </c>
      <c r="M2007" t="s">
        <v>1775</v>
      </c>
    </row>
    <row r="2008" spans="1:13" x14ac:dyDescent="0.25">
      <c r="A2008" t="s">
        <v>18368</v>
      </c>
      <c r="B2008" t="s">
        <v>13</v>
      </c>
      <c r="C2008" s="1">
        <v>43771</v>
      </c>
      <c r="D2008" t="s">
        <v>18369</v>
      </c>
      <c r="E2008" t="s">
        <v>18370</v>
      </c>
      <c r="F2008" t="s">
        <v>224</v>
      </c>
      <c r="G2008" t="s">
        <v>10091</v>
      </c>
      <c r="H2008" t="s">
        <v>17680</v>
      </c>
      <c r="I2008" t="s">
        <v>19</v>
      </c>
      <c r="J2008" s="3">
        <v>5551998651500</v>
      </c>
      <c r="K2008" t="s">
        <v>10092</v>
      </c>
      <c r="L2008" t="s">
        <v>10093</v>
      </c>
      <c r="M2008" t="s">
        <v>224</v>
      </c>
    </row>
    <row r="2009" spans="1:13" x14ac:dyDescent="0.25">
      <c r="A2009" t="s">
        <v>13769</v>
      </c>
      <c r="B2009" t="s">
        <v>13</v>
      </c>
      <c r="C2009" s="1">
        <v>43892</v>
      </c>
      <c r="D2009" t="s">
        <v>13770</v>
      </c>
      <c r="E2009" s="2" t="s">
        <v>32346</v>
      </c>
      <c r="F2009" t="s">
        <v>1775</v>
      </c>
      <c r="G2009" t="s">
        <v>13771</v>
      </c>
      <c r="H2009" t="s">
        <v>36</v>
      </c>
      <c r="I2009" t="s">
        <v>19</v>
      </c>
      <c r="J2009" s="3">
        <v>551125884041</v>
      </c>
      <c r="K2009" t="s">
        <v>13772</v>
      </c>
      <c r="L2009" t="s">
        <v>206</v>
      </c>
      <c r="M2009" t="s">
        <v>1775</v>
      </c>
    </row>
    <row r="2010" spans="1:13" x14ac:dyDescent="0.25">
      <c r="A2010" t="s">
        <v>9990</v>
      </c>
      <c r="B2010" t="s">
        <v>13</v>
      </c>
      <c r="C2010" s="1">
        <v>43839</v>
      </c>
      <c r="D2010" t="s">
        <v>9991</v>
      </c>
      <c r="E2010" s="2" t="s">
        <v>32019</v>
      </c>
      <c r="F2010" t="s">
        <v>2036</v>
      </c>
      <c r="G2010" t="s">
        <v>9992</v>
      </c>
      <c r="H2010" t="s">
        <v>88</v>
      </c>
      <c r="I2010" t="s">
        <v>19</v>
      </c>
      <c r="J2010" s="3" t="s">
        <v>9993</v>
      </c>
      <c r="K2010" t="s">
        <v>9994</v>
      </c>
      <c r="L2010" t="s">
        <v>91</v>
      </c>
      <c r="M2010" t="s">
        <v>57</v>
      </c>
    </row>
    <row r="2011" spans="1:13" x14ac:dyDescent="0.25">
      <c r="A2011" t="s">
        <v>2747</v>
      </c>
      <c r="B2011" t="s">
        <v>13</v>
      </c>
      <c r="C2011" t="s">
        <v>2748</v>
      </c>
      <c r="D2011" t="s">
        <v>2749</v>
      </c>
      <c r="E2011" s="2" t="s">
        <v>32012</v>
      </c>
      <c r="F2011" t="s">
        <v>2751</v>
      </c>
      <c r="G2011" t="s">
        <v>2752</v>
      </c>
      <c r="H2011" t="s">
        <v>1090</v>
      </c>
      <c r="I2011" t="s">
        <v>19</v>
      </c>
      <c r="J2011" s="3">
        <v>5583988754675</v>
      </c>
      <c r="K2011" t="s">
        <v>2753</v>
      </c>
      <c r="L2011" t="s">
        <v>2754</v>
      </c>
      <c r="M2011" t="s">
        <v>1775</v>
      </c>
    </row>
    <row r="2012" spans="1:13" x14ac:dyDescent="0.25">
      <c r="A2012" t="s">
        <v>466</v>
      </c>
      <c r="B2012" t="s">
        <v>13</v>
      </c>
      <c r="C2012" t="s">
        <v>457</v>
      </c>
      <c r="D2012" t="s">
        <v>467</v>
      </c>
      <c r="E2012" t="s">
        <v>468</v>
      </c>
      <c r="F2012" t="s">
        <v>470</v>
      </c>
      <c r="G2012" t="s">
        <v>471</v>
      </c>
      <c r="H2012" t="s">
        <v>472</v>
      </c>
      <c r="I2012" t="s">
        <v>19</v>
      </c>
      <c r="J2012" s="3" t="s">
        <v>473</v>
      </c>
      <c r="K2012" t="s">
        <v>474</v>
      </c>
      <c r="L2012" t="s">
        <v>475</v>
      </c>
      <c r="M2012" t="s">
        <v>337</v>
      </c>
    </row>
    <row r="2013" spans="1:13" x14ac:dyDescent="0.25">
      <c r="A2013" t="s">
        <v>842</v>
      </c>
      <c r="B2013" t="s">
        <v>13</v>
      </c>
      <c r="C2013" t="s">
        <v>843</v>
      </c>
      <c r="D2013" t="s">
        <v>844</v>
      </c>
      <c r="E2013" t="s">
        <v>32127</v>
      </c>
      <c r="F2013" t="s">
        <v>846</v>
      </c>
      <c r="G2013" t="s">
        <v>471</v>
      </c>
      <c r="H2013" t="s">
        <v>472</v>
      </c>
      <c r="I2013" t="s">
        <v>32135</v>
      </c>
      <c r="J2013" s="3" t="s">
        <v>847</v>
      </c>
      <c r="K2013" t="s">
        <v>474</v>
      </c>
      <c r="L2013" t="s">
        <v>475</v>
      </c>
      <c r="M2013" t="s">
        <v>337</v>
      </c>
    </row>
    <row r="2014" spans="1:13" x14ac:dyDescent="0.25">
      <c r="A2014" t="s">
        <v>25195</v>
      </c>
      <c r="B2014" t="s">
        <v>101</v>
      </c>
      <c r="C2014" t="s">
        <v>25191</v>
      </c>
      <c r="D2014" t="s">
        <v>25196</v>
      </c>
      <c r="E2014" t="s">
        <v>32347</v>
      </c>
      <c r="F2014" t="s">
        <v>1464</v>
      </c>
      <c r="G2014" t="s">
        <v>25197</v>
      </c>
      <c r="H2014" t="s">
        <v>428</v>
      </c>
      <c r="I2014" t="s">
        <v>19</v>
      </c>
      <c r="J2014" s="3" t="s">
        <v>25198</v>
      </c>
      <c r="K2014" t="s">
        <v>25199</v>
      </c>
      <c r="L2014" t="s">
        <v>1295</v>
      </c>
      <c r="M2014" t="s">
        <v>32144</v>
      </c>
    </row>
    <row r="2015" spans="1:13" x14ac:dyDescent="0.25">
      <c r="A2015" t="s">
        <v>22868</v>
      </c>
      <c r="B2015" t="s">
        <v>13</v>
      </c>
      <c r="C2015" s="1">
        <v>42898</v>
      </c>
      <c r="D2015" t="s">
        <v>22869</v>
      </c>
      <c r="E2015" t="s">
        <v>22870</v>
      </c>
      <c r="F2015" t="s">
        <v>1464</v>
      </c>
      <c r="G2015" t="s">
        <v>22871</v>
      </c>
      <c r="H2015" t="s">
        <v>22872</v>
      </c>
      <c r="I2015" t="s">
        <v>19</v>
      </c>
      <c r="J2015" s="3">
        <v>553233322162</v>
      </c>
      <c r="K2015" t="s">
        <v>22873</v>
      </c>
      <c r="L2015" t="s">
        <v>22874</v>
      </c>
      <c r="M2015" t="s">
        <v>1775</v>
      </c>
    </row>
    <row r="2016" spans="1:13" x14ac:dyDescent="0.25">
      <c r="A2016" t="s">
        <v>29772</v>
      </c>
      <c r="B2016" t="s">
        <v>13</v>
      </c>
      <c r="C2016" t="s">
        <v>29773</v>
      </c>
      <c r="D2016" t="s">
        <v>29774</v>
      </c>
      <c r="E2016" t="s">
        <v>29775</v>
      </c>
      <c r="F2016" t="s">
        <v>1464</v>
      </c>
      <c r="G2016" t="s">
        <v>29776</v>
      </c>
      <c r="H2016" t="s">
        <v>36</v>
      </c>
      <c r="I2016" t="s">
        <v>19</v>
      </c>
      <c r="J2016" s="3" t="s">
        <v>21818</v>
      </c>
      <c r="K2016" t="s">
        <v>29777</v>
      </c>
      <c r="L2016" t="s">
        <v>223</v>
      </c>
      <c r="M2016" t="s">
        <v>337</v>
      </c>
    </row>
    <row r="2017" spans="1:13" x14ac:dyDescent="0.25">
      <c r="A2017" t="s">
        <v>25866</v>
      </c>
      <c r="B2017" t="s">
        <v>13</v>
      </c>
      <c r="C2017" t="s">
        <v>18841</v>
      </c>
      <c r="D2017" t="s">
        <v>25867</v>
      </c>
      <c r="E2017" t="s">
        <v>25868</v>
      </c>
      <c r="F2017" t="s">
        <v>4338</v>
      </c>
      <c r="G2017" t="s">
        <v>25869</v>
      </c>
      <c r="H2017" t="s">
        <v>7904</v>
      </c>
      <c r="I2017" t="s">
        <v>19</v>
      </c>
      <c r="J2017" s="3" t="s">
        <v>25870</v>
      </c>
      <c r="K2017" t="s">
        <v>25871</v>
      </c>
      <c r="L2017" t="s">
        <v>25872</v>
      </c>
      <c r="M2017" t="s">
        <v>1432</v>
      </c>
    </row>
    <row r="2018" spans="1:13" x14ac:dyDescent="0.25">
      <c r="A2018" t="s">
        <v>12871</v>
      </c>
      <c r="B2018" t="s">
        <v>13</v>
      </c>
      <c r="C2018" t="s">
        <v>12867</v>
      </c>
      <c r="D2018" t="s">
        <v>12872</v>
      </c>
      <c r="E2018" s="2" t="s">
        <v>31530</v>
      </c>
      <c r="F2018" t="s">
        <v>1464</v>
      </c>
      <c r="G2018" t="s">
        <v>12874</v>
      </c>
      <c r="H2018" t="s">
        <v>2206</v>
      </c>
      <c r="I2018" t="s">
        <v>19</v>
      </c>
      <c r="J2018" s="3">
        <v>5583998545509</v>
      </c>
      <c r="K2018" t="s">
        <v>12875</v>
      </c>
      <c r="L2018" t="s">
        <v>12876</v>
      </c>
      <c r="M2018" t="s">
        <v>1432</v>
      </c>
    </row>
    <row r="2019" spans="1:13" x14ac:dyDescent="0.25">
      <c r="A2019" t="s">
        <v>8181</v>
      </c>
      <c r="B2019" t="s">
        <v>13</v>
      </c>
      <c r="C2019" s="1">
        <v>44471</v>
      </c>
      <c r="D2019" t="s">
        <v>8182</v>
      </c>
      <c r="E2019" s="2" t="s">
        <v>32348</v>
      </c>
      <c r="F2019" t="s">
        <v>4338</v>
      </c>
      <c r="G2019" t="s">
        <v>8183</v>
      </c>
      <c r="H2019" t="s">
        <v>2626</v>
      </c>
      <c r="I2019" t="s">
        <v>19</v>
      </c>
      <c r="J2019" s="3">
        <v>5516991716481</v>
      </c>
      <c r="K2019" t="s">
        <v>8184</v>
      </c>
      <c r="L2019" t="s">
        <v>3305</v>
      </c>
      <c r="M2019" t="s">
        <v>1432</v>
      </c>
    </row>
    <row r="2020" spans="1:13" x14ac:dyDescent="0.25">
      <c r="A2020" t="s">
        <v>26216</v>
      </c>
      <c r="B2020" t="s">
        <v>13</v>
      </c>
      <c r="C2020" t="s">
        <v>26202</v>
      </c>
      <c r="D2020" t="s">
        <v>26217</v>
      </c>
      <c r="E2020" t="s">
        <v>26218</v>
      </c>
      <c r="F2020" t="s">
        <v>4338</v>
      </c>
      <c r="G2020" t="s">
        <v>26219</v>
      </c>
      <c r="H2020" t="s">
        <v>150</v>
      </c>
      <c r="I2020" t="s">
        <v>19</v>
      </c>
      <c r="J2020" s="3">
        <v>5511996822962</v>
      </c>
      <c r="K2020" t="s">
        <v>26220</v>
      </c>
      <c r="L2020" t="s">
        <v>13173</v>
      </c>
      <c r="M2020" t="s">
        <v>1432</v>
      </c>
    </row>
    <row r="2021" spans="1:13" x14ac:dyDescent="0.25">
      <c r="A2021" t="s">
        <v>27217</v>
      </c>
      <c r="B2021" t="s">
        <v>13</v>
      </c>
      <c r="C2021" t="s">
        <v>27218</v>
      </c>
      <c r="D2021" t="s">
        <v>27219</v>
      </c>
      <c r="E2021" t="s">
        <v>27220</v>
      </c>
      <c r="F2021" t="s">
        <v>117</v>
      </c>
      <c r="G2021" t="s">
        <v>27221</v>
      </c>
      <c r="H2021" t="s">
        <v>352</v>
      </c>
      <c r="I2021" t="s">
        <v>19</v>
      </c>
      <c r="J2021" s="3" t="s">
        <v>27222</v>
      </c>
      <c r="K2021" t="s">
        <v>27223</v>
      </c>
      <c r="L2021" t="s">
        <v>27224</v>
      </c>
      <c r="M2021" t="s">
        <v>32145</v>
      </c>
    </row>
    <row r="2022" spans="1:13" x14ac:dyDescent="0.25">
      <c r="A2022" t="s">
        <v>16268</v>
      </c>
      <c r="B2022" t="s">
        <v>13</v>
      </c>
      <c r="C2022" s="1">
        <v>43564</v>
      </c>
      <c r="D2022" t="s">
        <v>16269</v>
      </c>
      <c r="E2022" t="s">
        <v>16270</v>
      </c>
      <c r="F2022" t="s">
        <v>1464</v>
      </c>
      <c r="G2022" t="s">
        <v>16271</v>
      </c>
      <c r="H2022" t="s">
        <v>18</v>
      </c>
      <c r="I2022" t="s">
        <v>19</v>
      </c>
      <c r="J2022" s="3">
        <f>55-19-35218705</f>
        <v>-35218669</v>
      </c>
      <c r="K2022" t="s">
        <v>16272</v>
      </c>
      <c r="L2022" t="s">
        <v>10273</v>
      </c>
      <c r="M2022" t="s">
        <v>785</v>
      </c>
    </row>
    <row r="2023" spans="1:13" x14ac:dyDescent="0.25">
      <c r="A2023" t="s">
        <v>9392</v>
      </c>
      <c r="B2023" t="s">
        <v>13</v>
      </c>
      <c r="C2023" t="s">
        <v>9393</v>
      </c>
      <c r="D2023" t="s">
        <v>9394</v>
      </c>
      <c r="E2023" t="s">
        <v>9395</v>
      </c>
      <c r="F2023" t="s">
        <v>785</v>
      </c>
      <c r="G2023" t="s">
        <v>9396</v>
      </c>
      <c r="H2023" t="s">
        <v>428</v>
      </c>
      <c r="I2023" t="s">
        <v>19</v>
      </c>
      <c r="J2023" s="3">
        <f>55-51-30262633</f>
        <v>-30262629</v>
      </c>
      <c r="K2023" t="s">
        <v>9397</v>
      </c>
      <c r="L2023" t="s">
        <v>9398</v>
      </c>
      <c r="M2023" t="s">
        <v>785</v>
      </c>
    </row>
    <row r="2024" spans="1:13" x14ac:dyDescent="0.25">
      <c r="A2024" t="s">
        <v>20990</v>
      </c>
      <c r="B2024" t="s">
        <v>13</v>
      </c>
      <c r="C2024" t="s">
        <v>20991</v>
      </c>
      <c r="D2024" t="s">
        <v>20992</v>
      </c>
      <c r="E2024" t="s">
        <v>20993</v>
      </c>
      <c r="F2024" t="s">
        <v>785</v>
      </c>
      <c r="G2024" t="s">
        <v>20994</v>
      </c>
      <c r="H2024" t="s">
        <v>36</v>
      </c>
      <c r="I2024" t="s">
        <v>19</v>
      </c>
      <c r="J2024" s="3">
        <f>55-11-55727670</f>
        <v>-55727626</v>
      </c>
      <c r="K2024" t="s">
        <v>20995</v>
      </c>
      <c r="L2024" t="s">
        <v>20996</v>
      </c>
      <c r="M2024" t="s">
        <v>785</v>
      </c>
    </row>
    <row r="2025" spans="1:13" x14ac:dyDescent="0.25">
      <c r="A2025" t="s">
        <v>3881</v>
      </c>
      <c r="B2025" t="s">
        <v>13</v>
      </c>
      <c r="C2025" t="s">
        <v>3862</v>
      </c>
      <c r="D2025" t="s">
        <v>3882</v>
      </c>
      <c r="E2025" t="s">
        <v>3213</v>
      </c>
      <c r="F2025" t="s">
        <v>1079</v>
      </c>
      <c r="G2025" t="s">
        <v>3883</v>
      </c>
      <c r="H2025" t="s">
        <v>2678</v>
      </c>
      <c r="I2025" t="s">
        <v>19</v>
      </c>
      <c r="J2025" s="3" t="s">
        <v>3884</v>
      </c>
      <c r="K2025" t="s">
        <v>3885</v>
      </c>
      <c r="L2025" t="s">
        <v>2677</v>
      </c>
      <c r="M2025" t="s">
        <v>57</v>
      </c>
    </row>
    <row r="2026" spans="1:13" x14ac:dyDescent="0.25">
      <c r="A2026" t="s">
        <v>4311</v>
      </c>
      <c r="B2026" t="s">
        <v>13</v>
      </c>
      <c r="C2026" t="s">
        <v>4312</v>
      </c>
      <c r="D2026" t="s">
        <v>4313</v>
      </c>
      <c r="E2026" t="s">
        <v>4314</v>
      </c>
      <c r="F2026" t="s">
        <v>1080</v>
      </c>
      <c r="G2026" t="s">
        <v>4315</v>
      </c>
      <c r="H2026" t="s">
        <v>195</v>
      </c>
      <c r="I2026" t="s">
        <v>19</v>
      </c>
      <c r="J2026" s="3">
        <v>5584991186169</v>
      </c>
      <c r="K2026" t="s">
        <v>4316</v>
      </c>
      <c r="L2026" t="s">
        <v>197</v>
      </c>
      <c r="M2026" t="s">
        <v>32144</v>
      </c>
    </row>
    <row r="2027" spans="1:13" x14ac:dyDescent="0.25">
      <c r="A2027" t="s">
        <v>20167</v>
      </c>
      <c r="B2027" t="s">
        <v>13</v>
      </c>
      <c r="C2027" s="1">
        <v>43259</v>
      </c>
      <c r="D2027" t="s">
        <v>20168</v>
      </c>
      <c r="E2027" t="s">
        <v>20169</v>
      </c>
      <c r="F2027" t="s">
        <v>1464</v>
      </c>
      <c r="G2027" t="s">
        <v>16559</v>
      </c>
      <c r="H2027" t="s">
        <v>12120</v>
      </c>
      <c r="I2027" t="s">
        <v>19</v>
      </c>
      <c r="J2027" s="3">
        <f>55-24-981458990</f>
        <v>-981458959</v>
      </c>
      <c r="K2027" t="s">
        <v>16560</v>
      </c>
      <c r="L2027" t="s">
        <v>12122</v>
      </c>
      <c r="M2027" t="s">
        <v>224</v>
      </c>
    </row>
    <row r="2028" spans="1:13" x14ac:dyDescent="0.25">
      <c r="A2028" t="s">
        <v>21773</v>
      </c>
      <c r="B2028" t="s">
        <v>13</v>
      </c>
      <c r="C2028" t="s">
        <v>21774</v>
      </c>
      <c r="D2028" t="s">
        <v>21775</v>
      </c>
      <c r="E2028" t="s">
        <v>21776</v>
      </c>
      <c r="F2028" t="s">
        <v>1349</v>
      </c>
      <c r="G2028" t="s">
        <v>21777</v>
      </c>
      <c r="H2028" t="s">
        <v>2598</v>
      </c>
      <c r="I2028" t="s">
        <v>19</v>
      </c>
      <c r="J2028" s="3">
        <f>55-47-34228262</f>
        <v>-34228254</v>
      </c>
      <c r="K2028" t="s">
        <v>21778</v>
      </c>
      <c r="L2028" t="s">
        <v>12159</v>
      </c>
      <c r="M2028" t="s">
        <v>1349</v>
      </c>
    </row>
    <row r="2029" spans="1:13" x14ac:dyDescent="0.25">
      <c r="A2029" t="s">
        <v>29725</v>
      </c>
      <c r="B2029" t="s">
        <v>13</v>
      </c>
      <c r="C2029" s="1">
        <v>40882</v>
      </c>
      <c r="D2029" t="s">
        <v>29726</v>
      </c>
      <c r="E2029" t="s">
        <v>29727</v>
      </c>
      <c r="F2029" t="s">
        <v>1464</v>
      </c>
      <c r="G2029" t="s">
        <v>29728</v>
      </c>
      <c r="H2029" t="s">
        <v>29729</v>
      </c>
      <c r="I2029" t="s">
        <v>19</v>
      </c>
      <c r="J2029" s="3" t="s">
        <v>29730</v>
      </c>
      <c r="K2029" t="s">
        <v>29731</v>
      </c>
      <c r="L2029" t="s">
        <v>29732</v>
      </c>
      <c r="M2029" t="s">
        <v>771</v>
      </c>
    </row>
    <row r="2030" spans="1:13" x14ac:dyDescent="0.25">
      <c r="A2030" t="s">
        <v>4081</v>
      </c>
      <c r="B2030" t="s">
        <v>13</v>
      </c>
      <c r="C2030" t="s">
        <v>4066</v>
      </c>
      <c r="D2030" t="s">
        <v>4082</v>
      </c>
      <c r="E2030" s="2" t="s">
        <v>31585</v>
      </c>
      <c r="F2030" t="s">
        <v>4084</v>
      </c>
      <c r="G2030" t="s">
        <v>4085</v>
      </c>
      <c r="H2030" t="s">
        <v>4086</v>
      </c>
      <c r="I2030" t="s">
        <v>19</v>
      </c>
      <c r="J2030" s="3">
        <v>5544999826925</v>
      </c>
      <c r="K2030" t="s">
        <v>4087</v>
      </c>
      <c r="L2030" t="s">
        <v>904</v>
      </c>
      <c r="M2030" t="s">
        <v>32144</v>
      </c>
    </row>
    <row r="2031" spans="1:13" x14ac:dyDescent="0.25">
      <c r="A2031" t="s">
        <v>4133</v>
      </c>
      <c r="B2031" t="s">
        <v>13</v>
      </c>
      <c r="C2031" t="s">
        <v>347</v>
      </c>
      <c r="D2031" t="s">
        <v>4134</v>
      </c>
      <c r="E2031" t="s">
        <v>4135</v>
      </c>
      <c r="F2031" t="s">
        <v>4090</v>
      </c>
      <c r="G2031" t="s">
        <v>4136</v>
      </c>
      <c r="H2031" t="s">
        <v>36</v>
      </c>
      <c r="I2031" t="s">
        <v>19</v>
      </c>
      <c r="J2031" s="3" t="s">
        <v>4137</v>
      </c>
      <c r="K2031" t="s">
        <v>4138</v>
      </c>
      <c r="L2031" t="s">
        <v>439</v>
      </c>
      <c r="M2031" t="s">
        <v>32147</v>
      </c>
    </row>
    <row r="2032" spans="1:13" x14ac:dyDescent="0.25">
      <c r="A2032" t="s">
        <v>10903</v>
      </c>
      <c r="B2032" t="s">
        <v>13</v>
      </c>
      <c r="C2032" t="s">
        <v>10579</v>
      </c>
      <c r="D2032" t="s">
        <v>10904</v>
      </c>
      <c r="E2032" t="s">
        <v>10905</v>
      </c>
      <c r="F2032" t="s">
        <v>332</v>
      </c>
      <c r="G2032" t="s">
        <v>10906</v>
      </c>
      <c r="H2032" t="s">
        <v>428</v>
      </c>
      <c r="I2032" t="s">
        <v>19</v>
      </c>
      <c r="J2032" s="3">
        <f>55-51-3308-5010</f>
        <v>-8314</v>
      </c>
      <c r="K2032" t="s">
        <v>10907</v>
      </c>
      <c r="L2032" t="s">
        <v>3299</v>
      </c>
      <c r="M2032" t="s">
        <v>337</v>
      </c>
    </row>
    <row r="2033" spans="1:13" x14ac:dyDescent="0.25">
      <c r="A2033" t="s">
        <v>22053</v>
      </c>
      <c r="B2033" t="s">
        <v>13</v>
      </c>
      <c r="C2033" s="1">
        <v>43315</v>
      </c>
      <c r="D2033" t="s">
        <v>22054</v>
      </c>
      <c r="E2033" s="2" t="s">
        <v>31918</v>
      </c>
      <c r="F2033" t="s">
        <v>2036</v>
      </c>
      <c r="G2033" t="s">
        <v>22055</v>
      </c>
      <c r="H2033" t="s">
        <v>352</v>
      </c>
      <c r="I2033" t="s">
        <v>19</v>
      </c>
      <c r="J2033" s="3" t="s">
        <v>22056</v>
      </c>
      <c r="K2033" t="s">
        <v>22057</v>
      </c>
      <c r="L2033" t="s">
        <v>22058</v>
      </c>
      <c r="M2033" t="s">
        <v>57</v>
      </c>
    </row>
    <row r="2034" spans="1:13" x14ac:dyDescent="0.25">
      <c r="A2034" t="s">
        <v>17539</v>
      </c>
      <c r="B2034" t="s">
        <v>13</v>
      </c>
      <c r="C2034" s="1">
        <v>43529</v>
      </c>
      <c r="D2034" t="s">
        <v>17540</v>
      </c>
      <c r="E2034" t="s">
        <v>17541</v>
      </c>
      <c r="F2034" t="s">
        <v>1775</v>
      </c>
      <c r="G2034" t="s">
        <v>4174</v>
      </c>
      <c r="H2034" t="s">
        <v>17542</v>
      </c>
      <c r="I2034" t="s">
        <v>19</v>
      </c>
      <c r="J2034" s="3">
        <f>55-87-999020242</f>
        <v>-999020274</v>
      </c>
      <c r="K2034" t="s">
        <v>4176</v>
      </c>
      <c r="L2034" t="s">
        <v>4177</v>
      </c>
      <c r="M2034" t="s">
        <v>1775</v>
      </c>
    </row>
    <row r="2035" spans="1:13" x14ac:dyDescent="0.25">
      <c r="A2035" t="s">
        <v>26734</v>
      </c>
      <c r="B2035" t="s">
        <v>13</v>
      </c>
      <c r="C2035" t="s">
        <v>26730</v>
      </c>
      <c r="D2035" t="s">
        <v>26735</v>
      </c>
      <c r="E2035" t="s">
        <v>26736</v>
      </c>
      <c r="F2035" t="s">
        <v>2036</v>
      </c>
      <c r="G2035" t="s">
        <v>26737</v>
      </c>
      <c r="H2035" t="s">
        <v>255</v>
      </c>
      <c r="I2035" t="s">
        <v>19</v>
      </c>
      <c r="J2035" s="3" t="s">
        <v>26738</v>
      </c>
      <c r="K2035" t="s">
        <v>26739</v>
      </c>
      <c r="L2035" t="s">
        <v>26740</v>
      </c>
      <c r="M2035" t="s">
        <v>57</v>
      </c>
    </row>
    <row r="2036" spans="1:13" x14ac:dyDescent="0.25">
      <c r="A2036" t="s">
        <v>23582</v>
      </c>
      <c r="B2036" t="s">
        <v>13</v>
      </c>
      <c r="C2036" s="1">
        <v>43048</v>
      </c>
      <c r="D2036" t="s">
        <v>23583</v>
      </c>
      <c r="E2036" t="s">
        <v>32349</v>
      </c>
      <c r="F2036" t="s">
        <v>1464</v>
      </c>
      <c r="G2036" t="s">
        <v>23584</v>
      </c>
      <c r="H2036" t="s">
        <v>23585</v>
      </c>
      <c r="I2036" t="s">
        <v>19</v>
      </c>
      <c r="J2036" s="3" t="s">
        <v>23586</v>
      </c>
      <c r="K2036" t="s">
        <v>23587</v>
      </c>
      <c r="L2036" t="s">
        <v>23588</v>
      </c>
      <c r="M2036" t="s">
        <v>1775</v>
      </c>
    </row>
    <row r="2037" spans="1:13" x14ac:dyDescent="0.25">
      <c r="A2037" t="s">
        <v>28758</v>
      </c>
      <c r="B2037" t="s">
        <v>13</v>
      </c>
      <c r="C2037" s="1">
        <v>41894</v>
      </c>
      <c r="D2037" t="s">
        <v>28759</v>
      </c>
      <c r="E2037" t="s">
        <v>32777</v>
      </c>
      <c r="F2037" t="s">
        <v>5720</v>
      </c>
      <c r="G2037" t="s">
        <v>28760</v>
      </c>
      <c r="H2037" t="s">
        <v>28761</v>
      </c>
      <c r="I2037" t="s">
        <v>19</v>
      </c>
      <c r="J2037" s="3" t="s">
        <v>28762</v>
      </c>
      <c r="K2037" t="s">
        <v>28763</v>
      </c>
      <c r="L2037" t="s">
        <v>610</v>
      </c>
      <c r="M2037" t="s">
        <v>1775</v>
      </c>
    </row>
    <row r="2038" spans="1:13" x14ac:dyDescent="0.25">
      <c r="A2038" t="s">
        <v>28454</v>
      </c>
      <c r="B2038" t="s">
        <v>13</v>
      </c>
      <c r="C2038" s="1">
        <v>42250</v>
      </c>
      <c r="D2038" t="s">
        <v>28455</v>
      </c>
      <c r="E2038" t="s">
        <v>28456</v>
      </c>
      <c r="F2038" t="s">
        <v>2036</v>
      </c>
      <c r="G2038" t="s">
        <v>28457</v>
      </c>
      <c r="H2038" t="s">
        <v>1335</v>
      </c>
      <c r="I2038" t="s">
        <v>19</v>
      </c>
      <c r="J2038" s="3" t="s">
        <v>28458</v>
      </c>
      <c r="K2038" t="s">
        <v>28459</v>
      </c>
      <c r="L2038" t="s">
        <v>15589</v>
      </c>
      <c r="M2038" t="s">
        <v>57</v>
      </c>
    </row>
    <row r="2039" spans="1:13" x14ac:dyDescent="0.25">
      <c r="A2039" t="s">
        <v>21080</v>
      </c>
      <c r="B2039" t="s">
        <v>13</v>
      </c>
      <c r="C2039" t="s">
        <v>16610</v>
      </c>
      <c r="D2039" t="s">
        <v>21081</v>
      </c>
      <c r="E2039" t="s">
        <v>21082</v>
      </c>
      <c r="F2039" t="s">
        <v>10500</v>
      </c>
      <c r="G2039" t="s">
        <v>21083</v>
      </c>
      <c r="H2039" t="s">
        <v>2957</v>
      </c>
      <c r="I2039" t="s">
        <v>19</v>
      </c>
      <c r="J2039" s="3" t="s">
        <v>21084</v>
      </c>
      <c r="K2039" t="s">
        <v>21085</v>
      </c>
      <c r="L2039" t="s">
        <v>2960</v>
      </c>
      <c r="M2039" t="s">
        <v>1349</v>
      </c>
    </row>
    <row r="2040" spans="1:13" x14ac:dyDescent="0.25">
      <c r="A2040" t="s">
        <v>1751</v>
      </c>
      <c r="B2040" t="s">
        <v>13</v>
      </c>
      <c r="C2040" s="1">
        <v>44875</v>
      </c>
      <c r="D2040" t="s">
        <v>1752</v>
      </c>
      <c r="E2040" s="2" t="s">
        <v>30714</v>
      </c>
      <c r="F2040" t="s">
        <v>1753</v>
      </c>
      <c r="G2040" t="s">
        <v>1754</v>
      </c>
      <c r="H2040" t="s">
        <v>36</v>
      </c>
      <c r="I2040" t="s">
        <v>19</v>
      </c>
      <c r="J2040" s="3" t="s">
        <v>1755</v>
      </c>
      <c r="K2040" t="s">
        <v>1756</v>
      </c>
      <c r="L2040" t="s">
        <v>1757</v>
      </c>
      <c r="M2040" t="s">
        <v>32144</v>
      </c>
    </row>
    <row r="2041" spans="1:13" x14ac:dyDescent="0.25">
      <c r="A2041" t="s">
        <v>7590</v>
      </c>
      <c r="B2041" t="s">
        <v>13</v>
      </c>
      <c r="C2041" t="s">
        <v>6097</v>
      </c>
      <c r="D2041" t="s">
        <v>7591</v>
      </c>
      <c r="E2041" s="2" t="s">
        <v>31673</v>
      </c>
      <c r="F2041" t="s">
        <v>1349</v>
      </c>
      <c r="G2041" t="s">
        <v>7592</v>
      </c>
      <c r="H2041" t="s">
        <v>352</v>
      </c>
      <c r="I2041" t="s">
        <v>19</v>
      </c>
      <c r="J2041" s="3">
        <v>552121270447</v>
      </c>
      <c r="K2041" t="s">
        <v>7593</v>
      </c>
      <c r="L2041" t="s">
        <v>32135</v>
      </c>
      <c r="M2041" t="s">
        <v>1349</v>
      </c>
    </row>
    <row r="2042" spans="1:13" x14ac:dyDescent="0.25">
      <c r="A2042" t="s">
        <v>18416</v>
      </c>
      <c r="B2042" t="s">
        <v>13</v>
      </c>
      <c r="C2042" s="1">
        <v>43467</v>
      </c>
      <c r="D2042" t="s">
        <v>18417</v>
      </c>
      <c r="E2042" t="s">
        <v>18418</v>
      </c>
      <c r="F2042" t="s">
        <v>1349</v>
      </c>
      <c r="G2042" t="s">
        <v>18419</v>
      </c>
      <c r="H2042" t="s">
        <v>1382</v>
      </c>
      <c r="I2042" t="s">
        <v>19</v>
      </c>
      <c r="J2042" s="3">
        <f>55-62-991046433</f>
        <v>-991046440</v>
      </c>
      <c r="K2042" t="s">
        <v>18420</v>
      </c>
      <c r="L2042" t="s">
        <v>2467</v>
      </c>
      <c r="M2042" t="s">
        <v>1349</v>
      </c>
    </row>
    <row r="2043" spans="1:13" x14ac:dyDescent="0.25">
      <c r="A2043" t="s">
        <v>7346</v>
      </c>
      <c r="B2043" t="s">
        <v>13</v>
      </c>
      <c r="C2043" t="s">
        <v>7339</v>
      </c>
      <c r="D2043" t="s">
        <v>32135</v>
      </c>
      <c r="E2043" s="2" t="s">
        <v>31475</v>
      </c>
      <c r="F2043" t="s">
        <v>7347</v>
      </c>
      <c r="G2043" t="s">
        <v>7348</v>
      </c>
      <c r="H2043" t="s">
        <v>642</v>
      </c>
      <c r="I2043" t="s">
        <v>19</v>
      </c>
      <c r="J2043" s="3">
        <v>5548999883591</v>
      </c>
      <c r="K2043" t="s">
        <v>7349</v>
      </c>
      <c r="L2043" t="s">
        <v>32135</v>
      </c>
      <c r="M2043" t="s">
        <v>57</v>
      </c>
    </row>
    <row r="2044" spans="1:13" x14ac:dyDescent="0.25">
      <c r="A2044" t="s">
        <v>10578</v>
      </c>
      <c r="B2044" t="s">
        <v>13</v>
      </c>
      <c r="C2044" t="s">
        <v>10579</v>
      </c>
      <c r="D2044" t="s">
        <v>10580</v>
      </c>
      <c r="E2044" s="2" t="s">
        <v>30998</v>
      </c>
      <c r="F2044" t="s">
        <v>2036</v>
      </c>
      <c r="G2044" t="s">
        <v>7078</v>
      </c>
      <c r="H2044" t="s">
        <v>36</v>
      </c>
      <c r="I2044" t="s">
        <v>19</v>
      </c>
      <c r="J2044" s="3">
        <f>55-11-35547084</f>
        <v>-35547040</v>
      </c>
      <c r="K2044" t="s">
        <v>7079</v>
      </c>
      <c r="L2044" t="s">
        <v>10581</v>
      </c>
      <c r="M2044" t="s">
        <v>57</v>
      </c>
    </row>
    <row r="2045" spans="1:13" x14ac:dyDescent="0.25">
      <c r="A2045" t="s">
        <v>6700</v>
      </c>
      <c r="B2045" t="s">
        <v>13</v>
      </c>
      <c r="C2045" t="s">
        <v>6701</v>
      </c>
      <c r="D2045" t="s">
        <v>6702</v>
      </c>
      <c r="E2045" s="2" t="s">
        <v>31412</v>
      </c>
      <c r="F2045" t="s">
        <v>337</v>
      </c>
      <c r="G2045" t="s">
        <v>6703</v>
      </c>
      <c r="H2045" t="s">
        <v>299</v>
      </c>
      <c r="I2045" t="s">
        <v>19</v>
      </c>
      <c r="J2045" s="3">
        <f>55-14-38801001</f>
        <v>-38800960</v>
      </c>
      <c r="K2045" t="s">
        <v>6704</v>
      </c>
      <c r="L2045" t="s">
        <v>6705</v>
      </c>
      <c r="M2045" t="s">
        <v>337</v>
      </c>
    </row>
    <row r="2046" spans="1:13" x14ac:dyDescent="0.25">
      <c r="A2046" t="s">
        <v>17891</v>
      </c>
      <c r="B2046" t="s">
        <v>13</v>
      </c>
      <c r="C2046" s="1">
        <v>43469</v>
      </c>
      <c r="D2046" t="s">
        <v>17892</v>
      </c>
      <c r="E2046" t="s">
        <v>17893</v>
      </c>
      <c r="F2046" t="s">
        <v>1464</v>
      </c>
      <c r="G2046" t="s">
        <v>17894</v>
      </c>
      <c r="H2046" t="s">
        <v>6621</v>
      </c>
      <c r="I2046" t="s">
        <v>19</v>
      </c>
      <c r="J2046" s="3">
        <f>55-82-999803853</f>
        <v>-999803880</v>
      </c>
      <c r="K2046" t="s">
        <v>17895</v>
      </c>
      <c r="L2046" t="s">
        <v>17896</v>
      </c>
      <c r="M2046" t="s">
        <v>32145</v>
      </c>
    </row>
    <row r="2047" spans="1:13" x14ac:dyDescent="0.25">
      <c r="A2047" t="s">
        <v>14110</v>
      </c>
      <c r="B2047" t="s">
        <v>13</v>
      </c>
      <c r="C2047" t="s">
        <v>14111</v>
      </c>
      <c r="D2047" t="s">
        <v>14112</v>
      </c>
      <c r="E2047" t="s">
        <v>1893</v>
      </c>
      <c r="F2047" t="s">
        <v>1464</v>
      </c>
      <c r="G2047" t="s">
        <v>14113</v>
      </c>
      <c r="H2047" t="s">
        <v>798</v>
      </c>
      <c r="I2047" t="s">
        <v>19</v>
      </c>
      <c r="J2047" s="3" t="s">
        <v>14114</v>
      </c>
      <c r="K2047" t="s">
        <v>14115</v>
      </c>
      <c r="L2047" t="s">
        <v>1767</v>
      </c>
      <c r="M2047" t="s">
        <v>1775</v>
      </c>
    </row>
    <row r="2048" spans="1:13" x14ac:dyDescent="0.25">
      <c r="A2048" t="s">
        <v>16651</v>
      </c>
      <c r="B2048" t="s">
        <v>13</v>
      </c>
      <c r="C2048" t="s">
        <v>16644</v>
      </c>
      <c r="D2048" t="s">
        <v>16652</v>
      </c>
      <c r="E2048" t="s">
        <v>16653</v>
      </c>
      <c r="F2048" t="s">
        <v>1464</v>
      </c>
      <c r="G2048" t="s">
        <v>16654</v>
      </c>
      <c r="H2048" t="s">
        <v>4236</v>
      </c>
      <c r="I2048" t="s">
        <v>19</v>
      </c>
      <c r="J2048" s="3">
        <v>5598988020622</v>
      </c>
      <c r="K2048" t="s">
        <v>16655</v>
      </c>
      <c r="L2048" t="s">
        <v>1727</v>
      </c>
      <c r="M2048" t="s">
        <v>1349</v>
      </c>
    </row>
    <row r="2049" spans="1:13" x14ac:dyDescent="0.25">
      <c r="A2049" t="s">
        <v>29144</v>
      </c>
      <c r="B2049" t="s">
        <v>13</v>
      </c>
      <c r="C2049" t="s">
        <v>29145</v>
      </c>
      <c r="D2049" t="s">
        <v>29146</v>
      </c>
      <c r="E2049" t="s">
        <v>29147</v>
      </c>
      <c r="F2049" t="s">
        <v>2036</v>
      </c>
      <c r="G2049" t="s">
        <v>22129</v>
      </c>
      <c r="H2049" t="s">
        <v>409</v>
      </c>
      <c r="I2049" t="s">
        <v>19</v>
      </c>
      <c r="J2049" s="3" t="s">
        <v>22130</v>
      </c>
      <c r="K2049" t="s">
        <v>22131</v>
      </c>
      <c r="L2049" t="s">
        <v>1823</v>
      </c>
      <c r="M2049" t="s">
        <v>57</v>
      </c>
    </row>
    <row r="2050" spans="1:13" x14ac:dyDescent="0.25">
      <c r="A2050" t="s">
        <v>4527</v>
      </c>
      <c r="B2050" t="s">
        <v>13</v>
      </c>
      <c r="C2050" t="s">
        <v>4528</v>
      </c>
      <c r="D2050" t="s">
        <v>4529</v>
      </c>
      <c r="E2050" s="2" t="s">
        <v>31382</v>
      </c>
      <c r="F2050" t="s">
        <v>4103</v>
      </c>
      <c r="G2050" t="s">
        <v>4531</v>
      </c>
      <c r="H2050" t="s">
        <v>503</v>
      </c>
      <c r="I2050" t="s">
        <v>19</v>
      </c>
      <c r="J2050" s="3" t="s">
        <v>4532</v>
      </c>
      <c r="K2050" t="s">
        <v>4533</v>
      </c>
      <c r="L2050" t="s">
        <v>412</v>
      </c>
      <c r="M2050" t="s">
        <v>741</v>
      </c>
    </row>
    <row r="2051" spans="1:13" x14ac:dyDescent="0.25">
      <c r="A2051" t="s">
        <v>6160</v>
      </c>
      <c r="B2051" t="s">
        <v>13</v>
      </c>
      <c r="C2051" s="1">
        <v>44206</v>
      </c>
      <c r="D2051" t="s">
        <v>32135</v>
      </c>
      <c r="E2051" s="2" t="s">
        <v>30878</v>
      </c>
      <c r="F2051" t="s">
        <v>6161</v>
      </c>
      <c r="G2051" t="s">
        <v>6162</v>
      </c>
      <c r="H2051" t="s">
        <v>45</v>
      </c>
      <c r="I2051" t="s">
        <v>19</v>
      </c>
      <c r="J2051" s="3">
        <v>5585988643219</v>
      </c>
      <c r="K2051" t="s">
        <v>6163</v>
      </c>
      <c r="L2051" t="s">
        <v>32135</v>
      </c>
      <c r="M2051" t="s">
        <v>1775</v>
      </c>
    </row>
    <row r="2052" spans="1:13" x14ac:dyDescent="0.25">
      <c r="A2052" t="s">
        <v>6445</v>
      </c>
      <c r="B2052" t="s">
        <v>13</v>
      </c>
      <c r="C2052" s="1">
        <v>44448</v>
      </c>
      <c r="D2052" t="s">
        <v>32135</v>
      </c>
      <c r="E2052" s="2" t="s">
        <v>30893</v>
      </c>
      <c r="F2052" t="s">
        <v>6446</v>
      </c>
      <c r="G2052" t="s">
        <v>6447</v>
      </c>
      <c r="H2052" t="s">
        <v>5928</v>
      </c>
      <c r="I2052" t="s">
        <v>19</v>
      </c>
      <c r="J2052" s="3">
        <v>5513981165402</v>
      </c>
      <c r="K2052" t="s">
        <v>6448</v>
      </c>
      <c r="L2052" t="s">
        <v>32135</v>
      </c>
      <c r="M2052" t="s">
        <v>1775</v>
      </c>
    </row>
    <row r="2053" spans="1:13" x14ac:dyDescent="0.25">
      <c r="A2053" t="s">
        <v>14142</v>
      </c>
      <c r="B2053" t="s">
        <v>13</v>
      </c>
      <c r="C2053" t="s">
        <v>14143</v>
      </c>
      <c r="D2053" t="s">
        <v>14144</v>
      </c>
      <c r="E2053" t="s">
        <v>14145</v>
      </c>
      <c r="F2053" t="s">
        <v>1464</v>
      </c>
      <c r="G2053" t="s">
        <v>13941</v>
      </c>
      <c r="H2053" t="s">
        <v>893</v>
      </c>
      <c r="I2053" t="s">
        <v>19</v>
      </c>
      <c r="J2053" s="3" t="s">
        <v>13942</v>
      </c>
      <c r="K2053" t="s">
        <v>13943</v>
      </c>
      <c r="L2053" t="s">
        <v>1727</v>
      </c>
      <c r="M2053" t="s">
        <v>1349</v>
      </c>
    </row>
    <row r="2054" spans="1:13" x14ac:dyDescent="0.25">
      <c r="A2054" t="s">
        <v>20025</v>
      </c>
      <c r="B2054" t="s">
        <v>13</v>
      </c>
      <c r="C2054" t="s">
        <v>20019</v>
      </c>
      <c r="D2054" t="s">
        <v>20026</v>
      </c>
      <c r="E2054" t="s">
        <v>20027</v>
      </c>
      <c r="F2054" t="s">
        <v>337</v>
      </c>
      <c r="G2054" t="s">
        <v>20028</v>
      </c>
      <c r="H2054" t="s">
        <v>28</v>
      </c>
      <c r="I2054" t="s">
        <v>19</v>
      </c>
      <c r="J2054" s="3" t="s">
        <v>20029</v>
      </c>
      <c r="K2054" t="s">
        <v>20030</v>
      </c>
      <c r="L2054" t="s">
        <v>923</v>
      </c>
      <c r="M2054" t="s">
        <v>337</v>
      </c>
    </row>
    <row r="2055" spans="1:13" x14ac:dyDescent="0.25">
      <c r="A2055" t="s">
        <v>22712</v>
      </c>
      <c r="B2055" t="s">
        <v>13</v>
      </c>
      <c r="C2055" t="s">
        <v>22713</v>
      </c>
      <c r="D2055" t="s">
        <v>22714</v>
      </c>
      <c r="E2055" t="s">
        <v>22715</v>
      </c>
      <c r="F2055" t="s">
        <v>306</v>
      </c>
      <c r="G2055" t="s">
        <v>22716</v>
      </c>
      <c r="H2055" t="s">
        <v>936</v>
      </c>
      <c r="I2055" t="s">
        <v>19</v>
      </c>
      <c r="J2055" s="3" t="s">
        <v>22717</v>
      </c>
      <c r="K2055" t="s">
        <v>22718</v>
      </c>
      <c r="L2055" t="s">
        <v>22719</v>
      </c>
      <c r="M2055" t="s">
        <v>32145</v>
      </c>
    </row>
    <row r="2056" spans="1:13" x14ac:dyDescent="0.25">
      <c r="A2056" t="s">
        <v>20734</v>
      </c>
      <c r="B2056" t="s">
        <v>13</v>
      </c>
      <c r="C2056" s="1">
        <v>43227</v>
      </c>
      <c r="D2056" t="s">
        <v>20735</v>
      </c>
      <c r="E2056" t="s">
        <v>20736</v>
      </c>
      <c r="F2056" t="s">
        <v>10034</v>
      </c>
      <c r="G2056" t="s">
        <v>20737</v>
      </c>
      <c r="H2056" t="s">
        <v>669</v>
      </c>
      <c r="I2056" t="s">
        <v>670</v>
      </c>
      <c r="J2056" s="3">
        <v>56222352075</v>
      </c>
      <c r="K2056" t="s">
        <v>20738</v>
      </c>
      <c r="L2056" t="s">
        <v>20739</v>
      </c>
      <c r="M2056" t="s">
        <v>741</v>
      </c>
    </row>
    <row r="2057" spans="1:13" x14ac:dyDescent="0.25">
      <c r="A2057" t="s">
        <v>3380</v>
      </c>
      <c r="B2057" t="s">
        <v>101</v>
      </c>
      <c r="C2057" s="1">
        <v>44840</v>
      </c>
      <c r="D2057" t="s">
        <v>3381</v>
      </c>
      <c r="E2057" s="2" t="s">
        <v>30777</v>
      </c>
      <c r="F2057" t="s">
        <v>1820</v>
      </c>
      <c r="G2057" t="s">
        <v>3382</v>
      </c>
      <c r="H2057" t="s">
        <v>36</v>
      </c>
      <c r="I2057" t="s">
        <v>19</v>
      </c>
      <c r="J2057" s="3" t="s">
        <v>3383</v>
      </c>
      <c r="K2057" t="s">
        <v>3384</v>
      </c>
      <c r="L2057" t="s">
        <v>3385</v>
      </c>
      <c r="M2057" t="s">
        <v>129</v>
      </c>
    </row>
    <row r="2058" spans="1:13" x14ac:dyDescent="0.25">
      <c r="A2058" t="s">
        <v>7895</v>
      </c>
      <c r="B2058" t="s">
        <v>13</v>
      </c>
      <c r="C2058" t="s">
        <v>19912</v>
      </c>
      <c r="D2058" t="s">
        <v>19913</v>
      </c>
      <c r="E2058" t="s">
        <v>32350</v>
      </c>
      <c r="F2058" t="s">
        <v>1464</v>
      </c>
      <c r="G2058" t="s">
        <v>19914</v>
      </c>
      <c r="H2058" t="s">
        <v>19915</v>
      </c>
      <c r="I2058" t="s">
        <v>19</v>
      </c>
      <c r="J2058" s="3">
        <f>55-32-33612555</f>
        <v>-33612532</v>
      </c>
      <c r="K2058" t="s">
        <v>19916</v>
      </c>
      <c r="L2058" t="s">
        <v>19917</v>
      </c>
      <c r="M2058" t="s">
        <v>32144</v>
      </c>
    </row>
    <row r="2059" spans="1:13" x14ac:dyDescent="0.25">
      <c r="A2059" t="s">
        <v>7895</v>
      </c>
      <c r="B2059" t="s">
        <v>13</v>
      </c>
      <c r="C2059" t="s">
        <v>7892</v>
      </c>
      <c r="D2059" t="s">
        <v>7896</v>
      </c>
      <c r="E2059" t="s">
        <v>32350</v>
      </c>
      <c r="F2059" t="s">
        <v>1464</v>
      </c>
      <c r="G2059" t="s">
        <v>7897</v>
      </c>
      <c r="H2059" t="s">
        <v>28</v>
      </c>
      <c r="I2059" t="s">
        <v>19</v>
      </c>
      <c r="J2059" s="3">
        <v>553221023292</v>
      </c>
      <c r="K2059" t="s">
        <v>7898</v>
      </c>
      <c r="L2059" t="s">
        <v>32135</v>
      </c>
      <c r="M2059" t="s">
        <v>1775</v>
      </c>
    </row>
    <row r="2060" spans="1:13" x14ac:dyDescent="0.25">
      <c r="A2060" t="s">
        <v>3625</v>
      </c>
      <c r="B2060" t="s">
        <v>13</v>
      </c>
      <c r="C2060" s="1">
        <v>44900</v>
      </c>
      <c r="D2060" t="s">
        <v>3626</v>
      </c>
      <c r="E2060" t="s">
        <v>3627</v>
      </c>
      <c r="F2060" t="s">
        <v>3628</v>
      </c>
      <c r="G2060" t="s">
        <v>3629</v>
      </c>
      <c r="H2060" t="s">
        <v>3630</v>
      </c>
      <c r="I2060" t="s">
        <v>19</v>
      </c>
      <c r="J2060" s="3" t="s">
        <v>3631</v>
      </c>
      <c r="K2060" t="s">
        <v>3632</v>
      </c>
      <c r="L2060" t="s">
        <v>3633</v>
      </c>
      <c r="M2060" t="s">
        <v>32144</v>
      </c>
    </row>
    <row r="2061" spans="1:13" x14ac:dyDescent="0.25">
      <c r="A2061" t="s">
        <v>27653</v>
      </c>
      <c r="B2061" t="s">
        <v>13</v>
      </c>
      <c r="C2061" s="1">
        <v>42346</v>
      </c>
      <c r="D2061" t="s">
        <v>27654</v>
      </c>
      <c r="E2061" t="s">
        <v>27655</v>
      </c>
      <c r="F2061" t="s">
        <v>306</v>
      </c>
      <c r="G2061" t="s">
        <v>27656</v>
      </c>
      <c r="H2061" t="s">
        <v>706</v>
      </c>
      <c r="I2061" t="s">
        <v>19</v>
      </c>
      <c r="J2061" s="3" t="s">
        <v>27657</v>
      </c>
      <c r="K2061" t="s">
        <v>6632</v>
      </c>
      <c r="L2061" t="s">
        <v>3966</v>
      </c>
      <c r="M2061" t="s">
        <v>32145</v>
      </c>
    </row>
    <row r="2062" spans="1:13" x14ac:dyDescent="0.25">
      <c r="A2062" t="s">
        <v>28769</v>
      </c>
      <c r="B2062" t="s">
        <v>13</v>
      </c>
      <c r="C2062" s="1">
        <v>41741</v>
      </c>
      <c r="D2062" t="s">
        <v>28770</v>
      </c>
      <c r="E2062" s="2" t="s">
        <v>31625</v>
      </c>
      <c r="F2062" t="s">
        <v>6686</v>
      </c>
      <c r="G2062" t="s">
        <v>28771</v>
      </c>
      <c r="H2062" t="s">
        <v>4498</v>
      </c>
      <c r="I2062" t="s">
        <v>19</v>
      </c>
      <c r="J2062" s="3" t="s">
        <v>28772</v>
      </c>
      <c r="K2062" t="s">
        <v>28773</v>
      </c>
      <c r="L2062" t="s">
        <v>28774</v>
      </c>
      <c r="M2062" t="s">
        <v>337</v>
      </c>
    </row>
    <row r="2063" spans="1:13" x14ac:dyDescent="0.25">
      <c r="A2063" t="s">
        <v>21963</v>
      </c>
      <c r="B2063" t="s">
        <v>13</v>
      </c>
      <c r="C2063" s="1">
        <v>43163</v>
      </c>
      <c r="D2063" t="s">
        <v>21964</v>
      </c>
      <c r="E2063" t="s">
        <v>21965</v>
      </c>
      <c r="F2063" t="s">
        <v>2947</v>
      </c>
      <c r="G2063" t="s">
        <v>12838</v>
      </c>
      <c r="H2063" t="s">
        <v>18</v>
      </c>
      <c r="I2063" t="s">
        <v>19</v>
      </c>
      <c r="J2063" s="3">
        <f>55-19-997906048</f>
        <v>-997906012</v>
      </c>
      <c r="K2063" t="s">
        <v>12839</v>
      </c>
      <c r="L2063" t="s">
        <v>12840</v>
      </c>
      <c r="M2063" t="s">
        <v>771</v>
      </c>
    </row>
    <row r="2064" spans="1:13" x14ac:dyDescent="0.25">
      <c r="A2064" t="s">
        <v>21286</v>
      </c>
      <c r="B2064" t="s">
        <v>101</v>
      </c>
      <c r="C2064" t="s">
        <v>21271</v>
      </c>
      <c r="D2064" t="s">
        <v>21287</v>
      </c>
      <c r="E2064" t="s">
        <v>21288</v>
      </c>
      <c r="F2064" t="s">
        <v>129</v>
      </c>
      <c r="G2064" t="s">
        <v>20865</v>
      </c>
      <c r="H2064" t="s">
        <v>1047</v>
      </c>
      <c r="I2064" t="s">
        <v>19</v>
      </c>
      <c r="J2064" s="3" t="s">
        <v>20866</v>
      </c>
      <c r="K2064" t="s">
        <v>20867</v>
      </c>
      <c r="L2064" t="s">
        <v>439</v>
      </c>
      <c r="M2064" t="s">
        <v>129</v>
      </c>
    </row>
    <row r="2065" spans="1:13" x14ac:dyDescent="0.25">
      <c r="A2065" t="s">
        <v>10823</v>
      </c>
      <c r="B2065" t="s">
        <v>13</v>
      </c>
      <c r="C2065" t="s">
        <v>7057</v>
      </c>
      <c r="D2065" t="s">
        <v>10824</v>
      </c>
      <c r="E2065" s="2" t="s">
        <v>31983</v>
      </c>
      <c r="F2065" t="s">
        <v>833</v>
      </c>
      <c r="G2065" t="s">
        <v>10825</v>
      </c>
      <c r="H2065" t="s">
        <v>10826</v>
      </c>
      <c r="I2065" t="s">
        <v>19</v>
      </c>
      <c r="J2065" s="3" t="s">
        <v>10827</v>
      </c>
      <c r="K2065" t="s">
        <v>10828</v>
      </c>
      <c r="L2065" t="s">
        <v>10829</v>
      </c>
      <c r="M2065" t="s">
        <v>129</v>
      </c>
    </row>
    <row r="2066" spans="1:13" x14ac:dyDescent="0.25">
      <c r="A2066" t="s">
        <v>9410</v>
      </c>
      <c r="B2066" t="s">
        <v>13</v>
      </c>
      <c r="C2066" s="1">
        <v>43840</v>
      </c>
      <c r="D2066" t="s">
        <v>9411</v>
      </c>
      <c r="E2066" t="s">
        <v>9412</v>
      </c>
      <c r="F2066" t="s">
        <v>8193</v>
      </c>
      <c r="G2066" t="s">
        <v>9413</v>
      </c>
      <c r="H2066" t="s">
        <v>36</v>
      </c>
      <c r="I2066" t="s">
        <v>19</v>
      </c>
      <c r="J2066" s="3">
        <f>55-11-30188181</f>
        <v>-30188137</v>
      </c>
      <c r="K2066" t="s">
        <v>9414</v>
      </c>
      <c r="L2066" t="s">
        <v>9415</v>
      </c>
      <c r="M2066" t="s">
        <v>129</v>
      </c>
    </row>
    <row r="2067" spans="1:13" x14ac:dyDescent="0.25">
      <c r="A2067" t="s">
        <v>16510</v>
      </c>
      <c r="B2067" t="s">
        <v>13</v>
      </c>
      <c r="C2067" t="s">
        <v>16508</v>
      </c>
      <c r="D2067" t="s">
        <v>16511</v>
      </c>
      <c r="E2067" t="s">
        <v>16512</v>
      </c>
      <c r="F2067" t="s">
        <v>129</v>
      </c>
      <c r="G2067" t="s">
        <v>16513</v>
      </c>
      <c r="H2067" t="s">
        <v>265</v>
      </c>
      <c r="I2067" t="s">
        <v>19</v>
      </c>
      <c r="J2067" s="3">
        <v>551636022804</v>
      </c>
      <c r="K2067" t="s">
        <v>16514</v>
      </c>
      <c r="L2067" t="s">
        <v>3558</v>
      </c>
      <c r="M2067" t="s">
        <v>129</v>
      </c>
    </row>
    <row r="2068" spans="1:13" x14ac:dyDescent="0.25">
      <c r="A2068" t="s">
        <v>12555</v>
      </c>
      <c r="B2068" t="s">
        <v>13</v>
      </c>
      <c r="C2068" t="s">
        <v>12556</v>
      </c>
      <c r="D2068" t="s">
        <v>12557</v>
      </c>
      <c r="E2068" t="s">
        <v>12558</v>
      </c>
      <c r="F2068" t="s">
        <v>129</v>
      </c>
      <c r="G2068" t="s">
        <v>12559</v>
      </c>
      <c r="H2068" t="s">
        <v>36</v>
      </c>
      <c r="I2068" t="s">
        <v>19</v>
      </c>
      <c r="J2068" s="3" t="s">
        <v>12560</v>
      </c>
      <c r="K2068" t="s">
        <v>12561</v>
      </c>
      <c r="L2068" t="s">
        <v>12562</v>
      </c>
      <c r="M2068" t="s">
        <v>129</v>
      </c>
    </row>
    <row r="2069" spans="1:13" x14ac:dyDescent="0.25">
      <c r="A2069" t="s">
        <v>22065</v>
      </c>
      <c r="B2069" t="s">
        <v>13</v>
      </c>
      <c r="C2069" s="1">
        <v>43254</v>
      </c>
      <c r="D2069" t="s">
        <v>22066</v>
      </c>
      <c r="E2069" t="s">
        <v>22067</v>
      </c>
      <c r="F2069" t="s">
        <v>8193</v>
      </c>
      <c r="G2069" t="s">
        <v>22068</v>
      </c>
      <c r="H2069" t="s">
        <v>472</v>
      </c>
      <c r="I2069" t="s">
        <v>19</v>
      </c>
      <c r="J2069" s="3">
        <f>55-81-99546898</f>
        <v>-99546924</v>
      </c>
      <c r="K2069" t="s">
        <v>7831</v>
      </c>
      <c r="L2069" t="s">
        <v>2101</v>
      </c>
      <c r="M2069" t="s">
        <v>129</v>
      </c>
    </row>
    <row r="2070" spans="1:13" x14ac:dyDescent="0.25">
      <c r="A2070" t="s">
        <v>24767</v>
      </c>
      <c r="B2070" t="s">
        <v>13</v>
      </c>
      <c r="C2070" s="1">
        <v>42979</v>
      </c>
      <c r="D2070" t="s">
        <v>24768</v>
      </c>
      <c r="E2070" t="s">
        <v>24769</v>
      </c>
      <c r="F2070" t="s">
        <v>1464</v>
      </c>
      <c r="G2070" t="s">
        <v>13899</v>
      </c>
      <c r="H2070" t="s">
        <v>1335</v>
      </c>
      <c r="I2070" t="s">
        <v>19</v>
      </c>
      <c r="J2070" s="3" t="s">
        <v>13900</v>
      </c>
      <c r="K2070" t="s">
        <v>13901</v>
      </c>
      <c r="L2070" t="s">
        <v>13902</v>
      </c>
      <c r="M2070" t="s">
        <v>785</v>
      </c>
    </row>
    <row r="2071" spans="1:13" x14ac:dyDescent="0.25">
      <c r="A2071" t="s">
        <v>22623</v>
      </c>
      <c r="B2071" t="s">
        <v>13</v>
      </c>
      <c r="C2071" s="1">
        <v>43313</v>
      </c>
      <c r="D2071" t="s">
        <v>22624</v>
      </c>
      <c r="E2071" t="s">
        <v>22625</v>
      </c>
      <c r="F2071" t="s">
        <v>8193</v>
      </c>
      <c r="G2071" t="s">
        <v>22626</v>
      </c>
      <c r="H2071" t="s">
        <v>88</v>
      </c>
      <c r="I2071" t="s">
        <v>19</v>
      </c>
      <c r="J2071" s="3" t="s">
        <v>22627</v>
      </c>
      <c r="K2071" t="s">
        <v>22628</v>
      </c>
      <c r="L2071" t="s">
        <v>91</v>
      </c>
      <c r="M2071" t="s">
        <v>129</v>
      </c>
    </row>
    <row r="2072" spans="1:13" x14ac:dyDescent="0.25">
      <c r="A2072" t="s">
        <v>3269</v>
      </c>
      <c r="B2072" t="s">
        <v>13</v>
      </c>
      <c r="C2072" t="s">
        <v>3270</v>
      </c>
      <c r="D2072" t="s">
        <v>3271</v>
      </c>
      <c r="E2072" t="s">
        <v>3272</v>
      </c>
      <c r="F2072" t="s">
        <v>3273</v>
      </c>
      <c r="G2072" t="s">
        <v>3274</v>
      </c>
      <c r="H2072" t="s">
        <v>18</v>
      </c>
      <c r="I2072" t="s">
        <v>19</v>
      </c>
      <c r="J2072" s="3" t="s">
        <v>3275</v>
      </c>
      <c r="K2072" t="s">
        <v>3276</v>
      </c>
      <c r="L2072" t="s">
        <v>3277</v>
      </c>
      <c r="M2072" t="s">
        <v>129</v>
      </c>
    </row>
    <row r="2073" spans="1:13" x14ac:dyDescent="0.25">
      <c r="A2073" t="s">
        <v>7251</v>
      </c>
      <c r="B2073" t="s">
        <v>13</v>
      </c>
      <c r="C2073" s="1">
        <v>43138</v>
      </c>
      <c r="D2073" t="s">
        <v>235</v>
      </c>
      <c r="E2073" t="s">
        <v>32351</v>
      </c>
      <c r="F2073" t="s">
        <v>3705</v>
      </c>
      <c r="G2073" t="s">
        <v>7252</v>
      </c>
      <c r="H2073" t="s">
        <v>88</v>
      </c>
      <c r="I2073" t="s">
        <v>19</v>
      </c>
      <c r="J2073" s="3">
        <f>55-84-999828237</f>
        <v>-999828266</v>
      </c>
      <c r="K2073" t="s">
        <v>7253</v>
      </c>
      <c r="L2073" t="s">
        <v>91</v>
      </c>
      <c r="M2073" t="s">
        <v>32180</v>
      </c>
    </row>
    <row r="2074" spans="1:13" x14ac:dyDescent="0.25">
      <c r="A2074" t="s">
        <v>8191</v>
      </c>
      <c r="B2074" t="s">
        <v>13</v>
      </c>
      <c r="C2074" s="1">
        <v>44471</v>
      </c>
      <c r="D2074" t="s">
        <v>8192</v>
      </c>
      <c r="E2074" t="s">
        <v>32352</v>
      </c>
      <c r="F2074" t="s">
        <v>8193</v>
      </c>
      <c r="G2074" t="s">
        <v>8194</v>
      </c>
      <c r="H2074" t="s">
        <v>578</v>
      </c>
      <c r="I2074" t="s">
        <v>19</v>
      </c>
      <c r="J2074" s="3">
        <f>55-92-982089046</f>
        <v>-982089083</v>
      </c>
      <c r="K2074" t="s">
        <v>8195</v>
      </c>
      <c r="L2074" t="s">
        <v>678</v>
      </c>
      <c r="M2074" t="s">
        <v>32180</v>
      </c>
    </row>
    <row r="2075" spans="1:13" x14ac:dyDescent="0.25">
      <c r="A2075" t="s">
        <v>29051</v>
      </c>
      <c r="B2075" t="s">
        <v>13</v>
      </c>
      <c r="C2075" t="s">
        <v>29052</v>
      </c>
      <c r="D2075" t="s">
        <v>29053</v>
      </c>
      <c r="E2075" t="s">
        <v>29054</v>
      </c>
      <c r="F2075" t="s">
        <v>8193</v>
      </c>
      <c r="G2075" t="s">
        <v>19114</v>
      </c>
      <c r="H2075" t="s">
        <v>798</v>
      </c>
      <c r="I2075" t="s">
        <v>19</v>
      </c>
      <c r="J2075" s="3" t="s">
        <v>29055</v>
      </c>
      <c r="K2075" t="s">
        <v>19116</v>
      </c>
      <c r="L2075" t="s">
        <v>19114</v>
      </c>
      <c r="M2075" t="s">
        <v>129</v>
      </c>
    </row>
    <row r="2076" spans="1:13" x14ac:dyDescent="0.25">
      <c r="A2076" t="s">
        <v>20749</v>
      </c>
      <c r="B2076" t="s">
        <v>13</v>
      </c>
      <c r="C2076" s="1">
        <v>43227</v>
      </c>
      <c r="D2076" t="s">
        <v>20750</v>
      </c>
      <c r="E2076" t="s">
        <v>20751</v>
      </c>
      <c r="F2076" t="s">
        <v>1464</v>
      </c>
      <c r="G2076" t="s">
        <v>2178</v>
      </c>
      <c r="H2076" t="s">
        <v>2112</v>
      </c>
      <c r="I2076" t="s">
        <v>19</v>
      </c>
      <c r="J2076" s="3">
        <f>55-45-32207344</f>
        <v>-32207334</v>
      </c>
      <c r="K2076" t="s">
        <v>14019</v>
      </c>
      <c r="L2076" t="s">
        <v>14020</v>
      </c>
      <c r="M2076" t="s">
        <v>57</v>
      </c>
    </row>
    <row r="2077" spans="1:13" x14ac:dyDescent="0.25">
      <c r="A2077" t="s">
        <v>277</v>
      </c>
      <c r="B2077" t="s">
        <v>13</v>
      </c>
      <c r="C2077" t="s">
        <v>278</v>
      </c>
      <c r="D2077" t="s">
        <v>279</v>
      </c>
      <c r="E2077" t="s">
        <v>280</v>
      </c>
      <c r="F2077" t="s">
        <v>160</v>
      </c>
      <c r="G2077" t="s">
        <v>282</v>
      </c>
      <c r="H2077" t="s">
        <v>18</v>
      </c>
      <c r="I2077" t="s">
        <v>19</v>
      </c>
      <c r="J2077" s="3" t="s">
        <v>283</v>
      </c>
      <c r="K2077" t="s">
        <v>284</v>
      </c>
      <c r="L2077" t="s">
        <v>285</v>
      </c>
      <c r="M2077" t="s">
        <v>57</v>
      </c>
    </row>
    <row r="2078" spans="1:13" x14ac:dyDescent="0.25">
      <c r="A2078" t="s">
        <v>10282</v>
      </c>
      <c r="B2078" t="s">
        <v>13</v>
      </c>
      <c r="C2078" t="s">
        <v>10283</v>
      </c>
      <c r="D2078" t="s">
        <v>10284</v>
      </c>
      <c r="E2078" s="2" t="s">
        <v>31965</v>
      </c>
      <c r="F2078" t="s">
        <v>1464</v>
      </c>
      <c r="G2078" t="s">
        <v>10285</v>
      </c>
      <c r="H2078" t="s">
        <v>36</v>
      </c>
      <c r="I2078" t="s">
        <v>19</v>
      </c>
      <c r="J2078" s="3">
        <v>948287388</v>
      </c>
      <c r="K2078" t="s">
        <v>10286</v>
      </c>
      <c r="L2078" t="s">
        <v>9723</v>
      </c>
      <c r="M2078" t="s">
        <v>32121</v>
      </c>
    </row>
    <row r="2079" spans="1:13" x14ac:dyDescent="0.25">
      <c r="A2079" t="s">
        <v>29895</v>
      </c>
      <c r="B2079" t="s">
        <v>13</v>
      </c>
      <c r="C2079" t="s">
        <v>14184</v>
      </c>
      <c r="D2079" t="s">
        <v>29896</v>
      </c>
      <c r="E2079" t="s">
        <v>29897</v>
      </c>
      <c r="F2079" t="s">
        <v>10034</v>
      </c>
      <c r="G2079" t="s">
        <v>29898</v>
      </c>
      <c r="H2079" t="s">
        <v>706</v>
      </c>
      <c r="I2079" t="s">
        <v>19</v>
      </c>
      <c r="J2079" s="3" t="s">
        <v>29899</v>
      </c>
      <c r="K2079" t="s">
        <v>16661</v>
      </c>
      <c r="L2079" t="s">
        <v>29900</v>
      </c>
      <c r="M2079" t="s">
        <v>741</v>
      </c>
    </row>
    <row r="2080" spans="1:13" x14ac:dyDescent="0.25">
      <c r="A2080" t="s">
        <v>13245</v>
      </c>
      <c r="B2080" t="s">
        <v>13</v>
      </c>
      <c r="C2080" t="s">
        <v>8668</v>
      </c>
      <c r="D2080" t="s">
        <v>13246</v>
      </c>
      <c r="E2080" t="s">
        <v>667</v>
      </c>
      <c r="F2080" t="s">
        <v>57</v>
      </c>
      <c r="G2080" t="s">
        <v>5953</v>
      </c>
      <c r="H2080" t="s">
        <v>409</v>
      </c>
      <c r="I2080" t="s">
        <v>19</v>
      </c>
      <c r="J2080" s="3" t="s">
        <v>13247</v>
      </c>
      <c r="K2080" t="s">
        <v>5956</v>
      </c>
      <c r="L2080" t="s">
        <v>1480</v>
      </c>
      <c r="M2080" t="s">
        <v>57</v>
      </c>
    </row>
    <row r="2081" spans="1:13" x14ac:dyDescent="0.25">
      <c r="A2081" t="s">
        <v>28694</v>
      </c>
      <c r="B2081" t="s">
        <v>13</v>
      </c>
      <c r="C2081" t="s">
        <v>28695</v>
      </c>
      <c r="D2081" t="s">
        <v>28696</v>
      </c>
      <c r="E2081" t="s">
        <v>667</v>
      </c>
      <c r="F2081" t="s">
        <v>57</v>
      </c>
      <c r="G2081" t="s">
        <v>22571</v>
      </c>
      <c r="H2081" t="s">
        <v>1466</v>
      </c>
      <c r="I2081" t="s">
        <v>19</v>
      </c>
      <c r="J2081" s="3" t="s">
        <v>28697</v>
      </c>
      <c r="K2081" t="s">
        <v>9075</v>
      </c>
      <c r="L2081" t="s">
        <v>21875</v>
      </c>
      <c r="M2081" t="s">
        <v>57</v>
      </c>
    </row>
    <row r="2082" spans="1:13" x14ac:dyDescent="0.25">
      <c r="A2082" t="s">
        <v>18567</v>
      </c>
      <c r="B2082" t="s">
        <v>13</v>
      </c>
      <c r="C2082" s="1">
        <v>43678</v>
      </c>
      <c r="D2082" t="s">
        <v>18568</v>
      </c>
      <c r="E2082" t="s">
        <v>933</v>
      </c>
      <c r="F2082" t="s">
        <v>57</v>
      </c>
      <c r="G2082" t="s">
        <v>11373</v>
      </c>
      <c r="H2082" t="s">
        <v>991</v>
      </c>
      <c r="I2082" t="s">
        <v>19</v>
      </c>
      <c r="J2082" s="3">
        <f>55-51-981975718</f>
        <v>-981975714</v>
      </c>
      <c r="K2082" t="s">
        <v>11374</v>
      </c>
      <c r="L2082" t="s">
        <v>11375</v>
      </c>
      <c r="M2082" t="s">
        <v>57</v>
      </c>
    </row>
    <row r="2083" spans="1:13" x14ac:dyDescent="0.25">
      <c r="A2083" t="s">
        <v>665</v>
      </c>
      <c r="B2083" t="s">
        <v>13</v>
      </c>
      <c r="C2083" s="1">
        <v>43591</v>
      </c>
      <c r="D2083" t="s">
        <v>666</v>
      </c>
      <c r="E2083" t="s">
        <v>667</v>
      </c>
      <c r="F2083" t="s">
        <v>57</v>
      </c>
      <c r="G2083" t="s">
        <v>668</v>
      </c>
      <c r="H2083" t="s">
        <v>669</v>
      </c>
      <c r="I2083" t="s">
        <v>670</v>
      </c>
      <c r="J2083" s="3">
        <v>5697122483</v>
      </c>
      <c r="K2083" t="s">
        <v>671</v>
      </c>
      <c r="L2083" t="s">
        <v>672</v>
      </c>
      <c r="M2083" t="s">
        <v>57</v>
      </c>
    </row>
    <row r="2084" spans="1:13" x14ac:dyDescent="0.25">
      <c r="A2084" t="s">
        <v>12892</v>
      </c>
      <c r="B2084" t="s">
        <v>13</v>
      </c>
      <c r="C2084" t="s">
        <v>6569</v>
      </c>
      <c r="D2084" t="s">
        <v>12893</v>
      </c>
      <c r="E2084" t="s">
        <v>667</v>
      </c>
      <c r="F2084" t="s">
        <v>57</v>
      </c>
      <c r="G2084" t="s">
        <v>12894</v>
      </c>
      <c r="H2084" t="s">
        <v>642</v>
      </c>
      <c r="I2084" t="s">
        <v>19</v>
      </c>
      <c r="J2084" s="3" t="s">
        <v>12895</v>
      </c>
      <c r="K2084" t="s">
        <v>12896</v>
      </c>
      <c r="L2084" t="s">
        <v>12897</v>
      </c>
      <c r="M2084" t="s">
        <v>57</v>
      </c>
    </row>
    <row r="2085" spans="1:13" x14ac:dyDescent="0.25">
      <c r="A2085" t="s">
        <v>11316</v>
      </c>
      <c r="B2085" t="s">
        <v>13</v>
      </c>
      <c r="C2085" t="s">
        <v>11304</v>
      </c>
      <c r="D2085" t="s">
        <v>11317</v>
      </c>
      <c r="E2085" t="s">
        <v>667</v>
      </c>
      <c r="F2085" t="s">
        <v>57</v>
      </c>
      <c r="G2085" t="s">
        <v>11318</v>
      </c>
      <c r="H2085" t="s">
        <v>1090</v>
      </c>
      <c r="I2085" t="s">
        <v>19</v>
      </c>
      <c r="J2085" s="3" t="s">
        <v>10941</v>
      </c>
      <c r="K2085" t="s">
        <v>11319</v>
      </c>
      <c r="L2085" t="s">
        <v>1092</v>
      </c>
      <c r="M2085" t="s">
        <v>57</v>
      </c>
    </row>
    <row r="2086" spans="1:13" x14ac:dyDescent="0.25">
      <c r="A2086" t="s">
        <v>10938</v>
      </c>
      <c r="B2086" t="s">
        <v>13</v>
      </c>
      <c r="C2086" t="s">
        <v>10921</v>
      </c>
      <c r="D2086" t="s">
        <v>10939</v>
      </c>
      <c r="E2086" t="s">
        <v>667</v>
      </c>
      <c r="F2086" t="s">
        <v>57</v>
      </c>
      <c r="G2086" t="s">
        <v>10940</v>
      </c>
      <c r="H2086" t="s">
        <v>1090</v>
      </c>
      <c r="I2086" t="s">
        <v>19</v>
      </c>
      <c r="J2086" s="3" t="s">
        <v>10941</v>
      </c>
      <c r="K2086" t="s">
        <v>10942</v>
      </c>
      <c r="L2086" t="s">
        <v>1092</v>
      </c>
      <c r="M2086" t="s">
        <v>57</v>
      </c>
    </row>
    <row r="2087" spans="1:13" x14ac:dyDescent="0.25">
      <c r="A2087" t="s">
        <v>20348</v>
      </c>
      <c r="B2087" t="s">
        <v>13</v>
      </c>
      <c r="C2087" t="s">
        <v>20322</v>
      </c>
      <c r="D2087" t="s">
        <v>20349</v>
      </c>
      <c r="E2087" t="s">
        <v>667</v>
      </c>
      <c r="F2087" t="s">
        <v>117</v>
      </c>
      <c r="G2087" t="s">
        <v>3772</v>
      </c>
      <c r="H2087" t="s">
        <v>53</v>
      </c>
      <c r="I2087" t="s">
        <v>19</v>
      </c>
      <c r="J2087" s="3">
        <f>55-38-3532-1200</f>
        <v>-4715</v>
      </c>
      <c r="K2087" t="s">
        <v>3773</v>
      </c>
      <c r="L2087" t="s">
        <v>56</v>
      </c>
      <c r="M2087" t="s">
        <v>32145</v>
      </c>
    </row>
    <row r="2088" spans="1:13" x14ac:dyDescent="0.25">
      <c r="A2088" t="s">
        <v>3771</v>
      </c>
      <c r="B2088" t="s">
        <v>13</v>
      </c>
      <c r="C2088" t="s">
        <v>3747</v>
      </c>
      <c r="D2088" t="s">
        <v>32135</v>
      </c>
      <c r="E2088" t="s">
        <v>667</v>
      </c>
      <c r="F2088" t="s">
        <v>117</v>
      </c>
      <c r="G2088" t="s">
        <v>3772</v>
      </c>
      <c r="H2088" t="s">
        <v>53</v>
      </c>
      <c r="I2088" t="s">
        <v>19</v>
      </c>
      <c r="J2088" s="3">
        <f>55-38-3532-1200</f>
        <v>-4715</v>
      </c>
      <c r="K2088" t="s">
        <v>3773</v>
      </c>
      <c r="L2088" t="s">
        <v>56</v>
      </c>
      <c r="M2088" t="s">
        <v>32145</v>
      </c>
    </row>
    <row r="2089" spans="1:13" x14ac:dyDescent="0.25">
      <c r="A2089" t="s">
        <v>7438</v>
      </c>
      <c r="B2089" t="s">
        <v>13</v>
      </c>
      <c r="C2089" t="s">
        <v>7041</v>
      </c>
      <c r="D2089" t="s">
        <v>7439</v>
      </c>
      <c r="E2089" t="s">
        <v>667</v>
      </c>
      <c r="F2089" t="s">
        <v>667</v>
      </c>
      <c r="G2089" t="s">
        <v>7440</v>
      </c>
      <c r="H2089" t="s">
        <v>36</v>
      </c>
      <c r="I2089" t="s">
        <v>19</v>
      </c>
      <c r="J2089" s="3">
        <f>551155764848 - 2756</f>
        <v>551155762092</v>
      </c>
      <c r="K2089" t="s">
        <v>7441</v>
      </c>
      <c r="L2089" t="s">
        <v>439</v>
      </c>
      <c r="M2089" t="s">
        <v>57</v>
      </c>
    </row>
    <row r="2090" spans="1:13" x14ac:dyDescent="0.25">
      <c r="A2090" t="s">
        <v>1806</v>
      </c>
      <c r="B2090" t="s">
        <v>13</v>
      </c>
      <c r="C2090" s="1">
        <v>44722</v>
      </c>
      <c r="D2090" t="s">
        <v>1807</v>
      </c>
      <c r="E2090" t="s">
        <v>667</v>
      </c>
      <c r="F2090" t="s">
        <v>1808</v>
      </c>
      <c r="G2090" t="s">
        <v>1809</v>
      </c>
      <c r="H2090" t="s">
        <v>195</v>
      </c>
      <c r="I2090" t="s">
        <v>19</v>
      </c>
      <c r="J2090" s="3" t="s">
        <v>1810</v>
      </c>
      <c r="K2090" t="s">
        <v>1811</v>
      </c>
      <c r="L2090" t="s">
        <v>1606</v>
      </c>
      <c r="M2090" t="s">
        <v>57</v>
      </c>
    </row>
    <row r="2091" spans="1:13" x14ac:dyDescent="0.25">
      <c r="A2091" t="s">
        <v>22109</v>
      </c>
      <c r="B2091" t="s">
        <v>13</v>
      </c>
      <c r="C2091" s="1">
        <v>43103</v>
      </c>
      <c r="D2091" t="s">
        <v>22110</v>
      </c>
      <c r="E2091" t="s">
        <v>667</v>
      </c>
      <c r="F2091" t="s">
        <v>2036</v>
      </c>
      <c r="G2091" t="s">
        <v>22111</v>
      </c>
      <c r="H2091" t="s">
        <v>1656</v>
      </c>
      <c r="I2091" t="s">
        <v>19</v>
      </c>
      <c r="J2091" s="3" t="s">
        <v>22112</v>
      </c>
      <c r="K2091" t="s">
        <v>22113</v>
      </c>
      <c r="L2091" t="s">
        <v>1658</v>
      </c>
      <c r="M2091" t="s">
        <v>57</v>
      </c>
    </row>
    <row r="2092" spans="1:13" x14ac:dyDescent="0.25">
      <c r="A2092" t="s">
        <v>28440</v>
      </c>
      <c r="B2092" t="s">
        <v>13</v>
      </c>
      <c r="C2092" t="s">
        <v>21712</v>
      </c>
      <c r="D2092" t="s">
        <v>28441</v>
      </c>
      <c r="E2092" t="s">
        <v>667</v>
      </c>
      <c r="F2092" t="s">
        <v>2036</v>
      </c>
      <c r="G2092" t="s">
        <v>10106</v>
      </c>
      <c r="H2092" t="s">
        <v>114</v>
      </c>
      <c r="I2092" t="s">
        <v>19</v>
      </c>
      <c r="J2092" s="3" t="s">
        <v>24902</v>
      </c>
      <c r="K2092" t="s">
        <v>24903</v>
      </c>
      <c r="L2092" t="s">
        <v>82</v>
      </c>
      <c r="M2092" t="s">
        <v>57</v>
      </c>
    </row>
    <row r="2093" spans="1:13" x14ac:dyDescent="0.25">
      <c r="A2093" t="s">
        <v>24900</v>
      </c>
      <c r="B2093" t="s">
        <v>13</v>
      </c>
      <c r="C2093" t="s">
        <v>17925</v>
      </c>
      <c r="D2093" t="s">
        <v>24901</v>
      </c>
      <c r="E2093" t="s">
        <v>667</v>
      </c>
      <c r="F2093" t="s">
        <v>2036</v>
      </c>
      <c r="G2093" t="s">
        <v>10106</v>
      </c>
      <c r="H2093" t="s">
        <v>114</v>
      </c>
      <c r="I2093" t="s">
        <v>19</v>
      </c>
      <c r="J2093" s="3" t="s">
        <v>24902</v>
      </c>
      <c r="K2093" t="s">
        <v>24903</v>
      </c>
      <c r="L2093" t="s">
        <v>82</v>
      </c>
      <c r="M2093" t="s">
        <v>57</v>
      </c>
    </row>
    <row r="2094" spans="1:13" x14ac:dyDescent="0.25">
      <c r="A2094" t="s">
        <v>25542</v>
      </c>
      <c r="B2094" t="s">
        <v>13</v>
      </c>
      <c r="C2094" s="1">
        <v>42622</v>
      </c>
      <c r="D2094" t="s">
        <v>25543</v>
      </c>
      <c r="E2094" t="s">
        <v>667</v>
      </c>
      <c r="F2094" t="s">
        <v>2036</v>
      </c>
      <c r="G2094" t="s">
        <v>3772</v>
      </c>
      <c r="H2094" t="s">
        <v>53</v>
      </c>
      <c r="I2094" t="s">
        <v>19</v>
      </c>
      <c r="J2094" s="3" t="s">
        <v>25544</v>
      </c>
      <c r="K2094" t="s">
        <v>3773</v>
      </c>
      <c r="L2094" t="s">
        <v>56</v>
      </c>
      <c r="M2094" t="s">
        <v>57</v>
      </c>
    </row>
    <row r="2095" spans="1:13" x14ac:dyDescent="0.25">
      <c r="A2095" t="s">
        <v>28066</v>
      </c>
      <c r="B2095" t="s">
        <v>13</v>
      </c>
      <c r="C2095" s="1">
        <v>42041</v>
      </c>
      <c r="D2095" t="s">
        <v>28067</v>
      </c>
      <c r="E2095" t="s">
        <v>933</v>
      </c>
      <c r="F2095" t="s">
        <v>2036</v>
      </c>
      <c r="G2095" t="s">
        <v>13008</v>
      </c>
      <c r="H2095" t="s">
        <v>265</v>
      </c>
      <c r="I2095" t="s">
        <v>19</v>
      </c>
      <c r="J2095" s="3" t="s">
        <v>28068</v>
      </c>
      <c r="K2095" t="s">
        <v>13010</v>
      </c>
      <c r="L2095" t="s">
        <v>13011</v>
      </c>
      <c r="M2095" t="s">
        <v>57</v>
      </c>
    </row>
    <row r="2096" spans="1:13" x14ac:dyDescent="0.25">
      <c r="A2096" t="s">
        <v>6305</v>
      </c>
      <c r="B2096" t="s">
        <v>13</v>
      </c>
      <c r="C2096" t="s">
        <v>4185</v>
      </c>
      <c r="D2096" t="s">
        <v>32135</v>
      </c>
      <c r="E2096" t="s">
        <v>667</v>
      </c>
      <c r="F2096" t="s">
        <v>2036</v>
      </c>
      <c r="G2096" t="s">
        <v>5330</v>
      </c>
      <c r="H2096" t="s">
        <v>1027</v>
      </c>
      <c r="I2096" t="s">
        <v>19</v>
      </c>
      <c r="J2096" s="3" t="s">
        <v>5331</v>
      </c>
      <c r="K2096" t="s">
        <v>5332</v>
      </c>
      <c r="L2096" t="s">
        <v>32135</v>
      </c>
      <c r="M2096" t="s">
        <v>57</v>
      </c>
    </row>
    <row r="2097" spans="1:13" x14ac:dyDescent="0.25">
      <c r="A2097" t="s">
        <v>23051</v>
      </c>
      <c r="B2097" t="s">
        <v>13</v>
      </c>
      <c r="C2097" t="s">
        <v>12029</v>
      </c>
      <c r="D2097" t="s">
        <v>23052</v>
      </c>
      <c r="E2097" t="s">
        <v>667</v>
      </c>
      <c r="F2097" t="s">
        <v>2036</v>
      </c>
      <c r="G2097" t="s">
        <v>23053</v>
      </c>
      <c r="H2097" t="s">
        <v>53</v>
      </c>
      <c r="I2097" t="s">
        <v>19</v>
      </c>
      <c r="J2097" s="3" t="s">
        <v>13100</v>
      </c>
      <c r="K2097" t="s">
        <v>23054</v>
      </c>
      <c r="L2097" t="s">
        <v>56</v>
      </c>
      <c r="M2097" t="s">
        <v>57</v>
      </c>
    </row>
    <row r="2098" spans="1:13" x14ac:dyDescent="0.25">
      <c r="A2098" t="s">
        <v>26232</v>
      </c>
      <c r="B2098" t="s">
        <v>13</v>
      </c>
      <c r="C2098" t="s">
        <v>26233</v>
      </c>
      <c r="D2098" t="s">
        <v>26234</v>
      </c>
      <c r="E2098" t="s">
        <v>667</v>
      </c>
      <c r="F2098" t="s">
        <v>2036</v>
      </c>
      <c r="G2098" t="s">
        <v>16913</v>
      </c>
      <c r="H2098" t="s">
        <v>26235</v>
      </c>
      <c r="I2098" t="s">
        <v>19</v>
      </c>
      <c r="J2098" s="3" t="s">
        <v>26236</v>
      </c>
      <c r="K2098" t="s">
        <v>16916</v>
      </c>
      <c r="L2098" t="s">
        <v>3966</v>
      </c>
      <c r="M2098" t="s">
        <v>57</v>
      </c>
    </row>
    <row r="2099" spans="1:13" x14ac:dyDescent="0.25">
      <c r="A2099" t="s">
        <v>9576</v>
      </c>
      <c r="B2099" t="s">
        <v>13</v>
      </c>
      <c r="C2099" t="s">
        <v>5619</v>
      </c>
      <c r="D2099" t="s">
        <v>9577</v>
      </c>
      <c r="E2099" t="s">
        <v>667</v>
      </c>
      <c r="F2099" t="s">
        <v>934</v>
      </c>
      <c r="G2099" t="s">
        <v>9290</v>
      </c>
      <c r="H2099" t="s">
        <v>428</v>
      </c>
      <c r="I2099" t="s">
        <v>19</v>
      </c>
      <c r="J2099" s="3">
        <f>55-51-996412212</f>
        <v>-996412208</v>
      </c>
      <c r="K2099" t="s">
        <v>9291</v>
      </c>
      <c r="L2099" t="s">
        <v>9145</v>
      </c>
      <c r="M2099" t="s">
        <v>57</v>
      </c>
    </row>
    <row r="2100" spans="1:13" x14ac:dyDescent="0.25">
      <c r="A2100" t="s">
        <v>8747</v>
      </c>
      <c r="B2100" t="s">
        <v>13</v>
      </c>
      <c r="C2100" t="s">
        <v>8748</v>
      </c>
      <c r="D2100" t="s">
        <v>8749</v>
      </c>
      <c r="E2100" t="s">
        <v>667</v>
      </c>
      <c r="F2100" t="s">
        <v>2036</v>
      </c>
      <c r="G2100" t="s">
        <v>8750</v>
      </c>
      <c r="H2100" t="s">
        <v>114</v>
      </c>
      <c r="I2100" t="s">
        <v>19</v>
      </c>
      <c r="J2100" s="3">
        <f>55-79-999797401</f>
        <v>-999797425</v>
      </c>
      <c r="K2100" t="s">
        <v>8751</v>
      </c>
      <c r="L2100" t="s">
        <v>82</v>
      </c>
      <c r="M2100" t="s">
        <v>57</v>
      </c>
    </row>
    <row r="2101" spans="1:13" x14ac:dyDescent="0.25">
      <c r="A2101" t="s">
        <v>4035</v>
      </c>
      <c r="B2101" t="s">
        <v>13</v>
      </c>
      <c r="C2101" t="s">
        <v>4036</v>
      </c>
      <c r="D2101" t="s">
        <v>4037</v>
      </c>
      <c r="E2101" t="s">
        <v>667</v>
      </c>
      <c r="F2101" t="s">
        <v>934</v>
      </c>
      <c r="G2101" t="s">
        <v>4038</v>
      </c>
      <c r="H2101" t="s">
        <v>4039</v>
      </c>
      <c r="I2101" t="s">
        <v>19</v>
      </c>
      <c r="J2101" s="3" t="s">
        <v>4040</v>
      </c>
      <c r="K2101" t="s">
        <v>4041</v>
      </c>
      <c r="L2101" t="s">
        <v>4042</v>
      </c>
      <c r="M2101" t="s">
        <v>57</v>
      </c>
    </row>
    <row r="2102" spans="1:13" x14ac:dyDescent="0.25">
      <c r="A2102" t="s">
        <v>1640</v>
      </c>
      <c r="B2102" t="s">
        <v>13</v>
      </c>
      <c r="C2102" t="s">
        <v>1627</v>
      </c>
      <c r="D2102" t="s">
        <v>1641</v>
      </c>
      <c r="E2102" t="s">
        <v>667</v>
      </c>
      <c r="F2102" t="s">
        <v>934</v>
      </c>
      <c r="G2102" t="s">
        <v>1642</v>
      </c>
      <c r="H2102" t="s">
        <v>489</v>
      </c>
      <c r="I2102" t="s">
        <v>19</v>
      </c>
      <c r="J2102" s="3" t="s">
        <v>1643</v>
      </c>
      <c r="K2102" t="s">
        <v>1644</v>
      </c>
      <c r="L2102" t="s">
        <v>625</v>
      </c>
      <c r="M2102" t="s">
        <v>57</v>
      </c>
    </row>
    <row r="2103" spans="1:13" x14ac:dyDescent="0.25">
      <c r="A2103" t="s">
        <v>4950</v>
      </c>
      <c r="B2103" t="s">
        <v>13</v>
      </c>
      <c r="C2103" t="s">
        <v>1387</v>
      </c>
      <c r="D2103" t="s">
        <v>32135</v>
      </c>
      <c r="E2103" t="s">
        <v>667</v>
      </c>
      <c r="F2103" t="s">
        <v>1025</v>
      </c>
      <c r="G2103" t="s">
        <v>4951</v>
      </c>
      <c r="H2103" t="s">
        <v>489</v>
      </c>
      <c r="I2103" t="s">
        <v>19</v>
      </c>
      <c r="J2103" s="3" t="s">
        <v>4952</v>
      </c>
      <c r="K2103" t="s">
        <v>4953</v>
      </c>
      <c r="L2103" t="s">
        <v>32135</v>
      </c>
      <c r="M2103" t="s">
        <v>57</v>
      </c>
    </row>
    <row r="2104" spans="1:13" x14ac:dyDescent="0.25">
      <c r="A2104" t="s">
        <v>1022</v>
      </c>
      <c r="B2104" t="s">
        <v>13</v>
      </c>
      <c r="C2104" t="s">
        <v>1023</v>
      </c>
      <c r="D2104" t="s">
        <v>1024</v>
      </c>
      <c r="E2104" t="s">
        <v>667</v>
      </c>
      <c r="F2104" t="s">
        <v>1025</v>
      </c>
      <c r="G2104" t="s">
        <v>1026</v>
      </c>
      <c r="H2104" t="s">
        <v>1027</v>
      </c>
      <c r="I2104" t="s">
        <v>19</v>
      </c>
      <c r="J2104" s="3" t="s">
        <v>1028</v>
      </c>
      <c r="K2104" t="s">
        <v>1029</v>
      </c>
      <c r="L2104" t="s">
        <v>1030</v>
      </c>
      <c r="M2104" t="s">
        <v>57</v>
      </c>
    </row>
    <row r="2105" spans="1:13" x14ac:dyDescent="0.25">
      <c r="A2105" t="s">
        <v>1318</v>
      </c>
      <c r="B2105" t="s">
        <v>13</v>
      </c>
      <c r="C2105" t="s">
        <v>1319</v>
      </c>
      <c r="D2105" t="s">
        <v>1320</v>
      </c>
      <c r="E2105" t="s">
        <v>667</v>
      </c>
      <c r="F2105" t="s">
        <v>1321</v>
      </c>
      <c r="G2105" t="s">
        <v>1322</v>
      </c>
      <c r="H2105" t="s">
        <v>28</v>
      </c>
      <c r="I2105" t="s">
        <v>19</v>
      </c>
      <c r="J2105" s="3" t="s">
        <v>1323</v>
      </c>
      <c r="K2105" t="s">
        <v>1324</v>
      </c>
      <c r="L2105" t="s">
        <v>923</v>
      </c>
      <c r="M2105" t="s">
        <v>57</v>
      </c>
    </row>
    <row r="2106" spans="1:13" x14ac:dyDescent="0.25">
      <c r="A2106" t="s">
        <v>3154</v>
      </c>
      <c r="B2106" t="s">
        <v>13</v>
      </c>
      <c r="C2106" s="1">
        <v>44658</v>
      </c>
      <c r="D2106" t="s">
        <v>3155</v>
      </c>
      <c r="E2106" t="s">
        <v>667</v>
      </c>
      <c r="F2106" t="s">
        <v>160</v>
      </c>
      <c r="G2106" t="s">
        <v>3156</v>
      </c>
      <c r="H2106" t="s">
        <v>1047</v>
      </c>
      <c r="I2106" t="s">
        <v>19</v>
      </c>
      <c r="J2106" s="3">
        <v>552731341505</v>
      </c>
      <c r="K2106" t="s">
        <v>3157</v>
      </c>
      <c r="L2106" t="s">
        <v>3158</v>
      </c>
      <c r="M2106" t="s">
        <v>57</v>
      </c>
    </row>
    <row r="2107" spans="1:13" x14ac:dyDescent="0.25">
      <c r="A2107" t="s">
        <v>22972</v>
      </c>
      <c r="B2107" t="s">
        <v>13</v>
      </c>
      <c r="C2107" t="s">
        <v>8017</v>
      </c>
      <c r="D2107" t="s">
        <v>22973</v>
      </c>
      <c r="E2107" t="s">
        <v>667</v>
      </c>
      <c r="F2107" t="s">
        <v>1464</v>
      </c>
      <c r="G2107" t="s">
        <v>22974</v>
      </c>
      <c r="H2107" t="s">
        <v>1027</v>
      </c>
      <c r="I2107" t="s">
        <v>19</v>
      </c>
      <c r="J2107" s="3" t="s">
        <v>22975</v>
      </c>
      <c r="K2107" t="s">
        <v>16586</v>
      </c>
      <c r="L2107" t="s">
        <v>1030</v>
      </c>
      <c r="M2107" t="s">
        <v>57</v>
      </c>
    </row>
    <row r="2108" spans="1:13" x14ac:dyDescent="0.25">
      <c r="A2108" t="s">
        <v>13702</v>
      </c>
      <c r="B2108" t="s">
        <v>13</v>
      </c>
      <c r="C2108" s="1">
        <v>44014</v>
      </c>
      <c r="D2108" t="s">
        <v>13703</v>
      </c>
      <c r="E2108" t="s">
        <v>667</v>
      </c>
      <c r="F2108" t="s">
        <v>1464</v>
      </c>
      <c r="G2108" t="s">
        <v>13704</v>
      </c>
      <c r="H2108" t="s">
        <v>36</v>
      </c>
      <c r="I2108" t="s">
        <v>19</v>
      </c>
      <c r="J2108" s="3">
        <f>55-11-3061-7000</f>
        <v>-10017</v>
      </c>
      <c r="K2108" t="s">
        <v>13705</v>
      </c>
      <c r="L2108" t="s">
        <v>328</v>
      </c>
      <c r="M2108" t="s">
        <v>57</v>
      </c>
    </row>
    <row r="2109" spans="1:13" x14ac:dyDescent="0.25">
      <c r="A2109" t="s">
        <v>13331</v>
      </c>
      <c r="B2109" t="s">
        <v>13</v>
      </c>
      <c r="C2109" t="s">
        <v>5232</v>
      </c>
      <c r="D2109" t="s">
        <v>13332</v>
      </c>
      <c r="E2109" t="s">
        <v>933</v>
      </c>
      <c r="F2109" t="s">
        <v>1464</v>
      </c>
      <c r="G2109" t="s">
        <v>3839</v>
      </c>
      <c r="H2109" t="s">
        <v>1466</v>
      </c>
      <c r="I2109" t="s">
        <v>19</v>
      </c>
      <c r="J2109" s="3" t="s">
        <v>10770</v>
      </c>
      <c r="K2109" t="s">
        <v>3842</v>
      </c>
      <c r="L2109" t="s">
        <v>13333</v>
      </c>
      <c r="M2109" t="s">
        <v>57</v>
      </c>
    </row>
    <row r="2110" spans="1:13" x14ac:dyDescent="0.25">
      <c r="A2110" t="s">
        <v>10326</v>
      </c>
      <c r="B2110" t="s">
        <v>13</v>
      </c>
      <c r="C2110" t="s">
        <v>10327</v>
      </c>
      <c r="D2110" t="s">
        <v>10328</v>
      </c>
      <c r="E2110" t="s">
        <v>667</v>
      </c>
      <c r="F2110" t="s">
        <v>1464</v>
      </c>
      <c r="G2110" t="s">
        <v>10329</v>
      </c>
      <c r="H2110" t="s">
        <v>195</v>
      </c>
      <c r="I2110" t="s">
        <v>19</v>
      </c>
      <c r="J2110" s="3">
        <f>55-16-3306-6667</f>
        <v>-9934</v>
      </c>
      <c r="K2110" t="s">
        <v>196</v>
      </c>
      <c r="L2110" t="s">
        <v>197</v>
      </c>
      <c r="M2110" t="s">
        <v>57</v>
      </c>
    </row>
    <row r="2111" spans="1:13" x14ac:dyDescent="0.25">
      <c r="A2111" t="s">
        <v>30012</v>
      </c>
      <c r="B2111" t="s">
        <v>13</v>
      </c>
      <c r="C2111" t="s">
        <v>14184</v>
      </c>
      <c r="D2111" t="s">
        <v>30013</v>
      </c>
      <c r="E2111" t="s">
        <v>32353</v>
      </c>
      <c r="F2111" t="s">
        <v>1464</v>
      </c>
      <c r="G2111" t="s">
        <v>30014</v>
      </c>
      <c r="H2111" t="s">
        <v>30015</v>
      </c>
      <c r="I2111" t="s">
        <v>19</v>
      </c>
      <c r="J2111" s="3" t="s">
        <v>30016</v>
      </c>
      <c r="K2111" t="s">
        <v>30017</v>
      </c>
      <c r="L2111" t="s">
        <v>91</v>
      </c>
      <c r="M2111" t="s">
        <v>57</v>
      </c>
    </row>
    <row r="2112" spans="1:13" x14ac:dyDescent="0.25">
      <c r="A2112" t="s">
        <v>9216</v>
      </c>
      <c r="B2112" t="s">
        <v>13</v>
      </c>
      <c r="C2112" t="s">
        <v>9217</v>
      </c>
      <c r="D2112" t="s">
        <v>9218</v>
      </c>
      <c r="E2112" s="2" t="s">
        <v>31524</v>
      </c>
      <c r="F2112" t="s">
        <v>1464</v>
      </c>
      <c r="G2112" t="s">
        <v>9219</v>
      </c>
      <c r="H2112" t="s">
        <v>9220</v>
      </c>
      <c r="I2112" t="s">
        <v>19</v>
      </c>
      <c r="J2112" s="3" t="s">
        <v>9221</v>
      </c>
      <c r="K2112" t="s">
        <v>9222</v>
      </c>
      <c r="L2112" t="s">
        <v>9223</v>
      </c>
      <c r="M2112" t="s">
        <v>57</v>
      </c>
    </row>
    <row r="2113" spans="1:13" x14ac:dyDescent="0.25">
      <c r="A2113" t="s">
        <v>29085</v>
      </c>
      <c r="B2113" t="s">
        <v>13</v>
      </c>
      <c r="C2113" t="s">
        <v>29079</v>
      </c>
      <c r="D2113" t="s">
        <v>29086</v>
      </c>
      <c r="E2113" t="s">
        <v>29087</v>
      </c>
      <c r="F2113" t="s">
        <v>2036</v>
      </c>
      <c r="G2113" t="s">
        <v>16913</v>
      </c>
      <c r="H2113" t="s">
        <v>26235</v>
      </c>
      <c r="I2113" t="s">
        <v>19</v>
      </c>
      <c r="J2113" s="3" t="s">
        <v>26236</v>
      </c>
      <c r="K2113" t="s">
        <v>16916</v>
      </c>
      <c r="L2113" t="s">
        <v>3966</v>
      </c>
      <c r="M2113" t="s">
        <v>57</v>
      </c>
    </row>
    <row r="2114" spans="1:13" x14ac:dyDescent="0.25">
      <c r="A2114" t="s">
        <v>18471</v>
      </c>
      <c r="B2114" t="s">
        <v>13</v>
      </c>
      <c r="C2114" t="s">
        <v>18472</v>
      </c>
      <c r="D2114" t="s">
        <v>18473</v>
      </c>
      <c r="E2114" s="2" t="s">
        <v>31202</v>
      </c>
      <c r="F2114" t="s">
        <v>2036</v>
      </c>
      <c r="G2114" t="s">
        <v>5330</v>
      </c>
      <c r="H2114" t="s">
        <v>1027</v>
      </c>
      <c r="I2114" t="s">
        <v>19</v>
      </c>
      <c r="J2114" s="3" t="s">
        <v>5331</v>
      </c>
      <c r="K2114" t="s">
        <v>5332</v>
      </c>
      <c r="L2114" t="s">
        <v>1030</v>
      </c>
      <c r="M2114" t="s">
        <v>57</v>
      </c>
    </row>
    <row r="2115" spans="1:13" x14ac:dyDescent="0.25">
      <c r="A2115" t="s">
        <v>930</v>
      </c>
      <c r="B2115" t="s">
        <v>13</v>
      </c>
      <c r="C2115" t="s">
        <v>931</v>
      </c>
      <c r="D2115" t="s">
        <v>932</v>
      </c>
      <c r="E2115" s="2" t="s">
        <v>30693</v>
      </c>
      <c r="F2115" t="s">
        <v>934</v>
      </c>
      <c r="G2115" t="s">
        <v>935</v>
      </c>
      <c r="H2115" t="s">
        <v>936</v>
      </c>
      <c r="I2115" t="s">
        <v>19</v>
      </c>
      <c r="J2115" s="3" t="s">
        <v>937</v>
      </c>
      <c r="K2115" t="s">
        <v>938</v>
      </c>
      <c r="L2115" t="s">
        <v>939</v>
      </c>
      <c r="M2115" t="s">
        <v>57</v>
      </c>
    </row>
    <row r="2116" spans="1:13" x14ac:dyDescent="0.25">
      <c r="A2116" t="s">
        <v>19201</v>
      </c>
      <c r="B2116" t="s">
        <v>13</v>
      </c>
      <c r="C2116" t="s">
        <v>19197</v>
      </c>
      <c r="D2116" t="s">
        <v>19202</v>
      </c>
      <c r="E2116" s="2" t="s">
        <v>31221</v>
      </c>
      <c r="F2116" t="s">
        <v>2036</v>
      </c>
      <c r="G2116" t="s">
        <v>5330</v>
      </c>
      <c r="H2116" t="s">
        <v>1027</v>
      </c>
      <c r="I2116" t="s">
        <v>19</v>
      </c>
      <c r="J2116" s="3" t="s">
        <v>5331</v>
      </c>
      <c r="K2116" t="s">
        <v>5332</v>
      </c>
      <c r="L2116" t="s">
        <v>1030</v>
      </c>
      <c r="M2116" t="s">
        <v>57</v>
      </c>
    </row>
    <row r="2117" spans="1:13" x14ac:dyDescent="0.25">
      <c r="A2117" t="s">
        <v>17911</v>
      </c>
      <c r="B2117" t="s">
        <v>13</v>
      </c>
      <c r="C2117" s="1">
        <v>43469</v>
      </c>
      <c r="D2117" t="s">
        <v>17912</v>
      </c>
      <c r="E2117" s="2" t="s">
        <v>32099</v>
      </c>
      <c r="F2117" t="s">
        <v>224</v>
      </c>
      <c r="G2117" t="s">
        <v>17913</v>
      </c>
      <c r="H2117" t="s">
        <v>12945</v>
      </c>
      <c r="I2117" t="s">
        <v>19</v>
      </c>
      <c r="J2117" s="3">
        <f>55-79-9863-5760</f>
        <v>-15647</v>
      </c>
      <c r="K2117" t="s">
        <v>17914</v>
      </c>
      <c r="L2117" t="s">
        <v>82</v>
      </c>
      <c r="M2117" t="s">
        <v>32144</v>
      </c>
    </row>
    <row r="2118" spans="1:13" x14ac:dyDescent="0.25">
      <c r="A2118" t="s">
        <v>4494</v>
      </c>
      <c r="B2118" t="s">
        <v>101</v>
      </c>
      <c r="C2118" t="s">
        <v>4495</v>
      </c>
      <c r="D2118" t="s">
        <v>4496</v>
      </c>
      <c r="E2118" s="2" t="s">
        <v>31891</v>
      </c>
      <c r="F2118" t="s">
        <v>667</v>
      </c>
      <c r="G2118" t="s">
        <v>4497</v>
      </c>
      <c r="H2118" t="s">
        <v>4498</v>
      </c>
      <c r="I2118" t="s">
        <v>19</v>
      </c>
      <c r="J2118" s="3">
        <f>55-69-32178900</f>
        <v>-32178914</v>
      </c>
      <c r="K2118" t="s">
        <v>4499</v>
      </c>
      <c r="L2118" t="s">
        <v>4500</v>
      </c>
      <c r="M2118" t="s">
        <v>57</v>
      </c>
    </row>
    <row r="2119" spans="1:13" x14ac:dyDescent="0.25">
      <c r="A2119" t="s">
        <v>12769</v>
      </c>
      <c r="B2119" t="s">
        <v>13</v>
      </c>
      <c r="C2119" s="1">
        <v>43112</v>
      </c>
      <c r="D2119" t="s">
        <v>12770</v>
      </c>
      <c r="E2119" t="s">
        <v>12771</v>
      </c>
      <c r="F2119" t="s">
        <v>57</v>
      </c>
      <c r="G2119" t="s">
        <v>12772</v>
      </c>
      <c r="H2119" t="s">
        <v>489</v>
      </c>
      <c r="I2119" t="s">
        <v>19</v>
      </c>
      <c r="J2119" s="3" t="s">
        <v>12773</v>
      </c>
      <c r="K2119" t="s">
        <v>12774</v>
      </c>
      <c r="L2119" t="s">
        <v>3207</v>
      </c>
      <c r="M2119" t="s">
        <v>57</v>
      </c>
    </row>
    <row r="2120" spans="1:13" x14ac:dyDescent="0.25">
      <c r="A2120" t="s">
        <v>5488</v>
      </c>
      <c r="B2120" t="s">
        <v>13</v>
      </c>
      <c r="C2120" s="1">
        <v>44267</v>
      </c>
      <c r="D2120" t="s">
        <v>5489</v>
      </c>
      <c r="E2120" s="2" t="s">
        <v>31454</v>
      </c>
      <c r="F2120" t="s">
        <v>5490</v>
      </c>
      <c r="G2120" t="s">
        <v>5491</v>
      </c>
      <c r="H2120" t="s">
        <v>489</v>
      </c>
      <c r="I2120" t="s">
        <v>19</v>
      </c>
      <c r="J2120" s="3">
        <v>5541992334050</v>
      </c>
      <c r="K2120" t="s">
        <v>5492</v>
      </c>
      <c r="L2120" t="s">
        <v>32135</v>
      </c>
      <c r="M2120" t="s">
        <v>57</v>
      </c>
    </row>
    <row r="2121" spans="1:13" x14ac:dyDescent="0.25">
      <c r="A2121" t="s">
        <v>10104</v>
      </c>
      <c r="B2121" t="s">
        <v>13</v>
      </c>
      <c r="C2121" t="s">
        <v>8861</v>
      </c>
      <c r="D2121" t="s">
        <v>10105</v>
      </c>
      <c r="E2121" s="2" t="s">
        <v>31715</v>
      </c>
      <c r="F2121" t="s">
        <v>2036</v>
      </c>
      <c r="G2121" t="s">
        <v>10106</v>
      </c>
      <c r="H2121" t="s">
        <v>3618</v>
      </c>
      <c r="I2121" t="s">
        <v>19</v>
      </c>
      <c r="J2121" s="3" t="s">
        <v>10107</v>
      </c>
      <c r="K2121" t="s">
        <v>10108</v>
      </c>
      <c r="L2121" t="s">
        <v>82</v>
      </c>
      <c r="M2121" t="s">
        <v>57</v>
      </c>
    </row>
    <row r="2122" spans="1:13" x14ac:dyDescent="0.25">
      <c r="A2122" t="s">
        <v>14662</v>
      </c>
      <c r="B2122" t="s">
        <v>13</v>
      </c>
      <c r="C2122" s="1">
        <v>43750</v>
      </c>
      <c r="D2122" t="s">
        <v>14663</v>
      </c>
      <c r="E2122" s="2" t="s">
        <v>31104</v>
      </c>
      <c r="F2122" t="s">
        <v>2036</v>
      </c>
      <c r="G2122" t="s">
        <v>5319</v>
      </c>
      <c r="H2122" t="s">
        <v>88</v>
      </c>
      <c r="I2122" t="s">
        <v>19</v>
      </c>
      <c r="J2122" s="3">
        <v>5508433422018</v>
      </c>
      <c r="K2122" t="s">
        <v>14664</v>
      </c>
      <c r="L2122" t="s">
        <v>91</v>
      </c>
      <c r="M2122" t="s">
        <v>57</v>
      </c>
    </row>
    <row r="2123" spans="1:13" x14ac:dyDescent="0.25">
      <c r="A2123" t="s">
        <v>5977</v>
      </c>
      <c r="B2123" t="s">
        <v>13</v>
      </c>
      <c r="C2123" s="1">
        <v>44540</v>
      </c>
      <c r="D2123" t="s">
        <v>32135</v>
      </c>
      <c r="E2123" s="2" t="s">
        <v>30869</v>
      </c>
      <c r="F2123" t="s">
        <v>5978</v>
      </c>
      <c r="G2123" t="s">
        <v>5330</v>
      </c>
      <c r="H2123" t="s">
        <v>1027</v>
      </c>
      <c r="I2123" t="s">
        <v>19</v>
      </c>
      <c r="J2123" s="3" t="s">
        <v>5331</v>
      </c>
      <c r="K2123" t="s">
        <v>5332</v>
      </c>
      <c r="L2123" t="s">
        <v>32135</v>
      </c>
      <c r="M2123" t="s">
        <v>32147</v>
      </c>
    </row>
    <row r="2124" spans="1:13" x14ac:dyDescent="0.25">
      <c r="A2124" t="s">
        <v>30221</v>
      </c>
      <c r="B2124" t="s">
        <v>13</v>
      </c>
      <c r="C2124" t="s">
        <v>30222</v>
      </c>
      <c r="D2124" t="s">
        <v>30223</v>
      </c>
      <c r="E2124" t="s">
        <v>30224</v>
      </c>
      <c r="F2124" t="s">
        <v>2036</v>
      </c>
      <c r="G2124" t="s">
        <v>30225</v>
      </c>
      <c r="H2124" t="s">
        <v>36</v>
      </c>
      <c r="I2124" t="s">
        <v>19</v>
      </c>
      <c r="J2124" s="3" t="s">
        <v>30226</v>
      </c>
      <c r="K2124" t="s">
        <v>30227</v>
      </c>
      <c r="L2124" t="s">
        <v>223</v>
      </c>
      <c r="M2124" t="s">
        <v>57</v>
      </c>
    </row>
    <row r="2125" spans="1:13" x14ac:dyDescent="0.25">
      <c r="A2125" t="s">
        <v>24753</v>
      </c>
      <c r="B2125" t="s">
        <v>13</v>
      </c>
      <c r="C2125" s="1">
        <v>43040</v>
      </c>
      <c r="D2125" t="s">
        <v>24754</v>
      </c>
      <c r="E2125" t="s">
        <v>24755</v>
      </c>
      <c r="F2125" t="s">
        <v>57</v>
      </c>
      <c r="G2125" t="s">
        <v>24756</v>
      </c>
      <c r="H2125" t="s">
        <v>1090</v>
      </c>
      <c r="I2125" t="s">
        <v>19</v>
      </c>
      <c r="J2125" s="3" t="s">
        <v>24757</v>
      </c>
      <c r="K2125" t="s">
        <v>24758</v>
      </c>
      <c r="L2125" t="s">
        <v>1092</v>
      </c>
      <c r="M2125" t="s">
        <v>57</v>
      </c>
    </row>
    <row r="2126" spans="1:13" x14ac:dyDescent="0.25">
      <c r="A2126" t="s">
        <v>10121</v>
      </c>
      <c r="B2126" t="s">
        <v>13</v>
      </c>
      <c r="C2126" t="s">
        <v>8861</v>
      </c>
      <c r="D2126" t="s">
        <v>10122</v>
      </c>
      <c r="E2126" t="s">
        <v>32354</v>
      </c>
      <c r="F2126" t="s">
        <v>337</v>
      </c>
      <c r="G2126" t="s">
        <v>10123</v>
      </c>
      <c r="H2126" t="s">
        <v>428</v>
      </c>
      <c r="I2126" t="s">
        <v>19</v>
      </c>
      <c r="J2126" s="3" t="s">
        <v>10124</v>
      </c>
      <c r="K2126" t="s">
        <v>10125</v>
      </c>
      <c r="L2126" t="s">
        <v>1269</v>
      </c>
      <c r="M2126" t="s">
        <v>57</v>
      </c>
    </row>
    <row r="2127" spans="1:13" x14ac:dyDescent="0.25">
      <c r="A2127" t="s">
        <v>10989</v>
      </c>
      <c r="B2127" t="s">
        <v>13</v>
      </c>
      <c r="C2127" t="s">
        <v>10990</v>
      </c>
      <c r="D2127" t="s">
        <v>10991</v>
      </c>
      <c r="E2127" t="s">
        <v>9720</v>
      </c>
      <c r="F2127" t="s">
        <v>32121</v>
      </c>
      <c r="G2127" t="s">
        <v>9721</v>
      </c>
      <c r="H2127" t="s">
        <v>36</v>
      </c>
      <c r="I2127" t="s">
        <v>19</v>
      </c>
      <c r="J2127" s="3" t="s">
        <v>10992</v>
      </c>
      <c r="K2127" t="s">
        <v>9722</v>
      </c>
      <c r="L2127" t="s">
        <v>9723</v>
      </c>
      <c r="M2127" t="s">
        <v>32121</v>
      </c>
    </row>
    <row r="2128" spans="1:13" x14ac:dyDescent="0.25">
      <c r="A2128" t="s">
        <v>9718</v>
      </c>
      <c r="B2128" t="s">
        <v>13</v>
      </c>
      <c r="C2128" t="s">
        <v>9372</v>
      </c>
      <c r="D2128" t="s">
        <v>9719</v>
      </c>
      <c r="E2128" t="s">
        <v>9720</v>
      </c>
      <c r="F2128" t="s">
        <v>2758</v>
      </c>
      <c r="G2128" t="s">
        <v>9721</v>
      </c>
      <c r="H2128" t="s">
        <v>36</v>
      </c>
      <c r="I2128" t="s">
        <v>19</v>
      </c>
      <c r="J2128" s="3">
        <v>5511973799623</v>
      </c>
      <c r="K2128" t="s">
        <v>9722</v>
      </c>
      <c r="L2128" t="s">
        <v>9723</v>
      </c>
      <c r="M2128" t="s">
        <v>32149</v>
      </c>
    </row>
    <row r="2129" spans="1:13" x14ac:dyDescent="0.25">
      <c r="A2129" t="s">
        <v>23310</v>
      </c>
      <c r="B2129" t="s">
        <v>13</v>
      </c>
      <c r="C2129" t="s">
        <v>23294</v>
      </c>
      <c r="D2129" t="s">
        <v>23311</v>
      </c>
      <c r="E2129" t="s">
        <v>23312</v>
      </c>
      <c r="F2129" t="s">
        <v>1464</v>
      </c>
      <c r="G2129" t="s">
        <v>23313</v>
      </c>
      <c r="H2129" t="s">
        <v>23314</v>
      </c>
      <c r="I2129" t="s">
        <v>19</v>
      </c>
      <c r="J2129" s="3" t="s">
        <v>23315</v>
      </c>
      <c r="K2129" t="s">
        <v>23316</v>
      </c>
      <c r="L2129" t="s">
        <v>23317</v>
      </c>
      <c r="M2129" t="s">
        <v>57</v>
      </c>
    </row>
    <row r="2130" spans="1:13" x14ac:dyDescent="0.25">
      <c r="A2130" t="s">
        <v>23641</v>
      </c>
      <c r="B2130" t="s">
        <v>13</v>
      </c>
      <c r="C2130" t="s">
        <v>8680</v>
      </c>
      <c r="D2130" t="s">
        <v>23642</v>
      </c>
      <c r="E2130" t="s">
        <v>23643</v>
      </c>
      <c r="F2130" t="s">
        <v>1464</v>
      </c>
      <c r="G2130" t="s">
        <v>23644</v>
      </c>
      <c r="H2130" t="s">
        <v>798</v>
      </c>
      <c r="I2130" t="s">
        <v>19</v>
      </c>
      <c r="J2130" s="3">
        <v>5561982201010</v>
      </c>
      <c r="K2130" t="s">
        <v>23645</v>
      </c>
      <c r="L2130" t="s">
        <v>1767</v>
      </c>
      <c r="M2130" t="s">
        <v>57</v>
      </c>
    </row>
    <row r="2131" spans="1:13" x14ac:dyDescent="0.25">
      <c r="A2131" t="s">
        <v>27149</v>
      </c>
      <c r="B2131" t="s">
        <v>13</v>
      </c>
      <c r="C2131" s="1">
        <v>42522</v>
      </c>
      <c r="D2131" t="s">
        <v>27150</v>
      </c>
      <c r="E2131" t="s">
        <v>27151</v>
      </c>
      <c r="F2131" t="s">
        <v>6485</v>
      </c>
      <c r="G2131" t="s">
        <v>27152</v>
      </c>
      <c r="H2131" t="s">
        <v>706</v>
      </c>
      <c r="I2131" t="s">
        <v>19</v>
      </c>
      <c r="J2131" s="3" t="s">
        <v>27153</v>
      </c>
      <c r="K2131" t="s">
        <v>10186</v>
      </c>
      <c r="L2131" t="s">
        <v>10187</v>
      </c>
      <c r="M2131" t="s">
        <v>741</v>
      </c>
    </row>
    <row r="2132" spans="1:13" x14ac:dyDescent="0.25">
      <c r="A2132" t="s">
        <v>24801</v>
      </c>
      <c r="B2132" t="s">
        <v>13</v>
      </c>
      <c r="C2132" s="1">
        <v>42826</v>
      </c>
      <c r="D2132" t="s">
        <v>24802</v>
      </c>
      <c r="E2132" t="s">
        <v>24803</v>
      </c>
      <c r="F2132" t="s">
        <v>432</v>
      </c>
      <c r="G2132" t="s">
        <v>24804</v>
      </c>
      <c r="H2132" t="s">
        <v>36</v>
      </c>
      <c r="I2132" t="s">
        <v>19</v>
      </c>
      <c r="J2132" s="3" t="s">
        <v>24805</v>
      </c>
      <c r="K2132" t="s">
        <v>24806</v>
      </c>
      <c r="L2132" t="s">
        <v>24807</v>
      </c>
      <c r="M2132" t="s">
        <v>432</v>
      </c>
    </row>
    <row r="2133" spans="1:13" x14ac:dyDescent="0.25">
      <c r="A2133" t="s">
        <v>66</v>
      </c>
      <c r="B2133" t="s">
        <v>13</v>
      </c>
      <c r="C2133" s="1">
        <v>44987</v>
      </c>
      <c r="D2133" t="s">
        <v>67</v>
      </c>
      <c r="E2133" t="s">
        <v>68</v>
      </c>
      <c r="F2133" t="s">
        <v>69</v>
      </c>
      <c r="G2133" t="s">
        <v>70</v>
      </c>
      <c r="H2133" t="s">
        <v>71</v>
      </c>
      <c r="I2133" t="s">
        <v>19</v>
      </c>
      <c r="J2133" s="3" t="s">
        <v>72</v>
      </c>
      <c r="K2133" t="s">
        <v>73</v>
      </c>
      <c r="L2133" t="s">
        <v>74</v>
      </c>
      <c r="M2133" t="s">
        <v>32147</v>
      </c>
    </row>
    <row r="2134" spans="1:13" x14ac:dyDescent="0.25">
      <c r="A2134" t="s">
        <v>448</v>
      </c>
      <c r="B2134" t="s">
        <v>13</v>
      </c>
      <c r="C2134" t="s">
        <v>449</v>
      </c>
      <c r="D2134" t="s">
        <v>450</v>
      </c>
      <c r="E2134" t="s">
        <v>451</v>
      </c>
      <c r="F2134" t="s">
        <v>452</v>
      </c>
      <c r="G2134" t="s">
        <v>453</v>
      </c>
      <c r="H2134" t="s">
        <v>255</v>
      </c>
      <c r="I2134" t="s">
        <v>19</v>
      </c>
      <c r="J2134" s="3">
        <v>5562981156040</v>
      </c>
      <c r="K2134" t="s">
        <v>454</v>
      </c>
      <c r="L2134" t="s">
        <v>455</v>
      </c>
      <c r="M2134" t="s">
        <v>224</v>
      </c>
    </row>
    <row r="2135" spans="1:13" x14ac:dyDescent="0.25">
      <c r="A2135" t="s">
        <v>9464</v>
      </c>
      <c r="B2135" t="s">
        <v>13</v>
      </c>
      <c r="C2135" t="s">
        <v>9445</v>
      </c>
      <c r="D2135" t="s">
        <v>9465</v>
      </c>
      <c r="E2135" t="s">
        <v>32355</v>
      </c>
      <c r="F2135" t="s">
        <v>306</v>
      </c>
      <c r="G2135" t="s">
        <v>9466</v>
      </c>
      <c r="H2135" t="s">
        <v>265</v>
      </c>
      <c r="I2135" t="s">
        <v>19</v>
      </c>
      <c r="J2135" s="3">
        <f>55-16-33154413</f>
        <v>-33154374</v>
      </c>
      <c r="K2135" t="s">
        <v>9467</v>
      </c>
      <c r="L2135" t="s">
        <v>1569</v>
      </c>
      <c r="M2135" t="s">
        <v>32145</v>
      </c>
    </row>
    <row r="2136" spans="1:13" x14ac:dyDescent="0.25">
      <c r="A2136" t="s">
        <v>9388</v>
      </c>
      <c r="B2136" t="s">
        <v>13</v>
      </c>
      <c r="C2136" s="1">
        <v>43871</v>
      </c>
      <c r="D2136" t="s">
        <v>9389</v>
      </c>
      <c r="E2136" s="2" t="s">
        <v>32356</v>
      </c>
      <c r="F2136" t="s">
        <v>117</v>
      </c>
      <c r="G2136" t="s">
        <v>9390</v>
      </c>
      <c r="H2136" t="s">
        <v>53</v>
      </c>
      <c r="I2136" t="s">
        <v>19</v>
      </c>
      <c r="J2136" s="3">
        <v>5537999265289</v>
      </c>
      <c r="K2136" t="s">
        <v>9391</v>
      </c>
      <c r="L2136" t="s">
        <v>56</v>
      </c>
      <c r="M2136" t="s">
        <v>32145</v>
      </c>
    </row>
    <row r="2137" spans="1:13" x14ac:dyDescent="0.25">
      <c r="A2137" t="s">
        <v>23893</v>
      </c>
      <c r="B2137" t="s">
        <v>13</v>
      </c>
      <c r="C2137" s="1">
        <v>42743</v>
      </c>
      <c r="D2137" t="s">
        <v>23894</v>
      </c>
      <c r="E2137" t="s">
        <v>23895</v>
      </c>
      <c r="F2137" t="s">
        <v>306</v>
      </c>
      <c r="G2137" t="s">
        <v>23896</v>
      </c>
      <c r="H2137" t="s">
        <v>706</v>
      </c>
      <c r="I2137" t="s">
        <v>19</v>
      </c>
      <c r="J2137" s="3" t="s">
        <v>23897</v>
      </c>
      <c r="K2137" t="s">
        <v>6632</v>
      </c>
      <c r="L2137" t="s">
        <v>3966</v>
      </c>
      <c r="M2137" t="s">
        <v>32145</v>
      </c>
    </row>
    <row r="2138" spans="1:13" x14ac:dyDescent="0.25">
      <c r="A2138" t="s">
        <v>24068</v>
      </c>
      <c r="B2138" t="s">
        <v>13</v>
      </c>
      <c r="C2138" s="1">
        <v>42801</v>
      </c>
      <c r="D2138" t="s">
        <v>24069</v>
      </c>
      <c r="E2138" t="s">
        <v>24070</v>
      </c>
      <c r="F2138" t="s">
        <v>2036</v>
      </c>
      <c r="G2138" t="s">
        <v>24071</v>
      </c>
      <c r="H2138" t="s">
        <v>299</v>
      </c>
      <c r="I2138" t="s">
        <v>19</v>
      </c>
      <c r="J2138" s="3" t="s">
        <v>24072</v>
      </c>
      <c r="K2138" t="s">
        <v>24073</v>
      </c>
      <c r="L2138" t="s">
        <v>2621</v>
      </c>
      <c r="M2138" t="s">
        <v>57</v>
      </c>
    </row>
    <row r="2139" spans="1:13" x14ac:dyDescent="0.25">
      <c r="A2139" t="s">
        <v>25597</v>
      </c>
      <c r="B2139" t="s">
        <v>13</v>
      </c>
      <c r="C2139" s="1">
        <v>42499</v>
      </c>
      <c r="D2139" t="s">
        <v>25598</v>
      </c>
      <c r="E2139" t="s">
        <v>25599</v>
      </c>
      <c r="F2139" t="s">
        <v>1464</v>
      </c>
      <c r="G2139" t="s">
        <v>25600</v>
      </c>
      <c r="H2139" t="s">
        <v>11685</v>
      </c>
      <c r="I2139" t="s">
        <v>19</v>
      </c>
      <c r="J2139" s="3">
        <v>8530678133</v>
      </c>
      <c r="K2139" t="s">
        <v>25601</v>
      </c>
      <c r="L2139" t="s">
        <v>25602</v>
      </c>
      <c r="M2139" t="s">
        <v>32145</v>
      </c>
    </row>
    <row r="2140" spans="1:13" x14ac:dyDescent="0.25">
      <c r="A2140" t="s">
        <v>5635</v>
      </c>
      <c r="B2140" t="s">
        <v>13</v>
      </c>
      <c r="C2140" t="s">
        <v>5630</v>
      </c>
      <c r="D2140" t="s">
        <v>32135</v>
      </c>
      <c r="E2140" t="s">
        <v>5636</v>
      </c>
      <c r="F2140" t="s">
        <v>5637</v>
      </c>
      <c r="G2140" t="s">
        <v>5638</v>
      </c>
      <c r="H2140" t="s">
        <v>1090</v>
      </c>
      <c r="I2140" t="s">
        <v>19</v>
      </c>
      <c r="J2140" s="3" t="s">
        <v>5639</v>
      </c>
      <c r="K2140" t="s">
        <v>5640</v>
      </c>
      <c r="L2140" t="s">
        <v>32135</v>
      </c>
      <c r="M2140" t="s">
        <v>57</v>
      </c>
    </row>
    <row r="2141" spans="1:13" x14ac:dyDescent="0.25">
      <c r="A2141" t="s">
        <v>6778</v>
      </c>
      <c r="B2141" t="s">
        <v>13</v>
      </c>
      <c r="C2141" s="1">
        <v>44294</v>
      </c>
      <c r="D2141" t="s">
        <v>32135</v>
      </c>
      <c r="E2141" s="2" t="s">
        <v>30907</v>
      </c>
      <c r="F2141" t="s">
        <v>6779</v>
      </c>
      <c r="G2141" t="s">
        <v>6780</v>
      </c>
      <c r="H2141" t="s">
        <v>150</v>
      </c>
      <c r="I2141" t="s">
        <v>19</v>
      </c>
      <c r="J2141" s="3">
        <f>55-11-963167080</f>
        <v>-963167036</v>
      </c>
      <c r="K2141" t="s">
        <v>6781</v>
      </c>
      <c r="L2141" t="s">
        <v>32135</v>
      </c>
      <c r="M2141" t="s">
        <v>792</v>
      </c>
    </row>
    <row r="2142" spans="1:13" x14ac:dyDescent="0.25">
      <c r="A2142" t="s">
        <v>15224</v>
      </c>
      <c r="B2142" t="s">
        <v>13</v>
      </c>
      <c r="C2142" t="s">
        <v>303</v>
      </c>
      <c r="D2142" t="s">
        <v>15225</v>
      </c>
      <c r="E2142" s="2" t="s">
        <v>31579</v>
      </c>
      <c r="F2142" t="s">
        <v>2036</v>
      </c>
      <c r="G2142" t="s">
        <v>15226</v>
      </c>
      <c r="H2142" t="s">
        <v>15227</v>
      </c>
      <c r="I2142" t="s">
        <v>19</v>
      </c>
      <c r="J2142" s="3">
        <f>55-51-35868800</f>
        <v>-35868796</v>
      </c>
      <c r="K2142" t="s">
        <v>15228</v>
      </c>
      <c r="L2142" t="s">
        <v>15229</v>
      </c>
      <c r="M2142" t="s">
        <v>57</v>
      </c>
    </row>
    <row r="2143" spans="1:13" x14ac:dyDescent="0.25">
      <c r="A2143" t="s">
        <v>16208</v>
      </c>
      <c r="B2143" t="s">
        <v>13</v>
      </c>
      <c r="C2143" t="s">
        <v>7715</v>
      </c>
      <c r="D2143" t="s">
        <v>16209</v>
      </c>
      <c r="E2143" t="s">
        <v>16210</v>
      </c>
      <c r="F2143" t="s">
        <v>9969</v>
      </c>
      <c r="G2143" t="s">
        <v>4862</v>
      </c>
      <c r="H2143" t="s">
        <v>540</v>
      </c>
      <c r="I2143" t="s">
        <v>19</v>
      </c>
      <c r="J2143" s="3" t="s">
        <v>4863</v>
      </c>
      <c r="K2143" t="s">
        <v>4864</v>
      </c>
      <c r="L2143" t="s">
        <v>1531</v>
      </c>
      <c r="M2143" t="s">
        <v>32149</v>
      </c>
    </row>
    <row r="2144" spans="1:13" x14ac:dyDescent="0.25">
      <c r="A2144" t="s">
        <v>17824</v>
      </c>
      <c r="B2144" t="s">
        <v>13</v>
      </c>
      <c r="C2144" s="1">
        <v>43803</v>
      </c>
      <c r="D2144" t="s">
        <v>17825</v>
      </c>
      <c r="E2144" t="s">
        <v>17826</v>
      </c>
      <c r="F2144" t="s">
        <v>9969</v>
      </c>
      <c r="G2144" t="s">
        <v>17827</v>
      </c>
      <c r="H2144" t="s">
        <v>428</v>
      </c>
      <c r="I2144" t="s">
        <v>19</v>
      </c>
      <c r="J2144" s="3">
        <f>55-51-981353595</f>
        <v>-981353591</v>
      </c>
      <c r="K2144" t="s">
        <v>17828</v>
      </c>
      <c r="L2144" t="s">
        <v>1295</v>
      </c>
      <c r="M2144" t="s">
        <v>32149</v>
      </c>
    </row>
    <row r="2145" spans="1:13" x14ac:dyDescent="0.25">
      <c r="A2145" t="s">
        <v>21304</v>
      </c>
      <c r="B2145" t="s">
        <v>13</v>
      </c>
      <c r="C2145" t="s">
        <v>21296</v>
      </c>
      <c r="D2145" t="s">
        <v>21305</v>
      </c>
      <c r="E2145" s="2" t="s">
        <v>32044</v>
      </c>
      <c r="F2145" t="s">
        <v>337</v>
      </c>
      <c r="G2145" t="s">
        <v>1064</v>
      </c>
      <c r="H2145" t="s">
        <v>36</v>
      </c>
      <c r="I2145" t="s">
        <v>19</v>
      </c>
      <c r="J2145" s="3">
        <f>55-11-26488172</f>
        <v>-26488128</v>
      </c>
      <c r="K2145" t="s">
        <v>1066</v>
      </c>
      <c r="L2145" t="s">
        <v>3512</v>
      </c>
      <c r="M2145" t="s">
        <v>337</v>
      </c>
    </row>
    <row r="2146" spans="1:13" x14ac:dyDescent="0.25">
      <c r="A2146" t="s">
        <v>18945</v>
      </c>
      <c r="B2146" t="s">
        <v>13</v>
      </c>
      <c r="C2146" t="s">
        <v>12154</v>
      </c>
      <c r="D2146" t="s">
        <v>18946</v>
      </c>
      <c r="E2146" s="2" t="s">
        <v>31771</v>
      </c>
      <c r="F2146" t="s">
        <v>2036</v>
      </c>
      <c r="G2146" t="s">
        <v>18948</v>
      </c>
      <c r="H2146" t="s">
        <v>1486</v>
      </c>
      <c r="I2146" t="s">
        <v>19</v>
      </c>
      <c r="J2146" s="3" t="s">
        <v>18949</v>
      </c>
      <c r="K2146" t="s">
        <v>18950</v>
      </c>
      <c r="L2146" t="s">
        <v>1489</v>
      </c>
      <c r="M2146" t="s">
        <v>57</v>
      </c>
    </row>
    <row r="2147" spans="1:13" x14ac:dyDescent="0.25">
      <c r="A2147" t="s">
        <v>13267</v>
      </c>
      <c r="B2147" t="s">
        <v>13</v>
      </c>
      <c r="C2147" s="1">
        <v>43864</v>
      </c>
      <c r="D2147" t="s">
        <v>13268</v>
      </c>
      <c r="E2147" s="2" t="s">
        <v>31804</v>
      </c>
      <c r="F2147" t="s">
        <v>57</v>
      </c>
      <c r="G2147" t="s">
        <v>13269</v>
      </c>
      <c r="H2147" t="s">
        <v>299</v>
      </c>
      <c r="I2147" t="s">
        <v>19</v>
      </c>
      <c r="J2147" s="3">
        <v>1438801001</v>
      </c>
      <c r="K2147" t="s">
        <v>13270</v>
      </c>
      <c r="L2147" t="s">
        <v>13271</v>
      </c>
      <c r="M2147" t="s">
        <v>57</v>
      </c>
    </row>
    <row r="2148" spans="1:13" x14ac:dyDescent="0.25">
      <c r="A2148" t="s">
        <v>18695</v>
      </c>
      <c r="B2148" t="s">
        <v>101</v>
      </c>
      <c r="C2148" t="s">
        <v>5288</v>
      </c>
      <c r="D2148" t="s">
        <v>18696</v>
      </c>
      <c r="E2148" s="2" t="s">
        <v>31208</v>
      </c>
      <c r="F2148" t="s">
        <v>6686</v>
      </c>
      <c r="G2148" t="s">
        <v>18697</v>
      </c>
      <c r="H2148" t="s">
        <v>170</v>
      </c>
      <c r="I2148" t="s">
        <v>19</v>
      </c>
      <c r="J2148" s="3">
        <v>551239479403</v>
      </c>
      <c r="K2148" t="s">
        <v>18698</v>
      </c>
      <c r="L2148" t="s">
        <v>18699</v>
      </c>
      <c r="M2148" t="s">
        <v>337</v>
      </c>
    </row>
    <row r="2149" spans="1:13" x14ac:dyDescent="0.25">
      <c r="A2149" t="s">
        <v>15031</v>
      </c>
      <c r="B2149" t="s">
        <v>13</v>
      </c>
      <c r="C2149" t="s">
        <v>6701</v>
      </c>
      <c r="D2149" t="s">
        <v>15032</v>
      </c>
      <c r="E2149" t="s">
        <v>15033</v>
      </c>
      <c r="F2149" t="s">
        <v>2758</v>
      </c>
      <c r="G2149" t="s">
        <v>15034</v>
      </c>
      <c r="H2149" t="s">
        <v>36</v>
      </c>
      <c r="I2149" t="s">
        <v>19</v>
      </c>
      <c r="J2149" s="3">
        <v>551133859222</v>
      </c>
      <c r="K2149" t="s">
        <v>15035</v>
      </c>
      <c r="L2149" t="s">
        <v>15036</v>
      </c>
      <c r="M2149" t="s">
        <v>32149</v>
      </c>
    </row>
    <row r="2150" spans="1:13" x14ac:dyDescent="0.25">
      <c r="A2150" t="s">
        <v>11699</v>
      </c>
      <c r="B2150" t="s">
        <v>13</v>
      </c>
      <c r="C2150" t="s">
        <v>2310</v>
      </c>
      <c r="D2150" t="s">
        <v>11700</v>
      </c>
      <c r="E2150" t="s">
        <v>11701</v>
      </c>
      <c r="F2150" t="s">
        <v>2758</v>
      </c>
      <c r="G2150" t="s">
        <v>6970</v>
      </c>
      <c r="H2150" t="s">
        <v>28</v>
      </c>
      <c r="I2150" t="s">
        <v>19</v>
      </c>
      <c r="J2150" s="3" t="s">
        <v>11702</v>
      </c>
      <c r="K2150" t="s">
        <v>11703</v>
      </c>
      <c r="L2150" t="s">
        <v>321</v>
      </c>
      <c r="M2150" t="s">
        <v>32149</v>
      </c>
    </row>
    <row r="2151" spans="1:13" x14ac:dyDescent="0.25">
      <c r="A2151" t="s">
        <v>18704</v>
      </c>
      <c r="B2151" t="s">
        <v>13</v>
      </c>
      <c r="C2151" t="s">
        <v>5704</v>
      </c>
      <c r="D2151" t="s">
        <v>18705</v>
      </c>
      <c r="E2151" t="s">
        <v>18706</v>
      </c>
      <c r="F2151" t="s">
        <v>1464</v>
      </c>
      <c r="G2151" t="s">
        <v>18707</v>
      </c>
      <c r="H2151" t="s">
        <v>36</v>
      </c>
      <c r="I2151" t="s">
        <v>19</v>
      </c>
      <c r="J2151" s="3">
        <f>55-11-986023021</f>
        <v>-986022977</v>
      </c>
      <c r="K2151" t="s">
        <v>18708</v>
      </c>
      <c r="L2151" t="s">
        <v>223</v>
      </c>
      <c r="M2151" t="s">
        <v>1775</v>
      </c>
    </row>
    <row r="2152" spans="1:13" x14ac:dyDescent="0.25">
      <c r="A2152" t="s">
        <v>22138</v>
      </c>
      <c r="B2152" t="s">
        <v>13</v>
      </c>
      <c r="C2152" s="1">
        <v>42776</v>
      </c>
      <c r="D2152" t="s">
        <v>22139</v>
      </c>
      <c r="E2152" t="s">
        <v>22140</v>
      </c>
      <c r="F2152" t="s">
        <v>1464</v>
      </c>
      <c r="G2152" t="s">
        <v>22141</v>
      </c>
      <c r="H2152" t="s">
        <v>1802</v>
      </c>
      <c r="I2152" t="s">
        <v>19</v>
      </c>
      <c r="J2152" s="3" t="s">
        <v>22142</v>
      </c>
      <c r="K2152" t="s">
        <v>22143</v>
      </c>
      <c r="L2152" t="s">
        <v>14212</v>
      </c>
      <c r="M2152" t="s">
        <v>32144</v>
      </c>
    </row>
    <row r="2153" spans="1:13" x14ac:dyDescent="0.25">
      <c r="A2153" t="s">
        <v>22604</v>
      </c>
      <c r="B2153" t="s">
        <v>101</v>
      </c>
      <c r="C2153" s="1">
        <v>43405</v>
      </c>
      <c r="D2153" t="s">
        <v>22605</v>
      </c>
      <c r="E2153" s="2" t="s">
        <v>31314</v>
      </c>
      <c r="F2153" t="s">
        <v>1464</v>
      </c>
      <c r="G2153" t="s">
        <v>22606</v>
      </c>
      <c r="H2153" t="s">
        <v>372</v>
      </c>
      <c r="I2153" t="s">
        <v>19</v>
      </c>
      <c r="J2153" s="3">
        <f>55-19-982820770</f>
        <v>-982820734</v>
      </c>
      <c r="K2153" t="s">
        <v>22607</v>
      </c>
      <c r="L2153" t="s">
        <v>8263</v>
      </c>
      <c r="M2153" t="s">
        <v>1775</v>
      </c>
    </row>
    <row r="2154" spans="1:13" x14ac:dyDescent="0.25">
      <c r="A2154" t="s">
        <v>8358</v>
      </c>
      <c r="B2154" t="s">
        <v>13</v>
      </c>
      <c r="C2154" s="1">
        <v>44257</v>
      </c>
      <c r="D2154" t="s">
        <v>8359</v>
      </c>
      <c r="E2154" t="s">
        <v>4475</v>
      </c>
      <c r="F2154" t="s">
        <v>1464</v>
      </c>
      <c r="G2154" t="s">
        <v>8360</v>
      </c>
      <c r="H2154" t="s">
        <v>578</v>
      </c>
      <c r="I2154" t="s">
        <v>19</v>
      </c>
      <c r="J2154" s="3" t="s">
        <v>8361</v>
      </c>
      <c r="K2154" t="s">
        <v>8362</v>
      </c>
      <c r="L2154" t="s">
        <v>678</v>
      </c>
      <c r="M2154" t="s">
        <v>57</v>
      </c>
    </row>
    <row r="2155" spans="1:13" x14ac:dyDescent="0.25">
      <c r="A2155" t="s">
        <v>8967</v>
      </c>
      <c r="B2155" t="s">
        <v>13</v>
      </c>
      <c r="C2155" t="s">
        <v>8968</v>
      </c>
      <c r="D2155" t="s">
        <v>8969</v>
      </c>
      <c r="E2155" t="s">
        <v>4475</v>
      </c>
      <c r="F2155" t="s">
        <v>1464</v>
      </c>
      <c r="G2155" t="s">
        <v>8970</v>
      </c>
      <c r="H2155" t="s">
        <v>2545</v>
      </c>
      <c r="I2155" t="s">
        <v>19</v>
      </c>
      <c r="J2155" s="3">
        <f>55-11-33952100</f>
        <v>-33952056</v>
      </c>
      <c r="K2155" t="s">
        <v>8971</v>
      </c>
      <c r="L2155" t="s">
        <v>8972</v>
      </c>
      <c r="M2155" t="s">
        <v>1775</v>
      </c>
    </row>
    <row r="2156" spans="1:13" x14ac:dyDescent="0.25">
      <c r="A2156" t="s">
        <v>4474</v>
      </c>
      <c r="B2156" t="s">
        <v>13</v>
      </c>
      <c r="C2156" s="1">
        <v>44623</v>
      </c>
      <c r="D2156" t="s">
        <v>32135</v>
      </c>
      <c r="E2156" s="2" t="s">
        <v>30809</v>
      </c>
      <c r="F2156" t="s">
        <v>4476</v>
      </c>
      <c r="G2156" t="s">
        <v>3819</v>
      </c>
      <c r="H2156" t="s">
        <v>428</v>
      </c>
      <c r="I2156" t="s">
        <v>19</v>
      </c>
      <c r="J2156" s="3" t="s">
        <v>4477</v>
      </c>
      <c r="K2156" t="s">
        <v>3820</v>
      </c>
      <c r="L2156" t="s">
        <v>4478</v>
      </c>
      <c r="M2156" t="s">
        <v>32144</v>
      </c>
    </row>
    <row r="2157" spans="1:13" x14ac:dyDescent="0.25">
      <c r="A2157" t="s">
        <v>28033</v>
      </c>
      <c r="B2157" t="s">
        <v>13</v>
      </c>
      <c r="C2157" s="1">
        <v>42191</v>
      </c>
      <c r="D2157" t="s">
        <v>28034</v>
      </c>
      <c r="E2157" t="s">
        <v>28035</v>
      </c>
      <c r="F2157" t="s">
        <v>1464</v>
      </c>
      <c r="G2157" t="s">
        <v>28036</v>
      </c>
      <c r="H2157" t="s">
        <v>927</v>
      </c>
      <c r="I2157" t="s">
        <v>19</v>
      </c>
      <c r="J2157" s="3" t="s">
        <v>28037</v>
      </c>
      <c r="K2157" t="s">
        <v>28038</v>
      </c>
      <c r="L2157" t="s">
        <v>439</v>
      </c>
      <c r="M2157" t="s">
        <v>57</v>
      </c>
    </row>
    <row r="2158" spans="1:13" x14ac:dyDescent="0.25">
      <c r="A2158" t="s">
        <v>9502</v>
      </c>
      <c r="B2158" t="s">
        <v>13</v>
      </c>
      <c r="C2158" t="s">
        <v>7756</v>
      </c>
      <c r="D2158" t="s">
        <v>9503</v>
      </c>
      <c r="E2158" t="s">
        <v>9504</v>
      </c>
      <c r="F2158" t="s">
        <v>9505</v>
      </c>
      <c r="G2158" t="s">
        <v>9506</v>
      </c>
      <c r="H2158" t="s">
        <v>45</v>
      </c>
      <c r="I2158" t="s">
        <v>19</v>
      </c>
      <c r="J2158" s="3" t="s">
        <v>9507</v>
      </c>
      <c r="K2158" t="s">
        <v>9508</v>
      </c>
      <c r="L2158" t="s">
        <v>9509</v>
      </c>
      <c r="M2158" t="s">
        <v>785</v>
      </c>
    </row>
    <row r="2159" spans="1:13" x14ac:dyDescent="0.25">
      <c r="A2159" t="s">
        <v>4355</v>
      </c>
      <c r="B2159" t="s">
        <v>101</v>
      </c>
      <c r="C2159" t="s">
        <v>4347</v>
      </c>
      <c r="D2159" t="s">
        <v>32135</v>
      </c>
      <c r="E2159" s="2" t="s">
        <v>31798</v>
      </c>
      <c r="F2159" t="s">
        <v>1535</v>
      </c>
      <c r="G2159" t="s">
        <v>2078</v>
      </c>
      <c r="H2159" t="s">
        <v>706</v>
      </c>
      <c r="I2159" t="s">
        <v>19</v>
      </c>
      <c r="J2159" s="3" t="s">
        <v>4356</v>
      </c>
      <c r="K2159" t="s">
        <v>2079</v>
      </c>
      <c r="L2159" t="s">
        <v>4357</v>
      </c>
      <c r="M2159" t="s">
        <v>32144</v>
      </c>
    </row>
    <row r="2160" spans="1:13" x14ac:dyDescent="0.25">
      <c r="A2160" t="s">
        <v>28650</v>
      </c>
      <c r="B2160" t="s">
        <v>13</v>
      </c>
      <c r="C2160" t="s">
        <v>28651</v>
      </c>
      <c r="D2160" t="s">
        <v>28652</v>
      </c>
      <c r="E2160" t="s">
        <v>32357</v>
      </c>
      <c r="F2160" t="s">
        <v>1464</v>
      </c>
      <c r="G2160" t="s">
        <v>28653</v>
      </c>
      <c r="H2160" t="s">
        <v>798</v>
      </c>
      <c r="I2160" t="s">
        <v>19</v>
      </c>
      <c r="J2160" s="3" t="s">
        <v>28654</v>
      </c>
      <c r="K2160" t="s">
        <v>28655</v>
      </c>
      <c r="L2160" t="s">
        <v>18766</v>
      </c>
      <c r="M2160" t="s">
        <v>1775</v>
      </c>
    </row>
    <row r="2161" spans="1:13" x14ac:dyDescent="0.25">
      <c r="A2161" t="s">
        <v>24188</v>
      </c>
      <c r="B2161" t="s">
        <v>13</v>
      </c>
      <c r="C2161" s="1">
        <v>42984</v>
      </c>
      <c r="D2161" t="s">
        <v>24189</v>
      </c>
      <c r="E2161" t="s">
        <v>24190</v>
      </c>
      <c r="F2161" t="s">
        <v>1464</v>
      </c>
      <c r="G2161" t="s">
        <v>24191</v>
      </c>
      <c r="H2161" t="s">
        <v>255</v>
      </c>
      <c r="I2161" t="s">
        <v>19</v>
      </c>
      <c r="J2161" s="3" t="s">
        <v>24192</v>
      </c>
      <c r="K2161" t="s">
        <v>24193</v>
      </c>
      <c r="L2161" t="s">
        <v>2467</v>
      </c>
      <c r="M2161" t="s">
        <v>337</v>
      </c>
    </row>
    <row r="2162" spans="1:13" x14ac:dyDescent="0.25">
      <c r="A2162" t="s">
        <v>15208</v>
      </c>
      <c r="B2162" t="s">
        <v>13</v>
      </c>
      <c r="C2162" t="s">
        <v>303</v>
      </c>
      <c r="D2162" t="s">
        <v>15209</v>
      </c>
      <c r="E2162" t="s">
        <v>15210</v>
      </c>
      <c r="F2162" t="s">
        <v>2036</v>
      </c>
      <c r="G2162" t="s">
        <v>944</v>
      </c>
      <c r="H2162" t="s">
        <v>36</v>
      </c>
      <c r="I2162" t="s">
        <v>19</v>
      </c>
      <c r="J2162" s="3">
        <v>5511999530716</v>
      </c>
      <c r="K2162" t="s">
        <v>946</v>
      </c>
      <c r="L2162" t="s">
        <v>321</v>
      </c>
      <c r="M2162" t="s">
        <v>57</v>
      </c>
    </row>
    <row r="2163" spans="1:13" x14ac:dyDescent="0.25">
      <c r="A2163" t="s">
        <v>9339</v>
      </c>
      <c r="B2163" t="s">
        <v>13</v>
      </c>
      <c r="C2163" s="1">
        <v>43931</v>
      </c>
      <c r="D2163" t="s">
        <v>9340</v>
      </c>
      <c r="E2163" t="s">
        <v>9341</v>
      </c>
      <c r="F2163" t="s">
        <v>2947</v>
      </c>
      <c r="G2163" t="s">
        <v>9342</v>
      </c>
      <c r="H2163" t="s">
        <v>9343</v>
      </c>
      <c r="I2163" t="s">
        <v>19</v>
      </c>
      <c r="J2163" s="3">
        <v>5577991189444</v>
      </c>
      <c r="K2163" t="s">
        <v>9344</v>
      </c>
      <c r="L2163" t="s">
        <v>9345</v>
      </c>
      <c r="M2163" t="s">
        <v>771</v>
      </c>
    </row>
    <row r="2164" spans="1:13" x14ac:dyDescent="0.25">
      <c r="A2164" t="s">
        <v>5187</v>
      </c>
      <c r="B2164" t="s">
        <v>101</v>
      </c>
      <c r="C2164" t="s">
        <v>5182</v>
      </c>
      <c r="D2164" t="s">
        <v>32135</v>
      </c>
      <c r="E2164" s="2" t="s">
        <v>30836</v>
      </c>
      <c r="F2164" t="s">
        <v>1588</v>
      </c>
      <c r="G2164" t="s">
        <v>5188</v>
      </c>
      <c r="H2164" t="s">
        <v>1335</v>
      </c>
      <c r="I2164" t="s">
        <v>19</v>
      </c>
      <c r="J2164" s="3">
        <v>554333712359</v>
      </c>
      <c r="K2164" t="s">
        <v>5189</v>
      </c>
      <c r="L2164" t="s">
        <v>32135</v>
      </c>
      <c r="M2164" t="s">
        <v>32149</v>
      </c>
    </row>
    <row r="2165" spans="1:13" x14ac:dyDescent="0.25">
      <c r="A2165" t="s">
        <v>13058</v>
      </c>
      <c r="B2165" t="s">
        <v>13</v>
      </c>
      <c r="C2165" s="1">
        <v>44107</v>
      </c>
      <c r="D2165" t="s">
        <v>13059</v>
      </c>
      <c r="E2165" t="s">
        <v>13060</v>
      </c>
      <c r="F2165" t="s">
        <v>1432</v>
      </c>
      <c r="G2165" t="s">
        <v>13061</v>
      </c>
      <c r="H2165" t="s">
        <v>36</v>
      </c>
      <c r="I2165" t="s">
        <v>19</v>
      </c>
      <c r="J2165" s="3">
        <v>5511948552455</v>
      </c>
      <c r="K2165" t="s">
        <v>13062</v>
      </c>
      <c r="L2165" t="s">
        <v>13063</v>
      </c>
      <c r="M2165" t="s">
        <v>1432</v>
      </c>
    </row>
    <row r="2166" spans="1:13" x14ac:dyDescent="0.25">
      <c r="A2166" t="s">
        <v>4563</v>
      </c>
      <c r="B2166" t="s">
        <v>13</v>
      </c>
      <c r="C2166" t="s">
        <v>4535</v>
      </c>
      <c r="D2166" t="s">
        <v>4564</v>
      </c>
      <c r="E2166" t="s">
        <v>4565</v>
      </c>
      <c r="F2166" t="s">
        <v>4566</v>
      </c>
      <c r="G2166" t="s">
        <v>4567</v>
      </c>
      <c r="H2166" t="s">
        <v>927</v>
      </c>
      <c r="I2166" t="s">
        <v>19</v>
      </c>
      <c r="J2166" s="3" t="s">
        <v>4568</v>
      </c>
      <c r="K2166" t="s">
        <v>4569</v>
      </c>
      <c r="L2166" t="s">
        <v>1200</v>
      </c>
      <c r="M2166" t="s">
        <v>32144</v>
      </c>
    </row>
    <row r="2167" spans="1:13" x14ac:dyDescent="0.25">
      <c r="A2167" t="s">
        <v>18404</v>
      </c>
      <c r="B2167" t="s">
        <v>13</v>
      </c>
      <c r="C2167" t="s">
        <v>7092</v>
      </c>
      <c r="D2167" t="s">
        <v>18405</v>
      </c>
      <c r="E2167" t="s">
        <v>32358</v>
      </c>
      <c r="F2167" t="s">
        <v>306</v>
      </c>
      <c r="G2167" t="s">
        <v>2849</v>
      </c>
      <c r="H2167" t="s">
        <v>255</v>
      </c>
      <c r="I2167" t="s">
        <v>19</v>
      </c>
      <c r="J2167" s="3">
        <f>55-62-982863419</f>
        <v>-982863426</v>
      </c>
      <c r="K2167" t="s">
        <v>2851</v>
      </c>
      <c r="L2167" t="s">
        <v>2852</v>
      </c>
      <c r="M2167" t="s">
        <v>32145</v>
      </c>
    </row>
    <row r="2168" spans="1:13" x14ac:dyDescent="0.25">
      <c r="A2168" t="s">
        <v>4057</v>
      </c>
      <c r="B2168" t="s">
        <v>13</v>
      </c>
      <c r="C2168" s="1">
        <v>44565</v>
      </c>
      <c r="D2168" t="s">
        <v>32135</v>
      </c>
      <c r="E2168" t="s">
        <v>4058</v>
      </c>
      <c r="F2168" t="s">
        <v>1117</v>
      </c>
      <c r="G2168" t="s">
        <v>4059</v>
      </c>
      <c r="H2168" t="s">
        <v>36</v>
      </c>
      <c r="I2168" t="s">
        <v>19</v>
      </c>
      <c r="J2168" s="3">
        <v>15988111984</v>
      </c>
      <c r="K2168" t="s">
        <v>4060</v>
      </c>
      <c r="L2168" t="s">
        <v>4061</v>
      </c>
      <c r="M2168" t="s">
        <v>224</v>
      </c>
    </row>
    <row r="2169" spans="1:13" x14ac:dyDescent="0.25">
      <c r="A2169" t="s">
        <v>18196</v>
      </c>
      <c r="B2169" t="s">
        <v>13</v>
      </c>
      <c r="C2169" s="1">
        <v>43649</v>
      </c>
      <c r="D2169" t="s">
        <v>18197</v>
      </c>
      <c r="E2169" s="2" t="s">
        <v>31195</v>
      </c>
      <c r="F2169" t="s">
        <v>2758</v>
      </c>
      <c r="G2169" t="s">
        <v>7226</v>
      </c>
      <c r="H2169" t="s">
        <v>36</v>
      </c>
      <c r="I2169" t="s">
        <v>19</v>
      </c>
      <c r="J2169" s="3">
        <f>55-11-991392168</f>
        <v>-991392124</v>
      </c>
      <c r="K2169" t="s">
        <v>7228</v>
      </c>
      <c r="L2169" t="s">
        <v>13358</v>
      </c>
      <c r="M2169" t="s">
        <v>32149</v>
      </c>
    </row>
    <row r="2170" spans="1:13" x14ac:dyDescent="0.25">
      <c r="A2170" t="s">
        <v>1824</v>
      </c>
      <c r="B2170" t="s">
        <v>13</v>
      </c>
      <c r="C2170" s="1">
        <v>44691</v>
      </c>
      <c r="D2170" t="s">
        <v>1825</v>
      </c>
      <c r="E2170" s="2" t="s">
        <v>30716</v>
      </c>
      <c r="F2170" t="s">
        <v>34</v>
      </c>
      <c r="G2170" t="s">
        <v>1826</v>
      </c>
      <c r="H2170" t="s">
        <v>428</v>
      </c>
      <c r="I2170" t="s">
        <v>19</v>
      </c>
      <c r="J2170" s="3">
        <f>55-51-33038876</f>
        <v>-33038872</v>
      </c>
      <c r="K2170" t="s">
        <v>1827</v>
      </c>
      <c r="L2170" t="s">
        <v>1113</v>
      </c>
      <c r="M2170" t="s">
        <v>1775</v>
      </c>
    </row>
    <row r="2171" spans="1:13" x14ac:dyDescent="0.25">
      <c r="A2171" t="s">
        <v>28111</v>
      </c>
      <c r="B2171" t="s">
        <v>13</v>
      </c>
      <c r="C2171" s="1">
        <v>42010</v>
      </c>
      <c r="D2171" t="s">
        <v>28112</v>
      </c>
      <c r="E2171" t="s">
        <v>28113</v>
      </c>
      <c r="F2171" t="s">
        <v>2036</v>
      </c>
      <c r="G2171" t="s">
        <v>28114</v>
      </c>
      <c r="H2171" t="s">
        <v>88</v>
      </c>
      <c r="I2171" t="s">
        <v>19</v>
      </c>
      <c r="J2171" s="3" t="s">
        <v>28115</v>
      </c>
      <c r="K2171" t="s">
        <v>28116</v>
      </c>
      <c r="L2171" t="s">
        <v>91</v>
      </c>
      <c r="M2171" t="s">
        <v>57</v>
      </c>
    </row>
    <row r="2172" spans="1:13" x14ac:dyDescent="0.25">
      <c r="A2172" t="s">
        <v>26772</v>
      </c>
      <c r="B2172" t="s">
        <v>13</v>
      </c>
      <c r="C2172" s="1">
        <v>42677</v>
      </c>
      <c r="D2172" t="s">
        <v>26773</v>
      </c>
      <c r="E2172" t="s">
        <v>26774</v>
      </c>
      <c r="F2172" t="s">
        <v>1464</v>
      </c>
      <c r="G2172" t="s">
        <v>26775</v>
      </c>
      <c r="H2172" t="s">
        <v>26776</v>
      </c>
      <c r="I2172" t="s">
        <v>19</v>
      </c>
      <c r="J2172" s="3" t="s">
        <v>26777</v>
      </c>
      <c r="K2172" t="s">
        <v>26778</v>
      </c>
      <c r="L2172" t="s">
        <v>26779</v>
      </c>
      <c r="M2172" t="s">
        <v>57</v>
      </c>
    </row>
    <row r="2173" spans="1:13" x14ac:dyDescent="0.25">
      <c r="A2173" t="s">
        <v>17078</v>
      </c>
      <c r="B2173" t="s">
        <v>13</v>
      </c>
      <c r="C2173" t="s">
        <v>14236</v>
      </c>
      <c r="D2173" t="s">
        <v>17079</v>
      </c>
      <c r="E2173" s="2" t="s">
        <v>31483</v>
      </c>
      <c r="F2173" t="s">
        <v>337</v>
      </c>
      <c r="G2173" t="s">
        <v>17080</v>
      </c>
      <c r="H2173" t="s">
        <v>409</v>
      </c>
      <c r="I2173" t="s">
        <v>19</v>
      </c>
      <c r="J2173" s="3">
        <v>5504832235323</v>
      </c>
      <c r="K2173" t="s">
        <v>17081</v>
      </c>
      <c r="L2173" t="s">
        <v>17082</v>
      </c>
      <c r="M2173" t="s">
        <v>337</v>
      </c>
    </row>
    <row r="2174" spans="1:13" x14ac:dyDescent="0.25">
      <c r="A2174" t="s">
        <v>18122</v>
      </c>
      <c r="B2174" t="s">
        <v>13</v>
      </c>
      <c r="C2174" t="s">
        <v>9547</v>
      </c>
      <c r="D2174" t="s">
        <v>18123</v>
      </c>
      <c r="E2174" t="s">
        <v>18124</v>
      </c>
      <c r="F2174" t="s">
        <v>6686</v>
      </c>
      <c r="G2174" t="s">
        <v>18125</v>
      </c>
      <c r="H2174" t="s">
        <v>265</v>
      </c>
      <c r="I2174" t="s">
        <v>19</v>
      </c>
      <c r="J2174" s="3">
        <f>55-16-996126502</f>
        <v>-996126463</v>
      </c>
      <c r="K2174" t="s">
        <v>18126</v>
      </c>
      <c r="L2174" t="s">
        <v>7939</v>
      </c>
      <c r="M2174" t="s">
        <v>337</v>
      </c>
    </row>
    <row r="2175" spans="1:13" x14ac:dyDescent="0.25">
      <c r="A2175" t="s">
        <v>6293</v>
      </c>
      <c r="B2175" t="s">
        <v>13</v>
      </c>
      <c r="C2175" t="s">
        <v>4185</v>
      </c>
      <c r="D2175" t="s">
        <v>6294</v>
      </c>
      <c r="E2175" s="2" t="s">
        <v>31853</v>
      </c>
      <c r="F2175" t="s">
        <v>6295</v>
      </c>
      <c r="G2175" t="s">
        <v>6296</v>
      </c>
      <c r="H2175" t="s">
        <v>1090</v>
      </c>
      <c r="I2175" t="s">
        <v>19</v>
      </c>
      <c r="J2175" s="3" t="s">
        <v>6297</v>
      </c>
      <c r="K2175" t="s">
        <v>6298</v>
      </c>
      <c r="L2175" t="s">
        <v>32135</v>
      </c>
      <c r="M2175" t="s">
        <v>771</v>
      </c>
    </row>
    <row r="2176" spans="1:13" x14ac:dyDescent="0.25">
      <c r="A2176" t="s">
        <v>27479</v>
      </c>
      <c r="B2176" t="s">
        <v>13</v>
      </c>
      <c r="C2176" t="s">
        <v>27472</v>
      </c>
      <c r="D2176" t="s">
        <v>27480</v>
      </c>
      <c r="E2176" t="s">
        <v>27481</v>
      </c>
      <c r="F2176" t="s">
        <v>1349</v>
      </c>
      <c r="G2176" t="s">
        <v>27482</v>
      </c>
      <c r="H2176" t="s">
        <v>352</v>
      </c>
      <c r="I2176" t="s">
        <v>19</v>
      </c>
      <c r="J2176" s="3" t="s">
        <v>27483</v>
      </c>
      <c r="K2176" t="s">
        <v>27484</v>
      </c>
      <c r="L2176" t="s">
        <v>10607</v>
      </c>
      <c r="M2176" t="s">
        <v>1349</v>
      </c>
    </row>
    <row r="2177" spans="1:13" x14ac:dyDescent="0.25">
      <c r="A2177" t="s">
        <v>26789</v>
      </c>
      <c r="B2177" t="s">
        <v>13</v>
      </c>
      <c r="C2177" s="1">
        <v>42646</v>
      </c>
      <c r="D2177" t="s">
        <v>26790</v>
      </c>
      <c r="E2177" t="s">
        <v>26791</v>
      </c>
      <c r="F2177" t="s">
        <v>1349</v>
      </c>
      <c r="G2177" t="s">
        <v>26792</v>
      </c>
      <c r="H2177" t="s">
        <v>409</v>
      </c>
      <c r="I2177" t="s">
        <v>19</v>
      </c>
      <c r="J2177" s="3">
        <v>554837214158</v>
      </c>
      <c r="K2177" t="s">
        <v>22509</v>
      </c>
      <c r="L2177" t="s">
        <v>7763</v>
      </c>
      <c r="M2177" t="s">
        <v>1349</v>
      </c>
    </row>
    <row r="2178" spans="1:13" x14ac:dyDescent="0.25">
      <c r="A2178" t="s">
        <v>2383</v>
      </c>
      <c r="B2178" t="s">
        <v>13</v>
      </c>
      <c r="C2178" t="s">
        <v>2366</v>
      </c>
      <c r="D2178" t="s">
        <v>2384</v>
      </c>
      <c r="E2178" s="2" t="s">
        <v>30734</v>
      </c>
      <c r="F2178" t="s">
        <v>2385</v>
      </c>
      <c r="G2178" t="s">
        <v>2386</v>
      </c>
      <c r="H2178" t="s">
        <v>578</v>
      </c>
      <c r="I2178" t="s">
        <v>19</v>
      </c>
      <c r="J2178" s="3" t="s">
        <v>2387</v>
      </c>
      <c r="K2178" t="s">
        <v>2388</v>
      </c>
      <c r="L2178" t="s">
        <v>2389</v>
      </c>
      <c r="M2178" t="s">
        <v>1349</v>
      </c>
    </row>
    <row r="2179" spans="1:13" x14ac:dyDescent="0.25">
      <c r="A2179" t="s">
        <v>28681</v>
      </c>
      <c r="B2179" t="s">
        <v>13</v>
      </c>
      <c r="C2179" t="s">
        <v>28682</v>
      </c>
      <c r="D2179" t="s">
        <v>28683</v>
      </c>
      <c r="E2179" t="s">
        <v>32359</v>
      </c>
      <c r="F2179" t="s">
        <v>6686</v>
      </c>
      <c r="G2179" t="s">
        <v>28684</v>
      </c>
      <c r="H2179" t="s">
        <v>428</v>
      </c>
      <c r="I2179" t="s">
        <v>19</v>
      </c>
      <c r="J2179" s="3" t="s">
        <v>28685</v>
      </c>
      <c r="K2179" t="s">
        <v>28686</v>
      </c>
      <c r="L2179" t="s">
        <v>28687</v>
      </c>
      <c r="M2179" t="s">
        <v>337</v>
      </c>
    </row>
    <row r="2180" spans="1:13" x14ac:dyDescent="0.25">
      <c r="A2180" t="s">
        <v>21447</v>
      </c>
      <c r="B2180" t="s">
        <v>13</v>
      </c>
      <c r="C2180" t="s">
        <v>9807</v>
      </c>
      <c r="D2180" t="s">
        <v>21448</v>
      </c>
      <c r="E2180" t="s">
        <v>5494</v>
      </c>
      <c r="F2180" t="s">
        <v>1464</v>
      </c>
      <c r="G2180" t="s">
        <v>21449</v>
      </c>
      <c r="H2180" t="s">
        <v>472</v>
      </c>
      <c r="I2180" t="s">
        <v>19</v>
      </c>
      <c r="J2180" s="3">
        <v>5508185222943</v>
      </c>
      <c r="K2180" t="s">
        <v>21450</v>
      </c>
      <c r="L2180" t="s">
        <v>2101</v>
      </c>
      <c r="M2180" t="s">
        <v>1775</v>
      </c>
    </row>
    <row r="2181" spans="1:13" x14ac:dyDescent="0.25">
      <c r="A2181" t="s">
        <v>11270</v>
      </c>
      <c r="B2181" t="s">
        <v>13</v>
      </c>
      <c r="C2181" t="s">
        <v>11266</v>
      </c>
      <c r="D2181" t="s">
        <v>11271</v>
      </c>
      <c r="E2181" t="s">
        <v>11272</v>
      </c>
      <c r="F2181" t="s">
        <v>1464</v>
      </c>
      <c r="G2181" t="s">
        <v>5496</v>
      </c>
      <c r="H2181" t="s">
        <v>265</v>
      </c>
      <c r="I2181" t="s">
        <v>19</v>
      </c>
      <c r="J2181" s="3">
        <f>55-16-988331615</f>
        <v>-988331576</v>
      </c>
      <c r="K2181" t="s">
        <v>11273</v>
      </c>
      <c r="L2181" t="s">
        <v>391</v>
      </c>
      <c r="M2181" t="s">
        <v>337</v>
      </c>
    </row>
    <row r="2182" spans="1:13" x14ac:dyDescent="0.25">
      <c r="A2182" t="s">
        <v>5493</v>
      </c>
      <c r="B2182" t="s">
        <v>13</v>
      </c>
      <c r="C2182" s="1">
        <v>44267</v>
      </c>
      <c r="D2182" t="s">
        <v>32135</v>
      </c>
      <c r="E2182" t="s">
        <v>5494</v>
      </c>
      <c r="F2182" t="s">
        <v>5495</v>
      </c>
      <c r="G2182" t="s">
        <v>5496</v>
      </c>
      <c r="H2182" t="s">
        <v>1741</v>
      </c>
      <c r="I2182" t="s">
        <v>19</v>
      </c>
      <c r="J2182" s="3">
        <f>55-35-984198201</f>
        <v>-984198181</v>
      </c>
      <c r="K2182" t="s">
        <v>5497</v>
      </c>
      <c r="L2182" t="s">
        <v>32135</v>
      </c>
      <c r="M2182" t="s">
        <v>337</v>
      </c>
    </row>
    <row r="2183" spans="1:13" x14ac:dyDescent="0.25">
      <c r="A2183" t="s">
        <v>25131</v>
      </c>
      <c r="B2183" t="s">
        <v>13</v>
      </c>
      <c r="C2183" t="s">
        <v>25125</v>
      </c>
      <c r="D2183" t="s">
        <v>25132</v>
      </c>
      <c r="E2183" t="s">
        <v>32360</v>
      </c>
      <c r="F2183" t="s">
        <v>6686</v>
      </c>
      <c r="G2183" t="s">
        <v>25133</v>
      </c>
      <c r="H2183" t="s">
        <v>5292</v>
      </c>
      <c r="I2183" t="s">
        <v>19</v>
      </c>
      <c r="J2183" s="3" t="s">
        <v>25134</v>
      </c>
      <c r="K2183" t="s">
        <v>25135</v>
      </c>
      <c r="L2183" t="s">
        <v>15134</v>
      </c>
      <c r="M2183" t="s">
        <v>32145</v>
      </c>
    </row>
    <row r="2184" spans="1:13" x14ac:dyDescent="0.25">
      <c r="A2184" t="s">
        <v>5553</v>
      </c>
      <c r="B2184" t="s">
        <v>13</v>
      </c>
      <c r="C2184" t="s">
        <v>5547</v>
      </c>
      <c r="D2184" t="s">
        <v>32135</v>
      </c>
      <c r="E2184" s="2" t="s">
        <v>32010</v>
      </c>
      <c r="F2184" t="s">
        <v>5555</v>
      </c>
      <c r="G2184" t="s">
        <v>5556</v>
      </c>
      <c r="H2184" t="s">
        <v>5557</v>
      </c>
      <c r="I2184" t="s">
        <v>19</v>
      </c>
      <c r="J2184" s="3" t="s">
        <v>5558</v>
      </c>
      <c r="K2184" t="s">
        <v>5559</v>
      </c>
      <c r="L2184" t="s">
        <v>32135</v>
      </c>
      <c r="M2184" t="s">
        <v>337</v>
      </c>
    </row>
    <row r="2185" spans="1:13" x14ac:dyDescent="0.25">
      <c r="A2185" t="s">
        <v>12028</v>
      </c>
      <c r="B2185" t="s">
        <v>13</v>
      </c>
      <c r="C2185" t="s">
        <v>12029</v>
      </c>
      <c r="D2185" t="s">
        <v>12030</v>
      </c>
      <c r="E2185" t="s">
        <v>12031</v>
      </c>
      <c r="F2185" t="s">
        <v>337</v>
      </c>
      <c r="G2185" t="s">
        <v>307</v>
      </c>
      <c r="H2185" t="s">
        <v>308</v>
      </c>
      <c r="I2185" t="s">
        <v>309</v>
      </c>
      <c r="J2185" s="3" t="s">
        <v>310</v>
      </c>
      <c r="K2185" t="s">
        <v>311</v>
      </c>
      <c r="L2185" t="s">
        <v>312</v>
      </c>
      <c r="M2185" t="s">
        <v>337</v>
      </c>
    </row>
    <row r="2186" spans="1:13" x14ac:dyDescent="0.25">
      <c r="A2186" t="s">
        <v>11437</v>
      </c>
      <c r="B2186" t="s">
        <v>13</v>
      </c>
      <c r="C2186" t="s">
        <v>11438</v>
      </c>
      <c r="D2186" t="s">
        <v>11439</v>
      </c>
      <c r="E2186" s="2" t="s">
        <v>31799</v>
      </c>
      <c r="F2186" t="s">
        <v>1464</v>
      </c>
      <c r="G2186" t="s">
        <v>11440</v>
      </c>
      <c r="H2186" t="s">
        <v>11441</v>
      </c>
      <c r="I2186" t="s">
        <v>19</v>
      </c>
      <c r="J2186" s="3">
        <v>31985449150</v>
      </c>
      <c r="K2186" t="s">
        <v>11442</v>
      </c>
      <c r="L2186" t="s">
        <v>11443</v>
      </c>
      <c r="M2186" t="s">
        <v>1775</v>
      </c>
    </row>
    <row r="2187" spans="1:13" x14ac:dyDescent="0.25">
      <c r="A2187" t="s">
        <v>6173</v>
      </c>
      <c r="B2187" t="s">
        <v>13</v>
      </c>
      <c r="C2187" s="1">
        <v>44206</v>
      </c>
      <c r="D2187" t="s">
        <v>6174</v>
      </c>
      <c r="E2187" t="s">
        <v>6175</v>
      </c>
      <c r="F2187" t="s">
        <v>6176</v>
      </c>
      <c r="G2187" t="s">
        <v>6177</v>
      </c>
      <c r="H2187" t="s">
        <v>265</v>
      </c>
      <c r="I2187" t="s">
        <v>19</v>
      </c>
      <c r="J2187" s="3">
        <f>55-34-99190-3523</f>
        <v>-102692</v>
      </c>
      <c r="K2187" t="s">
        <v>6178</v>
      </c>
      <c r="L2187" t="s">
        <v>32135</v>
      </c>
      <c r="M2187" t="s">
        <v>57</v>
      </c>
    </row>
    <row r="2188" spans="1:13" x14ac:dyDescent="0.25">
      <c r="A2188" t="s">
        <v>12622</v>
      </c>
      <c r="B2188" t="s">
        <v>13</v>
      </c>
      <c r="C2188" t="s">
        <v>7461</v>
      </c>
      <c r="D2188" t="s">
        <v>12623</v>
      </c>
      <c r="E2188" t="s">
        <v>12624</v>
      </c>
      <c r="F2188" t="s">
        <v>1464</v>
      </c>
      <c r="G2188" t="s">
        <v>12625</v>
      </c>
      <c r="H2188" t="s">
        <v>352</v>
      </c>
      <c r="I2188" t="s">
        <v>19</v>
      </c>
      <c r="J2188" s="3" t="s">
        <v>12626</v>
      </c>
      <c r="K2188" t="s">
        <v>12627</v>
      </c>
      <c r="L2188" t="s">
        <v>12628</v>
      </c>
      <c r="M2188" t="s">
        <v>337</v>
      </c>
    </row>
    <row r="2189" spans="1:13" x14ac:dyDescent="0.25">
      <c r="A2189" t="s">
        <v>10788</v>
      </c>
      <c r="B2189" t="s">
        <v>13</v>
      </c>
      <c r="C2189" t="s">
        <v>7057</v>
      </c>
      <c r="D2189" t="s">
        <v>10789</v>
      </c>
      <c r="E2189" t="s">
        <v>10790</v>
      </c>
      <c r="F2189" t="s">
        <v>1464</v>
      </c>
      <c r="G2189" t="s">
        <v>10791</v>
      </c>
      <c r="H2189" t="s">
        <v>71</v>
      </c>
      <c r="I2189" t="s">
        <v>19</v>
      </c>
      <c r="J2189" s="3">
        <f>55-11-984073055</f>
        <v>-984073011</v>
      </c>
      <c r="K2189" t="s">
        <v>10792</v>
      </c>
      <c r="L2189" t="s">
        <v>10793</v>
      </c>
      <c r="M2189" t="s">
        <v>1349</v>
      </c>
    </row>
    <row r="2190" spans="1:13" x14ac:dyDescent="0.25">
      <c r="A2190" t="s">
        <v>1835</v>
      </c>
      <c r="B2190" t="s">
        <v>13</v>
      </c>
      <c r="C2190" s="1">
        <v>44691</v>
      </c>
      <c r="D2190" t="s">
        <v>1836</v>
      </c>
      <c r="E2190" s="2" t="s">
        <v>30717</v>
      </c>
      <c r="F2190" t="s">
        <v>1080</v>
      </c>
      <c r="G2190" t="s">
        <v>1838</v>
      </c>
      <c r="H2190" t="s">
        <v>409</v>
      </c>
      <c r="I2190" t="s">
        <v>19</v>
      </c>
      <c r="J2190" s="3" t="s">
        <v>1839</v>
      </c>
      <c r="K2190" t="s">
        <v>1840</v>
      </c>
      <c r="L2190" t="s">
        <v>625</v>
      </c>
      <c r="M2190" t="s">
        <v>57</v>
      </c>
    </row>
    <row r="2191" spans="1:13" x14ac:dyDescent="0.25">
      <c r="A2191" t="s">
        <v>8651</v>
      </c>
      <c r="B2191" t="s">
        <v>13</v>
      </c>
      <c r="C2191" s="1">
        <v>44081</v>
      </c>
      <c r="D2191" t="s">
        <v>8652</v>
      </c>
      <c r="E2191" t="s">
        <v>32361</v>
      </c>
      <c r="F2191" t="s">
        <v>8653</v>
      </c>
      <c r="G2191" t="s">
        <v>5202</v>
      </c>
      <c r="H2191" t="s">
        <v>1486</v>
      </c>
      <c r="I2191" t="s">
        <v>19</v>
      </c>
      <c r="J2191" s="3" t="s">
        <v>8654</v>
      </c>
      <c r="K2191" t="s">
        <v>5204</v>
      </c>
      <c r="L2191" t="s">
        <v>1489</v>
      </c>
      <c r="M2191" t="s">
        <v>1775</v>
      </c>
    </row>
    <row r="2192" spans="1:13" x14ac:dyDescent="0.25">
      <c r="A2192" t="s">
        <v>7154</v>
      </c>
      <c r="B2192" t="s">
        <v>13</v>
      </c>
      <c r="C2192" s="1">
        <v>44445</v>
      </c>
      <c r="D2192" t="s">
        <v>32135</v>
      </c>
      <c r="E2192" t="s">
        <v>7155</v>
      </c>
      <c r="F2192" t="s">
        <v>530</v>
      </c>
      <c r="G2192" t="s">
        <v>7156</v>
      </c>
      <c r="H2192" t="s">
        <v>4017</v>
      </c>
      <c r="I2192" t="s">
        <v>19</v>
      </c>
      <c r="J2192" s="3" t="s">
        <v>7157</v>
      </c>
      <c r="K2192" t="s">
        <v>7158</v>
      </c>
      <c r="L2192" t="s">
        <v>32135</v>
      </c>
      <c r="M2192" t="s">
        <v>32144</v>
      </c>
    </row>
    <row r="2193" spans="1:13" x14ac:dyDescent="0.25">
      <c r="A2193" t="s">
        <v>18490</v>
      </c>
      <c r="B2193" t="s">
        <v>13</v>
      </c>
      <c r="C2193" t="s">
        <v>11132</v>
      </c>
      <c r="D2193" t="s">
        <v>18491</v>
      </c>
      <c r="E2193" t="s">
        <v>1926</v>
      </c>
      <c r="F2193" t="s">
        <v>3084</v>
      </c>
      <c r="G2193" t="s">
        <v>18492</v>
      </c>
      <c r="H2193" t="s">
        <v>114</v>
      </c>
      <c r="I2193" t="s">
        <v>19</v>
      </c>
      <c r="J2193" s="3" t="s">
        <v>18493</v>
      </c>
      <c r="K2193" t="s">
        <v>18494</v>
      </c>
      <c r="L2193" t="s">
        <v>82</v>
      </c>
      <c r="M2193" t="s">
        <v>32144</v>
      </c>
    </row>
    <row r="2194" spans="1:13" x14ac:dyDescent="0.25">
      <c r="A2194" t="s">
        <v>17878</v>
      </c>
      <c r="B2194" t="s">
        <v>13</v>
      </c>
      <c r="C2194" s="1">
        <v>43528</v>
      </c>
      <c r="D2194" t="s">
        <v>17879</v>
      </c>
      <c r="E2194" t="s">
        <v>17880</v>
      </c>
      <c r="F2194" t="s">
        <v>1464</v>
      </c>
      <c r="G2194" t="s">
        <v>17881</v>
      </c>
      <c r="H2194" t="s">
        <v>2395</v>
      </c>
      <c r="I2194" t="s">
        <v>19</v>
      </c>
      <c r="J2194" s="3">
        <f>55-84-994710000</f>
        <v>-994710029</v>
      </c>
      <c r="K2194" t="s">
        <v>17882</v>
      </c>
      <c r="L2194" t="s">
        <v>91</v>
      </c>
      <c r="M2194" t="s">
        <v>32144</v>
      </c>
    </row>
    <row r="2195" spans="1:13" x14ac:dyDescent="0.25">
      <c r="A2195" t="s">
        <v>13638</v>
      </c>
      <c r="B2195" t="s">
        <v>13</v>
      </c>
      <c r="C2195" s="1">
        <v>44137</v>
      </c>
      <c r="D2195" t="s">
        <v>13639</v>
      </c>
      <c r="E2195" s="2" t="s">
        <v>32362</v>
      </c>
      <c r="F2195" t="s">
        <v>3084</v>
      </c>
      <c r="G2195" t="s">
        <v>13640</v>
      </c>
      <c r="H2195" t="s">
        <v>2678</v>
      </c>
      <c r="I2195" t="s">
        <v>19</v>
      </c>
      <c r="J2195" s="3" t="s">
        <v>13641</v>
      </c>
      <c r="K2195" t="s">
        <v>13642</v>
      </c>
      <c r="L2195" t="s">
        <v>4007</v>
      </c>
      <c r="M2195" t="s">
        <v>32144</v>
      </c>
    </row>
    <row r="2196" spans="1:13" x14ac:dyDescent="0.25">
      <c r="A2196" t="s">
        <v>12171</v>
      </c>
      <c r="B2196" t="s">
        <v>13</v>
      </c>
      <c r="C2196" t="s">
        <v>12161</v>
      </c>
      <c r="D2196" t="s">
        <v>12172</v>
      </c>
      <c r="E2196" s="2" t="s">
        <v>31424</v>
      </c>
      <c r="F2196" t="s">
        <v>1464</v>
      </c>
      <c r="G2196" t="s">
        <v>12173</v>
      </c>
      <c r="H2196" t="s">
        <v>798</v>
      </c>
      <c r="I2196" t="s">
        <v>19</v>
      </c>
      <c r="J2196" s="3">
        <f>55-61-40427770</f>
        <v>-40427776</v>
      </c>
      <c r="K2196" t="s">
        <v>12174</v>
      </c>
      <c r="L2196" t="s">
        <v>12175</v>
      </c>
      <c r="M2196" t="s">
        <v>32144</v>
      </c>
    </row>
    <row r="2197" spans="1:13" x14ac:dyDescent="0.25">
      <c r="A2197" t="s">
        <v>2726</v>
      </c>
      <c r="B2197" t="s">
        <v>13</v>
      </c>
      <c r="C2197" s="1">
        <v>44569</v>
      </c>
      <c r="D2197" t="s">
        <v>32135</v>
      </c>
      <c r="E2197" s="2" t="s">
        <v>32363</v>
      </c>
      <c r="F2197" t="s">
        <v>2727</v>
      </c>
      <c r="G2197" t="s">
        <v>2728</v>
      </c>
      <c r="H2197" t="s">
        <v>706</v>
      </c>
      <c r="I2197" t="s">
        <v>19</v>
      </c>
      <c r="J2197" s="3" t="s">
        <v>2729</v>
      </c>
      <c r="K2197" t="s">
        <v>2730</v>
      </c>
      <c r="L2197" t="s">
        <v>565</v>
      </c>
      <c r="M2197" t="s">
        <v>32144</v>
      </c>
    </row>
    <row r="2198" spans="1:13" x14ac:dyDescent="0.25">
      <c r="A2198" t="s">
        <v>13778</v>
      </c>
      <c r="B2198" t="s">
        <v>13</v>
      </c>
      <c r="C2198" t="s">
        <v>8719</v>
      </c>
      <c r="D2198" t="s">
        <v>13779</v>
      </c>
      <c r="E2198" t="s">
        <v>13780</v>
      </c>
      <c r="F2198" t="s">
        <v>3084</v>
      </c>
      <c r="G2198" t="s">
        <v>13781</v>
      </c>
      <c r="H2198" t="s">
        <v>428</v>
      </c>
      <c r="I2198" t="s">
        <v>19</v>
      </c>
      <c r="J2198" s="3">
        <v>5551991279814</v>
      </c>
      <c r="K2198" t="s">
        <v>13782</v>
      </c>
      <c r="L2198" t="s">
        <v>1113</v>
      </c>
      <c r="M2198" t="s">
        <v>32144</v>
      </c>
    </row>
    <row r="2199" spans="1:13" x14ac:dyDescent="0.25">
      <c r="A2199" t="s">
        <v>2916</v>
      </c>
      <c r="B2199" t="s">
        <v>13</v>
      </c>
      <c r="C2199" t="s">
        <v>2898</v>
      </c>
      <c r="D2199" t="s">
        <v>2917</v>
      </c>
      <c r="E2199" t="s">
        <v>2918</v>
      </c>
      <c r="F2199" t="s">
        <v>1249</v>
      </c>
      <c r="G2199" t="s">
        <v>2919</v>
      </c>
      <c r="H2199" t="s">
        <v>991</v>
      </c>
      <c r="I2199" t="s">
        <v>19</v>
      </c>
      <c r="J2199" s="3" t="s">
        <v>2920</v>
      </c>
      <c r="K2199" t="s">
        <v>2921</v>
      </c>
      <c r="L2199" t="s">
        <v>993</v>
      </c>
      <c r="M2199" t="s">
        <v>741</v>
      </c>
    </row>
    <row r="2200" spans="1:13" x14ac:dyDescent="0.25">
      <c r="A2200" t="s">
        <v>13442</v>
      </c>
      <c r="B2200" t="s">
        <v>13</v>
      </c>
      <c r="C2200" t="s">
        <v>4227</v>
      </c>
      <c r="D2200" t="s">
        <v>13443</v>
      </c>
      <c r="E2200" s="2" t="s">
        <v>31823</v>
      </c>
      <c r="F2200" t="s">
        <v>1349</v>
      </c>
      <c r="G2200" t="s">
        <v>13444</v>
      </c>
      <c r="H2200" t="s">
        <v>13445</v>
      </c>
      <c r="I2200" t="s">
        <v>19</v>
      </c>
      <c r="J2200" s="3">
        <v>5519986030000</v>
      </c>
      <c r="K2200" t="s">
        <v>13446</v>
      </c>
      <c r="L2200" t="s">
        <v>841</v>
      </c>
      <c r="M2200" t="s">
        <v>1349</v>
      </c>
    </row>
    <row r="2201" spans="1:13" x14ac:dyDescent="0.25">
      <c r="A2201" t="s">
        <v>4714</v>
      </c>
      <c r="B2201" t="s">
        <v>101</v>
      </c>
      <c r="C2201" t="s">
        <v>4709</v>
      </c>
      <c r="D2201" t="s">
        <v>4715</v>
      </c>
      <c r="E2201" s="2" t="s">
        <v>31783</v>
      </c>
      <c r="F2201" t="s">
        <v>397</v>
      </c>
      <c r="G2201" t="s">
        <v>4716</v>
      </c>
      <c r="H2201" t="s">
        <v>32135</v>
      </c>
      <c r="I2201" t="s">
        <v>19</v>
      </c>
      <c r="J2201" s="3" t="s">
        <v>4717</v>
      </c>
      <c r="K2201" t="s">
        <v>4718</v>
      </c>
      <c r="L2201" t="s">
        <v>1232</v>
      </c>
      <c r="M2201" t="s">
        <v>32145</v>
      </c>
    </row>
    <row r="2202" spans="1:13" x14ac:dyDescent="0.25">
      <c r="A2202" t="s">
        <v>8593</v>
      </c>
      <c r="B2202" t="s">
        <v>101</v>
      </c>
      <c r="C2202" s="1">
        <v>42747</v>
      </c>
      <c r="D2202" t="s">
        <v>8594</v>
      </c>
      <c r="E2202" t="s">
        <v>8595</v>
      </c>
      <c r="F2202" t="s">
        <v>1464</v>
      </c>
      <c r="G2202" t="s">
        <v>8596</v>
      </c>
      <c r="H2202" t="s">
        <v>299</v>
      </c>
      <c r="I2202" t="s">
        <v>19</v>
      </c>
      <c r="J2202" s="3">
        <v>5514996171409</v>
      </c>
      <c r="K2202" t="s">
        <v>8597</v>
      </c>
      <c r="L2202" t="s">
        <v>8598</v>
      </c>
      <c r="M2202" t="s">
        <v>32145</v>
      </c>
    </row>
    <row r="2203" spans="1:13" x14ac:dyDescent="0.25">
      <c r="A2203" t="s">
        <v>25486</v>
      </c>
      <c r="B2203" t="s">
        <v>13</v>
      </c>
      <c r="C2203" t="s">
        <v>25487</v>
      </c>
      <c r="D2203" t="s">
        <v>25488</v>
      </c>
      <c r="E2203" t="s">
        <v>32364</v>
      </c>
      <c r="F2203" t="s">
        <v>1464</v>
      </c>
      <c r="G2203" t="s">
        <v>25489</v>
      </c>
      <c r="H2203" t="s">
        <v>299</v>
      </c>
      <c r="I2203" t="s">
        <v>19</v>
      </c>
      <c r="J2203" s="3">
        <v>551438801632</v>
      </c>
      <c r="K2203" t="s">
        <v>25490</v>
      </c>
      <c r="L2203" t="s">
        <v>20024</v>
      </c>
      <c r="M2203" t="s">
        <v>32145</v>
      </c>
    </row>
    <row r="2204" spans="1:13" x14ac:dyDescent="0.25">
      <c r="A2204" t="s">
        <v>18780</v>
      </c>
      <c r="B2204" t="s">
        <v>13</v>
      </c>
      <c r="C2204" t="s">
        <v>17484</v>
      </c>
      <c r="D2204" t="s">
        <v>18781</v>
      </c>
      <c r="E2204" t="s">
        <v>7457</v>
      </c>
      <c r="F2204" t="s">
        <v>2036</v>
      </c>
      <c r="G2204" t="s">
        <v>2558</v>
      </c>
      <c r="H2204" t="s">
        <v>444</v>
      </c>
      <c r="I2204" t="s">
        <v>19</v>
      </c>
      <c r="J2204" s="3">
        <f>55-87-99633-4747</f>
        <v>-104412</v>
      </c>
      <c r="K2204" t="s">
        <v>2559</v>
      </c>
      <c r="L2204" t="s">
        <v>447</v>
      </c>
      <c r="M2204" t="s">
        <v>57</v>
      </c>
    </row>
    <row r="2205" spans="1:13" x14ac:dyDescent="0.25">
      <c r="A2205" t="s">
        <v>7454</v>
      </c>
      <c r="B2205" t="s">
        <v>13</v>
      </c>
      <c r="C2205" t="s">
        <v>7455</v>
      </c>
      <c r="D2205" t="s">
        <v>7456</v>
      </c>
      <c r="E2205" s="2" t="s">
        <v>31774</v>
      </c>
      <c r="F2205" t="s">
        <v>2036</v>
      </c>
      <c r="G2205" t="s">
        <v>7458</v>
      </c>
      <c r="H2205" t="s">
        <v>615</v>
      </c>
      <c r="I2205" t="s">
        <v>19</v>
      </c>
      <c r="J2205" s="3">
        <f>55-69-999272762</f>
        <v>-999272776</v>
      </c>
      <c r="K2205" t="s">
        <v>7459</v>
      </c>
      <c r="L2205" t="s">
        <v>618</v>
      </c>
      <c r="M2205" t="s">
        <v>57</v>
      </c>
    </row>
    <row r="2206" spans="1:13" x14ac:dyDescent="0.25">
      <c r="A2206" t="s">
        <v>1014</v>
      </c>
      <c r="B2206" t="s">
        <v>13</v>
      </c>
      <c r="C2206" s="1">
        <v>44573</v>
      </c>
      <c r="D2206" t="s">
        <v>1015</v>
      </c>
      <c r="E2206" s="2" t="s">
        <v>31664</v>
      </c>
      <c r="F2206" t="s">
        <v>1018</v>
      </c>
      <c r="G2206" t="s">
        <v>1019</v>
      </c>
      <c r="H2206" t="s">
        <v>352</v>
      </c>
      <c r="I2206" t="s">
        <v>19</v>
      </c>
      <c r="J2206" s="3">
        <f>55-21-21345000</f>
        <v>-21344966</v>
      </c>
      <c r="K2206" t="s">
        <v>1020</v>
      </c>
      <c r="L2206" t="s">
        <v>1021</v>
      </c>
      <c r="M2206" t="s">
        <v>57</v>
      </c>
    </row>
    <row r="2207" spans="1:13" x14ac:dyDescent="0.25">
      <c r="A2207" t="s">
        <v>28170</v>
      </c>
      <c r="B2207" t="s">
        <v>101</v>
      </c>
      <c r="C2207" t="s">
        <v>28160</v>
      </c>
      <c r="D2207" t="s">
        <v>28171</v>
      </c>
      <c r="E2207" t="s">
        <v>28172</v>
      </c>
      <c r="F2207" t="s">
        <v>1464</v>
      </c>
      <c r="G2207" t="s">
        <v>1081</v>
      </c>
      <c r="H2207" t="s">
        <v>489</v>
      </c>
      <c r="I2207" t="s">
        <v>19</v>
      </c>
      <c r="J2207" s="3" t="s">
        <v>25160</v>
      </c>
      <c r="K2207" t="s">
        <v>11449</v>
      </c>
      <c r="L2207" t="s">
        <v>625</v>
      </c>
      <c r="M2207" t="s">
        <v>32121</v>
      </c>
    </row>
    <row r="2208" spans="1:13" x14ac:dyDescent="0.25">
      <c r="A2208" t="s">
        <v>2588</v>
      </c>
      <c r="B2208" t="s">
        <v>13</v>
      </c>
      <c r="C2208" s="1">
        <v>44873</v>
      </c>
      <c r="D2208" t="s">
        <v>2589</v>
      </c>
      <c r="E2208" s="2" t="s">
        <v>30745</v>
      </c>
      <c r="F2208" t="s">
        <v>2590</v>
      </c>
      <c r="G2208" t="s">
        <v>2591</v>
      </c>
      <c r="H2208" t="s">
        <v>428</v>
      </c>
      <c r="I2208" t="s">
        <v>19</v>
      </c>
      <c r="J2208" s="3" t="s">
        <v>2592</v>
      </c>
      <c r="K2208" t="s">
        <v>2593</v>
      </c>
      <c r="L2208" t="s">
        <v>1113</v>
      </c>
      <c r="M2208" t="s">
        <v>32121</v>
      </c>
    </row>
    <row r="2209" spans="1:13" x14ac:dyDescent="0.25">
      <c r="A2209" t="s">
        <v>24946</v>
      </c>
      <c r="B2209" t="s">
        <v>13</v>
      </c>
      <c r="C2209" t="s">
        <v>24936</v>
      </c>
      <c r="D2209" t="s">
        <v>24947</v>
      </c>
      <c r="E2209" t="s">
        <v>24948</v>
      </c>
      <c r="F2209" t="s">
        <v>1464</v>
      </c>
      <c r="G2209" t="s">
        <v>24949</v>
      </c>
      <c r="H2209" t="s">
        <v>615</v>
      </c>
      <c r="I2209" t="s">
        <v>19</v>
      </c>
      <c r="J2209" s="3" t="s">
        <v>24950</v>
      </c>
      <c r="K2209" t="s">
        <v>24951</v>
      </c>
      <c r="L2209" t="s">
        <v>618</v>
      </c>
      <c r="M2209" t="s">
        <v>32121</v>
      </c>
    </row>
    <row r="2210" spans="1:13" x14ac:dyDescent="0.25">
      <c r="A2210" t="s">
        <v>22976</v>
      </c>
      <c r="B2210" t="s">
        <v>13</v>
      </c>
      <c r="C2210" t="s">
        <v>22977</v>
      </c>
      <c r="D2210" t="s">
        <v>22978</v>
      </c>
      <c r="E2210" t="s">
        <v>22979</v>
      </c>
      <c r="F2210" t="s">
        <v>117</v>
      </c>
      <c r="G2210" t="s">
        <v>8468</v>
      </c>
      <c r="H2210" t="s">
        <v>753</v>
      </c>
      <c r="I2210" t="s">
        <v>19</v>
      </c>
      <c r="J2210" s="3" t="s">
        <v>8469</v>
      </c>
      <c r="K2210" t="s">
        <v>8470</v>
      </c>
      <c r="L2210" t="s">
        <v>2762</v>
      </c>
      <c r="M2210" t="s">
        <v>32145</v>
      </c>
    </row>
    <row r="2211" spans="1:13" x14ac:dyDescent="0.25">
      <c r="A2211" t="s">
        <v>26752</v>
      </c>
      <c r="B2211" t="s">
        <v>13</v>
      </c>
      <c r="C2211" t="s">
        <v>14889</v>
      </c>
      <c r="D2211" t="s">
        <v>26753</v>
      </c>
      <c r="E2211" t="s">
        <v>22979</v>
      </c>
      <c r="F2211" t="s">
        <v>306</v>
      </c>
      <c r="G2211" t="s">
        <v>26754</v>
      </c>
      <c r="H2211" t="s">
        <v>2598</v>
      </c>
      <c r="I2211" t="s">
        <v>19</v>
      </c>
      <c r="J2211" s="3" t="s">
        <v>26755</v>
      </c>
      <c r="K2211" t="s">
        <v>26756</v>
      </c>
      <c r="L2211" t="s">
        <v>26757</v>
      </c>
      <c r="M2211" t="s">
        <v>32145</v>
      </c>
    </row>
    <row r="2212" spans="1:13" x14ac:dyDescent="0.25">
      <c r="A2212" t="s">
        <v>10004</v>
      </c>
      <c r="B2212" t="s">
        <v>13</v>
      </c>
      <c r="C2212" t="s">
        <v>7112</v>
      </c>
      <c r="D2212" t="s">
        <v>10005</v>
      </c>
      <c r="E2212" t="s">
        <v>10006</v>
      </c>
      <c r="F2212" t="s">
        <v>32121</v>
      </c>
      <c r="G2212" t="s">
        <v>10007</v>
      </c>
      <c r="H2212" t="s">
        <v>428</v>
      </c>
      <c r="I2212" t="s">
        <v>19</v>
      </c>
      <c r="J2212" s="3" t="s">
        <v>10008</v>
      </c>
      <c r="K2212" t="s">
        <v>10009</v>
      </c>
      <c r="L2212" t="s">
        <v>1295</v>
      </c>
      <c r="M2212" t="s">
        <v>32121</v>
      </c>
    </row>
    <row r="2213" spans="1:13" x14ac:dyDescent="0.25">
      <c r="A2213" t="s">
        <v>1665</v>
      </c>
      <c r="B2213" t="s">
        <v>13</v>
      </c>
      <c r="C2213" t="s">
        <v>1666</v>
      </c>
      <c r="D2213" t="s">
        <v>1667</v>
      </c>
      <c r="E2213" t="s">
        <v>1668</v>
      </c>
      <c r="F2213" t="s">
        <v>1669</v>
      </c>
      <c r="G2213" t="s">
        <v>1670</v>
      </c>
      <c r="H2213" t="s">
        <v>352</v>
      </c>
      <c r="I2213" t="s">
        <v>19</v>
      </c>
      <c r="J2213" s="3" t="s">
        <v>1671</v>
      </c>
      <c r="K2213" t="s">
        <v>1672</v>
      </c>
      <c r="L2213" t="s">
        <v>1673</v>
      </c>
      <c r="M2213" t="s">
        <v>32121</v>
      </c>
    </row>
    <row r="2214" spans="1:13" x14ac:dyDescent="0.25">
      <c r="A2214" t="s">
        <v>8514</v>
      </c>
      <c r="B2214" t="s">
        <v>13</v>
      </c>
      <c r="C2214" t="s">
        <v>8515</v>
      </c>
      <c r="D2214" t="s">
        <v>8516</v>
      </c>
      <c r="E2214" s="2" t="s">
        <v>31818</v>
      </c>
      <c r="F2214" t="s">
        <v>5837</v>
      </c>
      <c r="G2214" t="s">
        <v>8517</v>
      </c>
      <c r="H2214" t="s">
        <v>18</v>
      </c>
      <c r="I2214" t="s">
        <v>19</v>
      </c>
      <c r="J2214" s="3">
        <f>55-19-35183601</f>
        <v>-35183565</v>
      </c>
      <c r="K2214" t="s">
        <v>8518</v>
      </c>
      <c r="L2214" t="s">
        <v>4218</v>
      </c>
      <c r="M2214" t="s">
        <v>337</v>
      </c>
    </row>
    <row r="2215" spans="1:13" x14ac:dyDescent="0.25">
      <c r="A2215" t="s">
        <v>11088</v>
      </c>
      <c r="B2215" t="s">
        <v>13</v>
      </c>
      <c r="C2215" s="1">
        <v>44081</v>
      </c>
      <c r="D2215" t="s">
        <v>11089</v>
      </c>
      <c r="E2215" t="s">
        <v>11090</v>
      </c>
      <c r="F2215" t="s">
        <v>332</v>
      </c>
      <c r="G2215" t="s">
        <v>11091</v>
      </c>
      <c r="H2215" t="s">
        <v>45</v>
      </c>
      <c r="I2215" t="s">
        <v>19</v>
      </c>
      <c r="J2215" s="3">
        <v>55085997339834</v>
      </c>
      <c r="K2215" t="s">
        <v>11092</v>
      </c>
      <c r="L2215" t="s">
        <v>1909</v>
      </c>
      <c r="M2215" t="s">
        <v>337</v>
      </c>
    </row>
    <row r="2216" spans="1:13" x14ac:dyDescent="0.25">
      <c r="A2216" t="s">
        <v>24507</v>
      </c>
      <c r="B2216" t="s">
        <v>13</v>
      </c>
      <c r="C2216" t="s">
        <v>24508</v>
      </c>
      <c r="D2216" t="s">
        <v>24509</v>
      </c>
      <c r="E2216" s="2" t="s">
        <v>32096</v>
      </c>
      <c r="F2216" t="s">
        <v>1464</v>
      </c>
      <c r="G2216" t="s">
        <v>15775</v>
      </c>
      <c r="H2216" t="s">
        <v>2215</v>
      </c>
      <c r="I2216" t="s">
        <v>19</v>
      </c>
      <c r="J2216" s="3" t="s">
        <v>15776</v>
      </c>
      <c r="K2216" t="s">
        <v>15777</v>
      </c>
      <c r="L2216" t="s">
        <v>2218</v>
      </c>
      <c r="M2216" t="s">
        <v>337</v>
      </c>
    </row>
    <row r="2217" spans="1:13" x14ac:dyDescent="0.25">
      <c r="A2217" t="s">
        <v>22087</v>
      </c>
      <c r="B2217" t="s">
        <v>13</v>
      </c>
      <c r="C2217" s="1">
        <v>43134</v>
      </c>
      <c r="D2217" t="s">
        <v>22088</v>
      </c>
      <c r="E2217" t="s">
        <v>32365</v>
      </c>
      <c r="F2217" t="s">
        <v>337</v>
      </c>
      <c r="G2217" t="s">
        <v>22089</v>
      </c>
      <c r="H2217" t="s">
        <v>706</v>
      </c>
      <c r="I2217" t="s">
        <v>19</v>
      </c>
      <c r="J2217" s="3">
        <f>55-31-34092499</f>
        <v>-34092475</v>
      </c>
      <c r="K2217" t="s">
        <v>22090</v>
      </c>
      <c r="L2217" t="s">
        <v>2006</v>
      </c>
      <c r="M2217" t="s">
        <v>337</v>
      </c>
    </row>
    <row r="2218" spans="1:13" x14ac:dyDescent="0.25">
      <c r="A2218" t="s">
        <v>11601</v>
      </c>
      <c r="B2218" t="s">
        <v>13</v>
      </c>
      <c r="C2218" t="s">
        <v>11602</v>
      </c>
      <c r="D2218" t="s">
        <v>11603</v>
      </c>
      <c r="E2218" t="s">
        <v>11604</v>
      </c>
      <c r="F2218" t="s">
        <v>6249</v>
      </c>
      <c r="G2218" t="s">
        <v>11605</v>
      </c>
      <c r="H2218" t="s">
        <v>1206</v>
      </c>
      <c r="I2218" t="s">
        <v>19</v>
      </c>
      <c r="J2218" s="3" t="s">
        <v>11606</v>
      </c>
      <c r="K2218" t="s">
        <v>11607</v>
      </c>
      <c r="L2218" t="s">
        <v>1209</v>
      </c>
      <c r="M2218" t="s">
        <v>337</v>
      </c>
    </row>
    <row r="2219" spans="1:13" x14ac:dyDescent="0.25">
      <c r="A2219" t="s">
        <v>9681</v>
      </c>
      <c r="B2219" t="s">
        <v>13</v>
      </c>
      <c r="C2219" t="s">
        <v>5087</v>
      </c>
      <c r="D2219" t="s">
        <v>9682</v>
      </c>
      <c r="E2219" t="s">
        <v>2110</v>
      </c>
      <c r="F2219" t="s">
        <v>337</v>
      </c>
      <c r="G2219" t="s">
        <v>9683</v>
      </c>
      <c r="H2219" t="s">
        <v>1802</v>
      </c>
      <c r="I2219" t="s">
        <v>19</v>
      </c>
      <c r="J2219" s="3" t="s">
        <v>9684</v>
      </c>
      <c r="K2219" t="s">
        <v>9685</v>
      </c>
      <c r="L2219" t="s">
        <v>9686</v>
      </c>
      <c r="M2219" t="s">
        <v>337</v>
      </c>
    </row>
    <row r="2220" spans="1:13" x14ac:dyDescent="0.25">
      <c r="A2220" t="s">
        <v>2107</v>
      </c>
      <c r="B2220" t="s">
        <v>13</v>
      </c>
      <c r="C2220" t="s">
        <v>2108</v>
      </c>
      <c r="D2220" t="s">
        <v>2109</v>
      </c>
      <c r="E2220" t="s">
        <v>2110</v>
      </c>
      <c r="F2220" t="s">
        <v>1960</v>
      </c>
      <c r="G2220" t="s">
        <v>2111</v>
      </c>
      <c r="H2220" t="s">
        <v>2112</v>
      </c>
      <c r="I2220" t="s">
        <v>19</v>
      </c>
      <c r="J2220" s="3" t="s">
        <v>2113</v>
      </c>
      <c r="K2220" t="s">
        <v>2114</v>
      </c>
      <c r="L2220" t="s">
        <v>2115</v>
      </c>
      <c r="M2220" t="s">
        <v>337</v>
      </c>
    </row>
    <row r="2221" spans="1:13" x14ac:dyDescent="0.25">
      <c r="A2221" t="s">
        <v>8866</v>
      </c>
      <c r="B2221" t="s">
        <v>13</v>
      </c>
      <c r="C2221" s="1">
        <v>43354</v>
      </c>
      <c r="D2221" t="s">
        <v>8867</v>
      </c>
      <c r="E2221" t="s">
        <v>5890</v>
      </c>
      <c r="F2221" t="s">
        <v>1464</v>
      </c>
      <c r="G2221" t="s">
        <v>8868</v>
      </c>
      <c r="H2221" t="s">
        <v>1301</v>
      </c>
      <c r="I2221" t="s">
        <v>19</v>
      </c>
      <c r="J2221" s="3" t="s">
        <v>8869</v>
      </c>
      <c r="K2221" t="s">
        <v>8870</v>
      </c>
      <c r="L2221" t="s">
        <v>8871</v>
      </c>
      <c r="M2221" t="s">
        <v>337</v>
      </c>
    </row>
    <row r="2222" spans="1:13" x14ac:dyDescent="0.25">
      <c r="A2222" t="s">
        <v>5889</v>
      </c>
      <c r="B2222" t="s">
        <v>13</v>
      </c>
      <c r="C2222" t="s">
        <v>5884</v>
      </c>
      <c r="D2222" t="s">
        <v>32135</v>
      </c>
      <c r="E2222" t="s">
        <v>5890</v>
      </c>
      <c r="F2222" t="s">
        <v>5891</v>
      </c>
      <c r="G2222" t="s">
        <v>5892</v>
      </c>
      <c r="H2222" t="s">
        <v>642</v>
      </c>
      <c r="I2222" t="s">
        <v>19</v>
      </c>
      <c r="J2222" s="3" t="s">
        <v>5893</v>
      </c>
      <c r="K2222" t="s">
        <v>589</v>
      </c>
      <c r="L2222" t="s">
        <v>32135</v>
      </c>
      <c r="M2222" t="s">
        <v>337</v>
      </c>
    </row>
    <row r="2223" spans="1:13" x14ac:dyDescent="0.25">
      <c r="A2223" t="s">
        <v>12065</v>
      </c>
      <c r="B2223" t="s">
        <v>13</v>
      </c>
      <c r="C2223" t="s">
        <v>12053</v>
      </c>
      <c r="D2223" t="s">
        <v>12066</v>
      </c>
      <c r="E2223" t="s">
        <v>5890</v>
      </c>
      <c r="F2223" t="s">
        <v>332</v>
      </c>
      <c r="G2223" t="s">
        <v>12067</v>
      </c>
      <c r="H2223" t="s">
        <v>88</v>
      </c>
      <c r="I2223" t="s">
        <v>19</v>
      </c>
      <c r="J2223" s="3" t="s">
        <v>12068</v>
      </c>
      <c r="K2223" t="s">
        <v>12069</v>
      </c>
      <c r="L2223" t="s">
        <v>91</v>
      </c>
      <c r="M2223" t="s">
        <v>337</v>
      </c>
    </row>
    <row r="2224" spans="1:13" x14ac:dyDescent="0.25">
      <c r="A2224" t="s">
        <v>16823</v>
      </c>
      <c r="B2224" t="s">
        <v>13</v>
      </c>
      <c r="C2224" s="1">
        <v>43715</v>
      </c>
      <c r="D2224" t="s">
        <v>16824</v>
      </c>
      <c r="E2224" t="s">
        <v>2110</v>
      </c>
      <c r="F2224" t="s">
        <v>332</v>
      </c>
      <c r="G2224" t="s">
        <v>7587</v>
      </c>
      <c r="H2224" t="s">
        <v>18</v>
      </c>
      <c r="I2224" t="s">
        <v>19</v>
      </c>
      <c r="J2224" s="3" t="s">
        <v>7588</v>
      </c>
      <c r="K2224" t="s">
        <v>7589</v>
      </c>
      <c r="L2224" t="s">
        <v>4218</v>
      </c>
      <c r="M2224" t="s">
        <v>337</v>
      </c>
    </row>
    <row r="2225" spans="1:13" x14ac:dyDescent="0.25">
      <c r="A2225" t="s">
        <v>15729</v>
      </c>
      <c r="B2225" t="s">
        <v>13</v>
      </c>
      <c r="C2225" s="1">
        <v>43656</v>
      </c>
      <c r="D2225" t="s">
        <v>15730</v>
      </c>
      <c r="E2225" t="s">
        <v>2110</v>
      </c>
      <c r="F2225" t="s">
        <v>332</v>
      </c>
      <c r="G2225" t="s">
        <v>15731</v>
      </c>
      <c r="H2225" t="s">
        <v>36</v>
      </c>
      <c r="I2225" t="s">
        <v>19</v>
      </c>
      <c r="J2225" s="3" t="s">
        <v>15732</v>
      </c>
      <c r="K2225" t="s">
        <v>15733</v>
      </c>
      <c r="L2225" t="s">
        <v>321</v>
      </c>
      <c r="M2225" t="s">
        <v>337</v>
      </c>
    </row>
    <row r="2226" spans="1:13" x14ac:dyDescent="0.25">
      <c r="A2226" t="s">
        <v>10569</v>
      </c>
      <c r="B2226" t="s">
        <v>13</v>
      </c>
      <c r="C2226" s="1">
        <v>43990</v>
      </c>
      <c r="D2226" t="s">
        <v>10570</v>
      </c>
      <c r="E2226" t="s">
        <v>5890</v>
      </c>
      <c r="F2226" t="s">
        <v>332</v>
      </c>
      <c r="G2226" t="s">
        <v>7587</v>
      </c>
      <c r="H2226" t="s">
        <v>18</v>
      </c>
      <c r="I2226" t="s">
        <v>19</v>
      </c>
      <c r="J2226" s="3" t="s">
        <v>7588</v>
      </c>
      <c r="K2226" t="s">
        <v>7589</v>
      </c>
      <c r="L2226" t="s">
        <v>4218</v>
      </c>
      <c r="M2226" t="s">
        <v>337</v>
      </c>
    </row>
    <row r="2227" spans="1:13" x14ac:dyDescent="0.25">
      <c r="A2227" t="s">
        <v>11339</v>
      </c>
      <c r="B2227" t="s">
        <v>13</v>
      </c>
      <c r="C2227" t="s">
        <v>11304</v>
      </c>
      <c r="D2227" t="s">
        <v>11340</v>
      </c>
      <c r="E2227" t="s">
        <v>11341</v>
      </c>
      <c r="F2227" t="s">
        <v>332</v>
      </c>
      <c r="G2227" t="s">
        <v>11342</v>
      </c>
      <c r="H2227" t="s">
        <v>428</v>
      </c>
      <c r="I2227" t="s">
        <v>19</v>
      </c>
      <c r="J2227" s="3" t="s">
        <v>11343</v>
      </c>
      <c r="K2227" t="s">
        <v>11344</v>
      </c>
      <c r="L2227" t="s">
        <v>3398</v>
      </c>
      <c r="M2227" t="s">
        <v>337</v>
      </c>
    </row>
    <row r="2228" spans="1:13" x14ac:dyDescent="0.25">
      <c r="A2228" t="s">
        <v>9965</v>
      </c>
      <c r="B2228" t="s">
        <v>13</v>
      </c>
      <c r="C2228" t="s">
        <v>9966</v>
      </c>
      <c r="D2228" t="s">
        <v>9967</v>
      </c>
      <c r="E2228" t="s">
        <v>9968</v>
      </c>
      <c r="F2228" t="s">
        <v>9969</v>
      </c>
      <c r="G2228" t="s">
        <v>9683</v>
      </c>
      <c r="H2228" t="s">
        <v>1802</v>
      </c>
      <c r="I2228" t="s">
        <v>19</v>
      </c>
      <c r="J2228" s="3" t="s">
        <v>9684</v>
      </c>
      <c r="K2228" t="s">
        <v>9685</v>
      </c>
      <c r="L2228" t="s">
        <v>9686</v>
      </c>
      <c r="M2228" t="s">
        <v>32149</v>
      </c>
    </row>
    <row r="2229" spans="1:13" x14ac:dyDescent="0.25">
      <c r="A2229" t="s">
        <v>19882</v>
      </c>
      <c r="B2229" t="s">
        <v>13</v>
      </c>
      <c r="C2229" t="s">
        <v>9251</v>
      </c>
      <c r="D2229" t="s">
        <v>19883</v>
      </c>
      <c r="E2229" t="s">
        <v>19884</v>
      </c>
      <c r="F2229" t="s">
        <v>337</v>
      </c>
      <c r="G2229" t="s">
        <v>19885</v>
      </c>
      <c r="H2229" t="s">
        <v>936</v>
      </c>
      <c r="I2229" t="s">
        <v>19</v>
      </c>
      <c r="J2229" s="3">
        <f>55-71-99966-2889</f>
        <v>-102871</v>
      </c>
      <c r="K2229" t="s">
        <v>19886</v>
      </c>
      <c r="L2229" t="s">
        <v>9443</v>
      </c>
      <c r="M2229" t="s">
        <v>337</v>
      </c>
    </row>
    <row r="2230" spans="1:13" x14ac:dyDescent="0.25">
      <c r="A2230" t="s">
        <v>1233</v>
      </c>
      <c r="B2230" t="s">
        <v>13</v>
      </c>
      <c r="C2230" t="s">
        <v>1220</v>
      </c>
      <c r="D2230" t="s">
        <v>1234</v>
      </c>
      <c r="E2230" t="s">
        <v>1235</v>
      </c>
      <c r="F2230" t="s">
        <v>1236</v>
      </c>
      <c r="G2230" t="s">
        <v>1237</v>
      </c>
      <c r="H2230" t="s">
        <v>1238</v>
      </c>
      <c r="I2230" t="s">
        <v>19</v>
      </c>
      <c r="J2230" s="3" t="s">
        <v>1239</v>
      </c>
      <c r="K2230" t="s">
        <v>1240</v>
      </c>
      <c r="L2230" t="s">
        <v>618</v>
      </c>
      <c r="M2230" t="s">
        <v>32149</v>
      </c>
    </row>
    <row r="2231" spans="1:13" x14ac:dyDescent="0.25">
      <c r="A2231" t="s">
        <v>1277</v>
      </c>
      <c r="B2231" t="s">
        <v>13</v>
      </c>
      <c r="C2231" t="s">
        <v>1278</v>
      </c>
      <c r="D2231" t="s">
        <v>1279</v>
      </c>
      <c r="E2231" s="2" t="s">
        <v>30704</v>
      </c>
      <c r="F2231" t="s">
        <v>1006</v>
      </c>
      <c r="G2231" t="s">
        <v>1237</v>
      </c>
      <c r="H2231" t="s">
        <v>1238</v>
      </c>
      <c r="I2231" t="s">
        <v>19</v>
      </c>
      <c r="J2231" s="3" t="s">
        <v>1239</v>
      </c>
      <c r="K2231" t="s">
        <v>1240</v>
      </c>
      <c r="L2231" t="s">
        <v>618</v>
      </c>
      <c r="M2231" t="s">
        <v>337</v>
      </c>
    </row>
    <row r="2232" spans="1:13" x14ac:dyDescent="0.25">
      <c r="A2232" t="s">
        <v>22510</v>
      </c>
      <c r="B2232" t="s">
        <v>13</v>
      </c>
      <c r="C2232" t="s">
        <v>20648</v>
      </c>
      <c r="D2232" t="s">
        <v>22511</v>
      </c>
      <c r="E2232" t="s">
        <v>22512</v>
      </c>
      <c r="F2232" t="s">
        <v>1464</v>
      </c>
      <c r="G2232" t="s">
        <v>22513</v>
      </c>
      <c r="H2232" t="s">
        <v>472</v>
      </c>
      <c r="I2232" t="s">
        <v>19</v>
      </c>
      <c r="J2232" s="3" t="s">
        <v>22514</v>
      </c>
      <c r="K2232" t="s">
        <v>14075</v>
      </c>
      <c r="L2232" t="s">
        <v>22515</v>
      </c>
      <c r="M2232" t="s">
        <v>1775</v>
      </c>
    </row>
    <row r="2233" spans="1:13" x14ac:dyDescent="0.25">
      <c r="A2233" t="s">
        <v>9970</v>
      </c>
      <c r="B2233" t="s">
        <v>13</v>
      </c>
      <c r="C2233" s="1">
        <v>43839</v>
      </c>
      <c r="D2233" t="s">
        <v>9971</v>
      </c>
      <c r="E2233" t="s">
        <v>9972</v>
      </c>
      <c r="F2233" t="s">
        <v>2765</v>
      </c>
      <c r="G2233" t="s">
        <v>9973</v>
      </c>
      <c r="H2233" t="s">
        <v>409</v>
      </c>
      <c r="I2233" t="s">
        <v>19</v>
      </c>
      <c r="J2233" s="3" t="s">
        <v>9974</v>
      </c>
      <c r="K2233" t="s">
        <v>589</v>
      </c>
      <c r="L2233" t="s">
        <v>412</v>
      </c>
      <c r="M2233" t="s">
        <v>771</v>
      </c>
    </row>
    <row r="2234" spans="1:13" x14ac:dyDescent="0.25">
      <c r="A2234" t="s">
        <v>11219</v>
      </c>
      <c r="B2234" t="s">
        <v>13</v>
      </c>
      <c r="C2234" s="1">
        <v>43837</v>
      </c>
      <c r="D2234" t="s">
        <v>11220</v>
      </c>
      <c r="E2234" t="s">
        <v>11221</v>
      </c>
      <c r="F2234" t="s">
        <v>2036</v>
      </c>
      <c r="G2234" t="s">
        <v>9396</v>
      </c>
      <c r="H2234" t="s">
        <v>428</v>
      </c>
      <c r="I2234" t="s">
        <v>19</v>
      </c>
      <c r="J2234" s="3">
        <f>55-51-30262633</f>
        <v>-30262629</v>
      </c>
      <c r="K2234" t="s">
        <v>9397</v>
      </c>
      <c r="L2234" t="s">
        <v>9398</v>
      </c>
      <c r="M2234" t="s">
        <v>57</v>
      </c>
    </row>
    <row r="2235" spans="1:13" x14ac:dyDescent="0.25">
      <c r="A2235" t="s">
        <v>4736</v>
      </c>
      <c r="B2235" t="s">
        <v>13</v>
      </c>
      <c r="C2235" t="s">
        <v>4698</v>
      </c>
      <c r="D2235" t="s">
        <v>4737</v>
      </c>
      <c r="E2235" t="s">
        <v>4738</v>
      </c>
      <c r="F2235" t="s">
        <v>337</v>
      </c>
      <c r="G2235" t="s">
        <v>4686</v>
      </c>
      <c r="H2235" t="s">
        <v>472</v>
      </c>
      <c r="I2235" t="s">
        <v>19</v>
      </c>
      <c r="J2235" s="3" t="s">
        <v>4687</v>
      </c>
      <c r="K2235" t="s">
        <v>4688</v>
      </c>
      <c r="L2235" t="s">
        <v>4689</v>
      </c>
      <c r="M2235" t="s">
        <v>337</v>
      </c>
    </row>
    <row r="2236" spans="1:13" x14ac:dyDescent="0.25">
      <c r="A2236" t="s">
        <v>13121</v>
      </c>
      <c r="B2236" t="s">
        <v>101</v>
      </c>
      <c r="C2236" s="1">
        <v>44077</v>
      </c>
      <c r="D2236" t="s">
        <v>13122</v>
      </c>
      <c r="E2236" s="2" t="s">
        <v>31063</v>
      </c>
      <c r="F2236" t="s">
        <v>1464</v>
      </c>
      <c r="G2236" t="s">
        <v>13123</v>
      </c>
      <c r="H2236" t="s">
        <v>462</v>
      </c>
      <c r="I2236" t="s">
        <v>19</v>
      </c>
      <c r="J2236" s="3" t="s">
        <v>13124</v>
      </c>
      <c r="K2236" t="s">
        <v>13125</v>
      </c>
      <c r="L2236" t="s">
        <v>904</v>
      </c>
      <c r="M2236" t="s">
        <v>337</v>
      </c>
    </row>
    <row r="2237" spans="1:13" x14ac:dyDescent="0.25">
      <c r="A2237" t="s">
        <v>2713</v>
      </c>
      <c r="B2237" t="s">
        <v>13</v>
      </c>
      <c r="C2237" s="1">
        <v>44600</v>
      </c>
      <c r="D2237" t="s">
        <v>2714</v>
      </c>
      <c r="E2237" t="s">
        <v>2715</v>
      </c>
      <c r="F2237" t="s">
        <v>2242</v>
      </c>
      <c r="G2237" t="s">
        <v>2716</v>
      </c>
      <c r="H2237" t="s">
        <v>2678</v>
      </c>
      <c r="I2237" t="s">
        <v>19</v>
      </c>
      <c r="J2237" s="3" t="s">
        <v>2717</v>
      </c>
      <c r="K2237" t="s">
        <v>2718</v>
      </c>
      <c r="L2237" t="s">
        <v>2677</v>
      </c>
      <c r="M2237" t="s">
        <v>337</v>
      </c>
    </row>
    <row r="2238" spans="1:13" x14ac:dyDescent="0.25">
      <c r="A2238" t="s">
        <v>4815</v>
      </c>
      <c r="B2238" t="s">
        <v>13</v>
      </c>
      <c r="C2238" s="1">
        <v>44867</v>
      </c>
      <c r="D2238" t="s">
        <v>32135</v>
      </c>
      <c r="E2238" t="s">
        <v>32366</v>
      </c>
      <c r="F2238" t="s">
        <v>211</v>
      </c>
      <c r="G2238" t="s">
        <v>4816</v>
      </c>
      <c r="H2238" t="s">
        <v>2112</v>
      </c>
      <c r="I2238" t="s">
        <v>19</v>
      </c>
      <c r="J2238" s="3">
        <v>5546999211668</v>
      </c>
      <c r="K2238" t="s">
        <v>4817</v>
      </c>
      <c r="L2238" t="s">
        <v>2115</v>
      </c>
      <c r="M2238" t="s">
        <v>337</v>
      </c>
    </row>
    <row r="2239" spans="1:13" x14ac:dyDescent="0.25">
      <c r="A2239" t="s">
        <v>27332</v>
      </c>
      <c r="B2239" t="s">
        <v>13</v>
      </c>
      <c r="C2239" t="s">
        <v>27326</v>
      </c>
      <c r="D2239" t="s">
        <v>27333</v>
      </c>
      <c r="E2239" t="s">
        <v>27334</v>
      </c>
      <c r="F2239" t="s">
        <v>332</v>
      </c>
      <c r="G2239" t="s">
        <v>27335</v>
      </c>
      <c r="H2239" t="s">
        <v>472</v>
      </c>
      <c r="I2239" t="s">
        <v>19</v>
      </c>
      <c r="J2239" s="3" t="s">
        <v>27336</v>
      </c>
      <c r="K2239" t="s">
        <v>27337</v>
      </c>
      <c r="L2239" t="s">
        <v>27338</v>
      </c>
      <c r="M2239" t="s">
        <v>337</v>
      </c>
    </row>
    <row r="2240" spans="1:13" x14ac:dyDescent="0.25">
      <c r="A2240" t="s">
        <v>18638</v>
      </c>
      <c r="B2240" t="s">
        <v>13</v>
      </c>
      <c r="C2240" t="s">
        <v>8477</v>
      </c>
      <c r="D2240" t="s">
        <v>18639</v>
      </c>
      <c r="E2240" s="2" t="s">
        <v>31207</v>
      </c>
      <c r="F2240" t="s">
        <v>1464</v>
      </c>
      <c r="G2240" t="s">
        <v>18640</v>
      </c>
      <c r="H2240" t="s">
        <v>18641</v>
      </c>
      <c r="I2240" t="s">
        <v>19</v>
      </c>
      <c r="J2240" s="3" t="s">
        <v>18642</v>
      </c>
      <c r="K2240" t="s">
        <v>18643</v>
      </c>
      <c r="L2240" t="s">
        <v>18640</v>
      </c>
      <c r="M2240" t="s">
        <v>32145</v>
      </c>
    </row>
    <row r="2241" spans="1:13" x14ac:dyDescent="0.25">
      <c r="A2241" t="s">
        <v>19367</v>
      </c>
      <c r="B2241" t="s">
        <v>13</v>
      </c>
      <c r="C2241" s="1">
        <v>43141</v>
      </c>
      <c r="D2241" t="s">
        <v>19368</v>
      </c>
      <c r="E2241" s="2" t="s">
        <v>31405</v>
      </c>
      <c r="F2241" t="s">
        <v>337</v>
      </c>
      <c r="G2241" t="s">
        <v>2004</v>
      </c>
      <c r="H2241" t="s">
        <v>706</v>
      </c>
      <c r="I2241" t="s">
        <v>19</v>
      </c>
      <c r="J2241" s="3">
        <f>55-31-34092427</f>
        <v>-34092403</v>
      </c>
      <c r="K2241" t="s">
        <v>2005</v>
      </c>
      <c r="L2241" t="s">
        <v>2006</v>
      </c>
      <c r="M2241" t="s">
        <v>337</v>
      </c>
    </row>
    <row r="2242" spans="1:13" x14ac:dyDescent="0.25">
      <c r="A2242" t="s">
        <v>24971</v>
      </c>
      <c r="B2242" t="s">
        <v>13</v>
      </c>
      <c r="C2242" t="s">
        <v>24566</v>
      </c>
      <c r="D2242" t="s">
        <v>24972</v>
      </c>
      <c r="E2242" t="s">
        <v>24973</v>
      </c>
      <c r="F2242" t="s">
        <v>332</v>
      </c>
      <c r="G2242" t="s">
        <v>24974</v>
      </c>
      <c r="H2242" t="s">
        <v>489</v>
      </c>
      <c r="I2242" t="s">
        <v>19</v>
      </c>
      <c r="J2242" s="3" t="s">
        <v>24975</v>
      </c>
      <c r="K2242" t="s">
        <v>24976</v>
      </c>
      <c r="L2242" t="s">
        <v>809</v>
      </c>
      <c r="M2242" t="s">
        <v>337</v>
      </c>
    </row>
    <row r="2243" spans="1:13" x14ac:dyDescent="0.25">
      <c r="A2243" t="s">
        <v>9356</v>
      </c>
      <c r="B2243" t="s">
        <v>13</v>
      </c>
      <c r="C2243" t="s">
        <v>5232</v>
      </c>
      <c r="D2243" t="s">
        <v>9357</v>
      </c>
      <c r="E2243" s="2" t="s">
        <v>30975</v>
      </c>
      <c r="F2243" t="s">
        <v>332</v>
      </c>
      <c r="G2243" t="s">
        <v>4463</v>
      </c>
      <c r="H2243" t="s">
        <v>265</v>
      </c>
      <c r="I2243" t="s">
        <v>19</v>
      </c>
      <c r="J2243" s="3" t="s">
        <v>4464</v>
      </c>
      <c r="K2243" t="s">
        <v>4465</v>
      </c>
      <c r="L2243" t="s">
        <v>321</v>
      </c>
      <c r="M2243" t="s">
        <v>337</v>
      </c>
    </row>
    <row r="2244" spans="1:13" x14ac:dyDescent="0.25">
      <c r="A2244" t="s">
        <v>13662</v>
      </c>
      <c r="B2244" t="s">
        <v>13</v>
      </c>
      <c r="C2244" s="1">
        <v>44106</v>
      </c>
      <c r="D2244" t="s">
        <v>13663</v>
      </c>
      <c r="E2244" t="s">
        <v>13664</v>
      </c>
      <c r="F2244" t="s">
        <v>332</v>
      </c>
      <c r="G2244" t="s">
        <v>13665</v>
      </c>
      <c r="H2244" t="s">
        <v>428</v>
      </c>
      <c r="I2244" t="s">
        <v>19</v>
      </c>
      <c r="J2244" s="3" t="s">
        <v>13666</v>
      </c>
      <c r="K2244" t="s">
        <v>13667</v>
      </c>
      <c r="L2244" t="s">
        <v>1295</v>
      </c>
      <c r="M2244" t="s">
        <v>337</v>
      </c>
    </row>
    <row r="2245" spans="1:13" x14ac:dyDescent="0.25">
      <c r="A2245" t="s">
        <v>19658</v>
      </c>
      <c r="B2245" t="s">
        <v>13</v>
      </c>
      <c r="C2245" t="s">
        <v>18199</v>
      </c>
      <c r="D2245" t="s">
        <v>19659</v>
      </c>
      <c r="E2245" s="2" t="s">
        <v>31685</v>
      </c>
      <c r="F2245" t="s">
        <v>1464</v>
      </c>
      <c r="G2245" t="s">
        <v>19660</v>
      </c>
      <c r="H2245" t="s">
        <v>352</v>
      </c>
      <c r="I2245" t="s">
        <v>19</v>
      </c>
      <c r="J2245" s="3">
        <f>55-21-25748871</f>
        <v>-25748837</v>
      </c>
      <c r="K2245" t="s">
        <v>19661</v>
      </c>
      <c r="L2245" t="s">
        <v>18620</v>
      </c>
      <c r="M2245" t="s">
        <v>337</v>
      </c>
    </row>
    <row r="2246" spans="1:13" x14ac:dyDescent="0.25">
      <c r="A2246" t="s">
        <v>6514</v>
      </c>
      <c r="B2246" t="s">
        <v>13</v>
      </c>
      <c r="C2246" s="1">
        <v>44264</v>
      </c>
      <c r="D2246" t="s">
        <v>32135</v>
      </c>
      <c r="E2246" s="2" t="s">
        <v>30896</v>
      </c>
      <c r="F2246" t="s">
        <v>2242</v>
      </c>
      <c r="G2246" t="s">
        <v>6515</v>
      </c>
      <c r="H2246" t="s">
        <v>1047</v>
      </c>
      <c r="I2246" t="s">
        <v>19</v>
      </c>
      <c r="J2246" s="3">
        <f>55-27-999452339</f>
        <v>-999452311</v>
      </c>
      <c r="K2246" t="s">
        <v>6516</v>
      </c>
      <c r="L2246" t="s">
        <v>32135</v>
      </c>
      <c r="M2246" t="s">
        <v>337</v>
      </c>
    </row>
    <row r="2247" spans="1:13" x14ac:dyDescent="0.25">
      <c r="A2247" t="s">
        <v>19802</v>
      </c>
      <c r="B2247" t="s">
        <v>13</v>
      </c>
      <c r="C2247" s="1">
        <v>43199</v>
      </c>
      <c r="D2247" t="s">
        <v>19803</v>
      </c>
      <c r="E2247" t="s">
        <v>6545</v>
      </c>
      <c r="F2247" t="s">
        <v>1432</v>
      </c>
      <c r="G2247" t="s">
        <v>19804</v>
      </c>
      <c r="H2247" t="s">
        <v>36</v>
      </c>
      <c r="I2247" t="s">
        <v>19</v>
      </c>
      <c r="J2247" s="3" t="s">
        <v>19805</v>
      </c>
      <c r="K2247" t="s">
        <v>19806</v>
      </c>
      <c r="L2247" t="s">
        <v>439</v>
      </c>
      <c r="M2247" t="s">
        <v>1432</v>
      </c>
    </row>
    <row r="2248" spans="1:13" x14ac:dyDescent="0.25">
      <c r="A2248" t="s">
        <v>11813</v>
      </c>
      <c r="B2248" t="s">
        <v>13</v>
      </c>
      <c r="C2248" t="s">
        <v>11807</v>
      </c>
      <c r="D2248" t="s">
        <v>11814</v>
      </c>
      <c r="E2248" t="s">
        <v>6545</v>
      </c>
      <c r="F2248" t="s">
        <v>1432</v>
      </c>
      <c r="G2248" t="s">
        <v>11815</v>
      </c>
      <c r="H2248" t="s">
        <v>798</v>
      </c>
      <c r="I2248" t="s">
        <v>19</v>
      </c>
      <c r="J2248" s="3">
        <f>55-61-998844060</f>
        <v>-998844066</v>
      </c>
      <c r="K2248" t="s">
        <v>11816</v>
      </c>
      <c r="L2248" t="s">
        <v>11817</v>
      </c>
      <c r="M2248" t="s">
        <v>1432</v>
      </c>
    </row>
    <row r="2249" spans="1:13" x14ac:dyDescent="0.25">
      <c r="A2249" t="s">
        <v>6542</v>
      </c>
      <c r="B2249" t="s">
        <v>101</v>
      </c>
      <c r="C2249" t="s">
        <v>6543</v>
      </c>
      <c r="D2249" t="s">
        <v>6544</v>
      </c>
      <c r="E2249" t="s">
        <v>6545</v>
      </c>
      <c r="F2249" t="s">
        <v>6546</v>
      </c>
      <c r="G2249" t="s">
        <v>6547</v>
      </c>
      <c r="H2249" t="s">
        <v>936</v>
      </c>
      <c r="I2249" t="s">
        <v>19</v>
      </c>
      <c r="J2249" s="3" t="s">
        <v>6548</v>
      </c>
      <c r="K2249" t="s">
        <v>6549</v>
      </c>
      <c r="L2249" t="s">
        <v>32135</v>
      </c>
      <c r="M2249" t="s">
        <v>1432</v>
      </c>
    </row>
    <row r="2250" spans="1:13" x14ac:dyDescent="0.25">
      <c r="A2250" t="s">
        <v>6973</v>
      </c>
      <c r="B2250" t="s">
        <v>13</v>
      </c>
      <c r="C2250" s="1">
        <v>44354</v>
      </c>
      <c r="D2250" t="s">
        <v>6974</v>
      </c>
      <c r="E2250" t="s">
        <v>6545</v>
      </c>
      <c r="F2250" t="s">
        <v>6975</v>
      </c>
      <c r="G2250" t="s">
        <v>6976</v>
      </c>
      <c r="H2250" t="s">
        <v>36</v>
      </c>
      <c r="I2250" t="s">
        <v>19</v>
      </c>
      <c r="J2250" s="3">
        <f>55-11-35884777</f>
        <v>-35884733</v>
      </c>
      <c r="K2250" t="s">
        <v>6977</v>
      </c>
      <c r="L2250" t="s">
        <v>32135</v>
      </c>
      <c r="M2250" t="s">
        <v>1432</v>
      </c>
    </row>
    <row r="2251" spans="1:13" x14ac:dyDescent="0.25">
      <c r="A2251" t="s">
        <v>17433</v>
      </c>
      <c r="B2251" t="s">
        <v>13</v>
      </c>
      <c r="C2251" s="1">
        <v>43561</v>
      </c>
      <c r="D2251" t="s">
        <v>17434</v>
      </c>
      <c r="E2251" t="s">
        <v>6545</v>
      </c>
      <c r="F2251" t="s">
        <v>1464</v>
      </c>
      <c r="G2251" t="s">
        <v>17435</v>
      </c>
      <c r="H2251" t="s">
        <v>36</v>
      </c>
      <c r="I2251" t="s">
        <v>19</v>
      </c>
      <c r="J2251" s="3">
        <v>5511983462354</v>
      </c>
      <c r="K2251" t="s">
        <v>17436</v>
      </c>
      <c r="L2251" t="s">
        <v>17437</v>
      </c>
      <c r="M2251" t="s">
        <v>1432</v>
      </c>
    </row>
    <row r="2252" spans="1:13" x14ac:dyDescent="0.25">
      <c r="A2252" t="s">
        <v>6438</v>
      </c>
      <c r="B2252" t="s">
        <v>13</v>
      </c>
      <c r="C2252" s="1">
        <v>44448</v>
      </c>
      <c r="D2252" t="s">
        <v>6439</v>
      </c>
      <c r="E2252" t="s">
        <v>6440</v>
      </c>
      <c r="F2252" t="s">
        <v>4338</v>
      </c>
      <c r="G2252" t="s">
        <v>6441</v>
      </c>
      <c r="H2252" t="s">
        <v>36</v>
      </c>
      <c r="I2252" t="s">
        <v>19</v>
      </c>
      <c r="J2252" s="3" t="s">
        <v>6442</v>
      </c>
      <c r="K2252" t="s">
        <v>6443</v>
      </c>
      <c r="L2252" t="s">
        <v>6444</v>
      </c>
      <c r="M2252" t="s">
        <v>1432</v>
      </c>
    </row>
    <row r="2253" spans="1:13" x14ac:dyDescent="0.25">
      <c r="A2253" t="s">
        <v>9862</v>
      </c>
      <c r="B2253" t="s">
        <v>13</v>
      </c>
      <c r="C2253" s="1">
        <v>44052</v>
      </c>
      <c r="D2253" t="s">
        <v>9863</v>
      </c>
      <c r="E2253" t="s">
        <v>9864</v>
      </c>
      <c r="F2253" t="s">
        <v>1432</v>
      </c>
      <c r="G2253" t="s">
        <v>9865</v>
      </c>
      <c r="H2253" t="s">
        <v>36</v>
      </c>
      <c r="I2253" t="s">
        <v>19</v>
      </c>
      <c r="J2253" s="3">
        <f>55-11-981060626</f>
        <v>-981060582</v>
      </c>
      <c r="K2253" t="s">
        <v>9866</v>
      </c>
      <c r="L2253" t="s">
        <v>344</v>
      </c>
      <c r="M2253" t="s">
        <v>1432</v>
      </c>
    </row>
    <row r="2254" spans="1:13" x14ac:dyDescent="0.25">
      <c r="A2254" t="s">
        <v>22468</v>
      </c>
      <c r="B2254" t="s">
        <v>13</v>
      </c>
      <c r="C2254" t="s">
        <v>22469</v>
      </c>
      <c r="D2254" t="s">
        <v>22470</v>
      </c>
      <c r="E2254" t="s">
        <v>22471</v>
      </c>
      <c r="F2254" t="s">
        <v>224</v>
      </c>
      <c r="G2254" t="s">
        <v>22472</v>
      </c>
      <c r="H2254" t="s">
        <v>105</v>
      </c>
      <c r="I2254" t="s">
        <v>19</v>
      </c>
      <c r="J2254" s="3" t="s">
        <v>22473</v>
      </c>
      <c r="K2254" t="s">
        <v>22474</v>
      </c>
      <c r="L2254" t="s">
        <v>108</v>
      </c>
      <c r="M2254" t="s">
        <v>224</v>
      </c>
    </row>
    <row r="2255" spans="1:13" x14ac:dyDescent="0.25">
      <c r="A2255" t="s">
        <v>25831</v>
      </c>
      <c r="B2255" t="s">
        <v>13</v>
      </c>
      <c r="C2255" t="s">
        <v>25832</v>
      </c>
      <c r="D2255" t="s">
        <v>25833</v>
      </c>
      <c r="E2255" t="s">
        <v>25834</v>
      </c>
      <c r="F2255" t="s">
        <v>1349</v>
      </c>
      <c r="G2255" t="s">
        <v>25835</v>
      </c>
      <c r="H2255" t="s">
        <v>105</v>
      </c>
      <c r="I2255" t="s">
        <v>19</v>
      </c>
      <c r="J2255" s="3" t="s">
        <v>25836</v>
      </c>
      <c r="K2255" t="s">
        <v>25837</v>
      </c>
      <c r="L2255" t="s">
        <v>108</v>
      </c>
      <c r="M2255" t="s">
        <v>1349</v>
      </c>
    </row>
    <row r="2256" spans="1:13" x14ac:dyDescent="0.25">
      <c r="A2256" t="s">
        <v>23623</v>
      </c>
      <c r="B2256" t="s">
        <v>13</v>
      </c>
      <c r="C2256" t="s">
        <v>23624</v>
      </c>
      <c r="D2256" t="s">
        <v>23625</v>
      </c>
      <c r="E2256" t="s">
        <v>23626</v>
      </c>
      <c r="F2256" t="s">
        <v>1349</v>
      </c>
      <c r="G2256" t="s">
        <v>23627</v>
      </c>
      <c r="H2256" t="s">
        <v>45</v>
      </c>
      <c r="I2256" t="s">
        <v>19</v>
      </c>
      <c r="J2256" s="3" t="s">
        <v>23628</v>
      </c>
      <c r="K2256" t="s">
        <v>23629</v>
      </c>
      <c r="L2256" t="s">
        <v>23630</v>
      </c>
      <c r="M2256" t="s">
        <v>1349</v>
      </c>
    </row>
    <row r="2257" spans="1:13" x14ac:dyDescent="0.25">
      <c r="A2257" t="s">
        <v>5079</v>
      </c>
      <c r="B2257" t="s">
        <v>13</v>
      </c>
      <c r="C2257" t="s">
        <v>5080</v>
      </c>
      <c r="D2257" t="s">
        <v>5081</v>
      </c>
      <c r="E2257" t="s">
        <v>32367</v>
      </c>
      <c r="F2257" t="s">
        <v>5082</v>
      </c>
      <c r="G2257" t="s">
        <v>5083</v>
      </c>
      <c r="H2257" t="s">
        <v>489</v>
      </c>
      <c r="I2257" t="s">
        <v>19</v>
      </c>
      <c r="J2257" s="3" t="s">
        <v>5084</v>
      </c>
      <c r="K2257" t="s">
        <v>5085</v>
      </c>
      <c r="L2257" t="s">
        <v>32135</v>
      </c>
      <c r="M2257" t="s">
        <v>32145</v>
      </c>
    </row>
    <row r="2258" spans="1:13" x14ac:dyDescent="0.25">
      <c r="A2258" t="s">
        <v>19597</v>
      </c>
      <c r="B2258" t="s">
        <v>13</v>
      </c>
      <c r="C2258" t="s">
        <v>19584</v>
      </c>
      <c r="D2258" t="s">
        <v>19598</v>
      </c>
      <c r="E2258" t="s">
        <v>19599</v>
      </c>
      <c r="F2258" t="s">
        <v>306</v>
      </c>
      <c r="G2258" t="s">
        <v>19600</v>
      </c>
      <c r="H2258" t="s">
        <v>2564</v>
      </c>
      <c r="I2258" t="s">
        <v>19</v>
      </c>
      <c r="J2258" s="3">
        <v>556536157397</v>
      </c>
      <c r="K2258" t="s">
        <v>19601</v>
      </c>
      <c r="L2258" t="s">
        <v>2026</v>
      </c>
      <c r="M2258" t="s">
        <v>741</v>
      </c>
    </row>
    <row r="2259" spans="1:13" x14ac:dyDescent="0.25">
      <c r="A2259" t="s">
        <v>15026</v>
      </c>
      <c r="B2259" t="s">
        <v>13</v>
      </c>
      <c r="C2259" t="s">
        <v>5288</v>
      </c>
      <c r="D2259" t="s">
        <v>15027</v>
      </c>
      <c r="E2259" t="s">
        <v>6753</v>
      </c>
      <c r="F2259" t="s">
        <v>57</v>
      </c>
      <c r="G2259" t="s">
        <v>15028</v>
      </c>
      <c r="H2259" t="s">
        <v>195</v>
      </c>
      <c r="I2259" t="s">
        <v>19</v>
      </c>
      <c r="J2259" s="3">
        <f>55-16-33518345</f>
        <v>-33518306</v>
      </c>
      <c r="K2259" t="s">
        <v>15029</v>
      </c>
      <c r="L2259" t="s">
        <v>15030</v>
      </c>
      <c r="M2259" t="s">
        <v>57</v>
      </c>
    </row>
    <row r="2260" spans="1:13" x14ac:dyDescent="0.25">
      <c r="A2260" t="s">
        <v>15950</v>
      </c>
      <c r="B2260" t="s">
        <v>13</v>
      </c>
      <c r="C2260" t="s">
        <v>15951</v>
      </c>
      <c r="D2260" t="s">
        <v>15952</v>
      </c>
      <c r="E2260" t="s">
        <v>6753</v>
      </c>
      <c r="F2260" t="s">
        <v>2036</v>
      </c>
      <c r="G2260" t="s">
        <v>15953</v>
      </c>
      <c r="H2260" t="s">
        <v>3618</v>
      </c>
      <c r="I2260" t="s">
        <v>19</v>
      </c>
      <c r="J2260" s="3">
        <f>55-79-988015026</f>
        <v>-988015050</v>
      </c>
      <c r="K2260" t="s">
        <v>15954</v>
      </c>
      <c r="L2260" t="s">
        <v>2606</v>
      </c>
      <c r="M2260" t="s">
        <v>57</v>
      </c>
    </row>
    <row r="2261" spans="1:13" x14ac:dyDescent="0.25">
      <c r="A2261" t="s">
        <v>15301</v>
      </c>
      <c r="B2261" t="s">
        <v>13</v>
      </c>
      <c r="C2261" t="s">
        <v>15293</v>
      </c>
      <c r="D2261" t="s">
        <v>15302</v>
      </c>
      <c r="E2261" t="s">
        <v>6753</v>
      </c>
      <c r="F2261" t="s">
        <v>2036</v>
      </c>
      <c r="G2261" t="s">
        <v>15303</v>
      </c>
      <c r="H2261" t="s">
        <v>706</v>
      </c>
      <c r="I2261" t="s">
        <v>19</v>
      </c>
      <c r="J2261" s="3">
        <f>55-31-991645246</f>
        <v>-991645222</v>
      </c>
      <c r="K2261" t="s">
        <v>15304</v>
      </c>
      <c r="L2261" t="s">
        <v>15305</v>
      </c>
      <c r="M2261" t="s">
        <v>57</v>
      </c>
    </row>
    <row r="2262" spans="1:13" x14ac:dyDescent="0.25">
      <c r="A2262" t="s">
        <v>6752</v>
      </c>
      <c r="B2262" t="s">
        <v>13</v>
      </c>
      <c r="C2262" s="1">
        <v>44447</v>
      </c>
      <c r="D2262" t="s">
        <v>32135</v>
      </c>
      <c r="E2262" s="2" t="s">
        <v>30905</v>
      </c>
      <c r="F2262" t="s">
        <v>6753</v>
      </c>
      <c r="G2262" t="s">
        <v>6754</v>
      </c>
      <c r="H2262" t="s">
        <v>3391</v>
      </c>
      <c r="I2262" t="s">
        <v>19</v>
      </c>
      <c r="J2262" s="3">
        <v>5519997656550</v>
      </c>
      <c r="K2262" t="s">
        <v>6755</v>
      </c>
      <c r="L2262" t="s">
        <v>32135</v>
      </c>
      <c r="M2262" t="s">
        <v>57</v>
      </c>
    </row>
    <row r="2263" spans="1:13" x14ac:dyDescent="0.25">
      <c r="A2263" t="s">
        <v>9042</v>
      </c>
      <c r="B2263" t="s">
        <v>101</v>
      </c>
      <c r="C2263" t="s">
        <v>9038</v>
      </c>
      <c r="D2263" t="s">
        <v>9043</v>
      </c>
      <c r="E2263" t="s">
        <v>9044</v>
      </c>
      <c r="F2263" t="s">
        <v>57</v>
      </c>
      <c r="G2263" t="s">
        <v>9045</v>
      </c>
      <c r="H2263" t="s">
        <v>36</v>
      </c>
      <c r="I2263" t="s">
        <v>19</v>
      </c>
      <c r="J2263" s="3">
        <f>55-11-972498306</f>
        <v>-972498262</v>
      </c>
      <c r="K2263" t="s">
        <v>9046</v>
      </c>
      <c r="L2263" t="s">
        <v>439</v>
      </c>
      <c r="M2263" t="s">
        <v>57</v>
      </c>
    </row>
    <row r="2264" spans="1:13" x14ac:dyDescent="0.25">
      <c r="A2264" t="s">
        <v>18840</v>
      </c>
      <c r="B2264" t="s">
        <v>13</v>
      </c>
      <c r="C2264" t="s">
        <v>18841</v>
      </c>
      <c r="D2264" t="s">
        <v>18842</v>
      </c>
      <c r="E2264" t="s">
        <v>18843</v>
      </c>
      <c r="F2264" t="s">
        <v>57</v>
      </c>
      <c r="G2264" t="s">
        <v>18844</v>
      </c>
      <c r="H2264" t="s">
        <v>936</v>
      </c>
      <c r="I2264" t="s">
        <v>19</v>
      </c>
      <c r="J2264" s="3" t="s">
        <v>18845</v>
      </c>
      <c r="K2264" t="s">
        <v>16822</v>
      </c>
      <c r="L2264" t="s">
        <v>14930</v>
      </c>
      <c r="M2264" t="s">
        <v>57</v>
      </c>
    </row>
    <row r="2265" spans="1:13" x14ac:dyDescent="0.25">
      <c r="A2265" t="s">
        <v>23616</v>
      </c>
      <c r="B2265" t="s">
        <v>13</v>
      </c>
      <c r="C2265" s="1">
        <v>42834</v>
      </c>
      <c r="D2265" t="s">
        <v>23617</v>
      </c>
      <c r="E2265" t="s">
        <v>23618</v>
      </c>
      <c r="F2265" t="s">
        <v>57</v>
      </c>
      <c r="G2265" t="s">
        <v>23619</v>
      </c>
      <c r="H2265" t="s">
        <v>16411</v>
      </c>
      <c r="I2265" t="s">
        <v>19</v>
      </c>
      <c r="J2265" s="3" t="s">
        <v>23620</v>
      </c>
      <c r="K2265" t="s">
        <v>23621</v>
      </c>
      <c r="L2265" t="s">
        <v>23622</v>
      </c>
      <c r="M2265" t="s">
        <v>57</v>
      </c>
    </row>
    <row r="2266" spans="1:13" x14ac:dyDescent="0.25">
      <c r="A2266" t="s">
        <v>7159</v>
      </c>
      <c r="B2266" t="s">
        <v>13</v>
      </c>
      <c r="C2266" s="1">
        <v>43687</v>
      </c>
      <c r="D2266" t="s">
        <v>7160</v>
      </c>
      <c r="E2266" t="s">
        <v>7161</v>
      </c>
      <c r="F2266" t="s">
        <v>2036</v>
      </c>
      <c r="G2266" t="s">
        <v>7162</v>
      </c>
      <c r="H2266" t="s">
        <v>2842</v>
      </c>
      <c r="I2266" t="s">
        <v>19</v>
      </c>
      <c r="J2266" s="3">
        <f>55-49-999126487</f>
        <v>-999126481</v>
      </c>
      <c r="K2266" t="s">
        <v>7163</v>
      </c>
      <c r="L2266" t="s">
        <v>3810</v>
      </c>
      <c r="M2266" t="s">
        <v>57</v>
      </c>
    </row>
    <row r="2267" spans="1:13" x14ac:dyDescent="0.25">
      <c r="A2267" t="s">
        <v>18474</v>
      </c>
      <c r="B2267" t="s">
        <v>13</v>
      </c>
      <c r="C2267" t="s">
        <v>18472</v>
      </c>
      <c r="D2267" t="s">
        <v>18475</v>
      </c>
      <c r="E2267" t="s">
        <v>17873</v>
      </c>
      <c r="F2267" t="s">
        <v>57</v>
      </c>
      <c r="G2267" t="s">
        <v>17874</v>
      </c>
      <c r="H2267" t="s">
        <v>17542</v>
      </c>
      <c r="I2267" t="s">
        <v>19</v>
      </c>
      <c r="J2267" s="3" t="s">
        <v>17875</v>
      </c>
      <c r="K2267" t="s">
        <v>17876</v>
      </c>
      <c r="L2267" t="s">
        <v>17877</v>
      </c>
      <c r="M2267" t="s">
        <v>57</v>
      </c>
    </row>
    <row r="2268" spans="1:13" x14ac:dyDescent="0.25">
      <c r="A2268" t="s">
        <v>17871</v>
      </c>
      <c r="B2268" t="s">
        <v>13</v>
      </c>
      <c r="C2268" s="1">
        <v>43528</v>
      </c>
      <c r="D2268" t="s">
        <v>17872</v>
      </c>
      <c r="E2268" t="s">
        <v>17873</v>
      </c>
      <c r="F2268" t="s">
        <v>57</v>
      </c>
      <c r="G2268" t="s">
        <v>17874</v>
      </c>
      <c r="H2268" t="s">
        <v>17542</v>
      </c>
      <c r="I2268" t="s">
        <v>19</v>
      </c>
      <c r="J2268" s="3" t="s">
        <v>17875</v>
      </c>
      <c r="K2268" t="s">
        <v>17876</v>
      </c>
      <c r="L2268" t="s">
        <v>17877</v>
      </c>
      <c r="M2268" t="s">
        <v>57</v>
      </c>
    </row>
    <row r="2269" spans="1:13" x14ac:dyDescent="0.25">
      <c r="A2269" t="s">
        <v>17210</v>
      </c>
      <c r="B2269" t="s">
        <v>13</v>
      </c>
      <c r="C2269" s="1">
        <v>43652</v>
      </c>
      <c r="D2269" t="s">
        <v>17211</v>
      </c>
      <c r="E2269" t="s">
        <v>17212</v>
      </c>
      <c r="F2269" t="s">
        <v>57</v>
      </c>
      <c r="G2269" t="s">
        <v>17213</v>
      </c>
      <c r="H2269" t="s">
        <v>36</v>
      </c>
      <c r="I2269" t="s">
        <v>19</v>
      </c>
      <c r="J2269" s="3" t="s">
        <v>17214</v>
      </c>
      <c r="K2269" t="s">
        <v>17215</v>
      </c>
      <c r="L2269" t="s">
        <v>17216</v>
      </c>
      <c r="M2269" t="s">
        <v>57</v>
      </c>
    </row>
    <row r="2270" spans="1:13" x14ac:dyDescent="0.25">
      <c r="A2270" t="s">
        <v>10718</v>
      </c>
      <c r="B2270" t="s">
        <v>13</v>
      </c>
      <c r="C2270" t="s">
        <v>6843</v>
      </c>
      <c r="D2270" t="s">
        <v>10719</v>
      </c>
      <c r="E2270" s="2" t="s">
        <v>31402</v>
      </c>
      <c r="F2270" t="s">
        <v>2036</v>
      </c>
      <c r="G2270" t="s">
        <v>10720</v>
      </c>
      <c r="H2270" t="s">
        <v>706</v>
      </c>
      <c r="I2270" t="s">
        <v>19</v>
      </c>
      <c r="J2270" s="3" t="s">
        <v>10721</v>
      </c>
      <c r="K2270" t="s">
        <v>10722</v>
      </c>
      <c r="L2270" t="s">
        <v>10723</v>
      </c>
      <c r="M2270" t="s">
        <v>57</v>
      </c>
    </row>
    <row r="2271" spans="1:13" x14ac:dyDescent="0.25">
      <c r="A2271" t="s">
        <v>19720</v>
      </c>
      <c r="B2271" t="s">
        <v>13</v>
      </c>
      <c r="C2271" s="1">
        <v>43382</v>
      </c>
      <c r="D2271" t="s">
        <v>19721</v>
      </c>
      <c r="E2271" t="s">
        <v>19722</v>
      </c>
      <c r="F2271" t="s">
        <v>57</v>
      </c>
      <c r="G2271" t="s">
        <v>19723</v>
      </c>
      <c r="H2271" t="s">
        <v>352</v>
      </c>
      <c r="I2271" t="s">
        <v>19</v>
      </c>
      <c r="J2271" s="3">
        <f>55-21-25230009</f>
        <v>-25229975</v>
      </c>
      <c r="K2271" t="s">
        <v>19724</v>
      </c>
      <c r="L2271" t="s">
        <v>19725</v>
      </c>
      <c r="M2271" t="s">
        <v>57</v>
      </c>
    </row>
    <row r="2272" spans="1:13" x14ac:dyDescent="0.25">
      <c r="A2272" t="s">
        <v>7225</v>
      </c>
      <c r="B2272" t="s">
        <v>13</v>
      </c>
      <c r="C2272" s="1">
        <v>44292</v>
      </c>
      <c r="D2272" t="s">
        <v>32135</v>
      </c>
      <c r="E2272" s="2" t="s">
        <v>30908</v>
      </c>
      <c r="F2272" t="s">
        <v>3036</v>
      </c>
      <c r="G2272" t="s">
        <v>7226</v>
      </c>
      <c r="H2272" t="s">
        <v>36</v>
      </c>
      <c r="I2272" t="s">
        <v>19</v>
      </c>
      <c r="J2272" s="3" t="s">
        <v>7227</v>
      </c>
      <c r="K2272" t="s">
        <v>7228</v>
      </c>
      <c r="L2272" t="s">
        <v>32135</v>
      </c>
      <c r="M2272" t="s">
        <v>57</v>
      </c>
    </row>
    <row r="2273" spans="1:13" x14ac:dyDescent="0.25">
      <c r="A2273" t="s">
        <v>6782</v>
      </c>
      <c r="B2273" t="s">
        <v>13</v>
      </c>
      <c r="C2273" s="1">
        <v>44294</v>
      </c>
      <c r="D2273" t="s">
        <v>32135</v>
      </c>
      <c r="E2273" s="2" t="s">
        <v>30908</v>
      </c>
      <c r="F2273" t="s">
        <v>3036</v>
      </c>
      <c r="G2273" t="s">
        <v>6783</v>
      </c>
      <c r="H2273" t="s">
        <v>36</v>
      </c>
      <c r="I2273" t="s">
        <v>19</v>
      </c>
      <c r="J2273" s="3" t="s">
        <v>6784</v>
      </c>
      <c r="K2273" t="s">
        <v>6785</v>
      </c>
      <c r="L2273" t="s">
        <v>32135</v>
      </c>
      <c r="M2273" t="s">
        <v>57</v>
      </c>
    </row>
    <row r="2274" spans="1:13" x14ac:dyDescent="0.25">
      <c r="A2274" t="s">
        <v>13512</v>
      </c>
      <c r="B2274" t="s">
        <v>13</v>
      </c>
      <c r="C2274" t="s">
        <v>6103</v>
      </c>
      <c r="D2274" t="s">
        <v>13513</v>
      </c>
      <c r="E2274" t="s">
        <v>13514</v>
      </c>
      <c r="F2274" t="s">
        <v>57</v>
      </c>
      <c r="G2274" t="s">
        <v>13515</v>
      </c>
      <c r="H2274" t="s">
        <v>36</v>
      </c>
      <c r="I2274" t="s">
        <v>19</v>
      </c>
      <c r="J2274" s="3">
        <f>55-11-948700008</f>
        <v>-948699964</v>
      </c>
      <c r="K2274" t="s">
        <v>13516</v>
      </c>
      <c r="L2274" t="s">
        <v>439</v>
      </c>
      <c r="M2274" t="s">
        <v>57</v>
      </c>
    </row>
    <row r="2275" spans="1:13" x14ac:dyDescent="0.25">
      <c r="A2275" t="s">
        <v>20201</v>
      </c>
      <c r="B2275" t="s">
        <v>13</v>
      </c>
      <c r="C2275" s="1">
        <v>43139</v>
      </c>
      <c r="D2275" t="s">
        <v>20202</v>
      </c>
      <c r="E2275" t="s">
        <v>20203</v>
      </c>
      <c r="F2275" t="s">
        <v>2036</v>
      </c>
      <c r="G2275" t="s">
        <v>19822</v>
      </c>
      <c r="H2275" t="s">
        <v>352</v>
      </c>
      <c r="I2275" t="s">
        <v>19</v>
      </c>
      <c r="J2275" s="3" t="s">
        <v>19823</v>
      </c>
      <c r="K2275" t="s">
        <v>16527</v>
      </c>
      <c r="L2275" t="s">
        <v>550</v>
      </c>
      <c r="M2275" t="s">
        <v>57</v>
      </c>
    </row>
    <row r="2276" spans="1:13" x14ac:dyDescent="0.25">
      <c r="A2276" t="s">
        <v>22159</v>
      </c>
      <c r="B2276" t="s">
        <v>13</v>
      </c>
      <c r="C2276" t="s">
        <v>22153</v>
      </c>
      <c r="D2276" t="s">
        <v>22160</v>
      </c>
      <c r="E2276" t="s">
        <v>22161</v>
      </c>
      <c r="F2276" t="s">
        <v>2036</v>
      </c>
      <c r="G2276" t="s">
        <v>10720</v>
      </c>
      <c r="H2276" t="s">
        <v>706</v>
      </c>
      <c r="I2276" t="s">
        <v>19</v>
      </c>
      <c r="J2276" s="3" t="s">
        <v>10721</v>
      </c>
      <c r="K2276" t="s">
        <v>10722</v>
      </c>
      <c r="L2276" t="s">
        <v>10723</v>
      </c>
      <c r="M2276" t="s">
        <v>57</v>
      </c>
    </row>
    <row r="2277" spans="1:13" x14ac:dyDescent="0.25">
      <c r="A2277" t="s">
        <v>6867</v>
      </c>
      <c r="B2277" t="s">
        <v>13</v>
      </c>
      <c r="C2277" t="s">
        <v>6868</v>
      </c>
      <c r="D2277" t="s">
        <v>32135</v>
      </c>
      <c r="E2277" t="s">
        <v>6869</v>
      </c>
      <c r="F2277" t="s">
        <v>6870</v>
      </c>
      <c r="G2277" t="s">
        <v>6871</v>
      </c>
      <c r="H2277" t="s">
        <v>608</v>
      </c>
      <c r="I2277" t="s">
        <v>19</v>
      </c>
      <c r="J2277" s="3" t="s">
        <v>6872</v>
      </c>
      <c r="K2277" t="s">
        <v>6873</v>
      </c>
      <c r="L2277" t="s">
        <v>32135</v>
      </c>
      <c r="M2277" t="s">
        <v>57</v>
      </c>
    </row>
    <row r="2278" spans="1:13" x14ac:dyDescent="0.25">
      <c r="A2278" t="s">
        <v>7015</v>
      </c>
      <c r="B2278" t="s">
        <v>13</v>
      </c>
      <c r="C2278" t="s">
        <v>7009</v>
      </c>
      <c r="D2278" t="s">
        <v>32135</v>
      </c>
      <c r="E2278" s="2" t="s">
        <v>32072</v>
      </c>
      <c r="F2278" t="s">
        <v>2213</v>
      </c>
      <c r="G2278" t="s">
        <v>4011</v>
      </c>
      <c r="H2278" t="s">
        <v>2215</v>
      </c>
      <c r="I2278" t="s">
        <v>19</v>
      </c>
      <c r="J2278" s="3">
        <f>55-42-3220-3282</f>
        <v>-6489</v>
      </c>
      <c r="K2278" t="s">
        <v>4012</v>
      </c>
      <c r="L2278" t="s">
        <v>32135</v>
      </c>
      <c r="M2278" t="s">
        <v>337</v>
      </c>
    </row>
    <row r="2279" spans="1:13" x14ac:dyDescent="0.25">
      <c r="A2279" t="s">
        <v>10430</v>
      </c>
      <c r="B2279" t="s">
        <v>13</v>
      </c>
      <c r="C2279" t="s">
        <v>9982</v>
      </c>
      <c r="D2279" t="s">
        <v>10431</v>
      </c>
      <c r="E2279" t="s">
        <v>10432</v>
      </c>
      <c r="F2279" t="s">
        <v>57</v>
      </c>
      <c r="G2279" t="s">
        <v>10433</v>
      </c>
      <c r="H2279" t="s">
        <v>10434</v>
      </c>
      <c r="I2279" t="s">
        <v>19</v>
      </c>
      <c r="J2279" s="3">
        <v>5548999695976</v>
      </c>
      <c r="K2279" t="s">
        <v>10435</v>
      </c>
      <c r="L2279" t="s">
        <v>10436</v>
      </c>
      <c r="M2279" t="s">
        <v>57</v>
      </c>
    </row>
    <row r="2280" spans="1:13" x14ac:dyDescent="0.25">
      <c r="A2280" t="s">
        <v>2655</v>
      </c>
      <c r="B2280" t="s">
        <v>13</v>
      </c>
      <c r="C2280" s="1">
        <v>44689</v>
      </c>
      <c r="D2280" t="s">
        <v>2656</v>
      </c>
      <c r="E2280" t="s">
        <v>2657</v>
      </c>
      <c r="F2280" t="s">
        <v>2658</v>
      </c>
      <c r="G2280" t="s">
        <v>2659</v>
      </c>
      <c r="H2280" t="s">
        <v>489</v>
      </c>
      <c r="I2280" t="s">
        <v>19</v>
      </c>
      <c r="J2280" s="3">
        <v>554132711858</v>
      </c>
      <c r="K2280" t="s">
        <v>2660</v>
      </c>
      <c r="L2280" t="s">
        <v>2661</v>
      </c>
      <c r="M2280" t="s">
        <v>1304</v>
      </c>
    </row>
    <row r="2281" spans="1:13" x14ac:dyDescent="0.25">
      <c r="A2281" t="s">
        <v>6094</v>
      </c>
      <c r="B2281" t="s">
        <v>13</v>
      </c>
      <c r="C2281" s="1">
        <v>44387</v>
      </c>
      <c r="D2281" t="s">
        <v>32135</v>
      </c>
      <c r="E2281" t="s">
        <v>32120</v>
      </c>
      <c r="F2281" t="s">
        <v>6095</v>
      </c>
      <c r="G2281" t="s">
        <v>307</v>
      </c>
      <c r="H2281" t="s">
        <v>308</v>
      </c>
      <c r="I2281" t="s">
        <v>309</v>
      </c>
      <c r="J2281" s="3" t="s">
        <v>310</v>
      </c>
      <c r="K2281" t="s">
        <v>311</v>
      </c>
      <c r="L2281" t="s">
        <v>312</v>
      </c>
      <c r="M2281" t="s">
        <v>771</v>
      </c>
    </row>
    <row r="2282" spans="1:13" x14ac:dyDescent="0.25">
      <c r="A2282" t="s">
        <v>27010</v>
      </c>
      <c r="B2282" t="s">
        <v>13</v>
      </c>
      <c r="C2282" t="s">
        <v>26006</v>
      </c>
      <c r="D2282" t="s">
        <v>27011</v>
      </c>
      <c r="E2282" t="s">
        <v>27012</v>
      </c>
      <c r="F2282" t="s">
        <v>1464</v>
      </c>
      <c r="G2282" t="s">
        <v>27013</v>
      </c>
      <c r="H2282" t="s">
        <v>36</v>
      </c>
      <c r="I2282" t="s">
        <v>19</v>
      </c>
      <c r="J2282" s="3" t="s">
        <v>27014</v>
      </c>
      <c r="K2282" t="s">
        <v>27015</v>
      </c>
      <c r="L2282" t="s">
        <v>27016</v>
      </c>
      <c r="M2282" t="s">
        <v>32144</v>
      </c>
    </row>
    <row r="2283" spans="1:13" x14ac:dyDescent="0.25">
      <c r="A2283" t="s">
        <v>100</v>
      </c>
      <c r="B2283" t="s">
        <v>101</v>
      </c>
      <c r="C2283" s="1">
        <v>44928</v>
      </c>
      <c r="D2283" t="s">
        <v>102</v>
      </c>
      <c r="E2283" t="s">
        <v>32368</v>
      </c>
      <c r="F2283" t="s">
        <v>103</v>
      </c>
      <c r="G2283" t="s">
        <v>104</v>
      </c>
      <c r="H2283" t="s">
        <v>105</v>
      </c>
      <c r="I2283" t="s">
        <v>19</v>
      </c>
      <c r="J2283" s="3" t="s">
        <v>106</v>
      </c>
      <c r="K2283" t="s">
        <v>107</v>
      </c>
      <c r="L2283" t="s">
        <v>108</v>
      </c>
      <c r="M2283" t="s">
        <v>771</v>
      </c>
    </row>
    <row r="2284" spans="1:13" x14ac:dyDescent="0.25">
      <c r="A2284" t="s">
        <v>27490</v>
      </c>
      <c r="B2284" t="s">
        <v>13</v>
      </c>
      <c r="C2284" s="1">
        <v>42256</v>
      </c>
      <c r="D2284" t="s">
        <v>27491</v>
      </c>
      <c r="E2284" t="s">
        <v>27492</v>
      </c>
      <c r="F2284" t="s">
        <v>9519</v>
      </c>
      <c r="G2284" t="s">
        <v>27493</v>
      </c>
      <c r="H2284" t="s">
        <v>36</v>
      </c>
      <c r="I2284" t="s">
        <v>19</v>
      </c>
      <c r="J2284" s="3" t="s">
        <v>27494</v>
      </c>
      <c r="K2284" t="s">
        <v>27495</v>
      </c>
      <c r="L2284" t="s">
        <v>26657</v>
      </c>
      <c r="M2284" t="s">
        <v>32145</v>
      </c>
    </row>
    <row r="2285" spans="1:13" x14ac:dyDescent="0.25">
      <c r="A2285" t="s">
        <v>18990</v>
      </c>
      <c r="B2285" t="s">
        <v>13</v>
      </c>
      <c r="C2285" t="s">
        <v>12812</v>
      </c>
      <c r="D2285" t="s">
        <v>18991</v>
      </c>
      <c r="E2285" t="s">
        <v>18992</v>
      </c>
      <c r="F2285" t="s">
        <v>1349</v>
      </c>
      <c r="G2285" t="s">
        <v>18993</v>
      </c>
      <c r="H2285" t="s">
        <v>428</v>
      </c>
      <c r="I2285" t="s">
        <v>19</v>
      </c>
      <c r="J2285" s="3" t="s">
        <v>18994</v>
      </c>
      <c r="K2285" t="s">
        <v>18995</v>
      </c>
      <c r="L2285" t="s">
        <v>1113</v>
      </c>
      <c r="M2285" t="s">
        <v>1349</v>
      </c>
    </row>
    <row r="2286" spans="1:13" x14ac:dyDescent="0.25">
      <c r="A2286" t="s">
        <v>18615</v>
      </c>
      <c r="B2286" t="s">
        <v>13</v>
      </c>
      <c r="C2286" t="s">
        <v>18610</v>
      </c>
      <c r="D2286" t="s">
        <v>18616</v>
      </c>
      <c r="E2286" s="2" t="s">
        <v>31915</v>
      </c>
      <c r="F2286" t="s">
        <v>332</v>
      </c>
      <c r="G2286" t="s">
        <v>18617</v>
      </c>
      <c r="H2286" t="s">
        <v>16411</v>
      </c>
      <c r="I2286" t="s">
        <v>19</v>
      </c>
      <c r="J2286" s="3" t="s">
        <v>18618</v>
      </c>
      <c r="K2286" t="s">
        <v>18619</v>
      </c>
      <c r="L2286" t="s">
        <v>18620</v>
      </c>
      <c r="M2286" t="s">
        <v>337</v>
      </c>
    </row>
    <row r="2287" spans="1:13" x14ac:dyDescent="0.25">
      <c r="A2287" t="s">
        <v>19489</v>
      </c>
      <c r="B2287" t="s">
        <v>13</v>
      </c>
      <c r="C2287" t="s">
        <v>19478</v>
      </c>
      <c r="D2287" t="s">
        <v>19490</v>
      </c>
      <c r="E2287" t="s">
        <v>604</v>
      </c>
      <c r="F2287" t="s">
        <v>10034</v>
      </c>
      <c r="G2287" t="s">
        <v>19491</v>
      </c>
      <c r="H2287" t="s">
        <v>352</v>
      </c>
      <c r="I2287" t="s">
        <v>19</v>
      </c>
      <c r="J2287" s="3" t="s">
        <v>19492</v>
      </c>
      <c r="K2287" t="s">
        <v>19493</v>
      </c>
      <c r="L2287" t="s">
        <v>2527</v>
      </c>
      <c r="M2287" t="s">
        <v>741</v>
      </c>
    </row>
    <row r="2288" spans="1:13" x14ac:dyDescent="0.25">
      <c r="A2288" t="s">
        <v>15604</v>
      </c>
      <c r="B2288" t="s">
        <v>13</v>
      </c>
      <c r="C2288" s="1">
        <v>43748</v>
      </c>
      <c r="D2288" t="s">
        <v>15605</v>
      </c>
      <c r="E2288" s="2" t="s">
        <v>31654</v>
      </c>
      <c r="F2288" t="s">
        <v>332</v>
      </c>
      <c r="G2288" t="s">
        <v>15606</v>
      </c>
      <c r="H2288" t="s">
        <v>265</v>
      </c>
      <c r="I2288" t="s">
        <v>19</v>
      </c>
      <c r="J2288" s="3">
        <f>55-16-32348934</f>
        <v>-32348895</v>
      </c>
      <c r="K2288" t="s">
        <v>15607</v>
      </c>
      <c r="L2288" t="s">
        <v>11138</v>
      </c>
      <c r="M2288" t="s">
        <v>337</v>
      </c>
    </row>
    <row r="2289" spans="1:13" x14ac:dyDescent="0.25">
      <c r="A2289" t="s">
        <v>20010</v>
      </c>
      <c r="B2289" t="s">
        <v>13</v>
      </c>
      <c r="C2289" t="s">
        <v>20005</v>
      </c>
      <c r="D2289" t="s">
        <v>20011</v>
      </c>
      <c r="E2289" t="s">
        <v>20012</v>
      </c>
      <c r="F2289" t="s">
        <v>337</v>
      </c>
      <c r="G2289" t="s">
        <v>13015</v>
      </c>
      <c r="H2289" t="s">
        <v>265</v>
      </c>
      <c r="I2289" t="s">
        <v>19</v>
      </c>
      <c r="J2289" s="3" t="s">
        <v>13016</v>
      </c>
      <c r="K2289" t="s">
        <v>13017</v>
      </c>
      <c r="L2289" t="s">
        <v>13018</v>
      </c>
      <c r="M2289" t="s">
        <v>337</v>
      </c>
    </row>
    <row r="2290" spans="1:13" x14ac:dyDescent="0.25">
      <c r="A2290" t="s">
        <v>19986</v>
      </c>
      <c r="B2290" t="s">
        <v>13</v>
      </c>
      <c r="C2290" t="s">
        <v>5016</v>
      </c>
      <c r="D2290" t="s">
        <v>19987</v>
      </c>
      <c r="E2290" t="s">
        <v>19988</v>
      </c>
      <c r="F2290" t="s">
        <v>10034</v>
      </c>
      <c r="G2290" t="s">
        <v>19491</v>
      </c>
      <c r="H2290" t="s">
        <v>352</v>
      </c>
      <c r="I2290" t="s">
        <v>19</v>
      </c>
      <c r="J2290" s="3" t="s">
        <v>19492</v>
      </c>
      <c r="K2290" t="s">
        <v>19493</v>
      </c>
      <c r="L2290" t="s">
        <v>2527</v>
      </c>
      <c r="M2290" t="s">
        <v>337</v>
      </c>
    </row>
    <row r="2291" spans="1:13" x14ac:dyDescent="0.25">
      <c r="A2291" t="s">
        <v>602</v>
      </c>
      <c r="B2291" t="s">
        <v>13</v>
      </c>
      <c r="C2291" s="1">
        <v>45200</v>
      </c>
      <c r="D2291" t="s">
        <v>603</v>
      </c>
      <c r="E2291" t="s">
        <v>30687</v>
      </c>
      <c r="F2291" t="s">
        <v>606</v>
      </c>
      <c r="G2291" t="s">
        <v>607</v>
      </c>
      <c r="H2291" t="s">
        <v>608</v>
      </c>
      <c r="I2291" t="s">
        <v>19</v>
      </c>
      <c r="J2291" s="3">
        <v>5554999999911</v>
      </c>
      <c r="K2291" t="s">
        <v>609</v>
      </c>
      <c r="L2291" t="s">
        <v>610</v>
      </c>
      <c r="M2291" t="s">
        <v>337</v>
      </c>
    </row>
    <row r="2292" spans="1:13" x14ac:dyDescent="0.25">
      <c r="A2292" t="s">
        <v>7309</v>
      </c>
      <c r="B2292" t="s">
        <v>13</v>
      </c>
      <c r="C2292" t="s">
        <v>7041</v>
      </c>
      <c r="D2292" t="s">
        <v>7310</v>
      </c>
      <c r="E2292" s="2" t="s">
        <v>30926</v>
      </c>
      <c r="F2292" t="s">
        <v>7311</v>
      </c>
      <c r="G2292" t="s">
        <v>7312</v>
      </c>
      <c r="H2292" t="s">
        <v>114</v>
      </c>
      <c r="I2292" t="s">
        <v>19</v>
      </c>
      <c r="J2292" s="3" t="s">
        <v>7313</v>
      </c>
      <c r="K2292" t="s">
        <v>7314</v>
      </c>
      <c r="L2292" t="s">
        <v>32135</v>
      </c>
      <c r="M2292" t="s">
        <v>337</v>
      </c>
    </row>
    <row r="2293" spans="1:13" x14ac:dyDescent="0.25">
      <c r="A2293" t="s">
        <v>7469</v>
      </c>
      <c r="B2293" t="s">
        <v>13</v>
      </c>
      <c r="C2293" t="s">
        <v>7041</v>
      </c>
      <c r="D2293" t="s">
        <v>7470</v>
      </c>
      <c r="E2293" t="s">
        <v>7242</v>
      </c>
      <c r="F2293" t="s">
        <v>1509</v>
      </c>
      <c r="G2293" t="s">
        <v>7471</v>
      </c>
      <c r="H2293" t="s">
        <v>489</v>
      </c>
      <c r="I2293" t="s">
        <v>19</v>
      </c>
      <c r="J2293" s="3">
        <v>554132712103</v>
      </c>
      <c r="K2293" t="s">
        <v>7472</v>
      </c>
      <c r="L2293" t="s">
        <v>7473</v>
      </c>
      <c r="M2293" t="s">
        <v>32149</v>
      </c>
    </row>
    <row r="2294" spans="1:13" x14ac:dyDescent="0.25">
      <c r="A2294" t="s">
        <v>28063</v>
      </c>
      <c r="B2294" t="s">
        <v>13</v>
      </c>
      <c r="C2294" s="1">
        <v>42130</v>
      </c>
      <c r="D2294" t="s">
        <v>28064</v>
      </c>
      <c r="E2294" t="s">
        <v>28065</v>
      </c>
      <c r="F2294" t="s">
        <v>57</v>
      </c>
      <c r="G2294" t="s">
        <v>11331</v>
      </c>
      <c r="H2294" t="s">
        <v>5100</v>
      </c>
      <c r="I2294" t="s">
        <v>19</v>
      </c>
      <c r="J2294" s="3" t="s">
        <v>11332</v>
      </c>
      <c r="K2294" t="s">
        <v>11333</v>
      </c>
      <c r="L2294" t="s">
        <v>2101</v>
      </c>
      <c r="M2294" t="s">
        <v>57</v>
      </c>
    </row>
    <row r="2295" spans="1:13" x14ac:dyDescent="0.25">
      <c r="A2295" t="s">
        <v>313</v>
      </c>
      <c r="B2295" t="s">
        <v>13</v>
      </c>
      <c r="C2295" t="s">
        <v>314</v>
      </c>
      <c r="D2295" t="s">
        <v>315</v>
      </c>
      <c r="E2295" t="s">
        <v>316</v>
      </c>
      <c r="F2295" t="s">
        <v>317</v>
      </c>
      <c r="G2295" t="s">
        <v>318</v>
      </c>
      <c r="H2295" t="s">
        <v>265</v>
      </c>
      <c r="I2295" t="s">
        <v>19</v>
      </c>
      <c r="J2295" s="3" t="s">
        <v>319</v>
      </c>
      <c r="K2295" t="s">
        <v>320</v>
      </c>
      <c r="L2295" t="s">
        <v>321</v>
      </c>
      <c r="M2295" t="s">
        <v>57</v>
      </c>
    </row>
    <row r="2296" spans="1:13" x14ac:dyDescent="0.25">
      <c r="A2296" t="s">
        <v>23111</v>
      </c>
      <c r="B2296" t="s">
        <v>13</v>
      </c>
      <c r="C2296" t="s">
        <v>22833</v>
      </c>
      <c r="D2296" t="s">
        <v>23112</v>
      </c>
      <c r="E2296" s="2" t="s">
        <v>31323</v>
      </c>
      <c r="F2296" t="s">
        <v>2036</v>
      </c>
      <c r="G2296" t="s">
        <v>4531</v>
      </c>
      <c r="H2296" t="s">
        <v>503</v>
      </c>
      <c r="I2296" t="s">
        <v>19</v>
      </c>
      <c r="J2296" s="3" t="s">
        <v>23113</v>
      </c>
      <c r="K2296" t="s">
        <v>4533</v>
      </c>
      <c r="L2296" t="s">
        <v>412</v>
      </c>
      <c r="M2296" t="s">
        <v>57</v>
      </c>
    </row>
    <row r="2297" spans="1:13" x14ac:dyDescent="0.25">
      <c r="A2297" t="s">
        <v>13691</v>
      </c>
      <c r="B2297" t="s">
        <v>13</v>
      </c>
      <c r="C2297" s="1">
        <v>44076</v>
      </c>
      <c r="D2297" t="s">
        <v>13692</v>
      </c>
      <c r="E2297" t="s">
        <v>13693</v>
      </c>
      <c r="F2297" t="s">
        <v>1775</v>
      </c>
      <c r="G2297" t="s">
        <v>13694</v>
      </c>
      <c r="H2297" t="s">
        <v>36</v>
      </c>
      <c r="I2297" t="s">
        <v>19</v>
      </c>
      <c r="J2297" s="3">
        <v>551130617601</v>
      </c>
      <c r="K2297" t="s">
        <v>13695</v>
      </c>
      <c r="L2297" t="s">
        <v>13696</v>
      </c>
      <c r="M2297" t="s">
        <v>1775</v>
      </c>
    </row>
    <row r="2298" spans="1:13" x14ac:dyDescent="0.25">
      <c r="A2298" t="s">
        <v>24448</v>
      </c>
      <c r="B2298" t="s">
        <v>13</v>
      </c>
      <c r="C2298" t="s">
        <v>20531</v>
      </c>
      <c r="D2298" t="s">
        <v>24449</v>
      </c>
      <c r="E2298" s="2" t="s">
        <v>13693</v>
      </c>
      <c r="F2298" t="s">
        <v>3084</v>
      </c>
      <c r="G2298" t="s">
        <v>13694</v>
      </c>
      <c r="H2298" t="s">
        <v>36</v>
      </c>
      <c r="I2298" t="s">
        <v>19</v>
      </c>
      <c r="J2298" s="3">
        <v>551130617601</v>
      </c>
      <c r="K2298" t="s">
        <v>13695</v>
      </c>
      <c r="L2298" t="s">
        <v>13696</v>
      </c>
      <c r="M2298" t="s">
        <v>32144</v>
      </c>
    </row>
    <row r="2299" spans="1:13" x14ac:dyDescent="0.25">
      <c r="A2299" t="s">
        <v>29380</v>
      </c>
      <c r="B2299" t="s">
        <v>13</v>
      </c>
      <c r="C2299" t="s">
        <v>29371</v>
      </c>
      <c r="D2299" t="s">
        <v>29381</v>
      </c>
      <c r="E2299" t="s">
        <v>32369</v>
      </c>
      <c r="F2299" t="s">
        <v>2758</v>
      </c>
      <c r="G2299" t="s">
        <v>29382</v>
      </c>
      <c r="H2299" t="s">
        <v>489</v>
      </c>
      <c r="I2299" t="s">
        <v>19</v>
      </c>
      <c r="J2299" s="3" t="s">
        <v>29383</v>
      </c>
      <c r="K2299" t="s">
        <v>29384</v>
      </c>
      <c r="L2299" t="s">
        <v>21703</v>
      </c>
      <c r="M2299" t="s">
        <v>32149</v>
      </c>
    </row>
    <row r="2300" spans="1:13" x14ac:dyDescent="0.25">
      <c r="A2300" t="s">
        <v>2634</v>
      </c>
      <c r="B2300" t="s">
        <v>101</v>
      </c>
      <c r="C2300" s="1">
        <v>44812</v>
      </c>
      <c r="D2300" t="s">
        <v>2635</v>
      </c>
      <c r="E2300" t="s">
        <v>32370</v>
      </c>
      <c r="F2300" t="s">
        <v>2636</v>
      </c>
      <c r="G2300" t="s">
        <v>1801</v>
      </c>
      <c r="H2300" t="s">
        <v>1802</v>
      </c>
      <c r="I2300" t="s">
        <v>19</v>
      </c>
      <c r="J2300" s="3" t="s">
        <v>2637</v>
      </c>
      <c r="K2300" t="s">
        <v>2638</v>
      </c>
      <c r="L2300" t="s">
        <v>2639</v>
      </c>
      <c r="M2300" t="s">
        <v>1349</v>
      </c>
    </row>
    <row r="2301" spans="1:13" x14ac:dyDescent="0.25">
      <c r="A2301" t="s">
        <v>1859</v>
      </c>
      <c r="B2301" t="s">
        <v>13</v>
      </c>
      <c r="C2301" s="1">
        <v>44630</v>
      </c>
      <c r="D2301" t="s">
        <v>1860</v>
      </c>
      <c r="E2301" t="s">
        <v>32371</v>
      </c>
      <c r="F2301" t="s">
        <v>1861</v>
      </c>
      <c r="G2301" t="s">
        <v>1862</v>
      </c>
      <c r="H2301" t="s">
        <v>352</v>
      </c>
      <c r="I2301" t="s">
        <v>19</v>
      </c>
      <c r="J2301" s="3" t="s">
        <v>1863</v>
      </c>
      <c r="K2301" t="s">
        <v>1864</v>
      </c>
      <c r="L2301" t="s">
        <v>550</v>
      </c>
      <c r="M2301" t="s">
        <v>1349</v>
      </c>
    </row>
    <row r="2302" spans="1:13" x14ac:dyDescent="0.25">
      <c r="A2302" t="s">
        <v>1119</v>
      </c>
      <c r="B2302" t="s">
        <v>13</v>
      </c>
      <c r="C2302" t="s">
        <v>1120</v>
      </c>
      <c r="D2302" t="s">
        <v>1121</v>
      </c>
      <c r="E2302" t="s">
        <v>32371</v>
      </c>
      <c r="F2302" t="s">
        <v>876</v>
      </c>
      <c r="G2302" t="s">
        <v>1123</v>
      </c>
      <c r="H2302" t="s">
        <v>428</v>
      </c>
      <c r="I2302" t="s">
        <v>19</v>
      </c>
      <c r="J2302" s="3" t="s">
        <v>1124</v>
      </c>
      <c r="K2302" t="s">
        <v>1125</v>
      </c>
      <c r="L2302" t="s">
        <v>1126</v>
      </c>
      <c r="M2302" t="s">
        <v>1349</v>
      </c>
    </row>
    <row r="2303" spans="1:13" x14ac:dyDescent="0.25">
      <c r="A2303" t="s">
        <v>1745</v>
      </c>
      <c r="B2303" t="s">
        <v>13</v>
      </c>
      <c r="C2303" t="s">
        <v>1736</v>
      </c>
      <c r="D2303" t="s">
        <v>1746</v>
      </c>
      <c r="E2303" t="s">
        <v>32371</v>
      </c>
      <c r="F2303" t="s">
        <v>253</v>
      </c>
      <c r="G2303" t="s">
        <v>1747</v>
      </c>
      <c r="H2303" t="s">
        <v>352</v>
      </c>
      <c r="I2303" t="s">
        <v>19</v>
      </c>
      <c r="J2303" s="3" t="s">
        <v>1748</v>
      </c>
      <c r="K2303" t="s">
        <v>1749</v>
      </c>
      <c r="L2303" t="s">
        <v>1750</v>
      </c>
      <c r="M2303" t="s">
        <v>1349</v>
      </c>
    </row>
    <row r="2304" spans="1:13" x14ac:dyDescent="0.25">
      <c r="A2304" t="s">
        <v>4781</v>
      </c>
      <c r="B2304" t="s">
        <v>13</v>
      </c>
      <c r="C2304" t="s">
        <v>2420</v>
      </c>
      <c r="D2304" t="s">
        <v>4515</v>
      </c>
      <c r="E2304" s="2" t="s">
        <v>32372</v>
      </c>
      <c r="F2304" t="s">
        <v>1122</v>
      </c>
      <c r="G2304" t="s">
        <v>4518</v>
      </c>
      <c r="H2304" t="s">
        <v>615</v>
      </c>
      <c r="I2304" t="s">
        <v>19</v>
      </c>
      <c r="J2304" s="3" t="s">
        <v>4782</v>
      </c>
      <c r="K2304" t="s">
        <v>4520</v>
      </c>
      <c r="L2304" t="s">
        <v>4521</v>
      </c>
      <c r="M2304" t="s">
        <v>1349</v>
      </c>
    </row>
    <row r="2305" spans="1:13" x14ac:dyDescent="0.25">
      <c r="A2305" t="s">
        <v>4150</v>
      </c>
      <c r="B2305" t="s">
        <v>13</v>
      </c>
      <c r="C2305" t="s">
        <v>4147</v>
      </c>
      <c r="D2305" t="s">
        <v>4151</v>
      </c>
      <c r="E2305" s="2" t="s">
        <v>32373</v>
      </c>
      <c r="F2305" t="s">
        <v>1122</v>
      </c>
      <c r="G2305" t="s">
        <v>4152</v>
      </c>
      <c r="H2305" t="s">
        <v>255</v>
      </c>
      <c r="I2305" t="s">
        <v>19</v>
      </c>
      <c r="J2305" s="3" t="s">
        <v>4153</v>
      </c>
      <c r="K2305" t="s">
        <v>4154</v>
      </c>
      <c r="L2305" t="s">
        <v>4155</v>
      </c>
      <c r="M2305" t="s">
        <v>1349</v>
      </c>
    </row>
    <row r="2306" spans="1:13" x14ac:dyDescent="0.25">
      <c r="A2306" t="s">
        <v>13889</v>
      </c>
      <c r="B2306" t="s">
        <v>101</v>
      </c>
      <c r="C2306" t="s">
        <v>7230</v>
      </c>
      <c r="D2306" t="s">
        <v>13890</v>
      </c>
      <c r="E2306" s="2" t="s">
        <v>32374</v>
      </c>
      <c r="F2306" t="s">
        <v>1349</v>
      </c>
      <c r="G2306" t="s">
        <v>1801</v>
      </c>
      <c r="H2306" t="s">
        <v>1802</v>
      </c>
      <c r="I2306" t="s">
        <v>19</v>
      </c>
      <c r="J2306" s="3">
        <f>55-14-32266113</f>
        <v>-32266072</v>
      </c>
      <c r="K2306" t="s">
        <v>2638</v>
      </c>
      <c r="L2306" t="s">
        <v>2639</v>
      </c>
      <c r="M2306" t="s">
        <v>1349</v>
      </c>
    </row>
    <row r="2307" spans="1:13" x14ac:dyDescent="0.25">
      <c r="A2307" t="s">
        <v>11217</v>
      </c>
      <c r="B2307" t="s">
        <v>101</v>
      </c>
      <c r="C2307" s="1">
        <v>43868</v>
      </c>
      <c r="D2307" t="s">
        <v>11218</v>
      </c>
      <c r="E2307" s="2" t="s">
        <v>32374</v>
      </c>
      <c r="F2307" t="s">
        <v>1349</v>
      </c>
      <c r="G2307" t="s">
        <v>1801</v>
      </c>
      <c r="H2307" t="s">
        <v>1802</v>
      </c>
      <c r="I2307" t="s">
        <v>19</v>
      </c>
      <c r="J2307" s="3">
        <f>55-14-32266113</f>
        <v>-32266072</v>
      </c>
      <c r="K2307" t="s">
        <v>2638</v>
      </c>
      <c r="L2307" t="s">
        <v>2639</v>
      </c>
      <c r="M2307" t="s">
        <v>1349</v>
      </c>
    </row>
    <row r="2308" spans="1:13" x14ac:dyDescent="0.25">
      <c r="A2308" t="s">
        <v>12640</v>
      </c>
      <c r="B2308" t="s">
        <v>13</v>
      </c>
      <c r="C2308" t="s">
        <v>7461</v>
      </c>
      <c r="D2308" t="s">
        <v>12641</v>
      </c>
      <c r="E2308" s="2" t="s">
        <v>32375</v>
      </c>
      <c r="F2308" t="s">
        <v>1349</v>
      </c>
      <c r="G2308" t="s">
        <v>12642</v>
      </c>
      <c r="H2308" t="s">
        <v>36</v>
      </c>
      <c r="I2308" t="s">
        <v>19</v>
      </c>
      <c r="J2308" s="3" t="s">
        <v>12643</v>
      </c>
      <c r="K2308" t="s">
        <v>12644</v>
      </c>
      <c r="L2308" t="s">
        <v>12645</v>
      </c>
      <c r="M2308" t="s">
        <v>1349</v>
      </c>
    </row>
    <row r="2309" spans="1:13" x14ac:dyDescent="0.25">
      <c r="A2309" t="s">
        <v>23495</v>
      </c>
      <c r="B2309" t="s">
        <v>13</v>
      </c>
      <c r="C2309" t="s">
        <v>11911</v>
      </c>
      <c r="D2309" t="s">
        <v>23496</v>
      </c>
      <c r="E2309" t="s">
        <v>1760</v>
      </c>
      <c r="F2309" t="s">
        <v>224</v>
      </c>
      <c r="G2309" t="s">
        <v>23497</v>
      </c>
      <c r="H2309" t="s">
        <v>893</v>
      </c>
      <c r="I2309" t="s">
        <v>19</v>
      </c>
      <c r="J2309" s="3">
        <v>5598988730887</v>
      </c>
      <c r="K2309" t="s">
        <v>23498</v>
      </c>
      <c r="L2309" t="s">
        <v>1727</v>
      </c>
      <c r="M2309" t="s">
        <v>224</v>
      </c>
    </row>
    <row r="2310" spans="1:13" x14ac:dyDescent="0.25">
      <c r="A2310" t="s">
        <v>6982</v>
      </c>
      <c r="B2310" t="s">
        <v>13</v>
      </c>
      <c r="C2310" s="1">
        <v>44203</v>
      </c>
      <c r="D2310" t="s">
        <v>6983</v>
      </c>
      <c r="E2310" t="s">
        <v>1760</v>
      </c>
      <c r="F2310" t="s">
        <v>1760</v>
      </c>
      <c r="G2310" t="s">
        <v>6984</v>
      </c>
      <c r="H2310" t="s">
        <v>6985</v>
      </c>
      <c r="I2310" t="s">
        <v>19</v>
      </c>
      <c r="J2310" s="3">
        <v>5511991906915</v>
      </c>
      <c r="K2310" t="s">
        <v>6986</v>
      </c>
      <c r="L2310" t="s">
        <v>32135</v>
      </c>
      <c r="M2310" t="s">
        <v>32147</v>
      </c>
    </row>
    <row r="2311" spans="1:13" x14ac:dyDescent="0.25">
      <c r="A2311" t="s">
        <v>1758</v>
      </c>
      <c r="B2311" t="s">
        <v>13</v>
      </c>
      <c r="C2311" s="1">
        <v>44875</v>
      </c>
      <c r="D2311" t="s">
        <v>1759</v>
      </c>
      <c r="E2311" s="2" t="s">
        <v>32376</v>
      </c>
      <c r="F2311" t="s">
        <v>154</v>
      </c>
      <c r="G2311" t="s">
        <v>1764</v>
      </c>
      <c r="H2311" t="s">
        <v>798</v>
      </c>
      <c r="I2311" t="s">
        <v>19</v>
      </c>
      <c r="J2311" s="3" t="s">
        <v>1765</v>
      </c>
      <c r="K2311" t="s">
        <v>1766</v>
      </c>
      <c r="L2311" t="s">
        <v>1767</v>
      </c>
      <c r="M2311" t="s">
        <v>741</v>
      </c>
    </row>
    <row r="2312" spans="1:13" x14ac:dyDescent="0.25">
      <c r="A2312" t="s">
        <v>15955</v>
      </c>
      <c r="B2312" t="s">
        <v>13</v>
      </c>
      <c r="C2312" t="s">
        <v>12286</v>
      </c>
      <c r="D2312" t="s">
        <v>15956</v>
      </c>
      <c r="E2312" s="2" t="s">
        <v>31144</v>
      </c>
      <c r="F2312" t="s">
        <v>2036</v>
      </c>
      <c r="G2312" t="s">
        <v>15957</v>
      </c>
      <c r="H2312" t="s">
        <v>540</v>
      </c>
      <c r="I2312" t="s">
        <v>19</v>
      </c>
      <c r="J2312" s="3">
        <f>55-91-31311781</f>
        <v>-31311817</v>
      </c>
      <c r="K2312" t="s">
        <v>15958</v>
      </c>
      <c r="L2312" t="s">
        <v>8251</v>
      </c>
      <c r="M2312" t="s">
        <v>57</v>
      </c>
    </row>
    <row r="2313" spans="1:13" x14ac:dyDescent="0.25">
      <c r="A2313" t="s">
        <v>29702</v>
      </c>
      <c r="B2313" t="s">
        <v>13</v>
      </c>
      <c r="C2313" t="s">
        <v>29703</v>
      </c>
      <c r="D2313" t="s">
        <v>29704</v>
      </c>
      <c r="E2313" t="s">
        <v>29705</v>
      </c>
      <c r="F2313" t="s">
        <v>2758</v>
      </c>
      <c r="G2313" t="s">
        <v>29706</v>
      </c>
      <c r="H2313" t="s">
        <v>29656</v>
      </c>
      <c r="I2313" t="s">
        <v>19</v>
      </c>
      <c r="J2313" s="3" t="s">
        <v>29707</v>
      </c>
      <c r="K2313" t="s">
        <v>29708</v>
      </c>
      <c r="L2313" t="s">
        <v>9723</v>
      </c>
      <c r="M2313" t="s">
        <v>32149</v>
      </c>
    </row>
    <row r="2314" spans="1:13" x14ac:dyDescent="0.25">
      <c r="A2314" t="s">
        <v>27154</v>
      </c>
      <c r="B2314" t="s">
        <v>13</v>
      </c>
      <c r="C2314" t="s">
        <v>14184</v>
      </c>
      <c r="D2314" t="s">
        <v>27155</v>
      </c>
      <c r="E2314" t="s">
        <v>27156</v>
      </c>
      <c r="F2314" t="s">
        <v>2758</v>
      </c>
      <c r="G2314" t="s">
        <v>24468</v>
      </c>
      <c r="H2314" t="s">
        <v>170</v>
      </c>
      <c r="I2314" t="s">
        <v>19</v>
      </c>
      <c r="J2314" s="3" t="s">
        <v>27157</v>
      </c>
      <c r="K2314" t="s">
        <v>27158</v>
      </c>
      <c r="L2314" t="s">
        <v>18694</v>
      </c>
      <c r="M2314" t="s">
        <v>32149</v>
      </c>
    </row>
    <row r="2315" spans="1:13" x14ac:dyDescent="0.25">
      <c r="A2315" t="s">
        <v>20094</v>
      </c>
      <c r="B2315" t="s">
        <v>13</v>
      </c>
      <c r="C2315" s="1">
        <v>43351</v>
      </c>
      <c r="D2315" t="s">
        <v>20095</v>
      </c>
      <c r="E2315" s="2" t="s">
        <v>32377</v>
      </c>
      <c r="F2315" t="s">
        <v>4639</v>
      </c>
      <c r="G2315" t="s">
        <v>20096</v>
      </c>
      <c r="H2315" t="s">
        <v>2598</v>
      </c>
      <c r="I2315" t="s">
        <v>19</v>
      </c>
      <c r="J2315" s="3">
        <f>55-47-999747408</f>
        <v>-999747400</v>
      </c>
      <c r="K2315" t="s">
        <v>20097</v>
      </c>
      <c r="L2315" t="s">
        <v>20098</v>
      </c>
      <c r="M2315" t="s">
        <v>785</v>
      </c>
    </row>
    <row r="2316" spans="1:13" x14ac:dyDescent="0.25">
      <c r="A2316" t="s">
        <v>25259</v>
      </c>
      <c r="B2316" t="s">
        <v>13</v>
      </c>
      <c r="C2316" t="s">
        <v>25256</v>
      </c>
      <c r="D2316" t="s">
        <v>25260</v>
      </c>
      <c r="E2316" t="s">
        <v>25261</v>
      </c>
      <c r="F2316" t="s">
        <v>1464</v>
      </c>
      <c r="G2316" t="s">
        <v>25262</v>
      </c>
      <c r="H2316" t="s">
        <v>45</v>
      </c>
      <c r="I2316" t="s">
        <v>19</v>
      </c>
      <c r="J2316" s="3" t="s">
        <v>25263</v>
      </c>
      <c r="K2316" t="s">
        <v>25264</v>
      </c>
      <c r="L2316" t="s">
        <v>1909</v>
      </c>
      <c r="M2316" t="s">
        <v>32121</v>
      </c>
    </row>
    <row r="2317" spans="1:13" x14ac:dyDescent="0.25">
      <c r="A2317" t="s">
        <v>23073</v>
      </c>
      <c r="B2317" t="s">
        <v>13</v>
      </c>
      <c r="C2317" t="s">
        <v>23074</v>
      </c>
      <c r="D2317" t="s">
        <v>23075</v>
      </c>
      <c r="E2317" t="s">
        <v>23076</v>
      </c>
      <c r="F2317" t="s">
        <v>2947</v>
      </c>
      <c r="G2317" t="s">
        <v>23077</v>
      </c>
      <c r="H2317" t="s">
        <v>265</v>
      </c>
      <c r="I2317" t="s">
        <v>19</v>
      </c>
      <c r="J2317" s="3" t="s">
        <v>23078</v>
      </c>
      <c r="K2317" t="s">
        <v>8058</v>
      </c>
      <c r="L2317" t="s">
        <v>23079</v>
      </c>
      <c r="M2317" t="s">
        <v>771</v>
      </c>
    </row>
    <row r="2318" spans="1:13" x14ac:dyDescent="0.25">
      <c r="A2318" t="s">
        <v>24496</v>
      </c>
      <c r="B2318" t="s">
        <v>13</v>
      </c>
      <c r="C2318" t="s">
        <v>22001</v>
      </c>
      <c r="D2318" t="s">
        <v>24497</v>
      </c>
      <c r="E2318" t="s">
        <v>24498</v>
      </c>
      <c r="F2318" t="s">
        <v>306</v>
      </c>
      <c r="G2318" t="s">
        <v>15788</v>
      </c>
      <c r="H2318" t="s">
        <v>36</v>
      </c>
      <c r="I2318" t="s">
        <v>19</v>
      </c>
      <c r="J2318" s="3" t="s">
        <v>15789</v>
      </c>
      <c r="K2318" t="s">
        <v>15790</v>
      </c>
      <c r="L2318" t="s">
        <v>2344</v>
      </c>
      <c r="M2318" t="s">
        <v>32145</v>
      </c>
    </row>
    <row r="2319" spans="1:13" x14ac:dyDescent="0.25">
      <c r="A2319" t="s">
        <v>15393</v>
      </c>
      <c r="B2319" t="s">
        <v>13</v>
      </c>
      <c r="C2319" t="s">
        <v>15394</v>
      </c>
      <c r="D2319" t="s">
        <v>15395</v>
      </c>
      <c r="E2319" t="s">
        <v>15396</v>
      </c>
      <c r="F2319" t="s">
        <v>6130</v>
      </c>
      <c r="G2319" t="s">
        <v>15397</v>
      </c>
      <c r="H2319" t="s">
        <v>798</v>
      </c>
      <c r="I2319" t="s">
        <v>19</v>
      </c>
      <c r="J2319" s="3">
        <f>55-61-999432706</f>
        <v>-999432712</v>
      </c>
      <c r="K2319" t="s">
        <v>15398</v>
      </c>
      <c r="L2319" t="s">
        <v>15399</v>
      </c>
      <c r="M2319" t="s">
        <v>32144</v>
      </c>
    </row>
    <row r="2320" spans="1:13" x14ac:dyDescent="0.25">
      <c r="A2320" t="s">
        <v>22990</v>
      </c>
      <c r="B2320" t="s">
        <v>13</v>
      </c>
      <c r="C2320" t="s">
        <v>22981</v>
      </c>
      <c r="D2320" t="s">
        <v>22991</v>
      </c>
      <c r="E2320" t="s">
        <v>5208</v>
      </c>
      <c r="F2320" t="s">
        <v>2036</v>
      </c>
      <c r="G2320" t="s">
        <v>622</v>
      </c>
      <c r="H2320" t="s">
        <v>489</v>
      </c>
      <c r="I2320" t="s">
        <v>19</v>
      </c>
      <c r="J2320" s="3" t="s">
        <v>16850</v>
      </c>
      <c r="K2320" t="s">
        <v>16851</v>
      </c>
      <c r="L2320" t="s">
        <v>625</v>
      </c>
      <c r="M2320" t="s">
        <v>57</v>
      </c>
    </row>
    <row r="2321" spans="1:13" x14ac:dyDescent="0.25">
      <c r="A2321" t="s">
        <v>8691</v>
      </c>
      <c r="B2321" t="s">
        <v>13</v>
      </c>
      <c r="C2321" s="1">
        <v>43780</v>
      </c>
      <c r="D2321" t="s">
        <v>8692</v>
      </c>
      <c r="E2321" t="s">
        <v>8693</v>
      </c>
      <c r="F2321" t="s">
        <v>2036</v>
      </c>
      <c r="G2321" t="s">
        <v>8694</v>
      </c>
      <c r="H2321" t="s">
        <v>8695</v>
      </c>
      <c r="I2321" t="s">
        <v>19</v>
      </c>
      <c r="J2321" s="3">
        <f>55-81-997231571</f>
        <v>-997231597</v>
      </c>
      <c r="K2321" t="s">
        <v>8696</v>
      </c>
      <c r="L2321" t="s">
        <v>2101</v>
      </c>
      <c r="M2321" t="s">
        <v>57</v>
      </c>
    </row>
    <row r="2322" spans="1:13" x14ac:dyDescent="0.25">
      <c r="A2322" t="s">
        <v>5909</v>
      </c>
      <c r="B2322" t="s">
        <v>13</v>
      </c>
      <c r="C2322" t="s">
        <v>5910</v>
      </c>
      <c r="D2322" t="s">
        <v>32135</v>
      </c>
      <c r="E2322" s="2" t="s">
        <v>31437</v>
      </c>
      <c r="F2322" t="s">
        <v>5513</v>
      </c>
      <c r="G2322" t="s">
        <v>2981</v>
      </c>
      <c r="H2322" t="s">
        <v>753</v>
      </c>
      <c r="I2322" t="s">
        <v>19</v>
      </c>
      <c r="J2322" s="3" t="s">
        <v>5911</v>
      </c>
      <c r="K2322" t="s">
        <v>2983</v>
      </c>
      <c r="L2322" t="s">
        <v>32135</v>
      </c>
      <c r="M2322" t="s">
        <v>1775</v>
      </c>
    </row>
    <row r="2323" spans="1:13" x14ac:dyDescent="0.25">
      <c r="A2323" t="s">
        <v>5512</v>
      </c>
      <c r="B2323" t="s">
        <v>13</v>
      </c>
      <c r="C2323" s="1">
        <v>44239</v>
      </c>
      <c r="D2323" t="s">
        <v>2683</v>
      </c>
      <c r="E2323" s="2" t="s">
        <v>31436</v>
      </c>
      <c r="F2323" t="s">
        <v>5513</v>
      </c>
      <c r="G2323" t="s">
        <v>2981</v>
      </c>
      <c r="H2323" t="s">
        <v>753</v>
      </c>
      <c r="I2323" t="s">
        <v>19</v>
      </c>
      <c r="J2323" s="3" t="s">
        <v>2982</v>
      </c>
      <c r="K2323" t="s">
        <v>2983</v>
      </c>
      <c r="L2323" t="s">
        <v>32135</v>
      </c>
      <c r="M2323" t="s">
        <v>1775</v>
      </c>
    </row>
    <row r="2324" spans="1:13" x14ac:dyDescent="0.25">
      <c r="A2324" t="s">
        <v>5641</v>
      </c>
      <c r="B2324" t="s">
        <v>13</v>
      </c>
      <c r="C2324" s="1">
        <v>44541</v>
      </c>
      <c r="D2324" t="s">
        <v>32135</v>
      </c>
      <c r="E2324" s="2" t="s">
        <v>31436</v>
      </c>
      <c r="F2324" t="s">
        <v>5513</v>
      </c>
      <c r="G2324" t="s">
        <v>5642</v>
      </c>
      <c r="H2324" t="s">
        <v>753</v>
      </c>
      <c r="I2324" t="s">
        <v>19</v>
      </c>
      <c r="J2324" s="3">
        <f>55-67-982043008</f>
        <v>-982043020</v>
      </c>
      <c r="K2324" t="s">
        <v>5643</v>
      </c>
      <c r="L2324" t="s">
        <v>32135</v>
      </c>
      <c r="M2324" t="s">
        <v>1775</v>
      </c>
    </row>
    <row r="2325" spans="1:13" x14ac:dyDescent="0.25">
      <c r="A2325" t="s">
        <v>21709</v>
      </c>
      <c r="B2325" t="s">
        <v>13</v>
      </c>
      <c r="C2325" s="1">
        <v>42767</v>
      </c>
      <c r="D2325" t="s">
        <v>21710</v>
      </c>
      <c r="E2325" s="2" t="s">
        <v>31993</v>
      </c>
      <c r="F2325" t="s">
        <v>1464</v>
      </c>
      <c r="G2325" t="s">
        <v>5721</v>
      </c>
      <c r="H2325" t="s">
        <v>489</v>
      </c>
      <c r="I2325" t="s">
        <v>19</v>
      </c>
      <c r="J2325" s="3" t="s">
        <v>5722</v>
      </c>
      <c r="K2325" t="s">
        <v>5723</v>
      </c>
      <c r="L2325" t="s">
        <v>625</v>
      </c>
      <c r="M2325" t="s">
        <v>1775</v>
      </c>
    </row>
    <row r="2326" spans="1:13" x14ac:dyDescent="0.25">
      <c r="A2326" t="s">
        <v>2980</v>
      </c>
      <c r="B2326" t="s">
        <v>13</v>
      </c>
      <c r="C2326" t="s">
        <v>2972</v>
      </c>
      <c r="D2326" t="s">
        <v>2683</v>
      </c>
      <c r="E2326" s="2" t="s">
        <v>30758</v>
      </c>
      <c r="F2326" t="s">
        <v>34</v>
      </c>
      <c r="G2326" t="s">
        <v>2981</v>
      </c>
      <c r="H2326" t="s">
        <v>753</v>
      </c>
      <c r="I2326" t="s">
        <v>19</v>
      </c>
      <c r="J2326" s="3" t="s">
        <v>2982</v>
      </c>
      <c r="K2326" t="s">
        <v>2983</v>
      </c>
      <c r="L2326" t="s">
        <v>2762</v>
      </c>
      <c r="M2326" t="s">
        <v>1775</v>
      </c>
    </row>
    <row r="2327" spans="1:13" x14ac:dyDescent="0.25">
      <c r="A2327" t="s">
        <v>15182</v>
      </c>
      <c r="B2327" t="s">
        <v>13</v>
      </c>
      <c r="C2327" t="s">
        <v>15171</v>
      </c>
      <c r="D2327" t="s">
        <v>15183</v>
      </c>
      <c r="E2327" t="s">
        <v>32778</v>
      </c>
      <c r="F2327" t="s">
        <v>2036</v>
      </c>
      <c r="G2327" t="s">
        <v>15184</v>
      </c>
      <c r="H2327" t="s">
        <v>36</v>
      </c>
      <c r="I2327" t="s">
        <v>19</v>
      </c>
      <c r="J2327" s="3">
        <v>5511946528888</v>
      </c>
      <c r="K2327" t="s">
        <v>15185</v>
      </c>
      <c r="L2327" t="s">
        <v>15186</v>
      </c>
      <c r="M2327" t="s">
        <v>57</v>
      </c>
    </row>
    <row r="2328" spans="1:13" x14ac:dyDescent="0.25">
      <c r="A2328" t="s">
        <v>6151</v>
      </c>
      <c r="B2328" t="s">
        <v>13</v>
      </c>
      <c r="C2328" s="1">
        <v>44206</v>
      </c>
      <c r="D2328" t="s">
        <v>32135</v>
      </c>
      <c r="E2328" s="2" t="s">
        <v>31987</v>
      </c>
      <c r="F2328" t="s">
        <v>2253</v>
      </c>
      <c r="G2328" t="s">
        <v>6152</v>
      </c>
      <c r="H2328" t="s">
        <v>299</v>
      </c>
      <c r="I2328" t="s">
        <v>19</v>
      </c>
      <c r="J2328" s="3">
        <f>55-14-38116215</f>
        <v>-38116174</v>
      </c>
      <c r="K2328" t="s">
        <v>6153</v>
      </c>
      <c r="L2328" t="s">
        <v>32135</v>
      </c>
      <c r="M2328" t="s">
        <v>1775</v>
      </c>
    </row>
    <row r="2329" spans="1:13" x14ac:dyDescent="0.25">
      <c r="A2329" t="s">
        <v>14621</v>
      </c>
      <c r="B2329" t="s">
        <v>13</v>
      </c>
      <c r="C2329" s="1">
        <v>43781</v>
      </c>
      <c r="D2329" t="s">
        <v>14622</v>
      </c>
      <c r="E2329" s="2" t="s">
        <v>32123</v>
      </c>
      <c r="F2329" t="s">
        <v>1464</v>
      </c>
      <c r="G2329" t="s">
        <v>307</v>
      </c>
      <c r="H2329" t="s">
        <v>308</v>
      </c>
      <c r="I2329" t="s">
        <v>309</v>
      </c>
      <c r="J2329" s="3" t="s">
        <v>310</v>
      </c>
      <c r="K2329" t="s">
        <v>311</v>
      </c>
      <c r="L2329" t="s">
        <v>312</v>
      </c>
      <c r="M2329" t="s">
        <v>1775</v>
      </c>
    </row>
    <row r="2330" spans="1:13" x14ac:dyDescent="0.25">
      <c r="A2330" t="s">
        <v>2528</v>
      </c>
      <c r="B2330" t="s">
        <v>13</v>
      </c>
      <c r="C2330" t="s">
        <v>2521</v>
      </c>
      <c r="D2330" t="s">
        <v>2529</v>
      </c>
      <c r="E2330" s="2" t="s">
        <v>30742</v>
      </c>
      <c r="F2330" t="s">
        <v>2530</v>
      </c>
      <c r="G2330" t="s">
        <v>2531</v>
      </c>
      <c r="H2330" t="s">
        <v>36</v>
      </c>
      <c r="I2330" t="s">
        <v>19</v>
      </c>
      <c r="J2330" s="3">
        <f>55-11-38933207</f>
        <v>-38933163</v>
      </c>
      <c r="K2330" t="s">
        <v>2532</v>
      </c>
      <c r="L2330" t="s">
        <v>344</v>
      </c>
      <c r="M2330" t="s">
        <v>32162</v>
      </c>
    </row>
    <row r="2331" spans="1:13" x14ac:dyDescent="0.25">
      <c r="A2331" t="s">
        <v>29415</v>
      </c>
      <c r="B2331" t="s">
        <v>101</v>
      </c>
      <c r="C2331" s="1">
        <v>41283</v>
      </c>
      <c r="D2331" t="s">
        <v>29416</v>
      </c>
      <c r="E2331" t="s">
        <v>32378</v>
      </c>
      <c r="F2331" t="s">
        <v>57</v>
      </c>
      <c r="G2331" t="s">
        <v>29417</v>
      </c>
      <c r="H2331" t="s">
        <v>36</v>
      </c>
      <c r="I2331" t="s">
        <v>19</v>
      </c>
      <c r="J2331" s="3" t="s">
        <v>29418</v>
      </c>
      <c r="K2331" t="s">
        <v>29419</v>
      </c>
      <c r="L2331" t="s">
        <v>9170</v>
      </c>
      <c r="M2331" t="s">
        <v>57</v>
      </c>
    </row>
    <row r="2332" spans="1:13" x14ac:dyDescent="0.25">
      <c r="A2332" t="s">
        <v>30236</v>
      </c>
      <c r="B2332" t="s">
        <v>13</v>
      </c>
      <c r="C2332" t="s">
        <v>15685</v>
      </c>
      <c r="D2332" t="s">
        <v>30237</v>
      </c>
      <c r="E2332" t="s">
        <v>32379</v>
      </c>
      <c r="F2332" t="s">
        <v>1464</v>
      </c>
      <c r="G2332" t="s">
        <v>30238</v>
      </c>
      <c r="H2332" t="s">
        <v>489</v>
      </c>
      <c r="I2332" t="s">
        <v>19</v>
      </c>
      <c r="J2332" s="3" t="s">
        <v>30239</v>
      </c>
      <c r="K2332" t="s">
        <v>30240</v>
      </c>
      <c r="L2332" t="s">
        <v>30241</v>
      </c>
      <c r="M2332" t="s">
        <v>32144</v>
      </c>
    </row>
    <row r="2333" spans="1:13" x14ac:dyDescent="0.25">
      <c r="A2333" t="s">
        <v>16223</v>
      </c>
      <c r="B2333" t="s">
        <v>13</v>
      </c>
      <c r="C2333" s="1">
        <v>43808</v>
      </c>
      <c r="D2333" t="s">
        <v>16224</v>
      </c>
      <c r="E2333" s="2" t="s">
        <v>31399</v>
      </c>
      <c r="F2333" t="s">
        <v>1129</v>
      </c>
      <c r="G2333" t="s">
        <v>16225</v>
      </c>
      <c r="H2333" t="s">
        <v>540</v>
      </c>
      <c r="I2333" t="s">
        <v>19</v>
      </c>
      <c r="J2333" s="3">
        <f>55-91-982842838</f>
        <v>-982842874</v>
      </c>
      <c r="K2333" t="s">
        <v>16226</v>
      </c>
      <c r="L2333" t="s">
        <v>16227</v>
      </c>
      <c r="M2333" t="s">
        <v>224</v>
      </c>
    </row>
    <row r="2334" spans="1:13" x14ac:dyDescent="0.25">
      <c r="A2334" t="s">
        <v>2833</v>
      </c>
      <c r="B2334" t="s">
        <v>13</v>
      </c>
      <c r="C2334" t="s">
        <v>2821</v>
      </c>
      <c r="D2334" t="s">
        <v>2834</v>
      </c>
      <c r="E2334" s="2" t="s">
        <v>31590</v>
      </c>
      <c r="F2334" t="s">
        <v>659</v>
      </c>
      <c r="G2334" t="s">
        <v>2836</v>
      </c>
      <c r="H2334" t="s">
        <v>444</v>
      </c>
      <c r="I2334" t="s">
        <v>19</v>
      </c>
      <c r="J2334" s="3">
        <f>55-87-21016856</f>
        <v>-21016888</v>
      </c>
      <c r="K2334" t="s">
        <v>2837</v>
      </c>
      <c r="L2334" t="s">
        <v>447</v>
      </c>
      <c r="M2334" t="s">
        <v>1775</v>
      </c>
    </row>
    <row r="2335" spans="1:13" x14ac:dyDescent="0.25">
      <c r="A2335" t="s">
        <v>20742</v>
      </c>
      <c r="B2335" t="s">
        <v>13</v>
      </c>
      <c r="C2335" s="1">
        <v>43227</v>
      </c>
      <c r="D2335" t="s">
        <v>20743</v>
      </c>
      <c r="E2335" t="s">
        <v>20744</v>
      </c>
      <c r="F2335" t="s">
        <v>1464</v>
      </c>
      <c r="G2335" t="s">
        <v>20745</v>
      </c>
      <c r="H2335" t="s">
        <v>88</v>
      </c>
      <c r="I2335" t="s">
        <v>19</v>
      </c>
      <c r="J2335" s="3">
        <f>55-84-999873769</f>
        <v>-999873798</v>
      </c>
      <c r="K2335" t="s">
        <v>20746</v>
      </c>
      <c r="L2335" t="s">
        <v>91</v>
      </c>
      <c r="M2335" t="s">
        <v>1775</v>
      </c>
    </row>
    <row r="2336" spans="1:13" x14ac:dyDescent="0.25">
      <c r="A2336" t="s">
        <v>22673</v>
      </c>
      <c r="B2336" t="s">
        <v>13</v>
      </c>
      <c r="C2336" s="1">
        <v>43221</v>
      </c>
      <c r="D2336" t="s">
        <v>22674</v>
      </c>
      <c r="E2336" t="s">
        <v>22675</v>
      </c>
      <c r="F2336" t="s">
        <v>306</v>
      </c>
      <c r="G2336" t="s">
        <v>22676</v>
      </c>
      <c r="H2336" t="s">
        <v>5285</v>
      </c>
      <c r="I2336" t="s">
        <v>19</v>
      </c>
      <c r="J2336" s="3">
        <f>55-19-35654100</f>
        <v>-35654064</v>
      </c>
      <c r="K2336" t="s">
        <v>22677</v>
      </c>
      <c r="L2336" t="s">
        <v>22678</v>
      </c>
      <c r="M2336" t="s">
        <v>32145</v>
      </c>
    </row>
    <row r="2337" spans="1:13" x14ac:dyDescent="0.25">
      <c r="A2337" t="s">
        <v>2116</v>
      </c>
      <c r="B2337" t="s">
        <v>13</v>
      </c>
      <c r="C2337" t="s">
        <v>2108</v>
      </c>
      <c r="D2337" t="s">
        <v>2117</v>
      </c>
      <c r="E2337" s="2" t="s">
        <v>31584</v>
      </c>
      <c r="F2337" t="s">
        <v>2118</v>
      </c>
      <c r="G2337" t="s">
        <v>2119</v>
      </c>
      <c r="H2337" t="s">
        <v>2120</v>
      </c>
      <c r="I2337" t="s">
        <v>19</v>
      </c>
      <c r="J2337" s="3" t="s">
        <v>2121</v>
      </c>
      <c r="K2337" t="s">
        <v>2122</v>
      </c>
      <c r="L2337" t="s">
        <v>610</v>
      </c>
      <c r="M2337" t="s">
        <v>32145</v>
      </c>
    </row>
    <row r="2338" spans="1:13" x14ac:dyDescent="0.25">
      <c r="A2338" t="s">
        <v>8548</v>
      </c>
      <c r="B2338" t="s">
        <v>13</v>
      </c>
      <c r="C2338" s="1">
        <v>44531</v>
      </c>
      <c r="D2338" t="s">
        <v>8549</v>
      </c>
      <c r="E2338" t="s">
        <v>8550</v>
      </c>
      <c r="F2338" t="s">
        <v>34</v>
      </c>
      <c r="G2338" t="s">
        <v>8551</v>
      </c>
      <c r="H2338" t="s">
        <v>8552</v>
      </c>
      <c r="I2338" t="s">
        <v>19</v>
      </c>
      <c r="J2338" s="3" t="s">
        <v>8553</v>
      </c>
      <c r="K2338" t="s">
        <v>8554</v>
      </c>
      <c r="L2338" t="s">
        <v>8555</v>
      </c>
      <c r="M2338" t="s">
        <v>1775</v>
      </c>
    </row>
    <row r="2339" spans="1:13" x14ac:dyDescent="0.25">
      <c r="A2339" t="s">
        <v>7318</v>
      </c>
      <c r="B2339" t="s">
        <v>13</v>
      </c>
      <c r="C2339" t="s">
        <v>7075</v>
      </c>
      <c r="D2339" t="s">
        <v>32135</v>
      </c>
      <c r="E2339" s="2" t="s">
        <v>32016</v>
      </c>
      <c r="F2339" t="s">
        <v>4010</v>
      </c>
      <c r="G2339" t="s">
        <v>7319</v>
      </c>
      <c r="H2339" t="s">
        <v>462</v>
      </c>
      <c r="I2339" t="s">
        <v>19</v>
      </c>
      <c r="J2339" s="3">
        <v>5544999150363</v>
      </c>
      <c r="K2339" t="s">
        <v>7320</v>
      </c>
      <c r="L2339" t="s">
        <v>32135</v>
      </c>
      <c r="M2339" t="s">
        <v>337</v>
      </c>
    </row>
    <row r="2340" spans="1:13" x14ac:dyDescent="0.25">
      <c r="A2340" t="s">
        <v>18727</v>
      </c>
      <c r="B2340" t="s">
        <v>101</v>
      </c>
      <c r="C2340" t="s">
        <v>8504</v>
      </c>
      <c r="D2340" t="s">
        <v>18728</v>
      </c>
      <c r="E2340" t="s">
        <v>18729</v>
      </c>
      <c r="F2340" t="s">
        <v>1464</v>
      </c>
      <c r="G2340" t="s">
        <v>18730</v>
      </c>
      <c r="H2340" t="s">
        <v>472</v>
      </c>
      <c r="I2340" t="s">
        <v>19</v>
      </c>
      <c r="J2340" s="3">
        <f>55-81-21194016</f>
        <v>-21194042</v>
      </c>
      <c r="K2340" t="s">
        <v>18731</v>
      </c>
      <c r="L2340" t="s">
        <v>18732</v>
      </c>
      <c r="M2340" t="s">
        <v>1775</v>
      </c>
    </row>
    <row r="2341" spans="1:13" x14ac:dyDescent="0.25">
      <c r="A2341" t="s">
        <v>9444</v>
      </c>
      <c r="B2341" t="s">
        <v>13</v>
      </c>
      <c r="C2341" t="s">
        <v>9445</v>
      </c>
      <c r="D2341" t="s">
        <v>9446</v>
      </c>
      <c r="E2341" s="2" t="s">
        <v>32380</v>
      </c>
      <c r="F2341" t="s">
        <v>4639</v>
      </c>
      <c r="G2341" t="s">
        <v>9447</v>
      </c>
      <c r="H2341" t="s">
        <v>5815</v>
      </c>
      <c r="I2341" t="s">
        <v>19</v>
      </c>
      <c r="J2341" s="3" t="s">
        <v>9448</v>
      </c>
      <c r="K2341" t="s">
        <v>9449</v>
      </c>
      <c r="L2341" t="s">
        <v>9450</v>
      </c>
      <c r="M2341" t="s">
        <v>785</v>
      </c>
    </row>
    <row r="2342" spans="1:13" x14ac:dyDescent="0.25">
      <c r="A2342" t="s">
        <v>19283</v>
      </c>
      <c r="B2342" t="s">
        <v>13</v>
      </c>
      <c r="C2342" s="1">
        <v>43383</v>
      </c>
      <c r="D2342" t="s">
        <v>19284</v>
      </c>
      <c r="E2342" t="s">
        <v>32381</v>
      </c>
      <c r="F2342" t="s">
        <v>1464</v>
      </c>
      <c r="G2342" t="s">
        <v>19285</v>
      </c>
      <c r="H2342" t="s">
        <v>7467</v>
      </c>
      <c r="I2342" t="s">
        <v>19</v>
      </c>
      <c r="J2342" s="3" t="s">
        <v>19286</v>
      </c>
      <c r="K2342" t="s">
        <v>19287</v>
      </c>
      <c r="L2342" t="s">
        <v>19288</v>
      </c>
      <c r="M2342" t="s">
        <v>337</v>
      </c>
    </row>
    <row r="2343" spans="1:13" x14ac:dyDescent="0.25">
      <c r="A2343" t="s">
        <v>29448</v>
      </c>
      <c r="B2343" t="s">
        <v>13</v>
      </c>
      <c r="C2343" t="s">
        <v>29443</v>
      </c>
      <c r="D2343" t="s">
        <v>29449</v>
      </c>
      <c r="E2343" s="2" t="s">
        <v>31448</v>
      </c>
      <c r="F2343" t="s">
        <v>1190</v>
      </c>
      <c r="G2343" t="s">
        <v>29450</v>
      </c>
      <c r="H2343" t="s">
        <v>29328</v>
      </c>
      <c r="I2343" t="s">
        <v>19</v>
      </c>
      <c r="J2343" s="3">
        <v>559282124725</v>
      </c>
      <c r="K2343" t="s">
        <v>29451</v>
      </c>
      <c r="L2343" t="s">
        <v>678</v>
      </c>
      <c r="M2343" t="s">
        <v>432</v>
      </c>
    </row>
    <row r="2344" spans="1:13" x14ac:dyDescent="0.25">
      <c r="A2344" t="s">
        <v>30441</v>
      </c>
      <c r="B2344" t="s">
        <v>13</v>
      </c>
      <c r="C2344" t="s">
        <v>30442</v>
      </c>
      <c r="D2344" t="s">
        <v>30443</v>
      </c>
      <c r="E2344" t="s">
        <v>30444</v>
      </c>
      <c r="F2344" t="s">
        <v>2036</v>
      </c>
      <c r="G2344" t="s">
        <v>30062</v>
      </c>
      <c r="H2344" t="s">
        <v>409</v>
      </c>
      <c r="I2344" t="s">
        <v>19</v>
      </c>
      <c r="J2344" s="3">
        <v>33218610</v>
      </c>
      <c r="K2344" t="s">
        <v>30063</v>
      </c>
      <c r="L2344" t="s">
        <v>1823</v>
      </c>
      <c r="M2344" t="s">
        <v>57</v>
      </c>
    </row>
    <row r="2345" spans="1:13" x14ac:dyDescent="0.25">
      <c r="A2345" t="s">
        <v>14966</v>
      </c>
      <c r="B2345" t="s">
        <v>13</v>
      </c>
      <c r="C2345" t="s">
        <v>14967</v>
      </c>
      <c r="D2345" t="s">
        <v>14968</v>
      </c>
      <c r="E2345" t="s">
        <v>8135</v>
      </c>
      <c r="F2345" t="s">
        <v>1464</v>
      </c>
      <c r="G2345" t="s">
        <v>14969</v>
      </c>
      <c r="H2345" t="s">
        <v>88</v>
      </c>
      <c r="I2345" t="s">
        <v>19</v>
      </c>
      <c r="J2345" s="3">
        <f>55-84-32154592</f>
        <v>-32154621</v>
      </c>
      <c r="K2345" t="s">
        <v>14970</v>
      </c>
      <c r="L2345" t="s">
        <v>91</v>
      </c>
      <c r="M2345" t="s">
        <v>1775</v>
      </c>
    </row>
    <row r="2346" spans="1:13" x14ac:dyDescent="0.25">
      <c r="A2346" t="s">
        <v>9981</v>
      </c>
      <c r="B2346" t="s">
        <v>13</v>
      </c>
      <c r="C2346" t="s">
        <v>9982</v>
      </c>
      <c r="D2346" t="s">
        <v>9983</v>
      </c>
      <c r="E2346" t="s">
        <v>8135</v>
      </c>
      <c r="F2346" t="s">
        <v>1464</v>
      </c>
      <c r="G2346" t="s">
        <v>3767</v>
      </c>
      <c r="H2346" t="s">
        <v>3768</v>
      </c>
      <c r="I2346" t="s">
        <v>19</v>
      </c>
      <c r="J2346" s="3">
        <f>55-61-996566627</f>
        <v>-996566633</v>
      </c>
      <c r="K2346" t="s">
        <v>3769</v>
      </c>
      <c r="L2346" t="s">
        <v>3770</v>
      </c>
      <c r="M2346" t="s">
        <v>57</v>
      </c>
    </row>
    <row r="2347" spans="1:13" x14ac:dyDescent="0.25">
      <c r="A2347" t="s">
        <v>30060</v>
      </c>
      <c r="B2347" t="s">
        <v>13</v>
      </c>
      <c r="C2347" t="s">
        <v>14184</v>
      </c>
      <c r="D2347" t="s">
        <v>30061</v>
      </c>
      <c r="E2347" t="s">
        <v>32382</v>
      </c>
      <c r="F2347" t="s">
        <v>2036</v>
      </c>
      <c r="G2347" t="s">
        <v>30062</v>
      </c>
      <c r="H2347" t="s">
        <v>409</v>
      </c>
      <c r="I2347" t="s">
        <v>19</v>
      </c>
      <c r="J2347" s="3">
        <v>33218610</v>
      </c>
      <c r="K2347" t="s">
        <v>30063</v>
      </c>
      <c r="L2347" t="s">
        <v>1823</v>
      </c>
      <c r="M2347" t="s">
        <v>57</v>
      </c>
    </row>
    <row r="2348" spans="1:13" x14ac:dyDescent="0.25">
      <c r="A2348" t="s">
        <v>8134</v>
      </c>
      <c r="B2348" t="s">
        <v>13</v>
      </c>
      <c r="C2348" s="1">
        <v>44532</v>
      </c>
      <c r="D2348" t="s">
        <v>32135</v>
      </c>
      <c r="E2348" s="2" t="s">
        <v>30949</v>
      </c>
      <c r="F2348" t="s">
        <v>8136</v>
      </c>
      <c r="G2348" t="s">
        <v>8137</v>
      </c>
      <c r="H2348" t="s">
        <v>8138</v>
      </c>
      <c r="I2348" t="s">
        <v>19</v>
      </c>
      <c r="J2348" s="3">
        <v>5516996018999</v>
      </c>
      <c r="K2348" t="s">
        <v>8139</v>
      </c>
      <c r="L2348" t="s">
        <v>32135</v>
      </c>
      <c r="M2348" t="s">
        <v>1775</v>
      </c>
    </row>
    <row r="2349" spans="1:13" x14ac:dyDescent="0.25">
      <c r="A2349" t="s">
        <v>24488</v>
      </c>
      <c r="B2349" t="s">
        <v>13</v>
      </c>
      <c r="C2349" t="s">
        <v>22001</v>
      </c>
      <c r="D2349" t="s">
        <v>24489</v>
      </c>
      <c r="E2349" s="2" t="s">
        <v>31753</v>
      </c>
      <c r="F2349" t="s">
        <v>306</v>
      </c>
      <c r="G2349" t="s">
        <v>15788</v>
      </c>
      <c r="H2349" t="s">
        <v>36</v>
      </c>
      <c r="I2349" t="s">
        <v>19</v>
      </c>
      <c r="J2349" s="3" t="s">
        <v>15789</v>
      </c>
      <c r="K2349" t="s">
        <v>15790</v>
      </c>
      <c r="L2349" t="s">
        <v>2344</v>
      </c>
      <c r="M2349" t="s">
        <v>32145</v>
      </c>
    </row>
    <row r="2350" spans="1:13" x14ac:dyDescent="0.25">
      <c r="A2350" t="s">
        <v>4032</v>
      </c>
      <c r="B2350" t="s">
        <v>13</v>
      </c>
      <c r="C2350" s="1">
        <v>44685</v>
      </c>
      <c r="D2350" t="s">
        <v>4033</v>
      </c>
      <c r="E2350" t="s">
        <v>2430</v>
      </c>
      <c r="F2350" t="s">
        <v>4034</v>
      </c>
      <c r="G2350" t="s">
        <v>3221</v>
      </c>
      <c r="H2350" t="s">
        <v>3222</v>
      </c>
      <c r="I2350" t="s">
        <v>19</v>
      </c>
      <c r="J2350" s="3" t="s">
        <v>3223</v>
      </c>
      <c r="K2350" t="s">
        <v>3224</v>
      </c>
      <c r="L2350" t="s">
        <v>3225</v>
      </c>
      <c r="M2350" t="s">
        <v>1775</v>
      </c>
    </row>
    <row r="2351" spans="1:13" x14ac:dyDescent="0.25">
      <c r="A2351" t="s">
        <v>7137</v>
      </c>
      <c r="B2351" t="s">
        <v>13</v>
      </c>
      <c r="C2351" s="1">
        <v>44475</v>
      </c>
      <c r="D2351" t="s">
        <v>32135</v>
      </c>
      <c r="E2351" t="s">
        <v>2430</v>
      </c>
      <c r="F2351" t="s">
        <v>2430</v>
      </c>
      <c r="G2351" t="s">
        <v>307</v>
      </c>
      <c r="H2351" t="s">
        <v>308</v>
      </c>
      <c r="I2351" t="s">
        <v>309</v>
      </c>
      <c r="J2351" s="3" t="s">
        <v>310</v>
      </c>
      <c r="K2351" t="s">
        <v>311</v>
      </c>
      <c r="L2351" t="s">
        <v>312</v>
      </c>
      <c r="M2351" t="s">
        <v>1775</v>
      </c>
    </row>
    <row r="2352" spans="1:13" x14ac:dyDescent="0.25">
      <c r="A2352" t="s">
        <v>10962</v>
      </c>
      <c r="B2352" t="s">
        <v>13</v>
      </c>
      <c r="C2352" t="s">
        <v>10963</v>
      </c>
      <c r="D2352" t="s">
        <v>10964</v>
      </c>
      <c r="E2352" t="s">
        <v>10965</v>
      </c>
      <c r="F2352" t="s">
        <v>1190</v>
      </c>
      <c r="G2352" t="s">
        <v>10966</v>
      </c>
      <c r="H2352" t="s">
        <v>10967</v>
      </c>
      <c r="I2352" t="s">
        <v>19</v>
      </c>
      <c r="J2352" s="3">
        <v>5555984177356</v>
      </c>
      <c r="K2352" t="s">
        <v>10968</v>
      </c>
      <c r="L2352" t="s">
        <v>10969</v>
      </c>
      <c r="M2352" t="s">
        <v>432</v>
      </c>
    </row>
    <row r="2353" spans="1:13" x14ac:dyDescent="0.25">
      <c r="A2353" t="s">
        <v>18382</v>
      </c>
      <c r="B2353" t="s">
        <v>13</v>
      </c>
      <c r="C2353" s="1">
        <v>43618</v>
      </c>
      <c r="D2353" t="s">
        <v>18383</v>
      </c>
      <c r="E2353" t="s">
        <v>18384</v>
      </c>
      <c r="F2353" t="s">
        <v>2947</v>
      </c>
      <c r="G2353" t="s">
        <v>18385</v>
      </c>
      <c r="H2353" t="s">
        <v>195</v>
      </c>
      <c r="I2353" t="s">
        <v>19</v>
      </c>
      <c r="J2353" s="3">
        <f>55-16-33518705</f>
        <v>-33518666</v>
      </c>
      <c r="K2353" t="s">
        <v>18386</v>
      </c>
      <c r="L2353" t="s">
        <v>197</v>
      </c>
      <c r="M2353" t="s">
        <v>771</v>
      </c>
    </row>
    <row r="2354" spans="1:13" x14ac:dyDescent="0.25">
      <c r="A2354" t="s">
        <v>24422</v>
      </c>
      <c r="B2354" t="s">
        <v>13</v>
      </c>
      <c r="C2354" s="1">
        <v>42890</v>
      </c>
      <c r="D2354" t="s">
        <v>24423</v>
      </c>
      <c r="E2354" t="s">
        <v>24424</v>
      </c>
      <c r="F2354" t="s">
        <v>1129</v>
      </c>
      <c r="G2354" t="s">
        <v>24425</v>
      </c>
      <c r="H2354" t="s">
        <v>36</v>
      </c>
      <c r="I2354" t="s">
        <v>19</v>
      </c>
      <c r="J2354" s="3" t="s">
        <v>24426</v>
      </c>
      <c r="K2354" t="s">
        <v>24427</v>
      </c>
      <c r="L2354" t="s">
        <v>24428</v>
      </c>
      <c r="M2354" t="s">
        <v>224</v>
      </c>
    </row>
    <row r="2355" spans="1:13" x14ac:dyDescent="0.25">
      <c r="A2355" t="s">
        <v>30168</v>
      </c>
      <c r="B2355" t="s">
        <v>13</v>
      </c>
      <c r="C2355" t="s">
        <v>15685</v>
      </c>
      <c r="D2355" t="s">
        <v>30169</v>
      </c>
      <c r="E2355" t="s">
        <v>30170</v>
      </c>
      <c r="F2355" t="s">
        <v>1775</v>
      </c>
      <c r="G2355" t="s">
        <v>13008</v>
      </c>
      <c r="H2355" t="s">
        <v>265</v>
      </c>
      <c r="I2355" t="s">
        <v>19</v>
      </c>
      <c r="J2355" s="3" t="s">
        <v>28068</v>
      </c>
      <c r="K2355" t="s">
        <v>13010</v>
      </c>
      <c r="L2355" t="s">
        <v>13011</v>
      </c>
      <c r="M2355" t="s">
        <v>1775</v>
      </c>
    </row>
    <row r="2356" spans="1:13" x14ac:dyDescent="0.25">
      <c r="A2356" t="s">
        <v>8945</v>
      </c>
      <c r="B2356" t="s">
        <v>13</v>
      </c>
      <c r="C2356" s="1">
        <v>44050</v>
      </c>
      <c r="D2356" t="s">
        <v>8946</v>
      </c>
      <c r="E2356" t="s">
        <v>8947</v>
      </c>
      <c r="F2356" t="s">
        <v>1464</v>
      </c>
      <c r="G2356" t="s">
        <v>8948</v>
      </c>
      <c r="H2356" t="s">
        <v>753</v>
      </c>
      <c r="I2356" t="s">
        <v>19</v>
      </c>
      <c r="J2356" s="3">
        <f>55-67-981536953</f>
        <v>-981536965</v>
      </c>
      <c r="K2356" t="s">
        <v>8949</v>
      </c>
      <c r="L2356" t="s">
        <v>3312</v>
      </c>
      <c r="M2356" t="s">
        <v>1775</v>
      </c>
    </row>
    <row r="2357" spans="1:13" x14ac:dyDescent="0.25">
      <c r="A2357" t="s">
        <v>8008</v>
      </c>
      <c r="B2357" t="s">
        <v>13</v>
      </c>
      <c r="C2357" s="1">
        <v>44442</v>
      </c>
      <c r="D2357" t="s">
        <v>32135</v>
      </c>
      <c r="E2357" s="2" t="s">
        <v>30943</v>
      </c>
      <c r="F2357" t="s">
        <v>8009</v>
      </c>
      <c r="G2357" t="s">
        <v>8010</v>
      </c>
      <c r="H2357" t="s">
        <v>7753</v>
      </c>
      <c r="I2357" t="s">
        <v>19</v>
      </c>
      <c r="J2357" s="3">
        <f>55-51-3003-1189</f>
        <v>-4188</v>
      </c>
      <c r="K2357" t="s">
        <v>8011</v>
      </c>
      <c r="L2357" t="s">
        <v>32135</v>
      </c>
      <c r="M2357" t="s">
        <v>57</v>
      </c>
    </row>
    <row r="2358" spans="1:13" x14ac:dyDescent="0.25">
      <c r="A2358" t="s">
        <v>5969</v>
      </c>
      <c r="B2358" t="s">
        <v>13</v>
      </c>
      <c r="C2358" s="1">
        <v>44540</v>
      </c>
      <c r="D2358" t="s">
        <v>32135</v>
      </c>
      <c r="E2358" s="2" t="s">
        <v>32383</v>
      </c>
      <c r="F2358" t="s">
        <v>5739</v>
      </c>
      <c r="G2358" t="s">
        <v>5970</v>
      </c>
      <c r="H2358" t="s">
        <v>428</v>
      </c>
      <c r="I2358" t="s">
        <v>19</v>
      </c>
      <c r="J2358" s="3">
        <v>5551983163570</v>
      </c>
      <c r="K2358" t="s">
        <v>5971</v>
      </c>
      <c r="L2358" t="s">
        <v>32135</v>
      </c>
      <c r="M2358" t="s">
        <v>57</v>
      </c>
    </row>
    <row r="2359" spans="1:13" x14ac:dyDescent="0.25">
      <c r="A2359" t="s">
        <v>20682</v>
      </c>
      <c r="B2359" t="s">
        <v>13</v>
      </c>
      <c r="C2359" s="1">
        <v>43350</v>
      </c>
      <c r="D2359" t="s">
        <v>20683</v>
      </c>
      <c r="E2359" s="2" t="s">
        <v>32060</v>
      </c>
      <c r="F2359" t="s">
        <v>129</v>
      </c>
      <c r="G2359" t="s">
        <v>20684</v>
      </c>
      <c r="H2359" t="s">
        <v>299</v>
      </c>
      <c r="I2359" t="s">
        <v>19</v>
      </c>
      <c r="J2359" s="3">
        <f>55-14-3880-1414</f>
        <v>-5253</v>
      </c>
      <c r="K2359" t="s">
        <v>20685</v>
      </c>
      <c r="L2359" t="s">
        <v>13988</v>
      </c>
      <c r="M2359" t="s">
        <v>129</v>
      </c>
    </row>
    <row r="2360" spans="1:13" x14ac:dyDescent="0.25">
      <c r="A2360" t="s">
        <v>18798</v>
      </c>
      <c r="B2360" t="s">
        <v>13</v>
      </c>
      <c r="C2360" s="1">
        <v>43446</v>
      </c>
      <c r="D2360" t="s">
        <v>18799</v>
      </c>
      <c r="E2360" s="2" t="s">
        <v>31210</v>
      </c>
      <c r="F2360" t="s">
        <v>117</v>
      </c>
      <c r="G2360" t="s">
        <v>18800</v>
      </c>
      <c r="H2360" t="s">
        <v>2564</v>
      </c>
      <c r="I2360" t="s">
        <v>19</v>
      </c>
      <c r="J2360" s="3">
        <v>556536158833</v>
      </c>
      <c r="K2360" t="s">
        <v>18801</v>
      </c>
      <c r="L2360" t="s">
        <v>2026</v>
      </c>
      <c r="M2360" t="s">
        <v>32145</v>
      </c>
    </row>
    <row r="2361" spans="1:13" x14ac:dyDescent="0.25">
      <c r="A2361" t="s">
        <v>22822</v>
      </c>
      <c r="B2361" t="s">
        <v>13</v>
      </c>
      <c r="C2361" s="1">
        <v>43081</v>
      </c>
      <c r="D2361" t="s">
        <v>22823</v>
      </c>
      <c r="E2361" t="s">
        <v>22824</v>
      </c>
      <c r="G2361" t="s">
        <v>22825</v>
      </c>
      <c r="H2361" t="s">
        <v>428</v>
      </c>
      <c r="I2361" t="s">
        <v>19</v>
      </c>
      <c r="J2361" s="3" t="s">
        <v>22826</v>
      </c>
      <c r="K2361" t="s">
        <v>22827</v>
      </c>
      <c r="L2361" t="s">
        <v>1113</v>
      </c>
      <c r="M2361" t="s">
        <v>32145</v>
      </c>
    </row>
    <row r="2362" spans="1:13" x14ac:dyDescent="0.25">
      <c r="A2362" t="s">
        <v>29281</v>
      </c>
      <c r="B2362" t="s">
        <v>13</v>
      </c>
      <c r="C2362" t="s">
        <v>29272</v>
      </c>
      <c r="D2362" t="s">
        <v>29282</v>
      </c>
      <c r="E2362" t="s">
        <v>29283</v>
      </c>
      <c r="F2362" t="s">
        <v>29284</v>
      </c>
      <c r="G2362" t="s">
        <v>29285</v>
      </c>
      <c r="H2362" t="s">
        <v>798</v>
      </c>
      <c r="I2362" t="s">
        <v>19</v>
      </c>
      <c r="J2362" s="3" t="s">
        <v>29286</v>
      </c>
      <c r="K2362" t="s">
        <v>17092</v>
      </c>
      <c r="L2362" t="s">
        <v>1767</v>
      </c>
      <c r="M2362" t="s">
        <v>57</v>
      </c>
    </row>
    <row r="2363" spans="1:13" x14ac:dyDescent="0.25">
      <c r="A2363" t="s">
        <v>18794</v>
      </c>
      <c r="B2363" t="s">
        <v>13</v>
      </c>
      <c r="C2363" s="1">
        <v>43446</v>
      </c>
      <c r="D2363" t="s">
        <v>18795</v>
      </c>
      <c r="E2363" t="s">
        <v>18796</v>
      </c>
      <c r="F2363" t="s">
        <v>57</v>
      </c>
      <c r="G2363" t="s">
        <v>1485</v>
      </c>
      <c r="H2363" t="s">
        <v>1466</v>
      </c>
      <c r="I2363" t="s">
        <v>19</v>
      </c>
      <c r="J2363" s="3">
        <v>553537011921</v>
      </c>
      <c r="K2363" t="s">
        <v>18797</v>
      </c>
      <c r="L2363" t="s">
        <v>1469</v>
      </c>
      <c r="M2363" t="s">
        <v>57</v>
      </c>
    </row>
    <row r="2364" spans="1:13" x14ac:dyDescent="0.25">
      <c r="A2364" t="s">
        <v>7656</v>
      </c>
      <c r="B2364" t="s">
        <v>13</v>
      </c>
      <c r="C2364" s="1">
        <v>44505</v>
      </c>
      <c r="D2364" t="s">
        <v>32135</v>
      </c>
      <c r="E2364" t="s">
        <v>7657</v>
      </c>
      <c r="F2364" t="s">
        <v>7658</v>
      </c>
      <c r="G2364" t="s">
        <v>7659</v>
      </c>
      <c r="H2364" t="s">
        <v>265</v>
      </c>
      <c r="I2364" t="s">
        <v>19</v>
      </c>
      <c r="J2364" s="3" t="s">
        <v>7660</v>
      </c>
      <c r="K2364" t="s">
        <v>7661</v>
      </c>
      <c r="L2364" t="s">
        <v>32135</v>
      </c>
      <c r="M2364" t="s">
        <v>1775</v>
      </c>
    </row>
    <row r="2365" spans="1:13" x14ac:dyDescent="0.25">
      <c r="A2365" t="s">
        <v>5830</v>
      </c>
      <c r="B2365" t="s">
        <v>13</v>
      </c>
      <c r="C2365" t="s">
        <v>5831</v>
      </c>
      <c r="D2365" t="s">
        <v>32135</v>
      </c>
      <c r="E2365" s="2" t="s">
        <v>30861</v>
      </c>
      <c r="F2365" t="s">
        <v>788</v>
      </c>
      <c r="G2365" t="s">
        <v>5832</v>
      </c>
      <c r="H2365" t="s">
        <v>5833</v>
      </c>
      <c r="I2365" t="s">
        <v>19</v>
      </c>
      <c r="J2365" s="3">
        <f>55-35-988279305</f>
        <v>-988279285</v>
      </c>
      <c r="K2365" t="s">
        <v>5834</v>
      </c>
      <c r="L2365" t="s">
        <v>32135</v>
      </c>
      <c r="M2365" t="s">
        <v>792</v>
      </c>
    </row>
    <row r="2366" spans="1:13" x14ac:dyDescent="0.25">
      <c r="A2366" t="s">
        <v>29151</v>
      </c>
      <c r="B2366" t="s">
        <v>13</v>
      </c>
      <c r="C2366" t="s">
        <v>29152</v>
      </c>
      <c r="D2366" t="s">
        <v>29153</v>
      </c>
      <c r="E2366" t="s">
        <v>29154</v>
      </c>
      <c r="F2366" t="s">
        <v>1464</v>
      </c>
      <c r="G2366" t="s">
        <v>29155</v>
      </c>
      <c r="H2366" t="s">
        <v>1656</v>
      </c>
      <c r="I2366" t="s">
        <v>19</v>
      </c>
      <c r="J2366" s="3" t="s">
        <v>29156</v>
      </c>
      <c r="K2366" t="s">
        <v>29157</v>
      </c>
      <c r="L2366" t="s">
        <v>4007</v>
      </c>
      <c r="M2366" t="s">
        <v>771</v>
      </c>
    </row>
    <row r="2367" spans="1:13" x14ac:dyDescent="0.25">
      <c r="A2367" t="s">
        <v>5029</v>
      </c>
      <c r="B2367" t="s">
        <v>13</v>
      </c>
      <c r="C2367" t="s">
        <v>5026</v>
      </c>
      <c r="D2367" t="s">
        <v>32135</v>
      </c>
      <c r="E2367" t="s">
        <v>997</v>
      </c>
      <c r="F2367" t="s">
        <v>2932</v>
      </c>
      <c r="G2367" t="s">
        <v>5030</v>
      </c>
      <c r="H2367" t="s">
        <v>927</v>
      </c>
      <c r="I2367" t="s">
        <v>19</v>
      </c>
      <c r="J2367" s="3">
        <v>5513981524725</v>
      </c>
      <c r="K2367" t="s">
        <v>5031</v>
      </c>
      <c r="L2367" t="s">
        <v>32135</v>
      </c>
      <c r="M2367" t="s">
        <v>1775</v>
      </c>
    </row>
    <row r="2368" spans="1:13" x14ac:dyDescent="0.25">
      <c r="A2368" t="s">
        <v>17040</v>
      </c>
      <c r="B2368" t="s">
        <v>13</v>
      </c>
      <c r="C2368" t="s">
        <v>17041</v>
      </c>
      <c r="D2368" t="s">
        <v>17042</v>
      </c>
      <c r="E2368" t="s">
        <v>1619</v>
      </c>
      <c r="F2368" t="s">
        <v>57</v>
      </c>
      <c r="G2368" t="s">
        <v>17043</v>
      </c>
      <c r="H2368" t="s">
        <v>4808</v>
      </c>
      <c r="I2368" t="s">
        <v>19</v>
      </c>
      <c r="J2368" s="3">
        <f>55-51-992123616</f>
        <v>-992123612</v>
      </c>
      <c r="K2368" t="s">
        <v>17044</v>
      </c>
      <c r="L2368" t="s">
        <v>993</v>
      </c>
      <c r="M2368" t="s">
        <v>57</v>
      </c>
    </row>
    <row r="2369" spans="1:13" x14ac:dyDescent="0.25">
      <c r="A2369" t="s">
        <v>12452</v>
      </c>
      <c r="B2369" t="s">
        <v>13</v>
      </c>
      <c r="C2369" s="1">
        <v>44047</v>
      </c>
      <c r="D2369" t="s">
        <v>12453</v>
      </c>
      <c r="E2369" t="s">
        <v>1619</v>
      </c>
      <c r="F2369" t="s">
        <v>785</v>
      </c>
      <c r="G2369" t="s">
        <v>130</v>
      </c>
      <c r="H2369" t="s">
        <v>131</v>
      </c>
      <c r="I2369" t="s">
        <v>19</v>
      </c>
      <c r="J2369" s="3" t="s">
        <v>132</v>
      </c>
      <c r="K2369" t="s">
        <v>133</v>
      </c>
      <c r="L2369" t="s">
        <v>134</v>
      </c>
      <c r="M2369" t="s">
        <v>785</v>
      </c>
    </row>
    <row r="2370" spans="1:13" x14ac:dyDescent="0.25">
      <c r="A2370" t="s">
        <v>29442</v>
      </c>
      <c r="B2370" t="s">
        <v>13</v>
      </c>
      <c r="C2370" t="s">
        <v>29443</v>
      </c>
      <c r="D2370" t="s">
        <v>29444</v>
      </c>
      <c r="E2370" t="s">
        <v>1619</v>
      </c>
      <c r="F2370" t="s">
        <v>1775</v>
      </c>
      <c r="G2370" t="s">
        <v>29445</v>
      </c>
      <c r="H2370" t="s">
        <v>265</v>
      </c>
      <c r="I2370" t="s">
        <v>19</v>
      </c>
      <c r="J2370" s="3" t="s">
        <v>29446</v>
      </c>
      <c r="K2370" t="s">
        <v>29447</v>
      </c>
      <c r="L2370" t="s">
        <v>9922</v>
      </c>
      <c r="M2370" t="s">
        <v>1775</v>
      </c>
    </row>
    <row r="2371" spans="1:13" x14ac:dyDescent="0.25">
      <c r="A2371" t="s">
        <v>6346</v>
      </c>
      <c r="B2371" t="s">
        <v>101</v>
      </c>
      <c r="C2371" t="s">
        <v>6347</v>
      </c>
      <c r="D2371" t="s">
        <v>32135</v>
      </c>
      <c r="E2371" t="s">
        <v>997</v>
      </c>
      <c r="F2371" t="s">
        <v>6348</v>
      </c>
      <c r="G2371" t="s">
        <v>5400</v>
      </c>
      <c r="H2371" t="s">
        <v>1622</v>
      </c>
      <c r="I2371" t="s">
        <v>19</v>
      </c>
      <c r="J2371" s="3" t="s">
        <v>5401</v>
      </c>
      <c r="K2371" t="s">
        <v>1624</v>
      </c>
      <c r="L2371" t="s">
        <v>32135</v>
      </c>
      <c r="M2371" t="s">
        <v>129</v>
      </c>
    </row>
    <row r="2372" spans="1:13" x14ac:dyDescent="0.25">
      <c r="A2372" t="s">
        <v>8841</v>
      </c>
      <c r="B2372" t="s">
        <v>13</v>
      </c>
      <c r="C2372" t="s">
        <v>8834</v>
      </c>
      <c r="D2372" t="s">
        <v>8842</v>
      </c>
      <c r="E2372" t="s">
        <v>1619</v>
      </c>
      <c r="F2372" t="s">
        <v>1619</v>
      </c>
      <c r="G2372" t="s">
        <v>8104</v>
      </c>
      <c r="H2372" t="s">
        <v>5609</v>
      </c>
      <c r="I2372" t="s">
        <v>19</v>
      </c>
      <c r="J2372" s="3">
        <f>55-35999362355</f>
        <v>-35999362300</v>
      </c>
      <c r="K2372" t="s">
        <v>5611</v>
      </c>
      <c r="L2372" t="s">
        <v>1469</v>
      </c>
      <c r="M2372" t="s">
        <v>1775</v>
      </c>
    </row>
    <row r="2373" spans="1:13" x14ac:dyDescent="0.25">
      <c r="A2373" t="s">
        <v>24005</v>
      </c>
      <c r="B2373" t="s">
        <v>13</v>
      </c>
      <c r="C2373" s="1">
        <v>43076</v>
      </c>
      <c r="D2373" t="s">
        <v>24006</v>
      </c>
      <c r="E2373" t="s">
        <v>1619</v>
      </c>
      <c r="F2373" t="s">
        <v>2036</v>
      </c>
      <c r="G2373" t="s">
        <v>24007</v>
      </c>
      <c r="H2373" t="s">
        <v>428</v>
      </c>
      <c r="I2373" t="s">
        <v>19</v>
      </c>
      <c r="J2373" s="3" t="s">
        <v>24008</v>
      </c>
      <c r="K2373" t="s">
        <v>24009</v>
      </c>
      <c r="L2373" t="s">
        <v>1295</v>
      </c>
      <c r="M2373" t="s">
        <v>57</v>
      </c>
    </row>
    <row r="2374" spans="1:13" x14ac:dyDescent="0.25">
      <c r="A2374" t="s">
        <v>24510</v>
      </c>
      <c r="B2374" t="s">
        <v>13</v>
      </c>
      <c r="C2374" t="s">
        <v>24511</v>
      </c>
      <c r="D2374" t="s">
        <v>24512</v>
      </c>
      <c r="E2374" t="s">
        <v>997</v>
      </c>
      <c r="F2374" t="s">
        <v>2036</v>
      </c>
      <c r="G2374" t="s">
        <v>10768</v>
      </c>
      <c r="H2374" t="s">
        <v>1466</v>
      </c>
      <c r="I2374" t="s">
        <v>19</v>
      </c>
      <c r="J2374" s="3" t="s">
        <v>23917</v>
      </c>
      <c r="K2374" t="s">
        <v>24513</v>
      </c>
      <c r="L2374" t="s">
        <v>1469</v>
      </c>
      <c r="M2374" t="s">
        <v>57</v>
      </c>
    </row>
    <row r="2375" spans="1:13" x14ac:dyDescent="0.25">
      <c r="A2375" t="s">
        <v>7850</v>
      </c>
      <c r="B2375" t="s">
        <v>101</v>
      </c>
      <c r="C2375" s="1">
        <v>44320</v>
      </c>
      <c r="D2375" t="s">
        <v>32135</v>
      </c>
      <c r="E2375" t="s">
        <v>997</v>
      </c>
      <c r="F2375" t="s">
        <v>7851</v>
      </c>
      <c r="G2375" t="s">
        <v>7852</v>
      </c>
      <c r="H2375" t="s">
        <v>7653</v>
      </c>
      <c r="I2375" t="s">
        <v>2059</v>
      </c>
      <c r="J2375" s="3">
        <f>34-954556030</f>
        <v>-954555996</v>
      </c>
      <c r="K2375" t="s">
        <v>7853</v>
      </c>
      <c r="L2375" t="s">
        <v>32135</v>
      </c>
      <c r="M2375" t="s">
        <v>57</v>
      </c>
    </row>
    <row r="2376" spans="1:13" x14ac:dyDescent="0.25">
      <c r="A2376" t="s">
        <v>15786</v>
      </c>
      <c r="B2376" t="s">
        <v>13</v>
      </c>
      <c r="C2376" s="1">
        <v>43534</v>
      </c>
      <c r="D2376" t="s">
        <v>15787</v>
      </c>
      <c r="E2376" t="s">
        <v>1619</v>
      </c>
      <c r="F2376" t="s">
        <v>306</v>
      </c>
      <c r="G2376" t="s">
        <v>15788</v>
      </c>
      <c r="H2376" t="s">
        <v>36</v>
      </c>
      <c r="I2376" t="s">
        <v>19</v>
      </c>
      <c r="J2376" s="3" t="s">
        <v>15789</v>
      </c>
      <c r="K2376" t="s">
        <v>15790</v>
      </c>
      <c r="L2376" t="s">
        <v>2344</v>
      </c>
      <c r="M2376" t="s">
        <v>32145</v>
      </c>
    </row>
    <row r="2377" spans="1:13" x14ac:dyDescent="0.25">
      <c r="A2377" t="s">
        <v>16154</v>
      </c>
      <c r="B2377" t="s">
        <v>13</v>
      </c>
      <c r="C2377" t="s">
        <v>16155</v>
      </c>
      <c r="D2377" t="s">
        <v>16156</v>
      </c>
      <c r="E2377" t="s">
        <v>1619</v>
      </c>
      <c r="F2377" t="s">
        <v>1464</v>
      </c>
      <c r="G2377" t="s">
        <v>16157</v>
      </c>
      <c r="H2377" t="s">
        <v>36</v>
      </c>
      <c r="I2377" t="s">
        <v>19</v>
      </c>
      <c r="J2377" s="3">
        <f>55-11-50147800</f>
        <v>-50147756</v>
      </c>
      <c r="K2377" t="s">
        <v>16158</v>
      </c>
      <c r="L2377" t="s">
        <v>16159</v>
      </c>
      <c r="M2377" t="s">
        <v>129</v>
      </c>
    </row>
    <row r="2378" spans="1:13" x14ac:dyDescent="0.25">
      <c r="A2378" t="s">
        <v>15824</v>
      </c>
      <c r="B2378" t="s">
        <v>13</v>
      </c>
      <c r="C2378" s="1">
        <v>43475</v>
      </c>
      <c r="D2378" t="s">
        <v>15825</v>
      </c>
      <c r="E2378" t="s">
        <v>997</v>
      </c>
      <c r="F2378" t="s">
        <v>1464</v>
      </c>
      <c r="G2378" t="s">
        <v>15826</v>
      </c>
      <c r="H2378" t="s">
        <v>15827</v>
      </c>
      <c r="I2378" t="s">
        <v>15828</v>
      </c>
      <c r="J2378" s="3">
        <v>76344000</v>
      </c>
      <c r="K2378" t="s">
        <v>15829</v>
      </c>
      <c r="L2378" t="s">
        <v>15830</v>
      </c>
      <c r="M2378" t="s">
        <v>57</v>
      </c>
    </row>
    <row r="2379" spans="1:13" x14ac:dyDescent="0.25">
      <c r="A2379" t="s">
        <v>18933</v>
      </c>
      <c r="B2379" t="s">
        <v>13</v>
      </c>
      <c r="C2379" t="s">
        <v>18934</v>
      </c>
      <c r="D2379" t="s">
        <v>18935</v>
      </c>
      <c r="E2379" t="s">
        <v>997</v>
      </c>
      <c r="F2379" t="s">
        <v>1464</v>
      </c>
      <c r="G2379" t="s">
        <v>18936</v>
      </c>
      <c r="H2379" t="s">
        <v>18937</v>
      </c>
      <c r="I2379" t="s">
        <v>19</v>
      </c>
      <c r="J2379" s="3">
        <f>55-31-999158070</f>
        <v>-999158046</v>
      </c>
      <c r="K2379" t="s">
        <v>18938</v>
      </c>
      <c r="L2379" t="s">
        <v>18939</v>
      </c>
      <c r="M2379" t="s">
        <v>57</v>
      </c>
    </row>
    <row r="2380" spans="1:13" x14ac:dyDescent="0.25">
      <c r="A2380" t="s">
        <v>16863</v>
      </c>
      <c r="B2380" t="s">
        <v>13</v>
      </c>
      <c r="C2380" s="1">
        <v>43562</v>
      </c>
      <c r="D2380" t="s">
        <v>16864</v>
      </c>
      <c r="E2380" t="s">
        <v>1619</v>
      </c>
      <c r="F2380" t="s">
        <v>1464</v>
      </c>
      <c r="G2380" t="s">
        <v>16865</v>
      </c>
      <c r="H2380" t="s">
        <v>36</v>
      </c>
      <c r="I2380" t="s">
        <v>19</v>
      </c>
      <c r="J2380" s="3" t="s">
        <v>16866</v>
      </c>
      <c r="K2380" t="s">
        <v>16867</v>
      </c>
      <c r="L2380" t="s">
        <v>16159</v>
      </c>
      <c r="M2380" t="s">
        <v>785</v>
      </c>
    </row>
    <row r="2381" spans="1:13" x14ac:dyDescent="0.25">
      <c r="A2381" t="s">
        <v>17244</v>
      </c>
      <c r="B2381" t="s">
        <v>13</v>
      </c>
      <c r="C2381" s="1">
        <v>43652</v>
      </c>
      <c r="D2381" t="s">
        <v>17245</v>
      </c>
      <c r="E2381" t="s">
        <v>997</v>
      </c>
      <c r="F2381" t="s">
        <v>1464</v>
      </c>
      <c r="G2381" t="s">
        <v>16157</v>
      </c>
      <c r="H2381" t="s">
        <v>36</v>
      </c>
      <c r="I2381" t="s">
        <v>19</v>
      </c>
      <c r="J2381" s="3" t="s">
        <v>17246</v>
      </c>
      <c r="K2381" t="s">
        <v>17247</v>
      </c>
      <c r="L2381" t="s">
        <v>17248</v>
      </c>
      <c r="M2381" t="s">
        <v>785</v>
      </c>
    </row>
    <row r="2382" spans="1:13" x14ac:dyDescent="0.25">
      <c r="A2382" t="s">
        <v>23418</v>
      </c>
      <c r="B2382" t="s">
        <v>13</v>
      </c>
      <c r="C2382" t="s">
        <v>23402</v>
      </c>
      <c r="D2382" t="s">
        <v>23419</v>
      </c>
      <c r="E2382" t="s">
        <v>2157</v>
      </c>
      <c r="F2382" t="s">
        <v>1464</v>
      </c>
      <c r="G2382" t="s">
        <v>2465</v>
      </c>
      <c r="H2382" t="s">
        <v>255</v>
      </c>
      <c r="I2382" t="s">
        <v>19</v>
      </c>
      <c r="J2382" s="3" t="s">
        <v>10351</v>
      </c>
      <c r="K2382" t="s">
        <v>2466</v>
      </c>
      <c r="L2382" t="s">
        <v>2467</v>
      </c>
      <c r="M2382" t="s">
        <v>1775</v>
      </c>
    </row>
    <row r="2383" spans="1:13" x14ac:dyDescent="0.25">
      <c r="A2383" t="s">
        <v>16819</v>
      </c>
      <c r="B2383" t="s">
        <v>13</v>
      </c>
      <c r="C2383" s="1">
        <v>43745</v>
      </c>
      <c r="D2383" t="s">
        <v>16820</v>
      </c>
      <c r="E2383" t="s">
        <v>997</v>
      </c>
      <c r="F2383" t="s">
        <v>1464</v>
      </c>
      <c r="G2383" t="s">
        <v>16821</v>
      </c>
      <c r="H2383" t="s">
        <v>936</v>
      </c>
      <c r="I2383" t="s">
        <v>19</v>
      </c>
      <c r="J2383" s="3">
        <v>557132828885</v>
      </c>
      <c r="K2383" t="s">
        <v>16822</v>
      </c>
      <c r="L2383" t="s">
        <v>1578</v>
      </c>
      <c r="M2383" t="s">
        <v>1775</v>
      </c>
    </row>
    <row r="2384" spans="1:13" x14ac:dyDescent="0.25">
      <c r="A2384" t="s">
        <v>23525</v>
      </c>
      <c r="B2384" t="s">
        <v>13</v>
      </c>
      <c r="C2384" t="s">
        <v>11911</v>
      </c>
      <c r="D2384" t="s">
        <v>23526</v>
      </c>
      <c r="E2384" t="s">
        <v>1619</v>
      </c>
      <c r="F2384" t="s">
        <v>1464</v>
      </c>
      <c r="G2384" t="s">
        <v>23527</v>
      </c>
      <c r="H2384" t="s">
        <v>352</v>
      </c>
      <c r="I2384" t="s">
        <v>19</v>
      </c>
      <c r="J2384" s="3">
        <v>552134152108</v>
      </c>
      <c r="K2384" t="s">
        <v>23528</v>
      </c>
      <c r="L2384" t="s">
        <v>1232</v>
      </c>
      <c r="M2384" t="s">
        <v>1775</v>
      </c>
    </row>
    <row r="2385" spans="1:13" x14ac:dyDescent="0.25">
      <c r="A2385" t="s">
        <v>9273</v>
      </c>
      <c r="B2385" t="s">
        <v>101</v>
      </c>
      <c r="C2385" s="1">
        <v>44084</v>
      </c>
      <c r="D2385" t="s">
        <v>9274</v>
      </c>
      <c r="E2385" t="s">
        <v>997</v>
      </c>
      <c r="F2385" t="s">
        <v>1464</v>
      </c>
      <c r="G2385" t="s">
        <v>9275</v>
      </c>
      <c r="H2385" t="s">
        <v>2305</v>
      </c>
      <c r="I2385" t="s">
        <v>19</v>
      </c>
      <c r="J2385" s="3">
        <f>55-11-36835366</f>
        <v>-36835322</v>
      </c>
      <c r="K2385" t="s">
        <v>9276</v>
      </c>
      <c r="L2385" t="s">
        <v>9277</v>
      </c>
      <c r="M2385" t="s">
        <v>1775</v>
      </c>
    </row>
    <row r="2386" spans="1:13" x14ac:dyDescent="0.25">
      <c r="A2386" t="s">
        <v>17973</v>
      </c>
      <c r="B2386" t="s">
        <v>13</v>
      </c>
      <c r="C2386" t="s">
        <v>16588</v>
      </c>
      <c r="D2386" t="s">
        <v>17974</v>
      </c>
      <c r="E2386" t="s">
        <v>997</v>
      </c>
      <c r="F2386" t="s">
        <v>1464</v>
      </c>
      <c r="G2386" t="s">
        <v>17975</v>
      </c>
      <c r="H2386" t="s">
        <v>4546</v>
      </c>
      <c r="I2386" t="s">
        <v>19</v>
      </c>
      <c r="J2386" s="3">
        <f>55-11-999790029</f>
        <v>-999789985</v>
      </c>
      <c r="K2386" t="s">
        <v>17976</v>
      </c>
      <c r="L2386" t="s">
        <v>4094</v>
      </c>
      <c r="M2386" t="s">
        <v>1775</v>
      </c>
    </row>
    <row r="2387" spans="1:13" x14ac:dyDescent="0.25">
      <c r="A2387" t="s">
        <v>17224</v>
      </c>
      <c r="B2387" t="s">
        <v>13</v>
      </c>
      <c r="C2387" s="1">
        <v>43652</v>
      </c>
      <c r="D2387" t="s">
        <v>17225</v>
      </c>
      <c r="E2387" t="s">
        <v>1619</v>
      </c>
      <c r="F2387" t="s">
        <v>1464</v>
      </c>
      <c r="G2387" t="s">
        <v>17226</v>
      </c>
      <c r="H2387" t="s">
        <v>18</v>
      </c>
      <c r="I2387" t="s">
        <v>19</v>
      </c>
      <c r="J2387" s="3">
        <v>19988713274</v>
      </c>
      <c r="K2387" t="s">
        <v>17227</v>
      </c>
      <c r="L2387" t="s">
        <v>285</v>
      </c>
      <c r="M2387" t="s">
        <v>1775</v>
      </c>
    </row>
    <row r="2388" spans="1:13" x14ac:dyDescent="0.25">
      <c r="A2388" t="s">
        <v>12334</v>
      </c>
      <c r="B2388" t="s">
        <v>13</v>
      </c>
      <c r="C2388" t="s">
        <v>12316</v>
      </c>
      <c r="D2388" t="s">
        <v>12335</v>
      </c>
      <c r="E2388" t="s">
        <v>1619</v>
      </c>
      <c r="F2388" t="s">
        <v>1464</v>
      </c>
      <c r="G2388" t="s">
        <v>12336</v>
      </c>
      <c r="H2388" t="s">
        <v>927</v>
      </c>
      <c r="I2388" t="s">
        <v>19</v>
      </c>
      <c r="J2388" s="3">
        <f>55-133229-100</f>
        <v>-133274</v>
      </c>
      <c r="K2388" t="s">
        <v>12337</v>
      </c>
      <c r="L2388" t="s">
        <v>3232</v>
      </c>
      <c r="M2388" t="s">
        <v>1775</v>
      </c>
    </row>
    <row r="2389" spans="1:13" x14ac:dyDescent="0.25">
      <c r="A2389" t="s">
        <v>15517</v>
      </c>
      <c r="B2389" t="s">
        <v>13</v>
      </c>
      <c r="C2389" t="s">
        <v>10383</v>
      </c>
      <c r="D2389" t="s">
        <v>15518</v>
      </c>
      <c r="E2389" t="s">
        <v>997</v>
      </c>
      <c r="F2389" t="s">
        <v>1464</v>
      </c>
      <c r="G2389" t="s">
        <v>15519</v>
      </c>
      <c r="H2389" t="s">
        <v>36</v>
      </c>
      <c r="I2389" t="s">
        <v>19</v>
      </c>
      <c r="J2389" s="3">
        <f>55-11-55764203</f>
        <v>-55764159</v>
      </c>
      <c r="K2389" t="s">
        <v>15520</v>
      </c>
      <c r="L2389" t="s">
        <v>439</v>
      </c>
      <c r="M2389" t="s">
        <v>1775</v>
      </c>
    </row>
    <row r="2390" spans="1:13" x14ac:dyDescent="0.25">
      <c r="A2390" t="s">
        <v>10026</v>
      </c>
      <c r="B2390" t="s">
        <v>13</v>
      </c>
      <c r="C2390" t="s">
        <v>10027</v>
      </c>
      <c r="D2390" t="s">
        <v>10028</v>
      </c>
      <c r="E2390" t="s">
        <v>997</v>
      </c>
      <c r="F2390" t="s">
        <v>1464</v>
      </c>
      <c r="G2390" t="s">
        <v>10029</v>
      </c>
      <c r="H2390" t="s">
        <v>1215</v>
      </c>
      <c r="I2390" t="s">
        <v>19</v>
      </c>
      <c r="J2390" s="3">
        <f>55-18-3229-5315</f>
        <v>-8507</v>
      </c>
      <c r="K2390" t="s">
        <v>10030</v>
      </c>
      <c r="L2390" t="s">
        <v>4094</v>
      </c>
      <c r="M2390" t="s">
        <v>1775</v>
      </c>
    </row>
    <row r="2391" spans="1:13" x14ac:dyDescent="0.25">
      <c r="A2391" t="s">
        <v>5399</v>
      </c>
      <c r="B2391" t="s">
        <v>101</v>
      </c>
      <c r="C2391" s="1">
        <v>44420</v>
      </c>
      <c r="D2391" t="s">
        <v>32135</v>
      </c>
      <c r="E2391" t="s">
        <v>997</v>
      </c>
      <c r="F2391" t="s">
        <v>1620</v>
      </c>
      <c r="G2391" t="s">
        <v>5400</v>
      </c>
      <c r="H2391" t="s">
        <v>1622</v>
      </c>
      <c r="I2391" t="s">
        <v>19</v>
      </c>
      <c r="J2391" s="3" t="s">
        <v>5401</v>
      </c>
      <c r="K2391" t="s">
        <v>1624</v>
      </c>
      <c r="L2391" t="s">
        <v>32135</v>
      </c>
      <c r="M2391" t="s">
        <v>792</v>
      </c>
    </row>
    <row r="2392" spans="1:13" x14ac:dyDescent="0.25">
      <c r="A2392" t="s">
        <v>1616</v>
      </c>
      <c r="B2392" t="s">
        <v>13</v>
      </c>
      <c r="C2392" t="s">
        <v>1617</v>
      </c>
      <c r="D2392" t="s">
        <v>1618</v>
      </c>
      <c r="E2392" t="s">
        <v>1619</v>
      </c>
      <c r="F2392" t="s">
        <v>1620</v>
      </c>
      <c r="G2392" t="s">
        <v>1621</v>
      </c>
      <c r="H2392" t="s">
        <v>1622</v>
      </c>
      <c r="I2392" t="s">
        <v>19</v>
      </c>
      <c r="J2392" s="3" t="s">
        <v>1623</v>
      </c>
      <c r="K2392" t="s">
        <v>1624</v>
      </c>
      <c r="L2392" t="s">
        <v>1625</v>
      </c>
      <c r="M2392" t="s">
        <v>129</v>
      </c>
    </row>
    <row r="2393" spans="1:13" x14ac:dyDescent="0.25">
      <c r="A2393" t="s">
        <v>9451</v>
      </c>
      <c r="B2393" t="s">
        <v>13</v>
      </c>
      <c r="C2393" t="s">
        <v>9445</v>
      </c>
      <c r="D2393" t="s">
        <v>9452</v>
      </c>
      <c r="E2393" t="s">
        <v>32384</v>
      </c>
      <c r="F2393" t="s">
        <v>2758</v>
      </c>
      <c r="G2393" t="s">
        <v>9447</v>
      </c>
      <c r="H2393" t="s">
        <v>5815</v>
      </c>
      <c r="I2393" t="s">
        <v>19</v>
      </c>
      <c r="J2393" s="3" t="s">
        <v>9448</v>
      </c>
      <c r="K2393" t="s">
        <v>9449</v>
      </c>
      <c r="L2393" t="s">
        <v>9450</v>
      </c>
      <c r="M2393" t="s">
        <v>32149</v>
      </c>
    </row>
    <row r="2394" spans="1:13" x14ac:dyDescent="0.25">
      <c r="A2394" t="s">
        <v>19178</v>
      </c>
      <c r="B2394" t="s">
        <v>13</v>
      </c>
      <c r="C2394" t="s">
        <v>19179</v>
      </c>
      <c r="D2394" t="s">
        <v>19180</v>
      </c>
      <c r="E2394" t="s">
        <v>19181</v>
      </c>
      <c r="F2394" t="s">
        <v>1464</v>
      </c>
      <c r="G2394" t="s">
        <v>19182</v>
      </c>
      <c r="H2394" t="s">
        <v>2305</v>
      </c>
      <c r="I2394" t="s">
        <v>19</v>
      </c>
      <c r="J2394" s="3">
        <v>551136835366</v>
      </c>
      <c r="K2394" t="s">
        <v>2790</v>
      </c>
      <c r="L2394" t="s">
        <v>9277</v>
      </c>
      <c r="M2394" t="s">
        <v>1775</v>
      </c>
    </row>
    <row r="2395" spans="1:13" x14ac:dyDescent="0.25">
      <c r="A2395" t="s">
        <v>24390</v>
      </c>
      <c r="B2395" t="s">
        <v>13</v>
      </c>
      <c r="C2395" s="1">
        <v>43012</v>
      </c>
      <c r="D2395" t="s">
        <v>24391</v>
      </c>
      <c r="E2395" t="s">
        <v>32385</v>
      </c>
      <c r="F2395" t="s">
        <v>1464</v>
      </c>
      <c r="G2395" t="s">
        <v>24392</v>
      </c>
      <c r="H2395" t="s">
        <v>24393</v>
      </c>
      <c r="I2395" t="s">
        <v>19</v>
      </c>
      <c r="J2395" s="3" t="s">
        <v>24394</v>
      </c>
      <c r="K2395" t="s">
        <v>24395</v>
      </c>
      <c r="L2395" t="s">
        <v>24396</v>
      </c>
      <c r="M2395" t="s">
        <v>1775</v>
      </c>
    </row>
    <row r="2396" spans="1:13" x14ac:dyDescent="0.25">
      <c r="A2396" t="s">
        <v>22980</v>
      </c>
      <c r="B2396" t="s">
        <v>13</v>
      </c>
      <c r="C2396" t="s">
        <v>22981</v>
      </c>
      <c r="D2396" t="s">
        <v>22982</v>
      </c>
      <c r="E2396" t="s">
        <v>22983</v>
      </c>
      <c r="F2396" t="s">
        <v>2036</v>
      </c>
      <c r="G2396" t="s">
        <v>22984</v>
      </c>
      <c r="H2396" t="s">
        <v>472</v>
      </c>
      <c r="I2396" t="s">
        <v>19</v>
      </c>
      <c r="J2396" s="3">
        <f>55-81-987414700</f>
        <v>-987414726</v>
      </c>
      <c r="K2396" t="s">
        <v>22985</v>
      </c>
      <c r="L2396" t="s">
        <v>824</v>
      </c>
      <c r="M2396" t="s">
        <v>57</v>
      </c>
    </row>
    <row r="2397" spans="1:13" x14ac:dyDescent="0.25">
      <c r="A2397" t="s">
        <v>10387</v>
      </c>
      <c r="B2397" t="s">
        <v>13</v>
      </c>
      <c r="C2397" t="s">
        <v>10388</v>
      </c>
      <c r="D2397" t="s">
        <v>10389</v>
      </c>
      <c r="E2397" s="2" t="s">
        <v>32779</v>
      </c>
      <c r="F2397" t="s">
        <v>1464</v>
      </c>
      <c r="G2397" t="s">
        <v>10390</v>
      </c>
      <c r="H2397" t="s">
        <v>1090</v>
      </c>
      <c r="I2397" t="s">
        <v>19</v>
      </c>
      <c r="J2397" s="3">
        <f>55-88-98804-2439</f>
        <v>-101276</v>
      </c>
      <c r="K2397" t="s">
        <v>10391</v>
      </c>
      <c r="L2397" t="s">
        <v>1092</v>
      </c>
      <c r="M2397" t="s">
        <v>1775</v>
      </c>
    </row>
    <row r="2398" spans="1:13" x14ac:dyDescent="0.25">
      <c r="A2398" t="s">
        <v>23831</v>
      </c>
      <c r="B2398" t="s">
        <v>13</v>
      </c>
      <c r="C2398" s="1">
        <v>42955</v>
      </c>
      <c r="D2398" t="s">
        <v>23832</v>
      </c>
      <c r="E2398" t="s">
        <v>32780</v>
      </c>
      <c r="F2398" t="s">
        <v>2036</v>
      </c>
      <c r="G2398" t="s">
        <v>23833</v>
      </c>
      <c r="H2398" t="s">
        <v>444</v>
      </c>
      <c r="I2398" t="s">
        <v>19</v>
      </c>
      <c r="J2398" s="3">
        <v>5587999524987</v>
      </c>
      <c r="K2398" t="s">
        <v>2970</v>
      </c>
      <c r="L2398" t="s">
        <v>1193</v>
      </c>
      <c r="M2398" t="s">
        <v>57</v>
      </c>
    </row>
    <row r="2399" spans="1:13" x14ac:dyDescent="0.25">
      <c r="A2399" t="s">
        <v>5665</v>
      </c>
      <c r="B2399" t="s">
        <v>13</v>
      </c>
      <c r="C2399" s="1">
        <v>44541</v>
      </c>
      <c r="D2399" t="s">
        <v>32135</v>
      </c>
      <c r="E2399" s="2" t="s">
        <v>32386</v>
      </c>
      <c r="F2399" t="s">
        <v>5666</v>
      </c>
      <c r="G2399" t="s">
        <v>5667</v>
      </c>
      <c r="H2399" t="s">
        <v>608</v>
      </c>
      <c r="I2399" t="s">
        <v>19</v>
      </c>
      <c r="J2399" s="3">
        <f>55-54-991856833</f>
        <v>-991856832</v>
      </c>
      <c r="K2399" t="s">
        <v>5668</v>
      </c>
      <c r="L2399" t="s">
        <v>32135</v>
      </c>
      <c r="M2399" t="s">
        <v>32144</v>
      </c>
    </row>
    <row r="2400" spans="1:13" x14ac:dyDescent="0.25">
      <c r="A2400" t="s">
        <v>13317</v>
      </c>
      <c r="B2400" t="s">
        <v>13</v>
      </c>
      <c r="C2400" t="s">
        <v>5232</v>
      </c>
      <c r="D2400" t="s">
        <v>13318</v>
      </c>
      <c r="E2400" t="s">
        <v>13319</v>
      </c>
      <c r="F2400" t="s">
        <v>1464</v>
      </c>
      <c r="G2400" t="s">
        <v>13320</v>
      </c>
      <c r="H2400" t="s">
        <v>1090</v>
      </c>
      <c r="I2400" t="s">
        <v>19</v>
      </c>
      <c r="J2400" s="3" t="s">
        <v>13321</v>
      </c>
      <c r="K2400" t="s">
        <v>13322</v>
      </c>
      <c r="L2400" t="s">
        <v>1092</v>
      </c>
      <c r="M2400" t="s">
        <v>32144</v>
      </c>
    </row>
    <row r="2401" spans="1:13" x14ac:dyDescent="0.25">
      <c r="A2401" t="s">
        <v>10783</v>
      </c>
      <c r="B2401" t="s">
        <v>13</v>
      </c>
      <c r="C2401" t="s">
        <v>7057</v>
      </c>
      <c r="D2401" t="s">
        <v>10784</v>
      </c>
      <c r="E2401" s="2" t="s">
        <v>31961</v>
      </c>
      <c r="G2401" t="s">
        <v>10785</v>
      </c>
      <c r="H2401" t="s">
        <v>36</v>
      </c>
      <c r="I2401" t="s">
        <v>19</v>
      </c>
      <c r="J2401" s="3" t="s">
        <v>10786</v>
      </c>
      <c r="K2401" t="s">
        <v>10787</v>
      </c>
      <c r="L2401" t="s">
        <v>223</v>
      </c>
      <c r="M2401" t="s">
        <v>32144</v>
      </c>
    </row>
    <row r="2402" spans="1:13" x14ac:dyDescent="0.25">
      <c r="A2402" t="s">
        <v>15545</v>
      </c>
      <c r="B2402" t="s">
        <v>13</v>
      </c>
      <c r="C2402" s="1">
        <v>43779</v>
      </c>
      <c r="D2402" t="s">
        <v>15546</v>
      </c>
      <c r="E2402" s="2" t="s">
        <v>31131</v>
      </c>
      <c r="F2402" t="s">
        <v>1464</v>
      </c>
      <c r="G2402" t="s">
        <v>9074</v>
      </c>
      <c r="H2402" t="s">
        <v>1466</v>
      </c>
      <c r="I2402" t="s">
        <v>19</v>
      </c>
      <c r="J2402" s="3">
        <f>55-35-37011805</f>
        <v>-37011785</v>
      </c>
      <c r="K2402" t="s">
        <v>9075</v>
      </c>
      <c r="L2402" t="s">
        <v>1469</v>
      </c>
      <c r="M2402" t="s">
        <v>57</v>
      </c>
    </row>
    <row r="2403" spans="1:13" x14ac:dyDescent="0.25">
      <c r="A2403" t="s">
        <v>15918</v>
      </c>
      <c r="B2403" t="s">
        <v>13</v>
      </c>
      <c r="C2403" t="s">
        <v>15322</v>
      </c>
      <c r="D2403" t="s">
        <v>15919</v>
      </c>
      <c r="E2403" s="2" t="s">
        <v>31131</v>
      </c>
      <c r="F2403" t="s">
        <v>1464</v>
      </c>
      <c r="G2403" t="s">
        <v>15920</v>
      </c>
      <c r="H2403" t="s">
        <v>503</v>
      </c>
      <c r="I2403" t="s">
        <v>19</v>
      </c>
      <c r="J2403" s="3" t="s">
        <v>15921</v>
      </c>
      <c r="K2403" t="s">
        <v>504</v>
      </c>
      <c r="L2403" t="s">
        <v>412</v>
      </c>
      <c r="M2403" t="s">
        <v>1775</v>
      </c>
    </row>
    <row r="2404" spans="1:13" x14ac:dyDescent="0.25">
      <c r="A2404" t="s">
        <v>22572</v>
      </c>
      <c r="B2404" t="s">
        <v>13</v>
      </c>
      <c r="C2404" t="s">
        <v>9618</v>
      </c>
      <c r="D2404" t="s">
        <v>22573</v>
      </c>
      <c r="E2404" s="2" t="s">
        <v>31313</v>
      </c>
      <c r="F2404" t="s">
        <v>1464</v>
      </c>
      <c r="G2404" t="s">
        <v>2465</v>
      </c>
      <c r="H2404" t="s">
        <v>255</v>
      </c>
      <c r="I2404" t="s">
        <v>19</v>
      </c>
      <c r="J2404" s="3">
        <f>55-62-996300080</f>
        <v>-996300087</v>
      </c>
      <c r="K2404" t="s">
        <v>2466</v>
      </c>
      <c r="L2404" t="s">
        <v>2467</v>
      </c>
      <c r="M2404" t="s">
        <v>1775</v>
      </c>
    </row>
    <row r="2405" spans="1:13" x14ac:dyDescent="0.25">
      <c r="A2405" t="s">
        <v>22942</v>
      </c>
      <c r="B2405" t="s">
        <v>13</v>
      </c>
      <c r="C2405" t="s">
        <v>22943</v>
      </c>
      <c r="D2405" t="s">
        <v>22944</v>
      </c>
      <c r="E2405" s="2" t="s">
        <v>31320</v>
      </c>
      <c r="F2405" t="s">
        <v>2036</v>
      </c>
      <c r="G2405" t="s">
        <v>22945</v>
      </c>
      <c r="H2405" t="s">
        <v>428</v>
      </c>
      <c r="I2405" t="s">
        <v>19</v>
      </c>
      <c r="J2405" s="3">
        <f>55-51-981213000</f>
        <v>-981212996</v>
      </c>
      <c r="K2405" t="s">
        <v>22946</v>
      </c>
      <c r="L2405" t="s">
        <v>1113</v>
      </c>
      <c r="M2405" t="s">
        <v>57</v>
      </c>
    </row>
    <row r="2406" spans="1:13" x14ac:dyDescent="0.25">
      <c r="A2406" t="s">
        <v>28221</v>
      </c>
      <c r="B2406" t="s">
        <v>13</v>
      </c>
      <c r="C2406" s="1">
        <v>42313</v>
      </c>
      <c r="D2406" t="s">
        <v>28222</v>
      </c>
      <c r="E2406" t="s">
        <v>28223</v>
      </c>
      <c r="F2406" t="s">
        <v>26</v>
      </c>
      <c r="G2406" t="s">
        <v>3050</v>
      </c>
      <c r="H2406" t="s">
        <v>88</v>
      </c>
      <c r="I2406" t="s">
        <v>19</v>
      </c>
      <c r="J2406" s="3" t="s">
        <v>16195</v>
      </c>
      <c r="K2406" t="s">
        <v>3052</v>
      </c>
      <c r="L2406" t="s">
        <v>91</v>
      </c>
      <c r="M2406" t="s">
        <v>32144</v>
      </c>
    </row>
    <row r="2407" spans="1:13" x14ac:dyDescent="0.25">
      <c r="A2407" t="s">
        <v>9224</v>
      </c>
      <c r="B2407" t="s">
        <v>13</v>
      </c>
      <c r="C2407" t="s">
        <v>9217</v>
      </c>
      <c r="D2407" t="s">
        <v>9225</v>
      </c>
      <c r="E2407" t="s">
        <v>9226</v>
      </c>
      <c r="F2407" t="s">
        <v>1464</v>
      </c>
      <c r="G2407" t="s">
        <v>9227</v>
      </c>
      <c r="H2407" t="s">
        <v>1335</v>
      </c>
      <c r="I2407" t="s">
        <v>19</v>
      </c>
      <c r="J2407" s="3">
        <v>5543988040583</v>
      </c>
      <c r="K2407" t="s">
        <v>1460</v>
      </c>
      <c r="L2407" t="s">
        <v>1461</v>
      </c>
      <c r="M2407" t="s">
        <v>32185</v>
      </c>
    </row>
    <row r="2408" spans="1:13" x14ac:dyDescent="0.25">
      <c r="A2408" t="s">
        <v>5606</v>
      </c>
      <c r="B2408" t="s">
        <v>13</v>
      </c>
      <c r="C2408" t="s">
        <v>5607</v>
      </c>
      <c r="D2408" t="s">
        <v>32135</v>
      </c>
      <c r="E2408" t="s">
        <v>32387</v>
      </c>
      <c r="F2408" t="s">
        <v>997</v>
      </c>
      <c r="G2408" t="s">
        <v>5608</v>
      </c>
      <c r="H2408" t="s">
        <v>5609</v>
      </c>
      <c r="I2408" t="s">
        <v>19</v>
      </c>
      <c r="J2408" s="3" t="s">
        <v>5610</v>
      </c>
      <c r="K2408" t="s">
        <v>5611</v>
      </c>
      <c r="L2408" t="s">
        <v>32135</v>
      </c>
      <c r="M2408" t="s">
        <v>1775</v>
      </c>
    </row>
    <row r="2409" spans="1:13" x14ac:dyDescent="0.25">
      <c r="A2409" t="s">
        <v>15692</v>
      </c>
      <c r="B2409" t="s">
        <v>101</v>
      </c>
      <c r="C2409" s="1">
        <v>42500</v>
      </c>
      <c r="D2409" t="s">
        <v>15693</v>
      </c>
      <c r="E2409" t="s">
        <v>15694</v>
      </c>
      <c r="F2409" t="s">
        <v>1464</v>
      </c>
      <c r="G2409" t="s">
        <v>15695</v>
      </c>
      <c r="H2409" t="s">
        <v>3618</v>
      </c>
      <c r="I2409" t="s">
        <v>19</v>
      </c>
      <c r="J2409" s="3" t="s">
        <v>15696</v>
      </c>
      <c r="K2409" t="s">
        <v>15697</v>
      </c>
      <c r="L2409" t="s">
        <v>15698</v>
      </c>
      <c r="M2409" t="s">
        <v>1775</v>
      </c>
    </row>
    <row r="2410" spans="1:13" x14ac:dyDescent="0.25">
      <c r="A2410" t="s">
        <v>20920</v>
      </c>
      <c r="B2410" t="s">
        <v>13</v>
      </c>
      <c r="C2410" t="s">
        <v>20921</v>
      </c>
      <c r="D2410" t="s">
        <v>20922</v>
      </c>
      <c r="E2410" t="s">
        <v>20923</v>
      </c>
      <c r="F2410" t="s">
        <v>2036</v>
      </c>
      <c r="G2410" t="s">
        <v>20924</v>
      </c>
      <c r="H2410" t="s">
        <v>753</v>
      </c>
      <c r="I2410" t="s">
        <v>19</v>
      </c>
      <c r="J2410" s="3" t="s">
        <v>20925</v>
      </c>
      <c r="K2410" t="s">
        <v>20926</v>
      </c>
      <c r="L2410" t="s">
        <v>20927</v>
      </c>
      <c r="M2410" t="s">
        <v>57</v>
      </c>
    </row>
    <row r="2411" spans="1:13" x14ac:dyDescent="0.25">
      <c r="A2411" t="s">
        <v>19819</v>
      </c>
      <c r="B2411" t="s">
        <v>13</v>
      </c>
      <c r="C2411" s="1">
        <v>43168</v>
      </c>
      <c r="D2411" t="s">
        <v>19820</v>
      </c>
      <c r="E2411" t="s">
        <v>19821</v>
      </c>
      <c r="F2411" t="s">
        <v>1464</v>
      </c>
      <c r="G2411" t="s">
        <v>19822</v>
      </c>
      <c r="H2411" t="s">
        <v>352</v>
      </c>
      <c r="I2411" t="s">
        <v>19</v>
      </c>
      <c r="J2411" s="3" t="s">
        <v>19823</v>
      </c>
      <c r="K2411" t="s">
        <v>16527</v>
      </c>
      <c r="L2411" t="s">
        <v>550</v>
      </c>
      <c r="M2411" t="s">
        <v>1775</v>
      </c>
    </row>
    <row r="2412" spans="1:13" x14ac:dyDescent="0.25">
      <c r="A2412" t="s">
        <v>5510</v>
      </c>
      <c r="B2412" t="s">
        <v>13</v>
      </c>
      <c r="C2412" s="1">
        <v>44239</v>
      </c>
      <c r="D2412" t="s">
        <v>5511</v>
      </c>
      <c r="E2412" s="2" t="s">
        <v>30847</v>
      </c>
      <c r="F2412" t="s">
        <v>5093</v>
      </c>
      <c r="G2412" t="s">
        <v>5095</v>
      </c>
      <c r="H2412" t="s">
        <v>36</v>
      </c>
      <c r="I2412" t="s">
        <v>19</v>
      </c>
      <c r="J2412" s="3">
        <f>55-11-30918792</f>
        <v>-30918748</v>
      </c>
      <c r="K2412" t="s">
        <v>5096</v>
      </c>
      <c r="L2412" t="s">
        <v>32135</v>
      </c>
      <c r="M2412" t="s">
        <v>1775</v>
      </c>
    </row>
    <row r="2413" spans="1:13" x14ac:dyDescent="0.25">
      <c r="A2413" t="s">
        <v>29420</v>
      </c>
      <c r="B2413" t="s">
        <v>13</v>
      </c>
      <c r="C2413" s="1">
        <v>41493</v>
      </c>
      <c r="D2413" t="s">
        <v>29421</v>
      </c>
      <c r="E2413" t="s">
        <v>29422</v>
      </c>
      <c r="F2413" t="s">
        <v>8653</v>
      </c>
      <c r="G2413" t="s">
        <v>27860</v>
      </c>
      <c r="H2413" t="s">
        <v>1215</v>
      </c>
      <c r="I2413" t="s">
        <v>19</v>
      </c>
      <c r="J2413" s="3" t="s">
        <v>29423</v>
      </c>
      <c r="K2413" t="s">
        <v>27862</v>
      </c>
      <c r="L2413" t="s">
        <v>27863</v>
      </c>
      <c r="M2413" t="s">
        <v>1775</v>
      </c>
    </row>
    <row r="2414" spans="1:13" x14ac:dyDescent="0.25">
      <c r="A2414" t="s">
        <v>29484</v>
      </c>
      <c r="B2414" t="s">
        <v>13</v>
      </c>
      <c r="C2414" t="s">
        <v>29467</v>
      </c>
      <c r="D2414" t="s">
        <v>29485</v>
      </c>
      <c r="E2414" t="s">
        <v>29486</v>
      </c>
      <c r="F2414" t="s">
        <v>2947</v>
      </c>
      <c r="G2414" t="s">
        <v>14697</v>
      </c>
      <c r="H2414" t="s">
        <v>36</v>
      </c>
      <c r="I2414" t="s">
        <v>19</v>
      </c>
      <c r="J2414" s="3" t="s">
        <v>24506</v>
      </c>
      <c r="K2414" t="s">
        <v>14699</v>
      </c>
      <c r="L2414" t="s">
        <v>2725</v>
      </c>
      <c r="M2414" t="s">
        <v>771</v>
      </c>
    </row>
    <row r="2415" spans="1:13" x14ac:dyDescent="0.25">
      <c r="A2415" t="s">
        <v>6149</v>
      </c>
      <c r="B2415" t="s">
        <v>13</v>
      </c>
      <c r="C2415" s="1">
        <v>44206</v>
      </c>
      <c r="D2415" t="s">
        <v>32135</v>
      </c>
      <c r="E2415" s="2" t="s">
        <v>30876</v>
      </c>
      <c r="F2415" t="s">
        <v>397</v>
      </c>
      <c r="G2415" t="s">
        <v>6150</v>
      </c>
      <c r="H2415" t="s">
        <v>36</v>
      </c>
      <c r="I2415" t="s">
        <v>19</v>
      </c>
      <c r="J2415" s="3">
        <v>551130913696</v>
      </c>
      <c r="K2415" t="s">
        <v>32135</v>
      </c>
      <c r="L2415" t="s">
        <v>32135</v>
      </c>
      <c r="M2415" t="s">
        <v>32145</v>
      </c>
    </row>
    <row r="2416" spans="1:13" x14ac:dyDescent="0.25">
      <c r="A2416" t="s">
        <v>6489</v>
      </c>
      <c r="B2416" t="s">
        <v>13</v>
      </c>
      <c r="C2416" s="1">
        <v>44417</v>
      </c>
      <c r="D2416" t="s">
        <v>6490</v>
      </c>
      <c r="E2416" s="2" t="s">
        <v>30876</v>
      </c>
      <c r="F2416" t="s">
        <v>396</v>
      </c>
      <c r="G2416" t="s">
        <v>2342</v>
      </c>
      <c r="H2416" t="s">
        <v>36</v>
      </c>
      <c r="I2416" t="s">
        <v>19</v>
      </c>
      <c r="J2416" s="3">
        <f>55-11-3091-3696</f>
        <v>-6743</v>
      </c>
      <c r="K2416" t="s">
        <v>2343</v>
      </c>
      <c r="L2416" t="s">
        <v>6491</v>
      </c>
      <c r="M2416" t="s">
        <v>32145</v>
      </c>
    </row>
    <row r="2417" spans="1:13" x14ac:dyDescent="0.25">
      <c r="A2417" t="s">
        <v>17599</v>
      </c>
      <c r="B2417" t="s">
        <v>13</v>
      </c>
      <c r="C2417" t="s">
        <v>17593</v>
      </c>
      <c r="D2417" t="s">
        <v>17600</v>
      </c>
      <c r="E2417" t="s">
        <v>32388</v>
      </c>
      <c r="F2417" t="s">
        <v>6308</v>
      </c>
      <c r="G2417" t="s">
        <v>17601</v>
      </c>
      <c r="H2417" t="s">
        <v>265</v>
      </c>
      <c r="I2417" t="s">
        <v>19</v>
      </c>
      <c r="J2417" s="3" t="s">
        <v>17602</v>
      </c>
      <c r="K2417" t="s">
        <v>17603</v>
      </c>
      <c r="L2417" t="s">
        <v>321</v>
      </c>
      <c r="M2417" t="s">
        <v>792</v>
      </c>
    </row>
    <row r="2418" spans="1:13" x14ac:dyDescent="0.25">
      <c r="A2418" t="s">
        <v>9305</v>
      </c>
      <c r="B2418" t="s">
        <v>13</v>
      </c>
      <c r="C2418" s="1">
        <v>44053</v>
      </c>
      <c r="D2418" t="s">
        <v>9306</v>
      </c>
      <c r="E2418" t="s">
        <v>9307</v>
      </c>
      <c r="F2418" t="s">
        <v>1464</v>
      </c>
      <c r="G2418" t="s">
        <v>9308</v>
      </c>
      <c r="H2418" t="s">
        <v>1802</v>
      </c>
      <c r="I2418" t="s">
        <v>19</v>
      </c>
      <c r="J2418" s="3" t="s">
        <v>9309</v>
      </c>
      <c r="K2418" t="s">
        <v>9310</v>
      </c>
      <c r="L2418" t="s">
        <v>321</v>
      </c>
      <c r="M2418" t="s">
        <v>792</v>
      </c>
    </row>
    <row r="2419" spans="1:13" x14ac:dyDescent="0.25">
      <c r="A2419" t="s">
        <v>14412</v>
      </c>
      <c r="B2419" t="s">
        <v>13</v>
      </c>
      <c r="C2419" s="1">
        <v>43862</v>
      </c>
      <c r="D2419" t="s">
        <v>14413</v>
      </c>
      <c r="E2419" s="2" t="s">
        <v>31694</v>
      </c>
      <c r="F2419" t="s">
        <v>6308</v>
      </c>
      <c r="G2419" t="s">
        <v>14414</v>
      </c>
      <c r="H2419" t="s">
        <v>936</v>
      </c>
      <c r="I2419" t="s">
        <v>19</v>
      </c>
      <c r="J2419" s="3" t="s">
        <v>14415</v>
      </c>
      <c r="K2419" t="s">
        <v>14416</v>
      </c>
      <c r="L2419" t="s">
        <v>14417</v>
      </c>
      <c r="M2419" t="s">
        <v>792</v>
      </c>
    </row>
    <row r="2420" spans="1:13" x14ac:dyDescent="0.25">
      <c r="A2420" t="s">
        <v>16342</v>
      </c>
      <c r="B2420" t="s">
        <v>101</v>
      </c>
      <c r="C2420" t="s">
        <v>8213</v>
      </c>
      <c r="D2420" t="s">
        <v>16343</v>
      </c>
      <c r="E2420" t="s">
        <v>32389</v>
      </c>
      <c r="F2420" t="s">
        <v>10500</v>
      </c>
      <c r="G2420" t="s">
        <v>16344</v>
      </c>
      <c r="H2420" t="s">
        <v>1802</v>
      </c>
      <c r="I2420" t="s">
        <v>19</v>
      </c>
      <c r="J2420" s="3" t="s">
        <v>16345</v>
      </c>
      <c r="K2420" t="s">
        <v>16346</v>
      </c>
      <c r="L2420" t="s">
        <v>6423</v>
      </c>
      <c r="M2420" t="s">
        <v>32121</v>
      </c>
    </row>
    <row r="2421" spans="1:13" x14ac:dyDescent="0.25">
      <c r="A2421" t="s">
        <v>16636</v>
      </c>
      <c r="B2421" t="s">
        <v>13</v>
      </c>
      <c r="C2421" t="s">
        <v>16637</v>
      </c>
      <c r="D2421" t="s">
        <v>16638</v>
      </c>
      <c r="E2421" t="s">
        <v>16639</v>
      </c>
      <c r="F2421" t="s">
        <v>771</v>
      </c>
      <c r="G2421" t="s">
        <v>16640</v>
      </c>
      <c r="H2421" t="s">
        <v>1229</v>
      </c>
      <c r="I2421" t="s">
        <v>19</v>
      </c>
      <c r="J2421" s="3" t="s">
        <v>16641</v>
      </c>
      <c r="K2421" t="s">
        <v>16642</v>
      </c>
      <c r="L2421" t="s">
        <v>1232</v>
      </c>
      <c r="M2421" t="s">
        <v>771</v>
      </c>
    </row>
    <row r="2422" spans="1:13" x14ac:dyDescent="0.25">
      <c r="A2422" t="s">
        <v>26237</v>
      </c>
      <c r="B2422" t="s">
        <v>13</v>
      </c>
      <c r="C2422" t="s">
        <v>26233</v>
      </c>
      <c r="D2422" t="s">
        <v>26238</v>
      </c>
      <c r="E2422" t="s">
        <v>16639</v>
      </c>
      <c r="F2422" t="s">
        <v>771</v>
      </c>
      <c r="G2422" t="s">
        <v>16640</v>
      </c>
      <c r="H2422" t="s">
        <v>1229</v>
      </c>
      <c r="I2422" t="s">
        <v>19</v>
      </c>
      <c r="J2422" s="3" t="s">
        <v>16641</v>
      </c>
      <c r="K2422" t="s">
        <v>16642</v>
      </c>
      <c r="L2422" t="s">
        <v>1232</v>
      </c>
      <c r="M2422" t="s">
        <v>771</v>
      </c>
    </row>
    <row r="2423" spans="1:13" x14ac:dyDescent="0.25">
      <c r="A2423" t="s">
        <v>4972</v>
      </c>
      <c r="B2423" t="s">
        <v>13</v>
      </c>
      <c r="C2423" t="s">
        <v>4959</v>
      </c>
      <c r="D2423" t="s">
        <v>4973</v>
      </c>
      <c r="E2423" s="2" t="s">
        <v>32028</v>
      </c>
      <c r="F2423" t="s">
        <v>2947</v>
      </c>
      <c r="G2423" t="s">
        <v>4974</v>
      </c>
      <c r="H2423" t="s">
        <v>428</v>
      </c>
      <c r="I2423" t="s">
        <v>19</v>
      </c>
      <c r="J2423" s="3">
        <f>55-47-999250679</f>
        <v>-999250671</v>
      </c>
      <c r="K2423" t="s">
        <v>4975</v>
      </c>
      <c r="L2423" t="s">
        <v>32135</v>
      </c>
      <c r="M2423" t="s">
        <v>771</v>
      </c>
    </row>
    <row r="2424" spans="1:13" x14ac:dyDescent="0.25">
      <c r="A2424" t="s">
        <v>14657</v>
      </c>
      <c r="B2424" t="s">
        <v>13</v>
      </c>
      <c r="C2424" s="1">
        <v>43750</v>
      </c>
      <c r="D2424" t="s">
        <v>14658</v>
      </c>
      <c r="E2424" s="2" t="s">
        <v>31103</v>
      </c>
      <c r="F2424" t="s">
        <v>2947</v>
      </c>
      <c r="G2424" t="s">
        <v>14659</v>
      </c>
      <c r="H2424" t="s">
        <v>936</v>
      </c>
      <c r="I2424" t="s">
        <v>19</v>
      </c>
      <c r="J2424" s="3">
        <f>55-71-999061367</f>
        <v>-999061383</v>
      </c>
      <c r="K2424" t="s">
        <v>14660</v>
      </c>
      <c r="L2424" t="s">
        <v>14661</v>
      </c>
      <c r="M2424" t="s">
        <v>771</v>
      </c>
    </row>
    <row r="2425" spans="1:13" x14ac:dyDescent="0.25">
      <c r="A2425" t="s">
        <v>544</v>
      </c>
      <c r="B2425" t="s">
        <v>13</v>
      </c>
      <c r="C2425" s="1">
        <v>45261</v>
      </c>
      <c r="D2425" t="s">
        <v>545</v>
      </c>
      <c r="E2425" t="s">
        <v>546</v>
      </c>
      <c r="F2425" t="s">
        <v>345</v>
      </c>
      <c r="G2425" t="s">
        <v>547</v>
      </c>
      <c r="H2425" t="s">
        <v>352</v>
      </c>
      <c r="I2425" t="s">
        <v>19</v>
      </c>
      <c r="J2425" s="3" t="s">
        <v>548</v>
      </c>
      <c r="K2425" t="s">
        <v>549</v>
      </c>
      <c r="L2425" t="s">
        <v>550</v>
      </c>
      <c r="M2425" t="s">
        <v>771</v>
      </c>
    </row>
    <row r="2426" spans="1:13" x14ac:dyDescent="0.25">
      <c r="A2426" t="s">
        <v>20622</v>
      </c>
      <c r="B2426" t="s">
        <v>13</v>
      </c>
      <c r="C2426" s="1">
        <v>43380</v>
      </c>
      <c r="D2426" t="s">
        <v>20623</v>
      </c>
      <c r="E2426" t="s">
        <v>20624</v>
      </c>
      <c r="F2426" t="s">
        <v>1464</v>
      </c>
      <c r="G2426" t="s">
        <v>20625</v>
      </c>
      <c r="H2426" t="s">
        <v>114</v>
      </c>
      <c r="I2426" t="s">
        <v>19</v>
      </c>
      <c r="J2426" s="3" t="s">
        <v>20626</v>
      </c>
      <c r="K2426" t="s">
        <v>20627</v>
      </c>
      <c r="L2426" t="s">
        <v>82</v>
      </c>
      <c r="M2426" t="s">
        <v>771</v>
      </c>
    </row>
    <row r="2427" spans="1:13" x14ac:dyDescent="0.25">
      <c r="A2427" t="s">
        <v>30670</v>
      </c>
      <c r="B2427" t="s">
        <v>13</v>
      </c>
      <c r="C2427" s="1">
        <v>40882</v>
      </c>
      <c r="D2427" t="s">
        <v>30671</v>
      </c>
      <c r="E2427" t="s">
        <v>30672</v>
      </c>
      <c r="F2427" t="s">
        <v>2947</v>
      </c>
      <c r="G2427" t="s">
        <v>30673</v>
      </c>
      <c r="H2427" t="s">
        <v>706</v>
      </c>
      <c r="I2427" t="s">
        <v>19</v>
      </c>
      <c r="J2427" s="3">
        <v>3134099300</v>
      </c>
      <c r="K2427" t="s">
        <v>30674</v>
      </c>
      <c r="L2427" t="s">
        <v>565</v>
      </c>
      <c r="M2427" t="s">
        <v>771</v>
      </c>
    </row>
    <row r="2428" spans="1:13" x14ac:dyDescent="0.25">
      <c r="A2428" t="s">
        <v>17999</v>
      </c>
      <c r="B2428" t="s">
        <v>101</v>
      </c>
      <c r="C2428" t="s">
        <v>16588</v>
      </c>
      <c r="D2428" t="s">
        <v>18000</v>
      </c>
      <c r="E2428" t="s">
        <v>3563</v>
      </c>
      <c r="F2428" t="s">
        <v>2947</v>
      </c>
      <c r="G2428" t="s">
        <v>18001</v>
      </c>
      <c r="H2428" t="s">
        <v>7612</v>
      </c>
      <c r="I2428" t="s">
        <v>19</v>
      </c>
      <c r="J2428" s="3" t="s">
        <v>18002</v>
      </c>
      <c r="K2428" t="s">
        <v>18003</v>
      </c>
      <c r="L2428" t="s">
        <v>18004</v>
      </c>
      <c r="M2428" t="s">
        <v>771</v>
      </c>
    </row>
    <row r="2429" spans="1:13" x14ac:dyDescent="0.25">
      <c r="A2429" t="s">
        <v>14127</v>
      </c>
      <c r="B2429" t="s">
        <v>13</v>
      </c>
      <c r="C2429" t="s">
        <v>10297</v>
      </c>
      <c r="D2429" t="s">
        <v>14128</v>
      </c>
      <c r="E2429" t="s">
        <v>3563</v>
      </c>
      <c r="F2429" t="s">
        <v>2947</v>
      </c>
      <c r="G2429" t="s">
        <v>5863</v>
      </c>
      <c r="H2429" t="s">
        <v>299</v>
      </c>
      <c r="I2429" t="s">
        <v>19</v>
      </c>
      <c r="J2429" s="3" t="s">
        <v>14129</v>
      </c>
      <c r="K2429" t="s">
        <v>5865</v>
      </c>
      <c r="L2429" t="s">
        <v>13988</v>
      </c>
      <c r="M2429" t="s">
        <v>771</v>
      </c>
    </row>
    <row r="2430" spans="1:13" x14ac:dyDescent="0.25">
      <c r="A2430" t="s">
        <v>1447</v>
      </c>
      <c r="B2430" t="s">
        <v>13</v>
      </c>
      <c r="C2430" s="1">
        <v>44631</v>
      </c>
      <c r="D2430" t="s">
        <v>1448</v>
      </c>
      <c r="E2430" t="s">
        <v>1449</v>
      </c>
      <c r="F2430" t="s">
        <v>345</v>
      </c>
      <c r="G2430" t="s">
        <v>1450</v>
      </c>
      <c r="H2430" t="s">
        <v>36</v>
      </c>
      <c r="I2430" t="s">
        <v>19</v>
      </c>
      <c r="J2430" s="3">
        <v>551155764430</v>
      </c>
      <c r="K2430" t="s">
        <v>1451</v>
      </c>
      <c r="L2430" t="s">
        <v>439</v>
      </c>
      <c r="M2430" t="s">
        <v>771</v>
      </c>
    </row>
    <row r="2431" spans="1:13" x14ac:dyDescent="0.25">
      <c r="A2431" t="s">
        <v>21462</v>
      </c>
      <c r="B2431" t="s">
        <v>13</v>
      </c>
      <c r="C2431" s="1">
        <v>42709</v>
      </c>
      <c r="D2431" t="s">
        <v>21463</v>
      </c>
      <c r="E2431" t="s">
        <v>1449</v>
      </c>
      <c r="F2431" t="s">
        <v>2947</v>
      </c>
      <c r="G2431" t="s">
        <v>21464</v>
      </c>
      <c r="H2431" t="s">
        <v>706</v>
      </c>
      <c r="I2431" t="s">
        <v>19</v>
      </c>
      <c r="J2431" s="3" t="s">
        <v>21465</v>
      </c>
      <c r="K2431" t="s">
        <v>21466</v>
      </c>
      <c r="L2431" t="s">
        <v>565</v>
      </c>
      <c r="M2431" t="s">
        <v>771</v>
      </c>
    </row>
    <row r="2432" spans="1:13" x14ac:dyDescent="0.25">
      <c r="A2432" t="s">
        <v>23080</v>
      </c>
      <c r="B2432" t="s">
        <v>13</v>
      </c>
      <c r="C2432" s="1">
        <v>42927</v>
      </c>
      <c r="D2432" t="s">
        <v>23081</v>
      </c>
      <c r="E2432" t="s">
        <v>3563</v>
      </c>
      <c r="F2432" t="s">
        <v>2947</v>
      </c>
      <c r="G2432" t="s">
        <v>23082</v>
      </c>
      <c r="H2432" t="s">
        <v>105</v>
      </c>
      <c r="I2432" t="s">
        <v>19</v>
      </c>
      <c r="J2432" s="3" t="s">
        <v>23083</v>
      </c>
      <c r="K2432" t="s">
        <v>23084</v>
      </c>
      <c r="L2432" t="s">
        <v>23085</v>
      </c>
      <c r="M2432" t="s">
        <v>771</v>
      </c>
    </row>
    <row r="2433" spans="1:13" x14ac:dyDescent="0.25">
      <c r="A2433" t="s">
        <v>22034</v>
      </c>
      <c r="B2433" t="s">
        <v>13</v>
      </c>
      <c r="C2433" s="1">
        <v>43346</v>
      </c>
      <c r="D2433" t="s">
        <v>22035</v>
      </c>
      <c r="E2433" t="s">
        <v>3563</v>
      </c>
      <c r="F2433" t="s">
        <v>2947</v>
      </c>
      <c r="G2433" t="s">
        <v>22036</v>
      </c>
      <c r="H2433" t="s">
        <v>105</v>
      </c>
      <c r="I2433" t="s">
        <v>19</v>
      </c>
      <c r="J2433" s="3" t="s">
        <v>22037</v>
      </c>
      <c r="K2433" t="s">
        <v>22038</v>
      </c>
      <c r="L2433" t="s">
        <v>108</v>
      </c>
      <c r="M2433" t="s">
        <v>771</v>
      </c>
    </row>
    <row r="2434" spans="1:13" x14ac:dyDescent="0.25">
      <c r="A2434" t="s">
        <v>22039</v>
      </c>
      <c r="B2434" t="s">
        <v>13</v>
      </c>
      <c r="C2434" s="1">
        <v>43346</v>
      </c>
      <c r="D2434" t="s">
        <v>22040</v>
      </c>
      <c r="E2434" t="s">
        <v>3563</v>
      </c>
      <c r="F2434" t="s">
        <v>2947</v>
      </c>
      <c r="G2434" t="s">
        <v>22036</v>
      </c>
      <c r="H2434" t="s">
        <v>105</v>
      </c>
      <c r="I2434" t="s">
        <v>19</v>
      </c>
      <c r="J2434" s="3" t="s">
        <v>22037</v>
      </c>
      <c r="K2434" t="s">
        <v>22038</v>
      </c>
      <c r="L2434" t="s">
        <v>108</v>
      </c>
      <c r="M2434" t="s">
        <v>771</v>
      </c>
    </row>
    <row r="2435" spans="1:13" x14ac:dyDescent="0.25">
      <c r="A2435" t="s">
        <v>23879</v>
      </c>
      <c r="B2435" t="s">
        <v>13</v>
      </c>
      <c r="C2435" s="1">
        <v>42774</v>
      </c>
      <c r="D2435" t="s">
        <v>23880</v>
      </c>
      <c r="E2435" t="s">
        <v>3563</v>
      </c>
      <c r="F2435" t="s">
        <v>2947</v>
      </c>
      <c r="G2435" t="s">
        <v>23881</v>
      </c>
      <c r="H2435" t="s">
        <v>798</v>
      </c>
      <c r="I2435" t="s">
        <v>19</v>
      </c>
      <c r="J2435" s="3" t="s">
        <v>23882</v>
      </c>
      <c r="K2435" t="s">
        <v>23883</v>
      </c>
      <c r="L2435" t="s">
        <v>23884</v>
      </c>
      <c r="M2435" t="s">
        <v>771</v>
      </c>
    </row>
    <row r="2436" spans="1:13" x14ac:dyDescent="0.25">
      <c r="A2436" t="s">
        <v>25429</v>
      </c>
      <c r="B2436" t="s">
        <v>13</v>
      </c>
      <c r="C2436" t="s">
        <v>25410</v>
      </c>
      <c r="D2436" t="s">
        <v>25430</v>
      </c>
      <c r="E2436" t="s">
        <v>3563</v>
      </c>
      <c r="F2436" t="s">
        <v>2947</v>
      </c>
      <c r="G2436" t="s">
        <v>5500</v>
      </c>
      <c r="H2436" t="s">
        <v>1090</v>
      </c>
      <c r="I2436" t="s">
        <v>19</v>
      </c>
      <c r="J2436" s="3" t="s">
        <v>25431</v>
      </c>
      <c r="K2436" t="s">
        <v>25432</v>
      </c>
      <c r="L2436" t="s">
        <v>1092</v>
      </c>
      <c r="M2436" t="s">
        <v>771</v>
      </c>
    </row>
    <row r="2437" spans="1:13" x14ac:dyDescent="0.25">
      <c r="A2437" t="s">
        <v>28612</v>
      </c>
      <c r="B2437" t="s">
        <v>13</v>
      </c>
      <c r="C2437" s="1">
        <v>42279</v>
      </c>
      <c r="D2437" t="s">
        <v>28613</v>
      </c>
      <c r="E2437" t="s">
        <v>26412</v>
      </c>
      <c r="F2437" t="s">
        <v>2947</v>
      </c>
      <c r="G2437" t="s">
        <v>28614</v>
      </c>
      <c r="H2437" t="s">
        <v>2564</v>
      </c>
      <c r="I2437" t="s">
        <v>19</v>
      </c>
      <c r="J2437" s="3" t="s">
        <v>28615</v>
      </c>
      <c r="K2437" t="s">
        <v>28616</v>
      </c>
      <c r="L2437" t="s">
        <v>439</v>
      </c>
      <c r="M2437" t="s">
        <v>771</v>
      </c>
    </row>
    <row r="2438" spans="1:13" x14ac:dyDescent="0.25">
      <c r="A2438" t="s">
        <v>21953</v>
      </c>
      <c r="B2438" t="s">
        <v>13</v>
      </c>
      <c r="C2438" s="1">
        <v>43347</v>
      </c>
      <c r="D2438" t="s">
        <v>21954</v>
      </c>
      <c r="E2438" t="s">
        <v>1449</v>
      </c>
      <c r="F2438" t="s">
        <v>2947</v>
      </c>
      <c r="G2438" t="s">
        <v>21955</v>
      </c>
      <c r="H2438" t="s">
        <v>21956</v>
      </c>
      <c r="I2438" t="s">
        <v>19</v>
      </c>
      <c r="J2438" s="3" t="s">
        <v>21957</v>
      </c>
      <c r="K2438" t="s">
        <v>21958</v>
      </c>
      <c r="L2438" t="s">
        <v>21959</v>
      </c>
      <c r="M2438" t="s">
        <v>771</v>
      </c>
    </row>
    <row r="2439" spans="1:13" x14ac:dyDescent="0.25">
      <c r="A2439" t="s">
        <v>26463</v>
      </c>
      <c r="B2439" t="s">
        <v>13</v>
      </c>
      <c r="C2439" t="s">
        <v>26446</v>
      </c>
      <c r="D2439" t="s">
        <v>26464</v>
      </c>
      <c r="E2439" t="s">
        <v>3563</v>
      </c>
      <c r="F2439" t="s">
        <v>2947</v>
      </c>
      <c r="G2439" t="s">
        <v>23014</v>
      </c>
      <c r="H2439" t="s">
        <v>105</v>
      </c>
      <c r="I2439" t="s">
        <v>19</v>
      </c>
      <c r="J2439" s="3" t="s">
        <v>23015</v>
      </c>
      <c r="K2439" t="s">
        <v>23016</v>
      </c>
      <c r="L2439" t="s">
        <v>108</v>
      </c>
      <c r="M2439" t="s">
        <v>771</v>
      </c>
    </row>
    <row r="2440" spans="1:13" x14ac:dyDescent="0.25">
      <c r="A2440" t="s">
        <v>24310</v>
      </c>
      <c r="B2440" t="s">
        <v>13</v>
      </c>
      <c r="C2440" s="1">
        <v>43044</v>
      </c>
      <c r="D2440" t="s">
        <v>24311</v>
      </c>
      <c r="E2440" t="s">
        <v>3563</v>
      </c>
      <c r="F2440" t="s">
        <v>2947</v>
      </c>
      <c r="G2440" t="s">
        <v>24312</v>
      </c>
      <c r="H2440" t="s">
        <v>105</v>
      </c>
      <c r="I2440" t="s">
        <v>19</v>
      </c>
      <c r="J2440" s="3" t="s">
        <v>24313</v>
      </c>
      <c r="K2440" t="s">
        <v>24314</v>
      </c>
      <c r="L2440" t="s">
        <v>4345</v>
      </c>
      <c r="M2440" t="s">
        <v>771</v>
      </c>
    </row>
    <row r="2441" spans="1:13" x14ac:dyDescent="0.25">
      <c r="A2441" t="s">
        <v>24483</v>
      </c>
      <c r="B2441" t="s">
        <v>13</v>
      </c>
      <c r="C2441" t="s">
        <v>22001</v>
      </c>
      <c r="D2441" t="s">
        <v>24484</v>
      </c>
      <c r="E2441" t="s">
        <v>3563</v>
      </c>
      <c r="F2441" t="s">
        <v>2947</v>
      </c>
      <c r="G2441" t="s">
        <v>24485</v>
      </c>
      <c r="H2441" t="s">
        <v>352</v>
      </c>
      <c r="I2441" t="s">
        <v>19</v>
      </c>
      <c r="J2441" s="3">
        <v>5521981512741</v>
      </c>
      <c r="K2441" t="s">
        <v>24486</v>
      </c>
      <c r="L2441" t="s">
        <v>24487</v>
      </c>
      <c r="M2441" t="s">
        <v>771</v>
      </c>
    </row>
    <row r="2442" spans="1:13" x14ac:dyDescent="0.25">
      <c r="A2442" t="s">
        <v>23703</v>
      </c>
      <c r="B2442" t="s">
        <v>13</v>
      </c>
      <c r="C2442" t="s">
        <v>23692</v>
      </c>
      <c r="D2442" t="s">
        <v>23704</v>
      </c>
      <c r="E2442" t="s">
        <v>3563</v>
      </c>
      <c r="F2442" t="s">
        <v>2947</v>
      </c>
      <c r="G2442" t="s">
        <v>23705</v>
      </c>
      <c r="H2442" t="s">
        <v>36</v>
      </c>
      <c r="I2442" t="s">
        <v>19</v>
      </c>
      <c r="J2442" s="3">
        <v>5511976323142</v>
      </c>
      <c r="K2442" t="s">
        <v>23706</v>
      </c>
      <c r="L2442" t="s">
        <v>21134</v>
      </c>
      <c r="M2442" t="s">
        <v>771</v>
      </c>
    </row>
    <row r="2443" spans="1:13" x14ac:dyDescent="0.25">
      <c r="A2443" t="s">
        <v>29404</v>
      </c>
      <c r="B2443" t="s">
        <v>13</v>
      </c>
      <c r="C2443" s="1">
        <v>41314</v>
      </c>
      <c r="D2443" t="s">
        <v>29405</v>
      </c>
      <c r="E2443" t="s">
        <v>3563</v>
      </c>
      <c r="F2443" t="s">
        <v>2947</v>
      </c>
      <c r="G2443" t="s">
        <v>29406</v>
      </c>
      <c r="H2443" t="s">
        <v>428</v>
      </c>
      <c r="I2443" t="s">
        <v>19</v>
      </c>
      <c r="J2443" s="3">
        <v>99922645</v>
      </c>
      <c r="K2443" t="s">
        <v>29407</v>
      </c>
      <c r="L2443" t="s">
        <v>29408</v>
      </c>
      <c r="M2443" t="s">
        <v>771</v>
      </c>
    </row>
    <row r="2444" spans="1:13" x14ac:dyDescent="0.25">
      <c r="A2444" t="s">
        <v>7644</v>
      </c>
      <c r="B2444" t="s">
        <v>13</v>
      </c>
      <c r="C2444" t="s">
        <v>7645</v>
      </c>
      <c r="D2444" t="s">
        <v>7646</v>
      </c>
      <c r="E2444" t="s">
        <v>3563</v>
      </c>
      <c r="F2444" t="s">
        <v>2947</v>
      </c>
      <c r="G2444" t="s">
        <v>7647</v>
      </c>
      <c r="H2444" t="s">
        <v>798</v>
      </c>
      <c r="I2444" t="s">
        <v>19</v>
      </c>
      <c r="J2444" s="3">
        <f>55 - 61 - 981907111</f>
        <v>-981907117</v>
      </c>
      <c r="K2444" t="s">
        <v>7648</v>
      </c>
      <c r="L2444" t="s">
        <v>7649</v>
      </c>
      <c r="M2444" t="s">
        <v>771</v>
      </c>
    </row>
    <row r="2445" spans="1:13" x14ac:dyDescent="0.25">
      <c r="A2445" t="s">
        <v>16065</v>
      </c>
      <c r="B2445" t="s">
        <v>13</v>
      </c>
      <c r="C2445" t="s">
        <v>7263</v>
      </c>
      <c r="D2445" t="s">
        <v>16066</v>
      </c>
      <c r="E2445" t="s">
        <v>1449</v>
      </c>
      <c r="F2445" t="s">
        <v>2947</v>
      </c>
      <c r="G2445" t="s">
        <v>79</v>
      </c>
      <c r="H2445" t="s">
        <v>3618</v>
      </c>
      <c r="I2445" t="s">
        <v>19</v>
      </c>
      <c r="J2445" s="3">
        <f>55-7931947144</f>
        <v>-7931947089</v>
      </c>
      <c r="K2445" t="s">
        <v>16067</v>
      </c>
      <c r="L2445" t="s">
        <v>82</v>
      </c>
      <c r="M2445" t="s">
        <v>771</v>
      </c>
    </row>
    <row r="2446" spans="1:13" x14ac:dyDescent="0.25">
      <c r="A2446" t="s">
        <v>23012</v>
      </c>
      <c r="B2446" t="s">
        <v>13</v>
      </c>
      <c r="C2446" t="s">
        <v>23008</v>
      </c>
      <c r="D2446" t="s">
        <v>23013</v>
      </c>
      <c r="E2446" t="s">
        <v>3563</v>
      </c>
      <c r="F2446" t="s">
        <v>771</v>
      </c>
      <c r="G2446" t="s">
        <v>23014</v>
      </c>
      <c r="H2446" t="s">
        <v>105</v>
      </c>
      <c r="I2446" t="s">
        <v>19</v>
      </c>
      <c r="J2446" s="3" t="s">
        <v>23015</v>
      </c>
      <c r="K2446" t="s">
        <v>23016</v>
      </c>
      <c r="L2446" t="s">
        <v>108</v>
      </c>
      <c r="M2446" t="s">
        <v>771</v>
      </c>
    </row>
    <row r="2447" spans="1:13" x14ac:dyDescent="0.25">
      <c r="A2447" t="s">
        <v>16445</v>
      </c>
      <c r="B2447" t="s">
        <v>13</v>
      </c>
      <c r="C2447" t="s">
        <v>16436</v>
      </c>
      <c r="D2447" t="s">
        <v>16446</v>
      </c>
      <c r="E2447" t="s">
        <v>3563</v>
      </c>
      <c r="F2447" t="s">
        <v>771</v>
      </c>
      <c r="G2447" t="s">
        <v>16447</v>
      </c>
      <c r="H2447" t="s">
        <v>2215</v>
      </c>
      <c r="I2447" t="s">
        <v>19</v>
      </c>
      <c r="J2447" s="3">
        <v>5549988365937</v>
      </c>
      <c r="K2447" t="s">
        <v>16448</v>
      </c>
      <c r="L2447" t="s">
        <v>9001</v>
      </c>
      <c r="M2447" t="s">
        <v>771</v>
      </c>
    </row>
    <row r="2448" spans="1:13" x14ac:dyDescent="0.25">
      <c r="A2448" t="s">
        <v>16702</v>
      </c>
      <c r="B2448" t="s">
        <v>13</v>
      </c>
      <c r="C2448" t="s">
        <v>16675</v>
      </c>
      <c r="D2448" t="s">
        <v>16703</v>
      </c>
      <c r="E2448" t="s">
        <v>1449</v>
      </c>
      <c r="F2448" t="s">
        <v>771</v>
      </c>
      <c r="G2448" t="s">
        <v>16704</v>
      </c>
      <c r="H2448" t="s">
        <v>428</v>
      </c>
      <c r="I2448" t="s">
        <v>19</v>
      </c>
      <c r="J2448" s="3">
        <v>5551992574707</v>
      </c>
      <c r="K2448" t="s">
        <v>16705</v>
      </c>
      <c r="L2448" t="s">
        <v>1269</v>
      </c>
      <c r="M2448" t="s">
        <v>771</v>
      </c>
    </row>
    <row r="2449" spans="1:13" x14ac:dyDescent="0.25">
      <c r="A2449" t="s">
        <v>18605</v>
      </c>
      <c r="B2449" t="s">
        <v>13</v>
      </c>
      <c r="C2449" s="1">
        <v>43525</v>
      </c>
      <c r="D2449" t="s">
        <v>18606</v>
      </c>
      <c r="E2449" t="s">
        <v>3563</v>
      </c>
      <c r="F2449" t="s">
        <v>1464</v>
      </c>
      <c r="G2449" t="s">
        <v>14354</v>
      </c>
      <c r="H2449" t="s">
        <v>517</v>
      </c>
      <c r="I2449" t="s">
        <v>19</v>
      </c>
      <c r="J2449" s="3" t="s">
        <v>14355</v>
      </c>
      <c r="K2449" t="s">
        <v>14356</v>
      </c>
      <c r="L2449" t="s">
        <v>4246</v>
      </c>
      <c r="M2449" t="s">
        <v>771</v>
      </c>
    </row>
    <row r="2450" spans="1:13" x14ac:dyDescent="0.25">
      <c r="A2450" t="s">
        <v>29028</v>
      </c>
      <c r="B2450" t="s">
        <v>13</v>
      </c>
      <c r="C2450" s="1">
        <v>41889</v>
      </c>
      <c r="D2450" t="s">
        <v>29029</v>
      </c>
      <c r="E2450" t="s">
        <v>1449</v>
      </c>
      <c r="F2450" t="s">
        <v>1464</v>
      </c>
      <c r="G2450" t="s">
        <v>29030</v>
      </c>
      <c r="H2450" t="s">
        <v>36</v>
      </c>
      <c r="I2450" t="s">
        <v>19</v>
      </c>
      <c r="J2450" s="3">
        <v>551130617504</v>
      </c>
      <c r="K2450" t="s">
        <v>29031</v>
      </c>
      <c r="L2450" t="s">
        <v>9723</v>
      </c>
      <c r="M2450" t="s">
        <v>771</v>
      </c>
    </row>
    <row r="2451" spans="1:13" x14ac:dyDescent="0.25">
      <c r="A2451" t="s">
        <v>9806</v>
      </c>
      <c r="B2451" t="s">
        <v>13</v>
      </c>
      <c r="C2451" t="s">
        <v>9807</v>
      </c>
      <c r="D2451" t="s">
        <v>9808</v>
      </c>
      <c r="E2451" t="s">
        <v>1449</v>
      </c>
      <c r="F2451" t="s">
        <v>1464</v>
      </c>
      <c r="G2451" t="s">
        <v>9809</v>
      </c>
      <c r="H2451" t="s">
        <v>7504</v>
      </c>
      <c r="I2451" t="s">
        <v>19</v>
      </c>
      <c r="J2451" s="3">
        <f>55-61-999481115</f>
        <v>-999481121</v>
      </c>
      <c r="K2451" t="s">
        <v>9810</v>
      </c>
      <c r="L2451" t="s">
        <v>4378</v>
      </c>
      <c r="M2451" t="s">
        <v>771</v>
      </c>
    </row>
    <row r="2452" spans="1:13" x14ac:dyDescent="0.25">
      <c r="A2452" t="s">
        <v>11772</v>
      </c>
      <c r="B2452" t="s">
        <v>13</v>
      </c>
      <c r="C2452" t="s">
        <v>5698</v>
      </c>
      <c r="D2452" t="s">
        <v>11773</v>
      </c>
      <c r="E2452" s="2" t="s">
        <v>31024</v>
      </c>
      <c r="F2452" t="s">
        <v>2947</v>
      </c>
      <c r="G2452" t="s">
        <v>11774</v>
      </c>
      <c r="H2452" t="s">
        <v>352</v>
      </c>
      <c r="I2452" t="s">
        <v>19</v>
      </c>
      <c r="J2452" s="3">
        <f>55-21-1979599077</f>
        <v>-1979599043</v>
      </c>
      <c r="K2452" t="s">
        <v>11150</v>
      </c>
      <c r="L2452" t="s">
        <v>1232</v>
      </c>
      <c r="M2452" t="s">
        <v>771</v>
      </c>
    </row>
    <row r="2453" spans="1:13" x14ac:dyDescent="0.25">
      <c r="A2453" t="s">
        <v>4451</v>
      </c>
      <c r="B2453" t="s">
        <v>13</v>
      </c>
      <c r="C2453" s="1">
        <v>44745</v>
      </c>
      <c r="D2453" t="s">
        <v>4452</v>
      </c>
      <c r="E2453" s="2" t="s">
        <v>31733</v>
      </c>
      <c r="F2453" t="s">
        <v>4453</v>
      </c>
      <c r="G2453" t="s">
        <v>4454</v>
      </c>
      <c r="H2453" t="s">
        <v>36</v>
      </c>
      <c r="I2453" t="s">
        <v>19</v>
      </c>
      <c r="J2453" s="3" t="s">
        <v>4455</v>
      </c>
      <c r="K2453" t="s">
        <v>4456</v>
      </c>
      <c r="L2453" t="s">
        <v>4457</v>
      </c>
      <c r="M2453" t="s">
        <v>771</v>
      </c>
    </row>
    <row r="2454" spans="1:13" x14ac:dyDescent="0.25">
      <c r="A2454" t="s">
        <v>16038</v>
      </c>
      <c r="B2454" t="s">
        <v>13</v>
      </c>
      <c r="C2454" t="s">
        <v>6274</v>
      </c>
      <c r="D2454" t="s">
        <v>16039</v>
      </c>
      <c r="E2454" s="2" t="s">
        <v>31873</v>
      </c>
      <c r="F2454" t="s">
        <v>2947</v>
      </c>
      <c r="G2454" t="s">
        <v>16040</v>
      </c>
      <c r="H2454" t="s">
        <v>105</v>
      </c>
      <c r="I2454" t="s">
        <v>19</v>
      </c>
      <c r="J2454" s="3">
        <v>55021998071017</v>
      </c>
      <c r="K2454" t="s">
        <v>16041</v>
      </c>
      <c r="L2454" t="s">
        <v>8482</v>
      </c>
      <c r="M2454" t="s">
        <v>771</v>
      </c>
    </row>
    <row r="2455" spans="1:13" x14ac:dyDescent="0.25">
      <c r="A2455" t="s">
        <v>21050</v>
      </c>
      <c r="B2455" t="s">
        <v>13</v>
      </c>
      <c r="C2455" t="s">
        <v>21028</v>
      </c>
      <c r="D2455" t="s">
        <v>21051</v>
      </c>
      <c r="E2455" s="2" t="s">
        <v>31695</v>
      </c>
      <c r="F2455" t="s">
        <v>2947</v>
      </c>
      <c r="G2455" t="s">
        <v>21052</v>
      </c>
      <c r="H2455" t="s">
        <v>936</v>
      </c>
      <c r="I2455" t="s">
        <v>19</v>
      </c>
      <c r="J2455" s="3">
        <v>5571991176969</v>
      </c>
      <c r="K2455" t="s">
        <v>21053</v>
      </c>
      <c r="L2455" t="s">
        <v>9443</v>
      </c>
      <c r="M2455" t="s">
        <v>771</v>
      </c>
    </row>
    <row r="2456" spans="1:13" x14ac:dyDescent="0.25">
      <c r="A2456" t="s">
        <v>30548</v>
      </c>
      <c r="B2456" t="s">
        <v>13</v>
      </c>
      <c r="C2456" t="s">
        <v>30527</v>
      </c>
      <c r="D2456" t="s">
        <v>30549</v>
      </c>
      <c r="E2456" t="s">
        <v>30550</v>
      </c>
      <c r="F2456" t="s">
        <v>2947</v>
      </c>
      <c r="G2456" t="s">
        <v>30551</v>
      </c>
      <c r="H2456" t="s">
        <v>352</v>
      </c>
      <c r="I2456" t="s">
        <v>19</v>
      </c>
      <c r="J2456" s="3" t="s">
        <v>30552</v>
      </c>
      <c r="K2456" t="s">
        <v>30553</v>
      </c>
      <c r="L2456" t="s">
        <v>9948</v>
      </c>
      <c r="M2456" t="s">
        <v>771</v>
      </c>
    </row>
    <row r="2457" spans="1:13" x14ac:dyDescent="0.25">
      <c r="A2457" t="s">
        <v>10985</v>
      </c>
      <c r="B2457" t="s">
        <v>13</v>
      </c>
      <c r="C2457" t="s">
        <v>10981</v>
      </c>
      <c r="D2457" t="s">
        <v>10986</v>
      </c>
      <c r="E2457" s="2" t="s">
        <v>31691</v>
      </c>
      <c r="F2457" t="s">
        <v>1464</v>
      </c>
      <c r="G2457" t="s">
        <v>10987</v>
      </c>
      <c r="H2457" t="s">
        <v>936</v>
      </c>
      <c r="I2457" t="s">
        <v>19</v>
      </c>
      <c r="J2457" s="3">
        <f>55-71-3283-8900</f>
        <v>-12199</v>
      </c>
      <c r="K2457" t="s">
        <v>10988</v>
      </c>
      <c r="L2457" t="s">
        <v>1578</v>
      </c>
      <c r="M2457" t="s">
        <v>741</v>
      </c>
    </row>
    <row r="2458" spans="1:13" x14ac:dyDescent="0.25">
      <c r="A2458" t="s">
        <v>30599</v>
      </c>
      <c r="B2458" t="s">
        <v>13</v>
      </c>
      <c r="C2458" t="s">
        <v>30600</v>
      </c>
      <c r="D2458" t="s">
        <v>30601</v>
      </c>
      <c r="E2458" t="s">
        <v>30602</v>
      </c>
      <c r="F2458" t="s">
        <v>2947</v>
      </c>
      <c r="G2458" t="s">
        <v>21464</v>
      </c>
      <c r="H2458" t="s">
        <v>706</v>
      </c>
      <c r="I2458" t="s">
        <v>19</v>
      </c>
      <c r="J2458" s="3" t="s">
        <v>30603</v>
      </c>
      <c r="K2458" t="s">
        <v>30604</v>
      </c>
      <c r="L2458" t="s">
        <v>30605</v>
      </c>
      <c r="M2458" t="s">
        <v>771</v>
      </c>
    </row>
    <row r="2459" spans="1:13" x14ac:dyDescent="0.25">
      <c r="A2459" t="s">
        <v>14920</v>
      </c>
      <c r="B2459" t="s">
        <v>13</v>
      </c>
      <c r="C2459" t="s">
        <v>10506</v>
      </c>
      <c r="D2459" t="s">
        <v>14921</v>
      </c>
      <c r="E2459" s="2" t="s">
        <v>31113</v>
      </c>
      <c r="F2459" t="s">
        <v>771</v>
      </c>
      <c r="G2459" t="s">
        <v>14922</v>
      </c>
      <c r="H2459" t="s">
        <v>753</v>
      </c>
      <c r="I2459" t="s">
        <v>19</v>
      </c>
      <c r="J2459" s="3" t="s">
        <v>14923</v>
      </c>
      <c r="K2459" t="s">
        <v>14924</v>
      </c>
      <c r="L2459" t="s">
        <v>14925</v>
      </c>
      <c r="M2459" t="s">
        <v>771</v>
      </c>
    </row>
    <row r="2460" spans="1:13" x14ac:dyDescent="0.25">
      <c r="A2460" t="s">
        <v>12836</v>
      </c>
      <c r="B2460" t="s">
        <v>13</v>
      </c>
      <c r="C2460" t="s">
        <v>12816</v>
      </c>
      <c r="D2460" t="s">
        <v>12837</v>
      </c>
      <c r="E2460" s="2" t="s">
        <v>31055</v>
      </c>
      <c r="F2460" t="s">
        <v>2947</v>
      </c>
      <c r="G2460" t="s">
        <v>12838</v>
      </c>
      <c r="H2460" t="s">
        <v>18</v>
      </c>
      <c r="I2460" t="s">
        <v>19</v>
      </c>
      <c r="J2460" s="3">
        <f>55-19-997906048</f>
        <v>-997906012</v>
      </c>
      <c r="K2460" t="s">
        <v>12839</v>
      </c>
      <c r="L2460" t="s">
        <v>12840</v>
      </c>
      <c r="M2460" t="s">
        <v>771</v>
      </c>
    </row>
    <row r="2461" spans="1:13" x14ac:dyDescent="0.25">
      <c r="A2461" t="s">
        <v>26440</v>
      </c>
      <c r="B2461" t="s">
        <v>13</v>
      </c>
      <c r="C2461" t="s">
        <v>26431</v>
      </c>
      <c r="D2461" t="s">
        <v>26441</v>
      </c>
      <c r="E2461" s="2" t="s">
        <v>31345</v>
      </c>
      <c r="F2461" t="s">
        <v>2947</v>
      </c>
      <c r="G2461" t="s">
        <v>26442</v>
      </c>
      <c r="H2461" t="s">
        <v>105</v>
      </c>
      <c r="I2461" t="s">
        <v>19</v>
      </c>
      <c r="J2461" s="3" t="s">
        <v>26443</v>
      </c>
      <c r="K2461" t="s">
        <v>26444</v>
      </c>
      <c r="L2461" t="s">
        <v>108</v>
      </c>
      <c r="M2461" t="s">
        <v>771</v>
      </c>
    </row>
    <row r="2462" spans="1:13" x14ac:dyDescent="0.25">
      <c r="A2462" t="s">
        <v>26285</v>
      </c>
      <c r="B2462" t="s">
        <v>13</v>
      </c>
      <c r="C2462" t="s">
        <v>26021</v>
      </c>
      <c r="D2462" t="s">
        <v>26286</v>
      </c>
      <c r="E2462" t="s">
        <v>26287</v>
      </c>
      <c r="F2462" t="s">
        <v>771</v>
      </c>
      <c r="G2462" t="s">
        <v>25914</v>
      </c>
      <c r="H2462" t="s">
        <v>489</v>
      </c>
      <c r="I2462" t="s">
        <v>19</v>
      </c>
      <c r="J2462" s="3" t="s">
        <v>25915</v>
      </c>
      <c r="K2462" t="s">
        <v>7085</v>
      </c>
      <c r="L2462" t="s">
        <v>25916</v>
      </c>
      <c r="M2462" t="s">
        <v>771</v>
      </c>
    </row>
    <row r="2463" spans="1:13" x14ac:dyDescent="0.25">
      <c r="A2463" t="s">
        <v>26410</v>
      </c>
      <c r="B2463" t="s">
        <v>13</v>
      </c>
      <c r="C2463" t="s">
        <v>26408</v>
      </c>
      <c r="D2463" t="s">
        <v>26411</v>
      </c>
      <c r="E2463" s="2" t="s">
        <v>31578</v>
      </c>
      <c r="F2463" t="s">
        <v>1464</v>
      </c>
      <c r="G2463" t="s">
        <v>26413</v>
      </c>
      <c r="H2463" t="s">
        <v>105</v>
      </c>
      <c r="I2463" t="s">
        <v>19</v>
      </c>
      <c r="J2463" s="3" t="s">
        <v>8480</v>
      </c>
      <c r="K2463" t="s">
        <v>26414</v>
      </c>
      <c r="L2463" t="s">
        <v>11360</v>
      </c>
      <c r="M2463" t="s">
        <v>771</v>
      </c>
    </row>
    <row r="2464" spans="1:13" x14ac:dyDescent="0.25">
      <c r="A2464" t="s">
        <v>22551</v>
      </c>
      <c r="B2464" t="s">
        <v>13</v>
      </c>
      <c r="C2464" t="s">
        <v>22521</v>
      </c>
      <c r="D2464" t="s">
        <v>22552</v>
      </c>
      <c r="E2464" s="2" t="s">
        <v>31312</v>
      </c>
      <c r="F2464" t="s">
        <v>2947</v>
      </c>
      <c r="G2464" t="s">
        <v>22553</v>
      </c>
      <c r="H2464" t="s">
        <v>195</v>
      </c>
      <c r="I2464" t="s">
        <v>19</v>
      </c>
      <c r="J2464" s="3" t="s">
        <v>22554</v>
      </c>
      <c r="K2464" t="s">
        <v>22555</v>
      </c>
      <c r="L2464" t="s">
        <v>197</v>
      </c>
      <c r="M2464" t="s">
        <v>771</v>
      </c>
    </row>
    <row r="2465" spans="1:13" x14ac:dyDescent="0.25">
      <c r="A2465" t="s">
        <v>30178</v>
      </c>
      <c r="B2465" t="s">
        <v>101</v>
      </c>
      <c r="C2465" t="s">
        <v>14184</v>
      </c>
      <c r="D2465" t="s">
        <v>30179</v>
      </c>
      <c r="E2465" t="s">
        <v>32390</v>
      </c>
      <c r="F2465" t="s">
        <v>2947</v>
      </c>
      <c r="G2465" t="s">
        <v>22215</v>
      </c>
      <c r="H2465" t="s">
        <v>36</v>
      </c>
      <c r="I2465" t="s">
        <v>19</v>
      </c>
      <c r="J2465" s="3" t="s">
        <v>29290</v>
      </c>
      <c r="K2465" t="s">
        <v>29291</v>
      </c>
      <c r="L2465" t="s">
        <v>1999</v>
      </c>
      <c r="M2465" t="s">
        <v>771</v>
      </c>
    </row>
    <row r="2466" spans="1:13" x14ac:dyDescent="0.25">
      <c r="A2466" t="s">
        <v>12258</v>
      </c>
      <c r="B2466" t="s">
        <v>13</v>
      </c>
      <c r="C2466" t="s">
        <v>12259</v>
      </c>
      <c r="D2466" t="s">
        <v>12260</v>
      </c>
      <c r="E2466" s="2" t="s">
        <v>31859</v>
      </c>
      <c r="F2466" t="s">
        <v>771</v>
      </c>
      <c r="G2466" t="s">
        <v>12261</v>
      </c>
      <c r="H2466" t="s">
        <v>12262</v>
      </c>
      <c r="I2466" t="s">
        <v>19</v>
      </c>
      <c r="J2466" s="3">
        <f>55-21-997989015</f>
        <v>-997988981</v>
      </c>
      <c r="K2466" t="s">
        <v>12263</v>
      </c>
      <c r="L2466" t="s">
        <v>108</v>
      </c>
      <c r="M2466" t="s">
        <v>32144</v>
      </c>
    </row>
    <row r="2467" spans="1:13" x14ac:dyDescent="0.25">
      <c r="A2467" t="s">
        <v>25219</v>
      </c>
      <c r="B2467" t="s">
        <v>13</v>
      </c>
      <c r="C2467" t="s">
        <v>16691</v>
      </c>
      <c r="D2467" t="s">
        <v>25220</v>
      </c>
      <c r="E2467" t="s">
        <v>25221</v>
      </c>
      <c r="F2467" t="s">
        <v>2947</v>
      </c>
      <c r="G2467" t="s">
        <v>25222</v>
      </c>
      <c r="H2467" t="s">
        <v>352</v>
      </c>
      <c r="I2467" t="s">
        <v>19</v>
      </c>
      <c r="J2467" s="3" t="s">
        <v>25223</v>
      </c>
      <c r="K2467" t="s">
        <v>4590</v>
      </c>
      <c r="L2467" t="s">
        <v>25224</v>
      </c>
      <c r="M2467" t="s">
        <v>771</v>
      </c>
    </row>
    <row r="2468" spans="1:13" x14ac:dyDescent="0.25">
      <c r="A2468" t="s">
        <v>21306</v>
      </c>
      <c r="B2468" t="s">
        <v>13</v>
      </c>
      <c r="C2468" t="s">
        <v>21296</v>
      </c>
      <c r="D2468" t="s">
        <v>21307</v>
      </c>
      <c r="E2468" t="s">
        <v>21308</v>
      </c>
      <c r="F2468" t="s">
        <v>2947</v>
      </c>
      <c r="G2468" t="s">
        <v>21309</v>
      </c>
      <c r="H2468" t="s">
        <v>936</v>
      </c>
      <c r="I2468" t="s">
        <v>19</v>
      </c>
      <c r="J2468" s="3" t="s">
        <v>21310</v>
      </c>
      <c r="K2468" t="s">
        <v>21311</v>
      </c>
      <c r="L2468" t="s">
        <v>9443</v>
      </c>
      <c r="M2468" t="s">
        <v>771</v>
      </c>
    </row>
    <row r="2469" spans="1:13" x14ac:dyDescent="0.25">
      <c r="A2469" t="s">
        <v>12752</v>
      </c>
      <c r="B2469" t="s">
        <v>13</v>
      </c>
      <c r="C2469" t="s">
        <v>12753</v>
      </c>
      <c r="D2469" t="s">
        <v>12754</v>
      </c>
      <c r="E2469" t="s">
        <v>12755</v>
      </c>
      <c r="F2469" t="s">
        <v>2947</v>
      </c>
      <c r="G2469" t="s">
        <v>12756</v>
      </c>
      <c r="H2469" t="s">
        <v>255</v>
      </c>
      <c r="I2469" t="s">
        <v>19</v>
      </c>
      <c r="J2469" s="3">
        <f>55-62-981595962</f>
        <v>-981595969</v>
      </c>
      <c r="K2469" t="s">
        <v>12757</v>
      </c>
      <c r="L2469" t="s">
        <v>2467</v>
      </c>
      <c r="M2469" t="s">
        <v>771</v>
      </c>
    </row>
    <row r="2470" spans="1:13" x14ac:dyDescent="0.25">
      <c r="A2470" t="s">
        <v>15211</v>
      </c>
      <c r="B2470" t="s">
        <v>13</v>
      </c>
      <c r="C2470" t="s">
        <v>303</v>
      </c>
      <c r="D2470" t="s">
        <v>15212</v>
      </c>
      <c r="E2470" s="2" t="s">
        <v>31119</v>
      </c>
      <c r="F2470" t="s">
        <v>1464</v>
      </c>
      <c r="G2470" t="s">
        <v>15213</v>
      </c>
      <c r="H2470" t="s">
        <v>472</v>
      </c>
      <c r="I2470" t="s">
        <v>19</v>
      </c>
      <c r="J2470" s="3">
        <f>55-81-21224100</f>
        <v>-21224126</v>
      </c>
      <c r="K2470" t="s">
        <v>15214</v>
      </c>
      <c r="L2470" t="s">
        <v>15215</v>
      </c>
      <c r="M2470" t="s">
        <v>32121</v>
      </c>
    </row>
    <row r="2471" spans="1:13" x14ac:dyDescent="0.25">
      <c r="A2471" t="s">
        <v>5624</v>
      </c>
      <c r="B2471" t="s">
        <v>13</v>
      </c>
      <c r="C2471" t="s">
        <v>2265</v>
      </c>
      <c r="D2471" t="s">
        <v>32135</v>
      </c>
      <c r="E2471" s="2" t="s">
        <v>30850</v>
      </c>
      <c r="F2471" t="s">
        <v>3608</v>
      </c>
      <c r="G2471" t="s">
        <v>5626</v>
      </c>
      <c r="H2471" t="s">
        <v>615</v>
      </c>
      <c r="I2471" t="s">
        <v>19</v>
      </c>
      <c r="J2471" s="3" t="s">
        <v>5627</v>
      </c>
      <c r="K2471" t="s">
        <v>5628</v>
      </c>
      <c r="L2471" t="s">
        <v>32135</v>
      </c>
      <c r="M2471" t="s">
        <v>1775</v>
      </c>
    </row>
    <row r="2472" spans="1:13" x14ac:dyDescent="0.25">
      <c r="A2472" t="s">
        <v>23293</v>
      </c>
      <c r="B2472" t="s">
        <v>13</v>
      </c>
      <c r="C2472" t="s">
        <v>23294</v>
      </c>
      <c r="D2472" t="s">
        <v>23295</v>
      </c>
      <c r="E2472" t="s">
        <v>23296</v>
      </c>
      <c r="F2472" t="s">
        <v>2947</v>
      </c>
      <c r="G2472" t="s">
        <v>23297</v>
      </c>
      <c r="H2472" t="s">
        <v>352</v>
      </c>
      <c r="I2472" t="s">
        <v>19</v>
      </c>
      <c r="J2472" s="3" t="s">
        <v>23298</v>
      </c>
      <c r="K2472" t="s">
        <v>23299</v>
      </c>
      <c r="L2472" t="s">
        <v>9948</v>
      </c>
      <c r="M2472" t="s">
        <v>771</v>
      </c>
    </row>
    <row r="2473" spans="1:13" x14ac:dyDescent="0.25">
      <c r="A2473" t="s">
        <v>21570</v>
      </c>
      <c r="B2473" t="s">
        <v>13</v>
      </c>
      <c r="C2473" s="1">
        <v>43409</v>
      </c>
      <c r="D2473" t="s">
        <v>21571</v>
      </c>
      <c r="E2473" t="s">
        <v>21572</v>
      </c>
      <c r="F2473" t="s">
        <v>2947</v>
      </c>
      <c r="G2473" t="s">
        <v>21573</v>
      </c>
      <c r="H2473" t="s">
        <v>472</v>
      </c>
      <c r="I2473" t="s">
        <v>19</v>
      </c>
      <c r="J2473" s="3">
        <f>55-81-991891084</f>
        <v>-991891110</v>
      </c>
      <c r="K2473" t="s">
        <v>21574</v>
      </c>
      <c r="L2473" t="s">
        <v>21575</v>
      </c>
      <c r="M2473" t="s">
        <v>771</v>
      </c>
    </row>
    <row r="2474" spans="1:13" x14ac:dyDescent="0.25">
      <c r="A2474" t="s">
        <v>10303</v>
      </c>
      <c r="B2474" t="s">
        <v>101</v>
      </c>
      <c r="C2474" t="s">
        <v>8701</v>
      </c>
      <c r="D2474" t="s">
        <v>10304</v>
      </c>
      <c r="E2474" t="s">
        <v>10305</v>
      </c>
      <c r="F2474" t="s">
        <v>2947</v>
      </c>
      <c r="G2474" t="s">
        <v>10306</v>
      </c>
      <c r="H2474" t="s">
        <v>472</v>
      </c>
      <c r="I2474" t="s">
        <v>19</v>
      </c>
      <c r="J2474" s="3" t="s">
        <v>10307</v>
      </c>
      <c r="K2474" t="s">
        <v>10308</v>
      </c>
      <c r="L2474" t="s">
        <v>2101</v>
      </c>
      <c r="M2474" t="s">
        <v>771</v>
      </c>
    </row>
    <row r="2475" spans="1:13" x14ac:dyDescent="0.25">
      <c r="A2475" t="s">
        <v>1148</v>
      </c>
      <c r="B2475" t="s">
        <v>13</v>
      </c>
      <c r="C2475" t="s">
        <v>1149</v>
      </c>
      <c r="D2475" t="s">
        <v>1150</v>
      </c>
      <c r="E2475" s="2" t="s">
        <v>31720</v>
      </c>
      <c r="F2475" t="s">
        <v>1152</v>
      </c>
      <c r="G2475" t="s">
        <v>1153</v>
      </c>
      <c r="H2475" t="s">
        <v>893</v>
      </c>
      <c r="I2475" t="s">
        <v>19</v>
      </c>
      <c r="J2475" s="3" t="s">
        <v>1154</v>
      </c>
      <c r="K2475" t="s">
        <v>1155</v>
      </c>
      <c r="L2475" t="s">
        <v>1156</v>
      </c>
      <c r="M2475" t="s">
        <v>771</v>
      </c>
    </row>
    <row r="2476" spans="1:13" x14ac:dyDescent="0.25">
      <c r="A2476" t="s">
        <v>7945</v>
      </c>
      <c r="B2476" t="s">
        <v>13</v>
      </c>
      <c r="C2476" t="s">
        <v>7941</v>
      </c>
      <c r="D2476" t="s">
        <v>32135</v>
      </c>
      <c r="E2476" s="2" t="s">
        <v>31610</v>
      </c>
      <c r="F2476" t="s">
        <v>6302</v>
      </c>
      <c r="G2476" t="s">
        <v>7946</v>
      </c>
      <c r="H2476" t="s">
        <v>428</v>
      </c>
      <c r="I2476" t="s">
        <v>19</v>
      </c>
      <c r="J2476" s="3" t="s">
        <v>7947</v>
      </c>
      <c r="K2476" t="s">
        <v>7948</v>
      </c>
      <c r="L2476" t="s">
        <v>32135</v>
      </c>
      <c r="M2476" t="s">
        <v>337</v>
      </c>
    </row>
    <row r="2477" spans="1:13" x14ac:dyDescent="0.25">
      <c r="A2477" t="s">
        <v>16977</v>
      </c>
      <c r="B2477" t="s">
        <v>13</v>
      </c>
      <c r="C2477" t="s">
        <v>16959</v>
      </c>
      <c r="D2477" t="s">
        <v>16978</v>
      </c>
      <c r="E2477" t="s">
        <v>16979</v>
      </c>
      <c r="F2477" t="s">
        <v>1464</v>
      </c>
      <c r="G2477" t="s">
        <v>16980</v>
      </c>
      <c r="H2477" t="s">
        <v>1027</v>
      </c>
      <c r="I2477" t="s">
        <v>19</v>
      </c>
      <c r="J2477" s="3" t="s">
        <v>16981</v>
      </c>
      <c r="K2477" t="s">
        <v>16982</v>
      </c>
      <c r="L2477" t="s">
        <v>16983</v>
      </c>
      <c r="M2477" t="s">
        <v>337</v>
      </c>
    </row>
    <row r="2478" spans="1:13" x14ac:dyDescent="0.25">
      <c r="A2478" t="s">
        <v>3218</v>
      </c>
      <c r="B2478" t="s">
        <v>13</v>
      </c>
      <c r="C2478" t="s">
        <v>3199</v>
      </c>
      <c r="D2478" t="s">
        <v>3219</v>
      </c>
      <c r="E2478" t="s">
        <v>3220</v>
      </c>
      <c r="F2478" t="s">
        <v>2233</v>
      </c>
      <c r="G2478" t="s">
        <v>3221</v>
      </c>
      <c r="H2478" t="s">
        <v>3222</v>
      </c>
      <c r="I2478" t="s">
        <v>19</v>
      </c>
      <c r="J2478" s="3" t="s">
        <v>3223</v>
      </c>
      <c r="K2478" t="s">
        <v>3224</v>
      </c>
      <c r="L2478" t="s">
        <v>3225</v>
      </c>
      <c r="M2478" t="s">
        <v>1775</v>
      </c>
    </row>
    <row r="2479" spans="1:13" x14ac:dyDescent="0.25">
      <c r="A2479" t="s">
        <v>1386</v>
      </c>
      <c r="B2479" t="s">
        <v>13</v>
      </c>
      <c r="C2479" t="s">
        <v>1387</v>
      </c>
      <c r="D2479" t="s">
        <v>1388</v>
      </c>
      <c r="E2479" t="s">
        <v>32391</v>
      </c>
      <c r="F2479" t="s">
        <v>1122</v>
      </c>
      <c r="G2479" t="s">
        <v>1389</v>
      </c>
      <c r="H2479" t="s">
        <v>409</v>
      </c>
      <c r="I2479" t="s">
        <v>19</v>
      </c>
      <c r="J2479" s="3" t="s">
        <v>1390</v>
      </c>
      <c r="K2479" t="s">
        <v>1391</v>
      </c>
      <c r="L2479" t="s">
        <v>1392</v>
      </c>
      <c r="M2479" t="s">
        <v>1349</v>
      </c>
    </row>
    <row r="2480" spans="1:13" x14ac:dyDescent="0.25">
      <c r="A2480" t="s">
        <v>27612</v>
      </c>
      <c r="B2480" t="s">
        <v>13</v>
      </c>
      <c r="C2480" t="s">
        <v>27591</v>
      </c>
      <c r="D2480" t="s">
        <v>27613</v>
      </c>
      <c r="E2480" t="s">
        <v>27614</v>
      </c>
      <c r="F2480" t="s">
        <v>1349</v>
      </c>
      <c r="G2480" t="s">
        <v>27615</v>
      </c>
      <c r="H2480" t="s">
        <v>409</v>
      </c>
      <c r="I2480" t="s">
        <v>19</v>
      </c>
      <c r="J2480" s="3" t="s">
        <v>27616</v>
      </c>
      <c r="K2480" t="s">
        <v>27617</v>
      </c>
      <c r="L2480" t="s">
        <v>412</v>
      </c>
      <c r="M2480" t="s">
        <v>1349</v>
      </c>
    </row>
    <row r="2481" spans="1:13" x14ac:dyDescent="0.25">
      <c r="A2481" t="s">
        <v>17662</v>
      </c>
      <c r="B2481" t="s">
        <v>13</v>
      </c>
      <c r="C2481" t="s">
        <v>16631</v>
      </c>
      <c r="D2481" t="s">
        <v>17663</v>
      </c>
      <c r="E2481" t="s">
        <v>14364</v>
      </c>
      <c r="F2481" t="s">
        <v>1129</v>
      </c>
      <c r="G2481" t="s">
        <v>17664</v>
      </c>
      <c r="H2481" t="s">
        <v>409</v>
      </c>
      <c r="I2481" t="s">
        <v>19</v>
      </c>
      <c r="J2481" s="3">
        <f>55-48-36648609</f>
        <v>-36648602</v>
      </c>
      <c r="K2481" t="s">
        <v>17665</v>
      </c>
      <c r="L2481" t="s">
        <v>1823</v>
      </c>
      <c r="M2481" t="s">
        <v>224</v>
      </c>
    </row>
    <row r="2482" spans="1:13" x14ac:dyDescent="0.25">
      <c r="A2482" t="s">
        <v>30024</v>
      </c>
      <c r="B2482" t="s">
        <v>13</v>
      </c>
      <c r="C2482" t="s">
        <v>14184</v>
      </c>
      <c r="D2482" t="s">
        <v>30025</v>
      </c>
      <c r="E2482" t="s">
        <v>30026</v>
      </c>
      <c r="F2482" t="s">
        <v>1129</v>
      </c>
      <c r="G2482" t="s">
        <v>30027</v>
      </c>
      <c r="H2482" t="s">
        <v>88</v>
      </c>
      <c r="I2482" t="s">
        <v>19</v>
      </c>
      <c r="J2482" s="3" t="s">
        <v>30028</v>
      </c>
      <c r="K2482" t="s">
        <v>30029</v>
      </c>
      <c r="L2482" t="s">
        <v>764</v>
      </c>
      <c r="M2482" t="s">
        <v>224</v>
      </c>
    </row>
    <row r="2483" spans="1:13" x14ac:dyDescent="0.25">
      <c r="A2483" t="s">
        <v>21581</v>
      </c>
      <c r="B2483" t="s">
        <v>13</v>
      </c>
      <c r="C2483" s="1">
        <v>43378</v>
      </c>
      <c r="D2483" t="s">
        <v>21582</v>
      </c>
      <c r="E2483" t="s">
        <v>3488</v>
      </c>
      <c r="F2483" t="s">
        <v>224</v>
      </c>
      <c r="G2483" t="s">
        <v>17664</v>
      </c>
      <c r="H2483" t="s">
        <v>409</v>
      </c>
      <c r="I2483" t="s">
        <v>19</v>
      </c>
      <c r="J2483" s="3">
        <f>55-48-36648609</f>
        <v>-36648602</v>
      </c>
      <c r="K2483" t="s">
        <v>17665</v>
      </c>
      <c r="L2483" t="s">
        <v>1823</v>
      </c>
      <c r="M2483" t="s">
        <v>224</v>
      </c>
    </row>
    <row r="2484" spans="1:13" x14ac:dyDescent="0.25">
      <c r="A2484" t="s">
        <v>23672</v>
      </c>
      <c r="B2484" t="s">
        <v>101</v>
      </c>
      <c r="C2484" t="s">
        <v>8680</v>
      </c>
      <c r="D2484" t="s">
        <v>23673</v>
      </c>
      <c r="E2484" t="s">
        <v>23674</v>
      </c>
      <c r="F2484" t="s">
        <v>224</v>
      </c>
      <c r="G2484" t="s">
        <v>23675</v>
      </c>
      <c r="H2484" t="s">
        <v>23676</v>
      </c>
      <c r="I2484" t="s">
        <v>19</v>
      </c>
      <c r="J2484" s="3" t="s">
        <v>23677</v>
      </c>
      <c r="K2484" t="s">
        <v>23678</v>
      </c>
      <c r="L2484" t="s">
        <v>439</v>
      </c>
      <c r="M2484" t="s">
        <v>224</v>
      </c>
    </row>
    <row r="2485" spans="1:13" x14ac:dyDescent="0.25">
      <c r="A2485" t="s">
        <v>21876</v>
      </c>
      <c r="B2485" t="s">
        <v>13</v>
      </c>
      <c r="C2485" t="s">
        <v>21877</v>
      </c>
      <c r="D2485" t="s">
        <v>21878</v>
      </c>
      <c r="E2485" t="s">
        <v>19635</v>
      </c>
      <c r="F2485" t="s">
        <v>129</v>
      </c>
      <c r="G2485" t="s">
        <v>21879</v>
      </c>
      <c r="H2485" t="s">
        <v>141</v>
      </c>
      <c r="I2485" t="s">
        <v>19</v>
      </c>
      <c r="J2485" s="3" t="s">
        <v>21880</v>
      </c>
      <c r="K2485" t="s">
        <v>21881</v>
      </c>
      <c r="L2485" t="s">
        <v>1058</v>
      </c>
      <c r="M2485" t="s">
        <v>129</v>
      </c>
    </row>
    <row r="2486" spans="1:13" x14ac:dyDescent="0.25">
      <c r="A2486" t="s">
        <v>19633</v>
      </c>
      <c r="B2486" t="s">
        <v>13</v>
      </c>
      <c r="C2486" t="s">
        <v>6734</v>
      </c>
      <c r="D2486" t="s">
        <v>19634</v>
      </c>
      <c r="E2486" t="s">
        <v>19635</v>
      </c>
      <c r="F2486" t="s">
        <v>129</v>
      </c>
      <c r="G2486" t="s">
        <v>19636</v>
      </c>
      <c r="H2486" t="s">
        <v>2678</v>
      </c>
      <c r="I2486" t="s">
        <v>19</v>
      </c>
      <c r="J2486" s="3">
        <v>555391562521</v>
      </c>
      <c r="K2486" t="s">
        <v>19637</v>
      </c>
      <c r="L2486" t="s">
        <v>4608</v>
      </c>
      <c r="M2486" t="s">
        <v>129</v>
      </c>
    </row>
    <row r="2487" spans="1:13" x14ac:dyDescent="0.25">
      <c r="A2487" t="s">
        <v>18483</v>
      </c>
      <c r="B2487" t="s">
        <v>13</v>
      </c>
      <c r="C2487" t="s">
        <v>18481</v>
      </c>
      <c r="D2487" t="s">
        <v>18484</v>
      </c>
      <c r="E2487" t="s">
        <v>18485</v>
      </c>
      <c r="F2487" t="s">
        <v>1190</v>
      </c>
      <c r="G2487" t="s">
        <v>18486</v>
      </c>
      <c r="H2487" t="s">
        <v>428</v>
      </c>
      <c r="I2487" t="s">
        <v>19</v>
      </c>
      <c r="J2487" s="3">
        <v>998418290</v>
      </c>
      <c r="K2487" t="s">
        <v>18487</v>
      </c>
      <c r="L2487" t="s">
        <v>1295</v>
      </c>
      <c r="M2487" t="s">
        <v>432</v>
      </c>
    </row>
    <row r="2488" spans="1:13" x14ac:dyDescent="0.25">
      <c r="A2488" t="s">
        <v>7498</v>
      </c>
      <c r="B2488" t="s">
        <v>13</v>
      </c>
      <c r="C2488" t="s">
        <v>7499</v>
      </c>
      <c r="D2488" t="s">
        <v>7500</v>
      </c>
      <c r="E2488" t="s">
        <v>7501</v>
      </c>
      <c r="F2488" t="s">
        <v>7502</v>
      </c>
      <c r="G2488" t="s">
        <v>7503</v>
      </c>
      <c r="H2488" t="s">
        <v>7504</v>
      </c>
      <c r="I2488" t="s">
        <v>19</v>
      </c>
      <c r="J2488" s="3">
        <v>556133151588</v>
      </c>
      <c r="K2488" t="s">
        <v>7505</v>
      </c>
      <c r="L2488" t="s">
        <v>32135</v>
      </c>
      <c r="M2488" t="s">
        <v>771</v>
      </c>
    </row>
    <row r="2489" spans="1:13" x14ac:dyDescent="0.25">
      <c r="A2489" t="s">
        <v>1140</v>
      </c>
      <c r="B2489" t="s">
        <v>13</v>
      </c>
      <c r="C2489" t="s">
        <v>1120</v>
      </c>
      <c r="D2489" t="s">
        <v>1141</v>
      </c>
      <c r="E2489" t="s">
        <v>1142</v>
      </c>
      <c r="F2489" t="s">
        <v>1143</v>
      </c>
      <c r="G2489" t="s">
        <v>1144</v>
      </c>
      <c r="H2489" t="s">
        <v>489</v>
      </c>
      <c r="I2489" t="s">
        <v>19</v>
      </c>
      <c r="J2489" s="3" t="s">
        <v>1145</v>
      </c>
      <c r="K2489" t="s">
        <v>1146</v>
      </c>
      <c r="L2489" t="s">
        <v>1147</v>
      </c>
      <c r="M2489" t="s">
        <v>1304</v>
      </c>
    </row>
    <row r="2490" spans="1:13" x14ac:dyDescent="0.25">
      <c r="A2490" t="s">
        <v>13673</v>
      </c>
      <c r="B2490" t="s">
        <v>101</v>
      </c>
      <c r="C2490" s="1">
        <v>44106</v>
      </c>
      <c r="D2490" t="s">
        <v>13674</v>
      </c>
      <c r="E2490" s="2" t="s">
        <v>32024</v>
      </c>
      <c r="F2490" t="s">
        <v>900</v>
      </c>
      <c r="G2490" t="s">
        <v>13675</v>
      </c>
      <c r="H2490" t="s">
        <v>2678</v>
      </c>
      <c r="I2490" t="s">
        <v>19</v>
      </c>
      <c r="J2490" s="3">
        <f>55-53-999349134</f>
        <v>-999349132</v>
      </c>
      <c r="K2490" t="s">
        <v>13676</v>
      </c>
      <c r="L2490" t="s">
        <v>2677</v>
      </c>
      <c r="M2490" t="s">
        <v>337</v>
      </c>
    </row>
    <row r="2491" spans="1:13" x14ac:dyDescent="0.25">
      <c r="A2491" t="s">
        <v>14996</v>
      </c>
      <c r="B2491" t="s">
        <v>13</v>
      </c>
      <c r="C2491" t="s">
        <v>14967</v>
      </c>
      <c r="D2491" t="s">
        <v>14997</v>
      </c>
      <c r="E2491" t="s">
        <v>14998</v>
      </c>
      <c r="F2491" t="s">
        <v>9327</v>
      </c>
      <c r="G2491" t="s">
        <v>14999</v>
      </c>
      <c r="H2491" t="s">
        <v>15000</v>
      </c>
      <c r="I2491" t="s">
        <v>19</v>
      </c>
      <c r="J2491" s="3">
        <v>55019997772746</v>
      </c>
      <c r="K2491" t="s">
        <v>15001</v>
      </c>
      <c r="L2491" t="s">
        <v>15002</v>
      </c>
      <c r="M2491" t="s">
        <v>1304</v>
      </c>
    </row>
    <row r="2492" spans="1:13" x14ac:dyDescent="0.25">
      <c r="A2492" t="s">
        <v>12781</v>
      </c>
      <c r="B2492" t="s">
        <v>101</v>
      </c>
      <c r="C2492" t="s">
        <v>12765</v>
      </c>
      <c r="D2492" t="s">
        <v>12782</v>
      </c>
      <c r="E2492" s="2" t="s">
        <v>31054</v>
      </c>
      <c r="F2492" t="s">
        <v>9327</v>
      </c>
      <c r="G2492" t="s">
        <v>12783</v>
      </c>
      <c r="H2492" t="s">
        <v>706</v>
      </c>
      <c r="I2492" t="s">
        <v>19</v>
      </c>
      <c r="J2492" s="3" t="s">
        <v>12784</v>
      </c>
      <c r="K2492" t="s">
        <v>12785</v>
      </c>
      <c r="L2492" t="s">
        <v>565</v>
      </c>
      <c r="M2492" t="s">
        <v>1304</v>
      </c>
    </row>
    <row r="2493" spans="1:13" x14ac:dyDescent="0.25">
      <c r="A2493" t="s">
        <v>9298</v>
      </c>
      <c r="B2493" t="s">
        <v>13</v>
      </c>
      <c r="C2493" s="1">
        <v>44053</v>
      </c>
      <c r="D2493" t="s">
        <v>9299</v>
      </c>
      <c r="E2493" t="s">
        <v>9300</v>
      </c>
      <c r="F2493" t="s">
        <v>6686</v>
      </c>
      <c r="G2493" t="s">
        <v>9301</v>
      </c>
      <c r="H2493" t="s">
        <v>409</v>
      </c>
      <c r="I2493" t="s">
        <v>19</v>
      </c>
      <c r="J2493" s="3">
        <v>5548996179553</v>
      </c>
      <c r="K2493" t="s">
        <v>9302</v>
      </c>
      <c r="L2493" t="s">
        <v>1392</v>
      </c>
      <c r="M2493" t="s">
        <v>337</v>
      </c>
    </row>
    <row r="2494" spans="1:13" x14ac:dyDescent="0.25">
      <c r="A2494" t="s">
        <v>27062</v>
      </c>
      <c r="B2494" t="s">
        <v>13</v>
      </c>
      <c r="C2494" t="s">
        <v>27060</v>
      </c>
      <c r="D2494" t="s">
        <v>27063</v>
      </c>
      <c r="E2494" t="s">
        <v>27064</v>
      </c>
      <c r="F2494" t="s">
        <v>337</v>
      </c>
      <c r="G2494" t="s">
        <v>27065</v>
      </c>
      <c r="H2494" t="s">
        <v>372</v>
      </c>
      <c r="I2494" t="s">
        <v>19</v>
      </c>
      <c r="J2494" s="3" t="s">
        <v>27066</v>
      </c>
      <c r="K2494" t="s">
        <v>27067</v>
      </c>
      <c r="L2494" t="s">
        <v>27068</v>
      </c>
      <c r="M2494" t="s">
        <v>337</v>
      </c>
    </row>
    <row r="2495" spans="1:13" x14ac:dyDescent="0.25">
      <c r="A2495" t="s">
        <v>12160</v>
      </c>
      <c r="B2495" t="s">
        <v>13</v>
      </c>
      <c r="C2495" t="s">
        <v>12161</v>
      </c>
      <c r="D2495" t="s">
        <v>12162</v>
      </c>
      <c r="E2495" t="s">
        <v>12163</v>
      </c>
      <c r="F2495" t="s">
        <v>337</v>
      </c>
      <c r="G2495" t="s">
        <v>12164</v>
      </c>
      <c r="H2495" t="s">
        <v>428</v>
      </c>
      <c r="I2495" t="s">
        <v>19</v>
      </c>
      <c r="J2495" s="3">
        <f>55-51-33038700</f>
        <v>-33038696</v>
      </c>
      <c r="K2495" t="s">
        <v>12165</v>
      </c>
      <c r="L2495" t="s">
        <v>1113</v>
      </c>
      <c r="M2495" t="s">
        <v>337</v>
      </c>
    </row>
    <row r="2496" spans="1:13" x14ac:dyDescent="0.25">
      <c r="A2496" t="s">
        <v>13506</v>
      </c>
      <c r="B2496" t="s">
        <v>13</v>
      </c>
      <c r="C2496" s="1">
        <v>43230</v>
      </c>
      <c r="D2496" t="s">
        <v>13507</v>
      </c>
      <c r="E2496" t="s">
        <v>13508</v>
      </c>
      <c r="F2496" t="s">
        <v>6485</v>
      </c>
      <c r="G2496" t="s">
        <v>13509</v>
      </c>
      <c r="H2496" t="s">
        <v>352</v>
      </c>
      <c r="I2496" t="s">
        <v>19</v>
      </c>
      <c r="J2496" s="3">
        <f>55-21-38659595</f>
        <v>-38659561</v>
      </c>
      <c r="K2496" t="s">
        <v>13510</v>
      </c>
      <c r="L2496" t="s">
        <v>13511</v>
      </c>
      <c r="M2496" t="s">
        <v>741</v>
      </c>
    </row>
    <row r="2497" spans="1:13" x14ac:dyDescent="0.25">
      <c r="A2497" t="s">
        <v>22793</v>
      </c>
      <c r="B2497" t="s">
        <v>101</v>
      </c>
      <c r="C2497" t="s">
        <v>22753</v>
      </c>
      <c r="D2497" t="s">
        <v>22794</v>
      </c>
      <c r="E2497" t="s">
        <v>13351</v>
      </c>
      <c r="F2497" t="s">
        <v>5940</v>
      </c>
      <c r="G2497" t="s">
        <v>14668</v>
      </c>
      <c r="H2497" t="s">
        <v>265</v>
      </c>
      <c r="I2497" t="s">
        <v>19</v>
      </c>
      <c r="J2497" s="3" t="s">
        <v>22795</v>
      </c>
      <c r="K2497" t="s">
        <v>14670</v>
      </c>
      <c r="L2497" t="s">
        <v>3558</v>
      </c>
      <c r="M2497" t="s">
        <v>741</v>
      </c>
    </row>
    <row r="2498" spans="1:13" x14ac:dyDescent="0.25">
      <c r="A2498" t="s">
        <v>13348</v>
      </c>
      <c r="B2498" t="s">
        <v>13</v>
      </c>
      <c r="C2498" t="s">
        <v>13349</v>
      </c>
      <c r="D2498" t="s">
        <v>13350</v>
      </c>
      <c r="E2498" t="s">
        <v>13351</v>
      </c>
      <c r="F2498" t="s">
        <v>6485</v>
      </c>
      <c r="G2498" t="s">
        <v>13352</v>
      </c>
      <c r="H2498" t="s">
        <v>255</v>
      </c>
      <c r="I2498" t="s">
        <v>19</v>
      </c>
      <c r="J2498" s="3">
        <f>55-62-984376296</f>
        <v>-984376303</v>
      </c>
      <c r="K2498" t="s">
        <v>13353</v>
      </c>
      <c r="L2498" t="s">
        <v>2467</v>
      </c>
      <c r="M2498" t="s">
        <v>741</v>
      </c>
    </row>
    <row r="2499" spans="1:13" x14ac:dyDescent="0.25">
      <c r="A2499" t="s">
        <v>6179</v>
      </c>
      <c r="B2499" t="s">
        <v>13</v>
      </c>
      <c r="C2499" s="1">
        <v>44206</v>
      </c>
      <c r="D2499" t="s">
        <v>32135</v>
      </c>
      <c r="E2499" t="s">
        <v>6180</v>
      </c>
      <c r="F2499" t="s">
        <v>32157</v>
      </c>
      <c r="G2499" t="s">
        <v>6181</v>
      </c>
      <c r="H2499" t="s">
        <v>352</v>
      </c>
      <c r="I2499" t="s">
        <v>19</v>
      </c>
      <c r="J2499" s="3">
        <f>55-21-3865-9129</f>
        <v>-12960</v>
      </c>
      <c r="K2499" t="s">
        <v>32135</v>
      </c>
      <c r="L2499" t="s">
        <v>32135</v>
      </c>
      <c r="M2499" t="s">
        <v>741</v>
      </c>
    </row>
    <row r="2500" spans="1:13" x14ac:dyDescent="0.25">
      <c r="A2500" t="s">
        <v>30203</v>
      </c>
      <c r="B2500" t="s">
        <v>13</v>
      </c>
      <c r="C2500" s="1">
        <v>41035</v>
      </c>
      <c r="D2500" t="s">
        <v>30204</v>
      </c>
      <c r="E2500" t="s">
        <v>30205</v>
      </c>
      <c r="F2500" t="s">
        <v>741</v>
      </c>
      <c r="G2500" t="s">
        <v>307</v>
      </c>
      <c r="H2500" t="s">
        <v>308</v>
      </c>
      <c r="I2500" t="s">
        <v>309</v>
      </c>
      <c r="J2500" s="3" t="s">
        <v>310</v>
      </c>
      <c r="K2500" t="s">
        <v>311</v>
      </c>
      <c r="L2500" t="s">
        <v>312</v>
      </c>
      <c r="M2500" t="s">
        <v>741</v>
      </c>
    </row>
    <row r="2501" spans="1:13" x14ac:dyDescent="0.25">
      <c r="A2501" t="s">
        <v>14310</v>
      </c>
      <c r="B2501" t="s">
        <v>13</v>
      </c>
      <c r="C2501" s="1">
        <v>44013</v>
      </c>
      <c r="D2501" t="s">
        <v>14311</v>
      </c>
      <c r="E2501" t="s">
        <v>14312</v>
      </c>
      <c r="F2501" t="s">
        <v>337</v>
      </c>
      <c r="G2501" t="s">
        <v>14313</v>
      </c>
      <c r="H2501" t="s">
        <v>299</v>
      </c>
      <c r="I2501" t="s">
        <v>19</v>
      </c>
      <c r="J2501" s="3">
        <f>55-14-38801171</f>
        <v>-38801130</v>
      </c>
      <c r="K2501" t="s">
        <v>14314</v>
      </c>
      <c r="L2501" t="s">
        <v>14315</v>
      </c>
      <c r="M2501" t="s">
        <v>337</v>
      </c>
    </row>
    <row r="2502" spans="1:13" x14ac:dyDescent="0.25">
      <c r="A2502" t="s">
        <v>28703</v>
      </c>
      <c r="B2502" t="s">
        <v>13</v>
      </c>
      <c r="C2502" s="1">
        <v>42339</v>
      </c>
      <c r="D2502" t="s">
        <v>28704</v>
      </c>
      <c r="E2502" t="s">
        <v>28705</v>
      </c>
      <c r="F2502" t="s">
        <v>1349</v>
      </c>
      <c r="G2502" t="s">
        <v>27566</v>
      </c>
      <c r="H2502" t="s">
        <v>36</v>
      </c>
      <c r="I2502" t="s">
        <v>19</v>
      </c>
      <c r="J2502" s="3" t="s">
        <v>28706</v>
      </c>
      <c r="K2502" t="s">
        <v>27569</v>
      </c>
      <c r="L2502" t="s">
        <v>27570</v>
      </c>
      <c r="M2502" t="s">
        <v>1349</v>
      </c>
    </row>
    <row r="2503" spans="1:13" x14ac:dyDescent="0.25">
      <c r="A2503" t="s">
        <v>30637</v>
      </c>
      <c r="B2503" t="s">
        <v>13</v>
      </c>
      <c r="C2503" t="s">
        <v>30638</v>
      </c>
      <c r="D2503" t="s">
        <v>30639</v>
      </c>
      <c r="E2503" t="s">
        <v>30640</v>
      </c>
      <c r="F2503" t="s">
        <v>1349</v>
      </c>
      <c r="G2503" t="s">
        <v>30641</v>
      </c>
      <c r="H2503" t="s">
        <v>428</v>
      </c>
      <c r="I2503" t="s">
        <v>19</v>
      </c>
      <c r="J2503" s="3">
        <v>33597615</v>
      </c>
      <c r="K2503" t="s">
        <v>30642</v>
      </c>
      <c r="L2503" t="s">
        <v>1269</v>
      </c>
      <c r="M2503" t="s">
        <v>1349</v>
      </c>
    </row>
    <row r="2504" spans="1:13" x14ac:dyDescent="0.25">
      <c r="A2504" t="s">
        <v>20484</v>
      </c>
      <c r="B2504" t="s">
        <v>101</v>
      </c>
      <c r="C2504" t="s">
        <v>10511</v>
      </c>
      <c r="D2504" t="s">
        <v>20485</v>
      </c>
      <c r="E2504" s="2" t="s">
        <v>31465</v>
      </c>
      <c r="F2504" t="s">
        <v>9327</v>
      </c>
      <c r="G2504" t="s">
        <v>3241</v>
      </c>
      <c r="H2504" t="s">
        <v>489</v>
      </c>
      <c r="I2504" t="s">
        <v>19</v>
      </c>
      <c r="J2504" s="3">
        <v>5541999944080</v>
      </c>
      <c r="K2504" t="s">
        <v>7085</v>
      </c>
      <c r="L2504" t="s">
        <v>625</v>
      </c>
      <c r="M2504" t="s">
        <v>1304</v>
      </c>
    </row>
    <row r="2505" spans="1:13" x14ac:dyDescent="0.25">
      <c r="A2505" t="s">
        <v>25372</v>
      </c>
      <c r="B2505" t="s">
        <v>13</v>
      </c>
      <c r="C2505" t="s">
        <v>25122</v>
      </c>
      <c r="D2505" t="s">
        <v>25373</v>
      </c>
      <c r="E2505" t="s">
        <v>25374</v>
      </c>
      <c r="F2505" t="s">
        <v>1464</v>
      </c>
      <c r="G2505" t="s">
        <v>7936</v>
      </c>
      <c r="H2505" t="s">
        <v>299</v>
      </c>
      <c r="I2505" t="s">
        <v>19</v>
      </c>
      <c r="J2505" s="3" t="s">
        <v>7937</v>
      </c>
      <c r="K2505" t="s">
        <v>7938</v>
      </c>
      <c r="L2505" t="s">
        <v>7939</v>
      </c>
      <c r="M2505" t="s">
        <v>337</v>
      </c>
    </row>
    <row r="2506" spans="1:13" x14ac:dyDescent="0.25">
      <c r="A2506" t="s">
        <v>13413</v>
      </c>
      <c r="B2506" t="s">
        <v>13</v>
      </c>
      <c r="C2506" t="s">
        <v>12133</v>
      </c>
      <c r="D2506" t="s">
        <v>13414</v>
      </c>
      <c r="E2506" s="2" t="s">
        <v>31072</v>
      </c>
      <c r="F2506" t="s">
        <v>5940</v>
      </c>
      <c r="G2506" t="s">
        <v>13415</v>
      </c>
      <c r="H2506" t="s">
        <v>170</v>
      </c>
      <c r="I2506" t="s">
        <v>19</v>
      </c>
      <c r="J2506" s="3">
        <v>5512997519046</v>
      </c>
      <c r="K2506" t="s">
        <v>13416</v>
      </c>
      <c r="L2506" t="s">
        <v>13417</v>
      </c>
      <c r="M2506" t="s">
        <v>741</v>
      </c>
    </row>
    <row r="2507" spans="1:13" x14ac:dyDescent="0.25">
      <c r="A2507" t="s">
        <v>19745</v>
      </c>
      <c r="B2507" t="s">
        <v>13</v>
      </c>
      <c r="C2507" s="1">
        <v>43382</v>
      </c>
      <c r="D2507" t="s">
        <v>19746</v>
      </c>
      <c r="E2507" t="s">
        <v>19747</v>
      </c>
      <c r="F2507" t="s">
        <v>785</v>
      </c>
      <c r="G2507" t="s">
        <v>13015</v>
      </c>
      <c r="H2507" t="s">
        <v>265</v>
      </c>
      <c r="I2507" t="s">
        <v>19</v>
      </c>
      <c r="J2507" s="3" t="s">
        <v>13016</v>
      </c>
      <c r="K2507" t="s">
        <v>13017</v>
      </c>
      <c r="L2507" t="s">
        <v>13018</v>
      </c>
      <c r="M2507" t="s">
        <v>785</v>
      </c>
    </row>
    <row r="2508" spans="1:13" x14ac:dyDescent="0.25">
      <c r="A2508" t="s">
        <v>26068</v>
      </c>
      <c r="B2508" t="s">
        <v>13</v>
      </c>
      <c r="C2508" t="s">
        <v>25376</v>
      </c>
      <c r="D2508" t="s">
        <v>26069</v>
      </c>
      <c r="E2508" t="s">
        <v>26070</v>
      </c>
      <c r="F2508" t="s">
        <v>4338</v>
      </c>
      <c r="G2508" t="s">
        <v>26071</v>
      </c>
      <c r="H2508" t="s">
        <v>18</v>
      </c>
      <c r="I2508" t="s">
        <v>19</v>
      </c>
      <c r="J2508" s="3" t="s">
        <v>26072</v>
      </c>
      <c r="K2508" t="s">
        <v>26073</v>
      </c>
      <c r="L2508" t="s">
        <v>26074</v>
      </c>
      <c r="M2508" t="s">
        <v>1432</v>
      </c>
    </row>
    <row r="2509" spans="1:13" x14ac:dyDescent="0.25">
      <c r="A2509" t="s">
        <v>19978</v>
      </c>
      <c r="B2509" t="s">
        <v>13</v>
      </c>
      <c r="C2509" t="s">
        <v>5016</v>
      </c>
      <c r="D2509" t="s">
        <v>19979</v>
      </c>
      <c r="E2509" t="s">
        <v>19980</v>
      </c>
      <c r="F2509" t="s">
        <v>117</v>
      </c>
      <c r="G2509" t="s">
        <v>19981</v>
      </c>
      <c r="H2509" t="s">
        <v>352</v>
      </c>
      <c r="I2509" t="s">
        <v>19</v>
      </c>
      <c r="J2509" s="3">
        <f>55-21-33441340</f>
        <v>-33441306</v>
      </c>
      <c r="K2509" t="s">
        <v>19982</v>
      </c>
      <c r="L2509" t="s">
        <v>19983</v>
      </c>
      <c r="M2509" t="s">
        <v>32145</v>
      </c>
    </row>
    <row r="2510" spans="1:13" x14ac:dyDescent="0.25">
      <c r="A2510" t="s">
        <v>22339</v>
      </c>
      <c r="B2510" t="s">
        <v>13</v>
      </c>
      <c r="C2510" s="1">
        <v>43102</v>
      </c>
      <c r="D2510" t="s">
        <v>22340</v>
      </c>
      <c r="E2510" s="2" t="s">
        <v>31309</v>
      </c>
      <c r="F2510" t="s">
        <v>6686</v>
      </c>
      <c r="G2510" t="s">
        <v>22341</v>
      </c>
      <c r="H2510" t="s">
        <v>14073</v>
      </c>
      <c r="I2510" t="s">
        <v>19</v>
      </c>
      <c r="J2510" s="3">
        <v>5581997491151</v>
      </c>
      <c r="K2510" t="s">
        <v>22342</v>
      </c>
      <c r="L2510" t="s">
        <v>2101</v>
      </c>
      <c r="M2510" t="s">
        <v>337</v>
      </c>
    </row>
    <row r="2511" spans="1:13" x14ac:dyDescent="0.25">
      <c r="A2511" t="s">
        <v>11979</v>
      </c>
      <c r="B2511" t="s">
        <v>13</v>
      </c>
      <c r="C2511" s="1">
        <v>43987</v>
      </c>
      <c r="D2511" t="s">
        <v>11980</v>
      </c>
      <c r="E2511" t="s">
        <v>11981</v>
      </c>
      <c r="F2511" t="s">
        <v>4639</v>
      </c>
      <c r="G2511" t="s">
        <v>11982</v>
      </c>
      <c r="H2511" t="s">
        <v>36</v>
      </c>
      <c r="I2511" t="s">
        <v>19</v>
      </c>
      <c r="J2511" s="3">
        <f>55-11-998516734</f>
        <v>-998516690</v>
      </c>
      <c r="K2511" t="s">
        <v>11983</v>
      </c>
      <c r="L2511" t="s">
        <v>11984</v>
      </c>
      <c r="M2511" t="s">
        <v>785</v>
      </c>
    </row>
    <row r="2512" spans="1:13" x14ac:dyDescent="0.25">
      <c r="A2512" t="s">
        <v>22413</v>
      </c>
      <c r="B2512" t="s">
        <v>13</v>
      </c>
      <c r="C2512" t="s">
        <v>22396</v>
      </c>
      <c r="D2512" t="s">
        <v>22414</v>
      </c>
      <c r="E2512" t="s">
        <v>22415</v>
      </c>
      <c r="F2512" t="s">
        <v>2947</v>
      </c>
      <c r="G2512" t="s">
        <v>22416</v>
      </c>
      <c r="H2512" t="s">
        <v>444</v>
      </c>
      <c r="I2512" t="s">
        <v>19</v>
      </c>
      <c r="J2512" s="3">
        <f>55-87-999246324</f>
        <v>-999246356</v>
      </c>
      <c r="K2512" t="s">
        <v>22417</v>
      </c>
      <c r="L2512" t="s">
        <v>22418</v>
      </c>
      <c r="M2512" t="s">
        <v>771</v>
      </c>
    </row>
    <row r="2513" spans="1:13" x14ac:dyDescent="0.25">
      <c r="A2513" t="s">
        <v>19570</v>
      </c>
      <c r="B2513" t="s">
        <v>13</v>
      </c>
      <c r="C2513" t="s">
        <v>2617</v>
      </c>
      <c r="D2513" t="s">
        <v>19571</v>
      </c>
      <c r="E2513" t="s">
        <v>19572</v>
      </c>
      <c r="F2513" t="s">
        <v>2947</v>
      </c>
      <c r="G2513" t="s">
        <v>16055</v>
      </c>
      <c r="H2513" t="s">
        <v>1047</v>
      </c>
      <c r="I2513" t="s">
        <v>19</v>
      </c>
      <c r="J2513" s="3" t="s">
        <v>16056</v>
      </c>
      <c r="K2513" t="s">
        <v>16057</v>
      </c>
      <c r="L2513" t="s">
        <v>1050</v>
      </c>
      <c r="M2513" t="s">
        <v>771</v>
      </c>
    </row>
    <row r="2514" spans="1:13" x14ac:dyDescent="0.25">
      <c r="A2514" t="s">
        <v>6023</v>
      </c>
      <c r="B2514" t="s">
        <v>13</v>
      </c>
      <c r="C2514" s="1">
        <v>44479</v>
      </c>
      <c r="D2514" t="s">
        <v>6024</v>
      </c>
      <c r="E2514" t="s">
        <v>6025</v>
      </c>
      <c r="F2514" t="s">
        <v>6026</v>
      </c>
      <c r="G2514" t="s">
        <v>6027</v>
      </c>
      <c r="H2514" t="s">
        <v>6028</v>
      </c>
      <c r="I2514" t="s">
        <v>19</v>
      </c>
      <c r="J2514" s="3">
        <f>55-83-999221646</f>
        <v>-999221674</v>
      </c>
      <c r="K2514" t="s">
        <v>6029</v>
      </c>
      <c r="L2514" t="s">
        <v>32135</v>
      </c>
      <c r="M2514" t="s">
        <v>57</v>
      </c>
    </row>
    <row r="2515" spans="1:13" x14ac:dyDescent="0.25">
      <c r="A2515" t="s">
        <v>19675</v>
      </c>
      <c r="B2515" t="s">
        <v>13</v>
      </c>
      <c r="C2515" s="1">
        <v>43443</v>
      </c>
      <c r="D2515" t="s">
        <v>19676</v>
      </c>
      <c r="E2515" s="2" t="s">
        <v>31372</v>
      </c>
      <c r="F2515" t="s">
        <v>1464</v>
      </c>
      <c r="G2515" t="s">
        <v>17728</v>
      </c>
      <c r="H2515" t="s">
        <v>114</v>
      </c>
      <c r="I2515" t="s">
        <v>19</v>
      </c>
      <c r="J2515" s="3">
        <f>55-79-991917075</f>
        <v>-991917099</v>
      </c>
      <c r="K2515" t="s">
        <v>17729</v>
      </c>
      <c r="L2515" t="s">
        <v>82</v>
      </c>
      <c r="M2515" t="s">
        <v>1775</v>
      </c>
    </row>
    <row r="2516" spans="1:13" x14ac:dyDescent="0.25">
      <c r="A2516" t="s">
        <v>6085</v>
      </c>
      <c r="B2516" t="s">
        <v>13</v>
      </c>
      <c r="C2516" s="1">
        <v>44387</v>
      </c>
      <c r="D2516" t="s">
        <v>32135</v>
      </c>
      <c r="E2516" s="2" t="s">
        <v>30873</v>
      </c>
      <c r="F2516" t="s">
        <v>345</v>
      </c>
      <c r="G2516" t="s">
        <v>6086</v>
      </c>
      <c r="H2516" t="s">
        <v>6087</v>
      </c>
      <c r="I2516" t="s">
        <v>19</v>
      </c>
      <c r="J2516" s="3" t="s">
        <v>6088</v>
      </c>
      <c r="K2516" t="s">
        <v>6089</v>
      </c>
      <c r="L2516" t="s">
        <v>32135</v>
      </c>
      <c r="M2516" t="s">
        <v>771</v>
      </c>
    </row>
    <row r="2517" spans="1:13" x14ac:dyDescent="0.25">
      <c r="A2517" t="s">
        <v>7207</v>
      </c>
      <c r="B2517" t="s">
        <v>101</v>
      </c>
      <c r="C2517" s="1">
        <v>44532</v>
      </c>
      <c r="D2517" t="s">
        <v>7208</v>
      </c>
      <c r="E2517" t="s">
        <v>32392</v>
      </c>
      <c r="F2517" t="s">
        <v>7209</v>
      </c>
      <c r="G2517" t="s">
        <v>7210</v>
      </c>
      <c r="H2517" t="s">
        <v>36</v>
      </c>
      <c r="I2517" t="s">
        <v>19</v>
      </c>
      <c r="J2517" s="3" t="s">
        <v>7211</v>
      </c>
      <c r="K2517" t="s">
        <v>7212</v>
      </c>
      <c r="L2517" t="s">
        <v>32135</v>
      </c>
      <c r="M2517" t="s">
        <v>57</v>
      </c>
    </row>
    <row r="2518" spans="1:13" x14ac:dyDescent="0.25">
      <c r="A2518" t="s">
        <v>24770</v>
      </c>
      <c r="B2518" t="s">
        <v>13</v>
      </c>
      <c r="C2518" s="1">
        <v>42979</v>
      </c>
      <c r="D2518" t="s">
        <v>24771</v>
      </c>
      <c r="E2518" t="s">
        <v>24772</v>
      </c>
      <c r="F2518" t="s">
        <v>57</v>
      </c>
      <c r="G2518" t="s">
        <v>24773</v>
      </c>
      <c r="H2518" t="s">
        <v>352</v>
      </c>
      <c r="I2518" t="s">
        <v>19</v>
      </c>
      <c r="J2518" s="3" t="s">
        <v>24774</v>
      </c>
      <c r="K2518" t="s">
        <v>24775</v>
      </c>
      <c r="L2518" t="s">
        <v>1957</v>
      </c>
      <c r="M2518" t="s">
        <v>57</v>
      </c>
    </row>
    <row r="2519" spans="1:13" x14ac:dyDescent="0.25">
      <c r="A2519" t="s">
        <v>7270</v>
      </c>
      <c r="B2519" t="s">
        <v>13</v>
      </c>
      <c r="C2519" s="1">
        <v>44202</v>
      </c>
      <c r="D2519" t="s">
        <v>32135</v>
      </c>
      <c r="E2519" s="2" t="s">
        <v>32781</v>
      </c>
      <c r="F2519" t="s">
        <v>7271</v>
      </c>
      <c r="G2519" t="s">
        <v>7195</v>
      </c>
      <c r="H2519" t="s">
        <v>45</v>
      </c>
      <c r="I2519" t="s">
        <v>19</v>
      </c>
      <c r="J2519" s="3">
        <v>5585999871608</v>
      </c>
      <c r="K2519" t="s">
        <v>7196</v>
      </c>
      <c r="L2519" t="s">
        <v>32135</v>
      </c>
      <c r="M2519" t="s">
        <v>57</v>
      </c>
    </row>
    <row r="2520" spans="1:13" x14ac:dyDescent="0.25">
      <c r="A2520" t="s">
        <v>20214</v>
      </c>
      <c r="B2520" t="s">
        <v>13</v>
      </c>
      <c r="C2520" s="1">
        <v>43108</v>
      </c>
      <c r="D2520" t="s">
        <v>20215</v>
      </c>
      <c r="E2520" t="s">
        <v>20216</v>
      </c>
      <c r="F2520" t="s">
        <v>1464</v>
      </c>
      <c r="G2520" t="s">
        <v>20217</v>
      </c>
      <c r="H2520" t="s">
        <v>472</v>
      </c>
      <c r="I2520" t="s">
        <v>19</v>
      </c>
      <c r="J2520" s="3">
        <f>55-81-994447183</f>
        <v>-994447209</v>
      </c>
      <c r="K2520" t="s">
        <v>8660</v>
      </c>
      <c r="L2520" t="s">
        <v>2101</v>
      </c>
      <c r="M2520" t="s">
        <v>337</v>
      </c>
    </row>
    <row r="2521" spans="1:13" x14ac:dyDescent="0.25">
      <c r="A2521" t="s">
        <v>20549</v>
      </c>
      <c r="B2521" t="s">
        <v>13</v>
      </c>
      <c r="C2521" t="s">
        <v>10976</v>
      </c>
      <c r="D2521" t="s">
        <v>20550</v>
      </c>
      <c r="E2521" t="s">
        <v>4408</v>
      </c>
      <c r="F2521" t="s">
        <v>741</v>
      </c>
      <c r="G2521" t="s">
        <v>20551</v>
      </c>
      <c r="H2521" t="s">
        <v>1656</v>
      </c>
      <c r="I2521" t="s">
        <v>19</v>
      </c>
      <c r="J2521" s="3">
        <f>55-55-999713143</f>
        <v>-999713143</v>
      </c>
      <c r="K2521" t="s">
        <v>20552</v>
      </c>
      <c r="L2521" t="s">
        <v>1658</v>
      </c>
      <c r="M2521" t="s">
        <v>741</v>
      </c>
    </row>
    <row r="2522" spans="1:13" x14ac:dyDescent="0.25">
      <c r="A2522" t="s">
        <v>11080</v>
      </c>
      <c r="B2522" t="s">
        <v>13</v>
      </c>
      <c r="C2522" s="1">
        <v>44081</v>
      </c>
      <c r="D2522" t="s">
        <v>11081</v>
      </c>
      <c r="E2522" t="s">
        <v>4408</v>
      </c>
      <c r="F2522" t="s">
        <v>1464</v>
      </c>
      <c r="G2522" t="s">
        <v>9204</v>
      </c>
      <c r="H2522" t="s">
        <v>9205</v>
      </c>
      <c r="I2522" t="s">
        <v>19</v>
      </c>
      <c r="J2522" s="3">
        <f>55-84-999628109</f>
        <v>-999628138</v>
      </c>
      <c r="K2522" t="s">
        <v>9206</v>
      </c>
      <c r="L2522" t="s">
        <v>91</v>
      </c>
      <c r="M2522" t="s">
        <v>741</v>
      </c>
    </row>
    <row r="2523" spans="1:13" x14ac:dyDescent="0.25">
      <c r="A2523" t="s">
        <v>29487</v>
      </c>
      <c r="B2523" t="s">
        <v>13</v>
      </c>
      <c r="C2523" t="s">
        <v>29488</v>
      </c>
      <c r="D2523" t="s">
        <v>29489</v>
      </c>
      <c r="E2523" t="s">
        <v>4408</v>
      </c>
      <c r="F2523" t="s">
        <v>6485</v>
      </c>
      <c r="G2523" t="s">
        <v>29490</v>
      </c>
      <c r="H2523" t="s">
        <v>36</v>
      </c>
      <c r="I2523" t="s">
        <v>19</v>
      </c>
      <c r="J2523" s="3" t="s">
        <v>29491</v>
      </c>
      <c r="K2523" t="s">
        <v>29492</v>
      </c>
      <c r="L2523" t="s">
        <v>29493</v>
      </c>
      <c r="M2523" t="s">
        <v>741</v>
      </c>
    </row>
    <row r="2524" spans="1:13" x14ac:dyDescent="0.25">
      <c r="A2524" t="s">
        <v>9399</v>
      </c>
      <c r="B2524" t="s">
        <v>13</v>
      </c>
      <c r="C2524" s="1">
        <v>43840</v>
      </c>
      <c r="D2524" t="s">
        <v>9400</v>
      </c>
      <c r="E2524" t="s">
        <v>9401</v>
      </c>
      <c r="F2524" t="s">
        <v>2530</v>
      </c>
      <c r="G2524" t="s">
        <v>9402</v>
      </c>
      <c r="H2524" t="s">
        <v>141</v>
      </c>
      <c r="I2524" t="s">
        <v>19</v>
      </c>
      <c r="J2524" s="3">
        <v>82999765181</v>
      </c>
      <c r="K2524" t="s">
        <v>9403</v>
      </c>
      <c r="L2524" t="s">
        <v>2101</v>
      </c>
      <c r="M2524" t="s">
        <v>741</v>
      </c>
    </row>
    <row r="2525" spans="1:13" x14ac:dyDescent="0.25">
      <c r="A2525" t="s">
        <v>29778</v>
      </c>
      <c r="B2525" t="s">
        <v>13</v>
      </c>
      <c r="C2525" t="s">
        <v>29779</v>
      </c>
      <c r="D2525" t="s">
        <v>29780</v>
      </c>
      <c r="E2525" t="s">
        <v>29781</v>
      </c>
      <c r="F2525" t="s">
        <v>741</v>
      </c>
      <c r="G2525" t="s">
        <v>29782</v>
      </c>
      <c r="H2525" t="s">
        <v>36</v>
      </c>
      <c r="I2525" t="s">
        <v>19</v>
      </c>
      <c r="J2525" s="3" t="s">
        <v>29783</v>
      </c>
      <c r="K2525" t="s">
        <v>29784</v>
      </c>
      <c r="L2525" t="s">
        <v>9093</v>
      </c>
      <c r="M2525" t="s">
        <v>741</v>
      </c>
    </row>
    <row r="2526" spans="1:13" x14ac:dyDescent="0.25">
      <c r="A2526" t="s">
        <v>9325</v>
      </c>
      <c r="B2526" t="s">
        <v>13</v>
      </c>
      <c r="C2526" s="1">
        <v>43992</v>
      </c>
      <c r="D2526" t="s">
        <v>9326</v>
      </c>
      <c r="E2526" s="2" t="s">
        <v>30974</v>
      </c>
      <c r="F2526" t="s">
        <v>9327</v>
      </c>
      <c r="G2526" t="s">
        <v>9328</v>
      </c>
      <c r="H2526" t="s">
        <v>352</v>
      </c>
      <c r="I2526" t="s">
        <v>19</v>
      </c>
      <c r="J2526" s="3">
        <v>21980615188</v>
      </c>
      <c r="K2526" t="s">
        <v>9329</v>
      </c>
      <c r="L2526" t="s">
        <v>9330</v>
      </c>
      <c r="M2526" t="s">
        <v>32163</v>
      </c>
    </row>
    <row r="2527" spans="1:13" x14ac:dyDescent="0.25">
      <c r="A2527" t="s">
        <v>27110</v>
      </c>
      <c r="B2527" t="s">
        <v>13</v>
      </c>
      <c r="C2527" t="s">
        <v>21873</v>
      </c>
      <c r="D2527" t="s">
        <v>27111</v>
      </c>
      <c r="E2527" t="s">
        <v>27112</v>
      </c>
      <c r="F2527" t="s">
        <v>5940</v>
      </c>
      <c r="G2527" t="s">
        <v>27113</v>
      </c>
      <c r="H2527" t="s">
        <v>36</v>
      </c>
      <c r="I2527" t="s">
        <v>19</v>
      </c>
      <c r="J2527" s="3">
        <v>551130617976</v>
      </c>
      <c r="K2527" t="s">
        <v>27114</v>
      </c>
      <c r="L2527" t="s">
        <v>27115</v>
      </c>
      <c r="M2527" t="s">
        <v>741</v>
      </c>
    </row>
    <row r="2528" spans="1:13" x14ac:dyDescent="0.25">
      <c r="A2528" t="s">
        <v>23516</v>
      </c>
      <c r="B2528" t="s">
        <v>13</v>
      </c>
      <c r="C2528" t="s">
        <v>11911</v>
      </c>
      <c r="D2528" t="s">
        <v>23517</v>
      </c>
      <c r="E2528" t="s">
        <v>23518</v>
      </c>
      <c r="F2528" t="s">
        <v>741</v>
      </c>
      <c r="G2528" t="s">
        <v>14668</v>
      </c>
      <c r="H2528" t="s">
        <v>5543</v>
      </c>
      <c r="I2528" t="s">
        <v>19</v>
      </c>
      <c r="J2528" s="3" t="s">
        <v>23519</v>
      </c>
      <c r="K2528" t="s">
        <v>14670</v>
      </c>
      <c r="L2528" t="s">
        <v>7101</v>
      </c>
      <c r="M2528" t="s">
        <v>741</v>
      </c>
    </row>
    <row r="2529" spans="1:13" x14ac:dyDescent="0.25">
      <c r="A2529" t="s">
        <v>11370</v>
      </c>
      <c r="B2529" t="s">
        <v>13</v>
      </c>
      <c r="C2529" t="s">
        <v>9573</v>
      </c>
      <c r="D2529" t="s">
        <v>11371</v>
      </c>
      <c r="E2529" t="s">
        <v>11372</v>
      </c>
      <c r="F2529" t="s">
        <v>741</v>
      </c>
      <c r="G2529" t="s">
        <v>11373</v>
      </c>
      <c r="H2529" t="s">
        <v>991</v>
      </c>
      <c r="I2529" t="s">
        <v>19</v>
      </c>
      <c r="J2529" s="3">
        <f>55-51-981975718</f>
        <v>-981975714</v>
      </c>
      <c r="K2529" t="s">
        <v>11374</v>
      </c>
      <c r="L2529" t="s">
        <v>11375</v>
      </c>
      <c r="M2529" t="s">
        <v>741</v>
      </c>
    </row>
    <row r="2530" spans="1:13" x14ac:dyDescent="0.25">
      <c r="A2530" t="s">
        <v>18057</v>
      </c>
      <c r="B2530" t="s">
        <v>101</v>
      </c>
      <c r="C2530" t="s">
        <v>14236</v>
      </c>
      <c r="D2530" t="s">
        <v>18058</v>
      </c>
      <c r="E2530" s="2" t="s">
        <v>31684</v>
      </c>
      <c r="F2530" t="s">
        <v>18059</v>
      </c>
      <c r="G2530" t="s">
        <v>18060</v>
      </c>
      <c r="H2530" t="s">
        <v>352</v>
      </c>
      <c r="I2530" t="s">
        <v>19</v>
      </c>
      <c r="J2530" s="3">
        <v>552138659128</v>
      </c>
      <c r="K2530" t="s">
        <v>18061</v>
      </c>
      <c r="L2530" t="s">
        <v>18062</v>
      </c>
      <c r="M2530" t="s">
        <v>741</v>
      </c>
    </row>
    <row r="2531" spans="1:13" x14ac:dyDescent="0.25">
      <c r="A2531" t="s">
        <v>16992</v>
      </c>
      <c r="B2531" t="s">
        <v>13</v>
      </c>
      <c r="C2531" t="s">
        <v>16993</v>
      </c>
      <c r="D2531" t="s">
        <v>16994</v>
      </c>
      <c r="E2531" s="2" t="s">
        <v>31166</v>
      </c>
      <c r="F2531" t="s">
        <v>5940</v>
      </c>
      <c r="G2531" t="s">
        <v>16995</v>
      </c>
      <c r="H2531" t="s">
        <v>36</v>
      </c>
      <c r="I2531" t="s">
        <v>19</v>
      </c>
      <c r="J2531" s="3">
        <f>55-11-50879977</f>
        <v>-50879933</v>
      </c>
      <c r="K2531" t="s">
        <v>16996</v>
      </c>
      <c r="L2531" t="s">
        <v>16997</v>
      </c>
      <c r="M2531" t="s">
        <v>741</v>
      </c>
    </row>
    <row r="2532" spans="1:13" x14ac:dyDescent="0.25">
      <c r="A2532" t="s">
        <v>20418</v>
      </c>
      <c r="B2532" t="s">
        <v>13</v>
      </c>
      <c r="C2532" t="s">
        <v>5704</v>
      </c>
      <c r="D2532" t="s">
        <v>20419</v>
      </c>
      <c r="E2532" s="2" t="s">
        <v>31498</v>
      </c>
      <c r="F2532" t="s">
        <v>5940</v>
      </c>
      <c r="G2532" t="s">
        <v>20420</v>
      </c>
      <c r="H2532" t="s">
        <v>45</v>
      </c>
      <c r="I2532" t="s">
        <v>19</v>
      </c>
      <c r="J2532" s="3">
        <f>55-85-991948774</f>
        <v>-991948804</v>
      </c>
      <c r="K2532" t="s">
        <v>20421</v>
      </c>
      <c r="L2532" t="s">
        <v>1909</v>
      </c>
      <c r="M2532" t="s">
        <v>741</v>
      </c>
    </row>
    <row r="2533" spans="1:13" x14ac:dyDescent="0.25">
      <c r="A2533" t="s">
        <v>14375</v>
      </c>
      <c r="B2533" t="s">
        <v>101</v>
      </c>
      <c r="C2533" s="1">
        <v>43891</v>
      </c>
      <c r="D2533" t="s">
        <v>14376</v>
      </c>
      <c r="E2533" t="s">
        <v>14377</v>
      </c>
      <c r="F2533" t="s">
        <v>6485</v>
      </c>
      <c r="G2533" t="s">
        <v>14378</v>
      </c>
      <c r="H2533" t="s">
        <v>352</v>
      </c>
      <c r="I2533" t="s">
        <v>19</v>
      </c>
      <c r="J2533" s="3">
        <f>55-21-31780136</f>
        <v>-31780102</v>
      </c>
      <c r="K2533" t="s">
        <v>14379</v>
      </c>
      <c r="L2533" t="s">
        <v>14380</v>
      </c>
      <c r="M2533" t="s">
        <v>741</v>
      </c>
    </row>
    <row r="2534" spans="1:13" x14ac:dyDescent="0.25">
      <c r="A2534" t="s">
        <v>21005</v>
      </c>
      <c r="B2534" t="s">
        <v>101</v>
      </c>
      <c r="C2534" t="s">
        <v>21006</v>
      </c>
      <c r="D2534" t="s">
        <v>21007</v>
      </c>
      <c r="E2534" t="s">
        <v>21008</v>
      </c>
      <c r="F2534" t="s">
        <v>5940</v>
      </c>
      <c r="G2534" t="s">
        <v>21009</v>
      </c>
      <c r="H2534" t="s">
        <v>21010</v>
      </c>
      <c r="I2534" t="s">
        <v>10059</v>
      </c>
      <c r="J2534" s="3" t="s">
        <v>21011</v>
      </c>
      <c r="K2534" t="s">
        <v>21012</v>
      </c>
      <c r="L2534" t="s">
        <v>21013</v>
      </c>
      <c r="M2534" t="s">
        <v>741</v>
      </c>
    </row>
    <row r="2535" spans="1:13" x14ac:dyDescent="0.25">
      <c r="A2535" t="s">
        <v>24294</v>
      </c>
      <c r="B2535" t="s">
        <v>13</v>
      </c>
      <c r="C2535" s="1">
        <v>43074</v>
      </c>
      <c r="D2535" t="s">
        <v>24295</v>
      </c>
      <c r="E2535" t="s">
        <v>24296</v>
      </c>
      <c r="F2535" t="s">
        <v>5940</v>
      </c>
      <c r="G2535" t="s">
        <v>18469</v>
      </c>
      <c r="H2535" t="s">
        <v>428</v>
      </c>
      <c r="I2535" t="s">
        <v>19</v>
      </c>
      <c r="J2535" s="3" t="s">
        <v>24297</v>
      </c>
      <c r="K2535" t="s">
        <v>18470</v>
      </c>
      <c r="L2535" t="s">
        <v>1113</v>
      </c>
      <c r="M2535" t="s">
        <v>741</v>
      </c>
    </row>
    <row r="2536" spans="1:13" x14ac:dyDescent="0.25">
      <c r="A2536" t="s">
        <v>28164</v>
      </c>
      <c r="B2536" t="s">
        <v>101</v>
      </c>
      <c r="C2536" t="s">
        <v>28160</v>
      </c>
      <c r="D2536" t="s">
        <v>28165</v>
      </c>
      <c r="E2536" t="s">
        <v>28166</v>
      </c>
      <c r="F2536" t="s">
        <v>741</v>
      </c>
      <c r="G2536" t="s">
        <v>28167</v>
      </c>
      <c r="H2536" t="s">
        <v>28168</v>
      </c>
      <c r="I2536" t="s">
        <v>19</v>
      </c>
      <c r="J2536" s="3" t="s">
        <v>28169</v>
      </c>
      <c r="K2536" t="s">
        <v>13563</v>
      </c>
      <c r="L2536" t="s">
        <v>439</v>
      </c>
      <c r="M2536" t="s">
        <v>741</v>
      </c>
    </row>
    <row r="2537" spans="1:13" x14ac:dyDescent="0.25">
      <c r="A2537" t="s">
        <v>9724</v>
      </c>
      <c r="B2537" t="s">
        <v>13</v>
      </c>
      <c r="C2537" t="s">
        <v>9372</v>
      </c>
      <c r="D2537" t="s">
        <v>9725</v>
      </c>
      <c r="E2537" s="2" t="s">
        <v>31760</v>
      </c>
      <c r="F2537" t="s">
        <v>117</v>
      </c>
      <c r="G2537" t="s">
        <v>9726</v>
      </c>
      <c r="H2537" t="s">
        <v>71</v>
      </c>
      <c r="I2537" t="s">
        <v>19</v>
      </c>
      <c r="J2537" s="3" t="s">
        <v>9727</v>
      </c>
      <c r="K2537" t="s">
        <v>9728</v>
      </c>
      <c r="L2537" t="s">
        <v>9729</v>
      </c>
      <c r="M2537" t="s">
        <v>32164</v>
      </c>
    </row>
    <row r="2538" spans="1:13" x14ac:dyDescent="0.25">
      <c r="A2538" t="s">
        <v>4592</v>
      </c>
      <c r="B2538" t="s">
        <v>13</v>
      </c>
      <c r="C2538" t="s">
        <v>4036</v>
      </c>
      <c r="D2538" t="s">
        <v>4593</v>
      </c>
      <c r="E2538" t="s">
        <v>4594</v>
      </c>
      <c r="F2538" t="s">
        <v>32143</v>
      </c>
      <c r="G2538" t="s">
        <v>4595</v>
      </c>
      <c r="H2538" t="s">
        <v>28</v>
      </c>
      <c r="I2538" t="s">
        <v>19</v>
      </c>
      <c r="J2538">
        <v>5532991126692</v>
      </c>
      <c r="K2538" s="3" t="s">
        <v>4596</v>
      </c>
      <c r="L2538" t="s">
        <v>923</v>
      </c>
      <c r="M2538" t="s">
        <v>771</v>
      </c>
    </row>
    <row r="2539" spans="1:13" x14ac:dyDescent="0.25">
      <c r="A2539" t="s">
        <v>19100</v>
      </c>
      <c r="B2539" t="s">
        <v>13</v>
      </c>
      <c r="C2539" s="1">
        <v>43262</v>
      </c>
      <c r="D2539" t="s">
        <v>19101</v>
      </c>
      <c r="E2539" t="s">
        <v>32782</v>
      </c>
      <c r="F2539" t="s">
        <v>2758</v>
      </c>
      <c r="G2539" t="s">
        <v>19102</v>
      </c>
      <c r="H2539" t="s">
        <v>4092</v>
      </c>
      <c r="I2539" t="s">
        <v>19</v>
      </c>
      <c r="J2539" s="3">
        <v>14988180419</v>
      </c>
      <c r="K2539" t="s">
        <v>19103</v>
      </c>
      <c r="L2539" t="s">
        <v>17459</v>
      </c>
      <c r="M2539" t="s">
        <v>1775</v>
      </c>
    </row>
    <row r="2540" spans="1:13" x14ac:dyDescent="0.25">
      <c r="A2540" t="s">
        <v>11236</v>
      </c>
      <c r="B2540" t="s">
        <v>13</v>
      </c>
      <c r="C2540" t="s">
        <v>11232</v>
      </c>
      <c r="D2540" t="s">
        <v>11237</v>
      </c>
      <c r="E2540" s="2" t="s">
        <v>31840</v>
      </c>
      <c r="F2540" t="s">
        <v>1464</v>
      </c>
      <c r="G2540" t="s">
        <v>11238</v>
      </c>
      <c r="H2540" t="s">
        <v>45</v>
      </c>
      <c r="I2540" t="s">
        <v>19</v>
      </c>
      <c r="J2540" s="3">
        <f>55-83-33668455</f>
        <v>-33668483</v>
      </c>
      <c r="K2540" t="s">
        <v>11239</v>
      </c>
      <c r="L2540" t="s">
        <v>1909</v>
      </c>
      <c r="M2540" t="s">
        <v>32144</v>
      </c>
    </row>
    <row r="2541" spans="1:13" x14ac:dyDescent="0.25">
      <c r="A2541" t="s">
        <v>5129</v>
      </c>
      <c r="B2541" t="s">
        <v>13</v>
      </c>
      <c r="C2541" s="1">
        <v>44743</v>
      </c>
      <c r="D2541" t="s">
        <v>5130</v>
      </c>
      <c r="E2541" t="s">
        <v>5131</v>
      </c>
      <c r="F2541" t="s">
        <v>1349</v>
      </c>
      <c r="G2541" t="s">
        <v>5132</v>
      </c>
      <c r="H2541" t="s">
        <v>2957</v>
      </c>
      <c r="I2541" t="s">
        <v>19</v>
      </c>
      <c r="J2541" s="3" t="s">
        <v>5133</v>
      </c>
      <c r="K2541" t="s">
        <v>5134</v>
      </c>
      <c r="L2541" t="s">
        <v>32135</v>
      </c>
      <c r="M2541" t="s">
        <v>1349</v>
      </c>
    </row>
    <row r="2542" spans="1:13" x14ac:dyDescent="0.25">
      <c r="A2542" t="s">
        <v>2961</v>
      </c>
      <c r="B2542" t="s">
        <v>13</v>
      </c>
      <c r="C2542" t="s">
        <v>2952</v>
      </c>
      <c r="D2542" t="s">
        <v>2962</v>
      </c>
      <c r="E2542" t="s">
        <v>2963</v>
      </c>
      <c r="F2542" t="s">
        <v>2182</v>
      </c>
      <c r="G2542" t="s">
        <v>2964</v>
      </c>
      <c r="H2542" t="s">
        <v>28</v>
      </c>
      <c r="I2542" t="s">
        <v>19</v>
      </c>
      <c r="J2542" s="3">
        <f>55-32-4009-5141</f>
        <v>-9127</v>
      </c>
      <c r="K2542" t="s">
        <v>2965</v>
      </c>
      <c r="L2542" t="s">
        <v>923</v>
      </c>
      <c r="M2542" t="s">
        <v>32162</v>
      </c>
    </row>
    <row r="2543" spans="1:13" x14ac:dyDescent="0.25">
      <c r="A2543" t="s">
        <v>4279</v>
      </c>
      <c r="B2543" t="s">
        <v>13</v>
      </c>
      <c r="C2543" t="s">
        <v>4274</v>
      </c>
      <c r="D2543" t="s">
        <v>4280</v>
      </c>
      <c r="E2543" t="s">
        <v>4180</v>
      </c>
      <c r="F2543" t="s">
        <v>1815</v>
      </c>
      <c r="G2543" t="s">
        <v>4281</v>
      </c>
      <c r="H2543" t="s">
        <v>936</v>
      </c>
      <c r="I2543" t="s">
        <v>19</v>
      </c>
      <c r="J2543" s="3">
        <f>55-71-99258326</f>
        <v>-99258342</v>
      </c>
      <c r="K2543" t="s">
        <v>4282</v>
      </c>
      <c r="L2543" t="s">
        <v>4132</v>
      </c>
      <c r="M2543" t="s">
        <v>771</v>
      </c>
    </row>
    <row r="2544" spans="1:13" x14ac:dyDescent="0.25">
      <c r="A2544" t="s">
        <v>4178</v>
      </c>
      <c r="B2544" t="s">
        <v>13</v>
      </c>
      <c r="C2544" t="s">
        <v>4171</v>
      </c>
      <c r="D2544" t="s">
        <v>4179</v>
      </c>
      <c r="E2544" s="2" t="s">
        <v>31389</v>
      </c>
      <c r="F2544" t="s">
        <v>4181</v>
      </c>
      <c r="G2544" t="s">
        <v>4182</v>
      </c>
      <c r="H2544" t="s">
        <v>1802</v>
      </c>
      <c r="I2544" t="s">
        <v>19</v>
      </c>
      <c r="J2544" s="3">
        <f>55-14-32358245</f>
        <v>-32358204</v>
      </c>
      <c r="K2544" t="s">
        <v>4183</v>
      </c>
      <c r="L2544" t="s">
        <v>1963</v>
      </c>
      <c r="M2544" t="s">
        <v>337</v>
      </c>
    </row>
    <row r="2545" spans="1:13" x14ac:dyDescent="0.25">
      <c r="A2545" t="s">
        <v>9546</v>
      </c>
      <c r="B2545" t="s">
        <v>101</v>
      </c>
      <c r="C2545" t="s">
        <v>9547</v>
      </c>
      <c r="D2545" t="s">
        <v>9548</v>
      </c>
      <c r="E2545" s="2" t="s">
        <v>32043</v>
      </c>
      <c r="F2545" t="s">
        <v>1464</v>
      </c>
      <c r="G2545" t="s">
        <v>9549</v>
      </c>
      <c r="H2545" t="s">
        <v>36</v>
      </c>
      <c r="I2545" t="s">
        <v>19</v>
      </c>
      <c r="J2545" s="3">
        <f>55-11-999698555</f>
        <v>-999698511</v>
      </c>
      <c r="K2545" t="s">
        <v>9550</v>
      </c>
      <c r="L2545" t="s">
        <v>439</v>
      </c>
      <c r="M2545" t="s">
        <v>1775</v>
      </c>
    </row>
    <row r="2546" spans="1:13" x14ac:dyDescent="0.25">
      <c r="A2546" t="s">
        <v>5724</v>
      </c>
      <c r="B2546" t="s">
        <v>13</v>
      </c>
      <c r="C2546" s="1">
        <v>44450</v>
      </c>
      <c r="D2546" t="s">
        <v>5725</v>
      </c>
      <c r="E2546" s="2" t="s">
        <v>31894</v>
      </c>
      <c r="F2546" t="s">
        <v>5726</v>
      </c>
      <c r="G2546" t="s">
        <v>5727</v>
      </c>
      <c r="H2546" t="s">
        <v>1215</v>
      </c>
      <c r="I2546" t="s">
        <v>19</v>
      </c>
      <c r="J2546" s="3" t="s">
        <v>5728</v>
      </c>
      <c r="K2546" t="s">
        <v>5729</v>
      </c>
      <c r="L2546" t="s">
        <v>32135</v>
      </c>
      <c r="M2546" t="s">
        <v>432</v>
      </c>
    </row>
    <row r="2547" spans="1:13" x14ac:dyDescent="0.25">
      <c r="A2547" t="s">
        <v>3644</v>
      </c>
      <c r="B2547" t="s">
        <v>13</v>
      </c>
      <c r="C2547" s="1">
        <v>44870</v>
      </c>
      <c r="D2547" t="s">
        <v>3645</v>
      </c>
      <c r="E2547" s="2" t="s">
        <v>30786</v>
      </c>
      <c r="F2547" t="s">
        <v>211</v>
      </c>
      <c r="G2547" t="s">
        <v>3646</v>
      </c>
      <c r="H2547" t="s">
        <v>36</v>
      </c>
      <c r="I2547" t="s">
        <v>19</v>
      </c>
      <c r="J2547" s="3" t="s">
        <v>3647</v>
      </c>
      <c r="K2547" t="s">
        <v>3648</v>
      </c>
      <c r="L2547" t="s">
        <v>344</v>
      </c>
      <c r="M2547" t="s">
        <v>1775</v>
      </c>
    </row>
    <row r="2548" spans="1:13" x14ac:dyDescent="0.25">
      <c r="A2548" t="s">
        <v>8891</v>
      </c>
      <c r="B2548" t="s">
        <v>13</v>
      </c>
      <c r="C2548" s="1">
        <v>44086</v>
      </c>
      <c r="D2548" t="s">
        <v>32135</v>
      </c>
      <c r="E2548" s="2" t="s">
        <v>31943</v>
      </c>
      <c r="F2548" t="s">
        <v>4276</v>
      </c>
      <c r="G2548" t="s">
        <v>8892</v>
      </c>
      <c r="H2548" t="s">
        <v>150</v>
      </c>
      <c r="I2548" t="s">
        <v>19</v>
      </c>
      <c r="J2548" s="3" t="s">
        <v>8893</v>
      </c>
      <c r="K2548" t="s">
        <v>8894</v>
      </c>
      <c r="L2548" t="s">
        <v>32135</v>
      </c>
      <c r="M2548" t="s">
        <v>32162</v>
      </c>
    </row>
    <row r="2549" spans="1:13" x14ac:dyDescent="0.25">
      <c r="A2549" t="s">
        <v>29981</v>
      </c>
      <c r="B2549" t="s">
        <v>13</v>
      </c>
      <c r="C2549" t="s">
        <v>14184</v>
      </c>
      <c r="D2549" t="s">
        <v>29982</v>
      </c>
      <c r="E2549" t="s">
        <v>32393</v>
      </c>
      <c r="F2549" t="s">
        <v>1464</v>
      </c>
      <c r="G2549" t="s">
        <v>26863</v>
      </c>
      <c r="H2549" t="s">
        <v>3391</v>
      </c>
      <c r="I2549" t="s">
        <v>19</v>
      </c>
      <c r="J2549" s="3" t="s">
        <v>29983</v>
      </c>
      <c r="K2549" t="s">
        <v>26865</v>
      </c>
      <c r="L2549" t="s">
        <v>285</v>
      </c>
      <c r="M2549" t="s">
        <v>32162</v>
      </c>
    </row>
    <row r="2550" spans="1:13" x14ac:dyDescent="0.25">
      <c r="A2550" t="s">
        <v>6659</v>
      </c>
      <c r="B2550" t="s">
        <v>13</v>
      </c>
      <c r="C2550" t="s">
        <v>6660</v>
      </c>
      <c r="D2550" t="s">
        <v>32140</v>
      </c>
      <c r="E2550" t="s">
        <v>6661</v>
      </c>
      <c r="F2550" t="s">
        <v>6661</v>
      </c>
      <c r="G2550" t="s">
        <v>6662</v>
      </c>
      <c r="H2550" t="s">
        <v>936</v>
      </c>
      <c r="I2550" t="s">
        <v>19</v>
      </c>
      <c r="J2550" s="3" t="s">
        <v>6663</v>
      </c>
      <c r="K2550" t="s">
        <v>6664</v>
      </c>
      <c r="L2550" t="s">
        <v>32135</v>
      </c>
      <c r="M2550" t="s">
        <v>741</v>
      </c>
    </row>
    <row r="2551" spans="1:13" x14ac:dyDescent="0.25">
      <c r="A2551" t="s">
        <v>8937</v>
      </c>
      <c r="B2551" t="s">
        <v>13</v>
      </c>
      <c r="C2551" s="1">
        <v>44024</v>
      </c>
      <c r="D2551" t="s">
        <v>32135</v>
      </c>
      <c r="E2551" t="s">
        <v>8938</v>
      </c>
      <c r="F2551" t="s">
        <v>8939</v>
      </c>
      <c r="G2551" t="s">
        <v>8940</v>
      </c>
      <c r="H2551" t="s">
        <v>32135</v>
      </c>
      <c r="I2551" t="s">
        <v>19</v>
      </c>
      <c r="J2551" s="3">
        <f>+ 55-18-3229-5826</f>
        <v>-9018</v>
      </c>
      <c r="K2551" t="s">
        <v>6282</v>
      </c>
      <c r="L2551" t="s">
        <v>32135</v>
      </c>
      <c r="M2551" t="s">
        <v>1775</v>
      </c>
    </row>
    <row r="2552" spans="1:13" x14ac:dyDescent="0.25">
      <c r="A2552" t="s">
        <v>20768</v>
      </c>
      <c r="B2552" t="s">
        <v>13</v>
      </c>
      <c r="C2552" s="1">
        <v>43197</v>
      </c>
      <c r="D2552" t="s">
        <v>20769</v>
      </c>
      <c r="E2552" s="2" t="s">
        <v>31561</v>
      </c>
      <c r="F2552" t="s">
        <v>5940</v>
      </c>
      <c r="G2552" t="s">
        <v>15190</v>
      </c>
      <c r="H2552" t="s">
        <v>462</v>
      </c>
      <c r="I2552" t="s">
        <v>19</v>
      </c>
      <c r="J2552" s="3">
        <f>55-44-30111379</f>
        <v>-30111368</v>
      </c>
      <c r="K2552" t="s">
        <v>15191</v>
      </c>
      <c r="L2552" t="s">
        <v>904</v>
      </c>
      <c r="M2552" t="s">
        <v>741</v>
      </c>
    </row>
    <row r="2553" spans="1:13" x14ac:dyDescent="0.25">
      <c r="A2553" t="s">
        <v>23034</v>
      </c>
      <c r="B2553" t="s">
        <v>101</v>
      </c>
      <c r="C2553" t="s">
        <v>12029</v>
      </c>
      <c r="D2553" t="s">
        <v>23035</v>
      </c>
      <c r="E2553" t="s">
        <v>23036</v>
      </c>
      <c r="F2553" t="s">
        <v>741</v>
      </c>
      <c r="G2553" t="s">
        <v>23037</v>
      </c>
      <c r="H2553" t="s">
        <v>5543</v>
      </c>
      <c r="I2553" t="s">
        <v>19</v>
      </c>
      <c r="J2553" s="3">
        <f>55-16-36331386</f>
        <v>-36331347</v>
      </c>
      <c r="K2553" t="s">
        <v>23038</v>
      </c>
      <c r="L2553" t="s">
        <v>391</v>
      </c>
      <c r="M2553" t="s">
        <v>741</v>
      </c>
    </row>
    <row r="2554" spans="1:13" x14ac:dyDescent="0.25">
      <c r="A2554" t="s">
        <v>1100</v>
      </c>
      <c r="B2554" t="s">
        <v>101</v>
      </c>
      <c r="C2554" t="s">
        <v>1032</v>
      </c>
      <c r="D2554" t="s">
        <v>1101</v>
      </c>
      <c r="E2554" t="s">
        <v>32394</v>
      </c>
      <c r="F2554" t="s">
        <v>1102</v>
      </c>
      <c r="G2554" t="s">
        <v>1103</v>
      </c>
      <c r="H2554" t="s">
        <v>706</v>
      </c>
      <c r="I2554" t="s">
        <v>19</v>
      </c>
      <c r="J2554" s="3" t="s">
        <v>1104</v>
      </c>
      <c r="K2554" t="s">
        <v>1105</v>
      </c>
      <c r="L2554" t="s">
        <v>1106</v>
      </c>
      <c r="M2554" t="s">
        <v>741</v>
      </c>
    </row>
    <row r="2555" spans="1:13" x14ac:dyDescent="0.25">
      <c r="A2555" t="s">
        <v>28003</v>
      </c>
      <c r="B2555" t="s">
        <v>13</v>
      </c>
      <c r="C2555" s="1">
        <v>42253</v>
      </c>
      <c r="D2555" t="s">
        <v>28004</v>
      </c>
      <c r="E2555" t="s">
        <v>28005</v>
      </c>
      <c r="F2555" t="s">
        <v>5940</v>
      </c>
      <c r="G2555" t="s">
        <v>24858</v>
      </c>
      <c r="H2555" t="s">
        <v>1486</v>
      </c>
      <c r="I2555" t="s">
        <v>19</v>
      </c>
      <c r="J2555" s="3" t="s">
        <v>24859</v>
      </c>
      <c r="K2555" t="s">
        <v>24860</v>
      </c>
      <c r="L2555" t="s">
        <v>1489</v>
      </c>
      <c r="M2555" t="s">
        <v>741</v>
      </c>
    </row>
    <row r="2556" spans="1:13" x14ac:dyDescent="0.25">
      <c r="A2556" t="s">
        <v>16936</v>
      </c>
      <c r="B2556" t="s">
        <v>13</v>
      </c>
      <c r="C2556" t="s">
        <v>16919</v>
      </c>
      <c r="D2556" t="s">
        <v>16937</v>
      </c>
      <c r="E2556" t="s">
        <v>16938</v>
      </c>
      <c r="F2556" t="s">
        <v>5940</v>
      </c>
      <c r="G2556" t="s">
        <v>16939</v>
      </c>
      <c r="H2556" t="s">
        <v>1486</v>
      </c>
      <c r="I2556" t="s">
        <v>19</v>
      </c>
      <c r="J2556" s="3">
        <f>55-34991388378</f>
        <v>-34991388323</v>
      </c>
      <c r="K2556" t="s">
        <v>16940</v>
      </c>
      <c r="L2556" t="s">
        <v>1489</v>
      </c>
      <c r="M2556" t="s">
        <v>741</v>
      </c>
    </row>
    <row r="2557" spans="1:13" x14ac:dyDescent="0.25">
      <c r="A2557" t="s">
        <v>27502</v>
      </c>
      <c r="B2557" t="s">
        <v>13</v>
      </c>
      <c r="C2557" s="1">
        <v>42013</v>
      </c>
      <c r="D2557" t="s">
        <v>27503</v>
      </c>
      <c r="E2557" t="s">
        <v>27504</v>
      </c>
      <c r="F2557" t="s">
        <v>5940</v>
      </c>
      <c r="G2557" t="s">
        <v>27505</v>
      </c>
      <c r="H2557" t="s">
        <v>472</v>
      </c>
      <c r="I2557" t="s">
        <v>19</v>
      </c>
      <c r="J2557" s="3">
        <v>558195606785</v>
      </c>
      <c r="K2557" t="s">
        <v>27506</v>
      </c>
      <c r="L2557" t="s">
        <v>2101</v>
      </c>
      <c r="M2557" t="s">
        <v>741</v>
      </c>
    </row>
    <row r="2558" spans="1:13" x14ac:dyDescent="0.25">
      <c r="A2558" t="s">
        <v>23420</v>
      </c>
      <c r="B2558" t="s">
        <v>13</v>
      </c>
      <c r="C2558" t="s">
        <v>23402</v>
      </c>
      <c r="D2558" t="s">
        <v>23421</v>
      </c>
      <c r="E2558" s="2" t="s">
        <v>31329</v>
      </c>
      <c r="F2558" t="s">
        <v>9327</v>
      </c>
      <c r="G2558" t="s">
        <v>23422</v>
      </c>
      <c r="H2558" t="s">
        <v>352</v>
      </c>
      <c r="I2558" t="s">
        <v>19</v>
      </c>
      <c r="J2558" s="3" t="s">
        <v>23423</v>
      </c>
      <c r="K2558" t="s">
        <v>23424</v>
      </c>
      <c r="L2558" t="s">
        <v>23425</v>
      </c>
      <c r="M2558" t="s">
        <v>1304</v>
      </c>
    </row>
    <row r="2559" spans="1:13" x14ac:dyDescent="0.25">
      <c r="A2559" t="s">
        <v>19253</v>
      </c>
      <c r="B2559" t="s">
        <v>13</v>
      </c>
      <c r="C2559" t="s">
        <v>19254</v>
      </c>
      <c r="D2559" t="s">
        <v>19255</v>
      </c>
      <c r="E2559" t="s">
        <v>19256</v>
      </c>
      <c r="F2559" t="s">
        <v>6485</v>
      </c>
      <c r="G2559" t="s">
        <v>19257</v>
      </c>
      <c r="H2559" t="s">
        <v>1335</v>
      </c>
      <c r="I2559" t="s">
        <v>19</v>
      </c>
      <c r="J2559" s="3">
        <f>55-43-33715481</f>
        <v>-33715469</v>
      </c>
      <c r="K2559" t="s">
        <v>19258</v>
      </c>
      <c r="L2559" t="s">
        <v>19259</v>
      </c>
      <c r="M2559" t="s">
        <v>741</v>
      </c>
    </row>
    <row r="2560" spans="1:13" x14ac:dyDescent="0.25">
      <c r="A2560" t="s">
        <v>5135</v>
      </c>
      <c r="B2560" t="s">
        <v>13</v>
      </c>
      <c r="C2560" s="1">
        <v>44743</v>
      </c>
      <c r="D2560" t="s">
        <v>5136</v>
      </c>
      <c r="E2560" t="s">
        <v>5137</v>
      </c>
      <c r="F2560" t="s">
        <v>263</v>
      </c>
      <c r="G2560" t="s">
        <v>5138</v>
      </c>
      <c r="H2560" t="s">
        <v>1656</v>
      </c>
      <c r="I2560" t="s">
        <v>19</v>
      </c>
      <c r="J2560" s="3">
        <v>5555996579692</v>
      </c>
      <c r="K2560" t="s">
        <v>5139</v>
      </c>
      <c r="L2560" t="s">
        <v>32135</v>
      </c>
      <c r="M2560" t="s">
        <v>32145</v>
      </c>
    </row>
    <row r="2561" spans="1:13" x14ac:dyDescent="0.25">
      <c r="A2561" t="s">
        <v>28277</v>
      </c>
      <c r="B2561" t="s">
        <v>13</v>
      </c>
      <c r="C2561" t="s">
        <v>28278</v>
      </c>
      <c r="D2561" t="s">
        <v>28279</v>
      </c>
      <c r="E2561" s="2" t="s">
        <v>31355</v>
      </c>
      <c r="F2561" t="s">
        <v>10034</v>
      </c>
      <c r="G2561" t="s">
        <v>28280</v>
      </c>
      <c r="H2561" t="s">
        <v>265</v>
      </c>
      <c r="I2561" t="s">
        <v>19</v>
      </c>
      <c r="J2561" s="3" t="s">
        <v>28281</v>
      </c>
      <c r="K2561" t="s">
        <v>28282</v>
      </c>
      <c r="L2561" t="s">
        <v>3558</v>
      </c>
      <c r="M2561" t="s">
        <v>741</v>
      </c>
    </row>
    <row r="2562" spans="1:13" x14ac:dyDescent="0.25">
      <c r="A2562" t="s">
        <v>13418</v>
      </c>
      <c r="B2562" t="s">
        <v>13</v>
      </c>
      <c r="C2562" t="s">
        <v>12133</v>
      </c>
      <c r="D2562" t="s">
        <v>13419</v>
      </c>
      <c r="E2562" s="2" t="s">
        <v>31073</v>
      </c>
      <c r="F2562" t="s">
        <v>6485</v>
      </c>
      <c r="G2562" t="s">
        <v>13420</v>
      </c>
      <c r="H2562" t="s">
        <v>936</v>
      </c>
      <c r="I2562" t="s">
        <v>19</v>
      </c>
      <c r="J2562" s="3">
        <f>55-71-9975-5275</f>
        <v>-15266</v>
      </c>
      <c r="K2562" t="s">
        <v>13421</v>
      </c>
      <c r="L2562" t="s">
        <v>1523</v>
      </c>
      <c r="M2562" t="s">
        <v>741</v>
      </c>
    </row>
    <row r="2563" spans="1:13" x14ac:dyDescent="0.25">
      <c r="A2563" t="s">
        <v>4786</v>
      </c>
      <c r="B2563" t="s">
        <v>13</v>
      </c>
      <c r="C2563" s="1">
        <v>44867</v>
      </c>
      <c r="D2563" t="s">
        <v>4787</v>
      </c>
      <c r="E2563" t="s">
        <v>4788</v>
      </c>
      <c r="F2563" t="s">
        <v>4789</v>
      </c>
      <c r="G2563" t="s">
        <v>4790</v>
      </c>
      <c r="H2563" t="s">
        <v>936</v>
      </c>
      <c r="I2563" t="s">
        <v>19</v>
      </c>
      <c r="J2563" s="3">
        <f>55-(71)-986437227</f>
        <v>-986437243</v>
      </c>
      <c r="K2563" t="s">
        <v>4791</v>
      </c>
      <c r="L2563" t="s">
        <v>4792</v>
      </c>
      <c r="M2563" t="s">
        <v>741</v>
      </c>
    </row>
    <row r="2564" spans="1:13" x14ac:dyDescent="0.25">
      <c r="A2564" t="s">
        <v>15053</v>
      </c>
      <c r="B2564" t="s">
        <v>13</v>
      </c>
      <c r="C2564" s="1">
        <v>43810</v>
      </c>
      <c r="D2564" t="s">
        <v>15054</v>
      </c>
      <c r="E2564" s="2" t="s">
        <v>32114</v>
      </c>
      <c r="F2564" t="s">
        <v>1464</v>
      </c>
      <c r="G2564" t="s">
        <v>15055</v>
      </c>
      <c r="H2564" t="s">
        <v>540</v>
      </c>
      <c r="I2564" t="s">
        <v>19</v>
      </c>
      <c r="J2564" s="3" t="s">
        <v>15056</v>
      </c>
      <c r="K2564" t="s">
        <v>15057</v>
      </c>
      <c r="L2564" t="s">
        <v>1531</v>
      </c>
      <c r="M2564" t="s">
        <v>1775</v>
      </c>
    </row>
    <row r="2565" spans="1:13" x14ac:dyDescent="0.25">
      <c r="A2565" t="s">
        <v>6449</v>
      </c>
      <c r="B2565" t="s">
        <v>13</v>
      </c>
      <c r="C2565" s="1">
        <v>44448</v>
      </c>
      <c r="D2565" t="s">
        <v>32135</v>
      </c>
      <c r="E2565" s="2" t="s">
        <v>32113</v>
      </c>
      <c r="F2565" t="s">
        <v>6450</v>
      </c>
      <c r="G2565" t="s">
        <v>6451</v>
      </c>
      <c r="H2565" t="s">
        <v>428</v>
      </c>
      <c r="I2565" t="s">
        <v>19</v>
      </c>
      <c r="J2565" s="3">
        <v>55133085010</v>
      </c>
      <c r="K2565" t="s">
        <v>6452</v>
      </c>
      <c r="L2565" t="s">
        <v>32135</v>
      </c>
      <c r="M2565" t="s">
        <v>337</v>
      </c>
    </row>
    <row r="2566" spans="1:13" x14ac:dyDescent="0.25">
      <c r="A2566" t="s">
        <v>19796</v>
      </c>
      <c r="B2566" t="s">
        <v>13</v>
      </c>
      <c r="C2566" s="1">
        <v>43199</v>
      </c>
      <c r="D2566" t="s">
        <v>19797</v>
      </c>
      <c r="E2566" s="2" t="s">
        <v>32395</v>
      </c>
      <c r="F2566" t="s">
        <v>3084</v>
      </c>
      <c r="G2566" t="s">
        <v>19798</v>
      </c>
      <c r="H2566" t="s">
        <v>2829</v>
      </c>
      <c r="I2566" t="s">
        <v>19</v>
      </c>
      <c r="J2566" s="3" t="s">
        <v>19799</v>
      </c>
      <c r="K2566" t="s">
        <v>19800</v>
      </c>
      <c r="L2566" t="s">
        <v>19801</v>
      </c>
      <c r="M2566" t="s">
        <v>32144</v>
      </c>
    </row>
    <row r="2567" spans="1:13" x14ac:dyDescent="0.25">
      <c r="A2567" t="s">
        <v>29613</v>
      </c>
      <c r="B2567" t="s">
        <v>13</v>
      </c>
      <c r="C2567" t="s">
        <v>16024</v>
      </c>
      <c r="D2567" t="s">
        <v>29614</v>
      </c>
      <c r="E2567" t="s">
        <v>32396</v>
      </c>
      <c r="F2567" t="s">
        <v>1190</v>
      </c>
      <c r="G2567" t="s">
        <v>29615</v>
      </c>
      <c r="H2567" t="s">
        <v>29616</v>
      </c>
      <c r="I2567" t="s">
        <v>19</v>
      </c>
      <c r="J2567" s="3" t="s">
        <v>29617</v>
      </c>
      <c r="K2567" t="s">
        <v>29618</v>
      </c>
      <c r="L2567" t="s">
        <v>17459</v>
      </c>
      <c r="M2567" t="s">
        <v>432</v>
      </c>
    </row>
    <row r="2568" spans="1:13" x14ac:dyDescent="0.25">
      <c r="A2568" t="s">
        <v>2740</v>
      </c>
      <c r="B2568" t="s">
        <v>13</v>
      </c>
      <c r="C2568" s="1">
        <v>44569</v>
      </c>
      <c r="D2568" t="s">
        <v>2741</v>
      </c>
      <c r="E2568" t="s">
        <v>2742</v>
      </c>
      <c r="F2568" t="s">
        <v>2743</v>
      </c>
      <c r="G2568" t="s">
        <v>2744</v>
      </c>
      <c r="H2568" t="s">
        <v>150</v>
      </c>
      <c r="I2568" t="s">
        <v>19</v>
      </c>
      <c r="J2568" s="3" t="s">
        <v>2745</v>
      </c>
      <c r="K2568" t="s">
        <v>2746</v>
      </c>
      <c r="L2568" t="s">
        <v>321</v>
      </c>
      <c r="M2568" t="s">
        <v>57</v>
      </c>
    </row>
    <row r="2569" spans="1:13" x14ac:dyDescent="0.25">
      <c r="A2569" t="s">
        <v>16911</v>
      </c>
      <c r="B2569" t="s">
        <v>13</v>
      </c>
      <c r="C2569" t="s">
        <v>16899</v>
      </c>
      <c r="D2569" t="s">
        <v>16912</v>
      </c>
      <c r="E2569" t="s">
        <v>32397</v>
      </c>
      <c r="F2569" t="s">
        <v>3084</v>
      </c>
      <c r="G2569" t="s">
        <v>16913</v>
      </c>
      <c r="H2569" t="s">
        <v>16914</v>
      </c>
      <c r="I2569" t="s">
        <v>19</v>
      </c>
      <c r="J2569" s="3" t="s">
        <v>16915</v>
      </c>
      <c r="K2569" t="s">
        <v>16916</v>
      </c>
      <c r="L2569" t="s">
        <v>16917</v>
      </c>
      <c r="M2569" t="s">
        <v>32144</v>
      </c>
    </row>
    <row r="2570" spans="1:13" x14ac:dyDescent="0.25">
      <c r="A2570" t="s">
        <v>13404</v>
      </c>
      <c r="B2570" t="s">
        <v>13</v>
      </c>
      <c r="C2570" t="s">
        <v>12133</v>
      </c>
      <c r="D2570" t="s">
        <v>13405</v>
      </c>
      <c r="E2570" s="2" t="s">
        <v>31071</v>
      </c>
      <c r="F2570" t="s">
        <v>1464</v>
      </c>
      <c r="G2570" t="s">
        <v>13406</v>
      </c>
      <c r="H2570" t="s">
        <v>472</v>
      </c>
      <c r="I2570" t="s">
        <v>19</v>
      </c>
      <c r="J2570" s="3">
        <f>55-81-979064365</f>
        <v>-979064391</v>
      </c>
      <c r="K2570" t="s">
        <v>13407</v>
      </c>
      <c r="L2570" t="s">
        <v>1615</v>
      </c>
      <c r="M2570" t="s">
        <v>57</v>
      </c>
    </row>
    <row r="2571" spans="1:13" x14ac:dyDescent="0.25">
      <c r="A2571" t="s">
        <v>22888</v>
      </c>
      <c r="B2571" t="s">
        <v>101</v>
      </c>
      <c r="C2571" s="1">
        <v>42747</v>
      </c>
      <c r="D2571" t="s">
        <v>22889</v>
      </c>
      <c r="E2571" t="s">
        <v>22890</v>
      </c>
      <c r="F2571" t="s">
        <v>1464</v>
      </c>
      <c r="G2571" t="s">
        <v>22891</v>
      </c>
      <c r="H2571" t="s">
        <v>706</v>
      </c>
      <c r="I2571" t="s">
        <v>19</v>
      </c>
      <c r="J2571" s="3" t="s">
        <v>22892</v>
      </c>
      <c r="K2571" t="s">
        <v>22893</v>
      </c>
      <c r="L2571" t="s">
        <v>565</v>
      </c>
      <c r="M2571" t="s">
        <v>32147</v>
      </c>
    </row>
    <row r="2572" spans="1:13" x14ac:dyDescent="0.25">
      <c r="A2572" t="s">
        <v>22348</v>
      </c>
      <c r="B2572" t="s">
        <v>13</v>
      </c>
      <c r="C2572" s="1">
        <v>43102</v>
      </c>
      <c r="D2572" t="s">
        <v>22349</v>
      </c>
      <c r="E2572" t="s">
        <v>6407</v>
      </c>
      <c r="F2572" t="s">
        <v>117</v>
      </c>
      <c r="G2572" t="s">
        <v>22350</v>
      </c>
      <c r="H2572" t="s">
        <v>352</v>
      </c>
      <c r="I2572" t="s">
        <v>19</v>
      </c>
      <c r="J2572" s="3">
        <v>5521991632366</v>
      </c>
      <c r="K2572" t="s">
        <v>22351</v>
      </c>
      <c r="L2572" t="s">
        <v>550</v>
      </c>
      <c r="M2572" t="s">
        <v>32145</v>
      </c>
    </row>
    <row r="2573" spans="1:13" x14ac:dyDescent="0.25">
      <c r="A2573" t="s">
        <v>1945</v>
      </c>
      <c r="B2573" t="s">
        <v>13</v>
      </c>
      <c r="C2573" t="s">
        <v>1283</v>
      </c>
      <c r="D2573" t="s">
        <v>1946</v>
      </c>
      <c r="E2573" s="2" t="s">
        <v>32093</v>
      </c>
      <c r="F2573" t="s">
        <v>345</v>
      </c>
      <c r="G2573" t="s">
        <v>1948</v>
      </c>
      <c r="H2573" t="s">
        <v>1949</v>
      </c>
      <c r="I2573" t="s">
        <v>19</v>
      </c>
      <c r="J2573" s="3" t="s">
        <v>1950</v>
      </c>
      <c r="K2573" t="s">
        <v>1951</v>
      </c>
      <c r="L2573" t="s">
        <v>1658</v>
      </c>
      <c r="M2573" t="s">
        <v>771</v>
      </c>
    </row>
    <row r="2574" spans="1:13" x14ac:dyDescent="0.25">
      <c r="A2574" t="s">
        <v>29189</v>
      </c>
      <c r="B2574" t="s">
        <v>13</v>
      </c>
      <c r="C2574" t="s">
        <v>29190</v>
      </c>
      <c r="D2574" t="s">
        <v>29191</v>
      </c>
      <c r="E2574" t="s">
        <v>29192</v>
      </c>
      <c r="F2574" t="s">
        <v>771</v>
      </c>
      <c r="G2574" t="s">
        <v>29193</v>
      </c>
      <c r="H2574" t="s">
        <v>255</v>
      </c>
      <c r="I2574" t="s">
        <v>19</v>
      </c>
      <c r="J2574" s="3" t="s">
        <v>25563</v>
      </c>
      <c r="K2574" t="s">
        <v>29194</v>
      </c>
      <c r="L2574" t="s">
        <v>9587</v>
      </c>
      <c r="M2574" t="s">
        <v>771</v>
      </c>
    </row>
    <row r="2575" spans="1:13" x14ac:dyDescent="0.25">
      <c r="A2575" t="s">
        <v>21455</v>
      </c>
      <c r="B2575" t="s">
        <v>13</v>
      </c>
      <c r="C2575" t="s">
        <v>9807</v>
      </c>
      <c r="D2575" t="s">
        <v>21456</v>
      </c>
      <c r="E2575" t="s">
        <v>21457</v>
      </c>
      <c r="F2575" t="s">
        <v>785</v>
      </c>
      <c r="G2575" t="s">
        <v>21458</v>
      </c>
      <c r="H2575" t="s">
        <v>21459</v>
      </c>
      <c r="I2575" t="s">
        <v>19</v>
      </c>
      <c r="J2575" s="3">
        <f>55-35-991084586</f>
        <v>-991084566</v>
      </c>
      <c r="K2575" t="s">
        <v>21460</v>
      </c>
      <c r="L2575" t="s">
        <v>21461</v>
      </c>
      <c r="M2575" t="s">
        <v>785</v>
      </c>
    </row>
    <row r="2576" spans="1:13" x14ac:dyDescent="0.25">
      <c r="A2576" t="s">
        <v>11018</v>
      </c>
      <c r="B2576" t="s">
        <v>13</v>
      </c>
      <c r="C2576" t="s">
        <v>11014</v>
      </c>
      <c r="D2576" t="s">
        <v>11019</v>
      </c>
      <c r="E2576" t="s">
        <v>11020</v>
      </c>
      <c r="F2576" t="s">
        <v>332</v>
      </c>
      <c r="G2576" t="s">
        <v>11021</v>
      </c>
      <c r="H2576" t="s">
        <v>1802</v>
      </c>
      <c r="I2576" t="s">
        <v>19</v>
      </c>
      <c r="J2576" s="3" t="s">
        <v>11022</v>
      </c>
      <c r="K2576" t="s">
        <v>11023</v>
      </c>
      <c r="L2576" t="s">
        <v>4852</v>
      </c>
      <c r="M2576" t="s">
        <v>337</v>
      </c>
    </row>
    <row r="2577" spans="1:13" x14ac:dyDescent="0.25">
      <c r="A2577" t="s">
        <v>2285</v>
      </c>
      <c r="B2577" t="s">
        <v>13</v>
      </c>
      <c r="C2577" t="s">
        <v>2286</v>
      </c>
      <c r="D2577" t="s">
        <v>2287</v>
      </c>
      <c r="E2577" t="s">
        <v>2288</v>
      </c>
      <c r="F2577" t="s">
        <v>397</v>
      </c>
      <c r="G2577" t="s">
        <v>2289</v>
      </c>
      <c r="H2577" t="s">
        <v>36</v>
      </c>
      <c r="I2577" t="s">
        <v>19</v>
      </c>
      <c r="J2577" s="3" t="s">
        <v>2290</v>
      </c>
      <c r="K2577" t="s">
        <v>2291</v>
      </c>
      <c r="L2577" t="s">
        <v>2292</v>
      </c>
      <c r="M2577" t="s">
        <v>32145</v>
      </c>
    </row>
    <row r="2578" spans="1:13" x14ac:dyDescent="0.25">
      <c r="A2578" t="s">
        <v>3399</v>
      </c>
      <c r="B2578" t="s">
        <v>13</v>
      </c>
      <c r="C2578" s="1">
        <v>44840</v>
      </c>
      <c r="D2578" t="s">
        <v>3400</v>
      </c>
      <c r="E2578" s="2" t="s">
        <v>30778</v>
      </c>
      <c r="F2578" t="s">
        <v>592</v>
      </c>
      <c r="G2578" t="s">
        <v>3401</v>
      </c>
      <c r="H2578" t="s">
        <v>1037</v>
      </c>
      <c r="I2578" t="s">
        <v>19</v>
      </c>
      <c r="J2578" s="3" t="s">
        <v>3402</v>
      </c>
      <c r="K2578" t="s">
        <v>3403</v>
      </c>
      <c r="L2578" t="s">
        <v>1040</v>
      </c>
      <c r="M2578" t="s">
        <v>32145</v>
      </c>
    </row>
    <row r="2579" spans="1:13" x14ac:dyDescent="0.25">
      <c r="A2579" t="s">
        <v>12395</v>
      </c>
      <c r="B2579" t="s">
        <v>13</v>
      </c>
      <c r="C2579" s="1">
        <v>44078</v>
      </c>
      <c r="D2579" t="s">
        <v>12396</v>
      </c>
      <c r="E2579" t="s">
        <v>12397</v>
      </c>
      <c r="F2579" t="s">
        <v>1129</v>
      </c>
      <c r="G2579" t="s">
        <v>12398</v>
      </c>
      <c r="H2579" t="s">
        <v>36</v>
      </c>
      <c r="I2579" t="s">
        <v>19</v>
      </c>
      <c r="J2579" s="3">
        <f>55-11-55764069</f>
        <v>-55764025</v>
      </c>
      <c r="K2579" t="s">
        <v>12399</v>
      </c>
      <c r="L2579" t="s">
        <v>12400</v>
      </c>
      <c r="M2579" t="s">
        <v>224</v>
      </c>
    </row>
    <row r="2580" spans="1:13" x14ac:dyDescent="0.25">
      <c r="A2580" t="s">
        <v>25030</v>
      </c>
      <c r="B2580" t="s">
        <v>101</v>
      </c>
      <c r="C2580" s="1">
        <v>42563</v>
      </c>
      <c r="D2580" t="s">
        <v>25031</v>
      </c>
      <c r="E2580" t="s">
        <v>25032</v>
      </c>
      <c r="F2580" t="s">
        <v>771</v>
      </c>
      <c r="G2580" t="s">
        <v>25033</v>
      </c>
      <c r="H2580" t="s">
        <v>409</v>
      </c>
      <c r="I2580" t="s">
        <v>19</v>
      </c>
      <c r="J2580" s="3" t="s">
        <v>25034</v>
      </c>
      <c r="K2580" t="s">
        <v>25035</v>
      </c>
      <c r="L2580" t="s">
        <v>412</v>
      </c>
      <c r="M2580" t="s">
        <v>771</v>
      </c>
    </row>
    <row r="2581" spans="1:13" x14ac:dyDescent="0.25">
      <c r="A2581" t="s">
        <v>11397</v>
      </c>
      <c r="B2581" t="s">
        <v>13</v>
      </c>
      <c r="C2581" t="s">
        <v>11383</v>
      </c>
      <c r="D2581" t="s">
        <v>11398</v>
      </c>
      <c r="E2581" t="s">
        <v>11399</v>
      </c>
      <c r="F2581" t="s">
        <v>1464</v>
      </c>
      <c r="G2581" t="s">
        <v>11400</v>
      </c>
      <c r="H2581" t="s">
        <v>28</v>
      </c>
      <c r="I2581" t="s">
        <v>19</v>
      </c>
      <c r="J2581" s="3">
        <v>5532988194886</v>
      </c>
      <c r="K2581" t="s">
        <v>11401</v>
      </c>
      <c r="L2581" t="s">
        <v>2012</v>
      </c>
      <c r="M2581" t="s">
        <v>432</v>
      </c>
    </row>
    <row r="2582" spans="1:13" x14ac:dyDescent="0.25">
      <c r="A2582" t="s">
        <v>21495</v>
      </c>
      <c r="B2582" t="s">
        <v>13</v>
      </c>
      <c r="C2582" t="s">
        <v>21479</v>
      </c>
      <c r="D2582" t="s">
        <v>21496</v>
      </c>
      <c r="E2582" s="2" t="s">
        <v>32398</v>
      </c>
      <c r="F2582" t="s">
        <v>129</v>
      </c>
      <c r="G2582" t="s">
        <v>21183</v>
      </c>
      <c r="H2582" t="s">
        <v>265</v>
      </c>
      <c r="I2582" t="s">
        <v>19</v>
      </c>
      <c r="J2582" s="3">
        <f>55-16-36022896</f>
        <v>-36022857</v>
      </c>
      <c r="K2582" t="s">
        <v>21184</v>
      </c>
      <c r="L2582" t="s">
        <v>3558</v>
      </c>
      <c r="M2582" t="s">
        <v>129</v>
      </c>
    </row>
    <row r="2583" spans="1:13" x14ac:dyDescent="0.25">
      <c r="A2583" t="s">
        <v>21180</v>
      </c>
      <c r="B2583" t="s">
        <v>13</v>
      </c>
      <c r="C2583" t="s">
        <v>21181</v>
      </c>
      <c r="D2583" t="s">
        <v>21182</v>
      </c>
      <c r="E2583" s="2" t="s">
        <v>32398</v>
      </c>
      <c r="F2583" t="s">
        <v>129</v>
      </c>
      <c r="G2583" t="s">
        <v>21183</v>
      </c>
      <c r="H2583" t="s">
        <v>265</v>
      </c>
      <c r="I2583" t="s">
        <v>19</v>
      </c>
      <c r="J2583" s="3">
        <f>55-16-36022896</f>
        <v>-36022857</v>
      </c>
      <c r="K2583" t="s">
        <v>21184</v>
      </c>
      <c r="L2583" t="s">
        <v>3558</v>
      </c>
      <c r="M2583" t="s">
        <v>129</v>
      </c>
    </row>
    <row r="2584" spans="1:13" x14ac:dyDescent="0.25">
      <c r="A2584" t="s">
        <v>15506</v>
      </c>
      <c r="B2584" t="s">
        <v>13</v>
      </c>
      <c r="C2584" t="s">
        <v>10383</v>
      </c>
      <c r="D2584" t="s">
        <v>15507</v>
      </c>
      <c r="E2584" s="2" t="s">
        <v>31507</v>
      </c>
      <c r="F2584" t="s">
        <v>4639</v>
      </c>
      <c r="G2584" t="s">
        <v>15508</v>
      </c>
      <c r="H2584" t="s">
        <v>255</v>
      </c>
      <c r="I2584" t="s">
        <v>19</v>
      </c>
      <c r="J2584" s="3">
        <v>5562981398546</v>
      </c>
      <c r="K2584" t="s">
        <v>15509</v>
      </c>
      <c r="L2584" t="s">
        <v>258</v>
      </c>
      <c r="M2584" t="s">
        <v>785</v>
      </c>
    </row>
    <row r="2585" spans="1:13" x14ac:dyDescent="0.25">
      <c r="A2585" t="s">
        <v>7425</v>
      </c>
      <c r="B2585" t="s">
        <v>13</v>
      </c>
      <c r="C2585" t="s">
        <v>7041</v>
      </c>
      <c r="D2585" t="s">
        <v>7426</v>
      </c>
      <c r="E2585" t="s">
        <v>406</v>
      </c>
      <c r="F2585" t="s">
        <v>7427</v>
      </c>
      <c r="G2585" t="s">
        <v>7428</v>
      </c>
      <c r="H2585" t="s">
        <v>265</v>
      </c>
      <c r="I2585" t="s">
        <v>19</v>
      </c>
      <c r="J2585" s="3">
        <v>5516981915134</v>
      </c>
      <c r="K2585" t="s">
        <v>7429</v>
      </c>
      <c r="L2585" t="s">
        <v>32135</v>
      </c>
      <c r="M2585" t="s">
        <v>771</v>
      </c>
    </row>
    <row r="2586" spans="1:13" x14ac:dyDescent="0.25">
      <c r="A2586" t="s">
        <v>14235</v>
      </c>
      <c r="B2586" t="s">
        <v>13</v>
      </c>
      <c r="C2586" t="s">
        <v>14236</v>
      </c>
      <c r="D2586" t="s">
        <v>14237</v>
      </c>
      <c r="E2586" t="s">
        <v>406</v>
      </c>
      <c r="F2586" t="s">
        <v>2947</v>
      </c>
      <c r="G2586" t="s">
        <v>14238</v>
      </c>
      <c r="H2586" t="s">
        <v>1090</v>
      </c>
      <c r="I2586" t="s">
        <v>19</v>
      </c>
      <c r="J2586" s="3">
        <f>55-81994706661</f>
        <v>-81994706606</v>
      </c>
      <c r="K2586" t="s">
        <v>14239</v>
      </c>
      <c r="L2586" t="s">
        <v>1092</v>
      </c>
      <c r="M2586" t="s">
        <v>771</v>
      </c>
    </row>
    <row r="2587" spans="1:13" x14ac:dyDescent="0.25">
      <c r="A2587" t="s">
        <v>17565</v>
      </c>
      <c r="B2587" t="s">
        <v>13</v>
      </c>
      <c r="C2587" s="1">
        <v>43501</v>
      </c>
      <c r="D2587" t="s">
        <v>17566</v>
      </c>
      <c r="E2587" t="s">
        <v>406</v>
      </c>
      <c r="F2587" t="s">
        <v>2947</v>
      </c>
      <c r="G2587" t="s">
        <v>17567</v>
      </c>
      <c r="H2587" t="s">
        <v>18</v>
      </c>
      <c r="I2587" t="s">
        <v>19</v>
      </c>
      <c r="J2587" s="3" t="s">
        <v>17568</v>
      </c>
      <c r="K2587" t="s">
        <v>4210</v>
      </c>
      <c r="L2587" t="s">
        <v>285</v>
      </c>
      <c r="M2587" t="s">
        <v>771</v>
      </c>
    </row>
    <row r="2588" spans="1:13" x14ac:dyDescent="0.25">
      <c r="A2588" t="s">
        <v>17885</v>
      </c>
      <c r="B2588" t="s">
        <v>13</v>
      </c>
      <c r="C2588" s="1">
        <v>43500</v>
      </c>
      <c r="D2588" t="s">
        <v>17886</v>
      </c>
      <c r="E2588" t="s">
        <v>406</v>
      </c>
      <c r="F2588" t="s">
        <v>2947</v>
      </c>
      <c r="G2588" t="s">
        <v>11210</v>
      </c>
      <c r="H2588" t="s">
        <v>88</v>
      </c>
      <c r="I2588" t="s">
        <v>19</v>
      </c>
      <c r="J2588" s="3" t="s">
        <v>11211</v>
      </c>
      <c r="K2588" t="s">
        <v>11212</v>
      </c>
      <c r="L2588" t="s">
        <v>764</v>
      </c>
      <c r="M2588" t="s">
        <v>771</v>
      </c>
    </row>
    <row r="2589" spans="1:13" x14ac:dyDescent="0.25">
      <c r="A2589" t="s">
        <v>14715</v>
      </c>
      <c r="B2589" t="s">
        <v>13</v>
      </c>
      <c r="C2589" s="1">
        <v>43530</v>
      </c>
      <c r="D2589" t="s">
        <v>14716</v>
      </c>
      <c r="E2589" t="s">
        <v>406</v>
      </c>
      <c r="F2589" t="s">
        <v>2947</v>
      </c>
      <c r="G2589" t="s">
        <v>14717</v>
      </c>
      <c r="H2589" t="s">
        <v>3618</v>
      </c>
      <c r="I2589" t="s">
        <v>19</v>
      </c>
      <c r="J2589" s="3">
        <f>55-79-998361958</f>
        <v>-998361982</v>
      </c>
      <c r="K2589" t="s">
        <v>14718</v>
      </c>
      <c r="L2589" t="s">
        <v>82</v>
      </c>
      <c r="M2589" t="s">
        <v>771</v>
      </c>
    </row>
    <row r="2590" spans="1:13" x14ac:dyDescent="0.25">
      <c r="A2590" t="s">
        <v>15118</v>
      </c>
      <c r="B2590" t="s">
        <v>13</v>
      </c>
      <c r="C2590" s="1">
        <v>43627</v>
      </c>
      <c r="D2590" t="s">
        <v>15119</v>
      </c>
      <c r="E2590" t="s">
        <v>406</v>
      </c>
      <c r="F2590" t="s">
        <v>2947</v>
      </c>
      <c r="G2590" t="s">
        <v>12062</v>
      </c>
      <c r="H2590" t="s">
        <v>1466</v>
      </c>
      <c r="I2590" t="s">
        <v>19</v>
      </c>
      <c r="J2590" s="3" t="s">
        <v>12063</v>
      </c>
      <c r="K2590" t="s">
        <v>12064</v>
      </c>
      <c r="L2590" t="s">
        <v>1469</v>
      </c>
      <c r="M2590" t="s">
        <v>771</v>
      </c>
    </row>
    <row r="2591" spans="1:13" x14ac:dyDescent="0.25">
      <c r="A2591" t="s">
        <v>14939</v>
      </c>
      <c r="B2591" t="s">
        <v>13</v>
      </c>
      <c r="C2591" t="s">
        <v>6364</v>
      </c>
      <c r="D2591" t="s">
        <v>14940</v>
      </c>
      <c r="E2591" t="s">
        <v>406</v>
      </c>
      <c r="F2591" t="s">
        <v>2947</v>
      </c>
      <c r="G2591" t="s">
        <v>14941</v>
      </c>
      <c r="H2591" t="s">
        <v>114</v>
      </c>
      <c r="I2591" t="s">
        <v>19</v>
      </c>
      <c r="J2591" s="3" t="s">
        <v>14942</v>
      </c>
      <c r="K2591" t="s">
        <v>14943</v>
      </c>
      <c r="L2591" t="s">
        <v>14944</v>
      </c>
      <c r="M2591" t="s">
        <v>771</v>
      </c>
    </row>
    <row r="2592" spans="1:13" x14ac:dyDescent="0.25">
      <c r="A2592" t="s">
        <v>14695</v>
      </c>
      <c r="B2592" t="s">
        <v>13</v>
      </c>
      <c r="C2592" s="1">
        <v>43628</v>
      </c>
      <c r="D2592" t="s">
        <v>14696</v>
      </c>
      <c r="E2592" t="s">
        <v>406</v>
      </c>
      <c r="F2592" t="s">
        <v>2947</v>
      </c>
      <c r="G2592" t="s">
        <v>14697</v>
      </c>
      <c r="H2592" t="s">
        <v>36</v>
      </c>
      <c r="I2592" t="s">
        <v>19</v>
      </c>
      <c r="J2592" s="3" t="s">
        <v>14698</v>
      </c>
      <c r="K2592" t="s">
        <v>14699</v>
      </c>
      <c r="L2592" t="s">
        <v>14700</v>
      </c>
      <c r="M2592" t="s">
        <v>771</v>
      </c>
    </row>
    <row r="2593" spans="1:13" x14ac:dyDescent="0.25">
      <c r="A2593" t="s">
        <v>14701</v>
      </c>
      <c r="B2593" t="s">
        <v>13</v>
      </c>
      <c r="C2593" s="1">
        <v>43597</v>
      </c>
      <c r="D2593" t="s">
        <v>14702</v>
      </c>
      <c r="E2593" t="s">
        <v>406</v>
      </c>
      <c r="F2593" t="s">
        <v>2947</v>
      </c>
      <c r="G2593" t="s">
        <v>14697</v>
      </c>
      <c r="H2593" t="s">
        <v>36</v>
      </c>
      <c r="I2593" t="s">
        <v>19</v>
      </c>
      <c r="J2593" s="3" t="s">
        <v>14698</v>
      </c>
      <c r="K2593" t="s">
        <v>14699</v>
      </c>
      <c r="L2593" t="s">
        <v>14700</v>
      </c>
      <c r="M2593" t="s">
        <v>771</v>
      </c>
    </row>
    <row r="2594" spans="1:13" x14ac:dyDescent="0.25">
      <c r="A2594" t="s">
        <v>12060</v>
      </c>
      <c r="B2594" t="s">
        <v>13</v>
      </c>
      <c r="C2594" t="s">
        <v>12053</v>
      </c>
      <c r="D2594" t="s">
        <v>12061</v>
      </c>
      <c r="E2594" t="s">
        <v>406</v>
      </c>
      <c r="F2594" t="s">
        <v>2947</v>
      </c>
      <c r="G2594" t="s">
        <v>12062</v>
      </c>
      <c r="H2594" t="s">
        <v>1466</v>
      </c>
      <c r="I2594" t="s">
        <v>19</v>
      </c>
      <c r="J2594" s="3" t="s">
        <v>12063</v>
      </c>
      <c r="K2594" t="s">
        <v>12064</v>
      </c>
      <c r="L2594" t="s">
        <v>1469</v>
      </c>
      <c r="M2594" t="s">
        <v>771</v>
      </c>
    </row>
    <row r="2595" spans="1:13" x14ac:dyDescent="0.25">
      <c r="A2595" t="s">
        <v>10309</v>
      </c>
      <c r="B2595" t="s">
        <v>13</v>
      </c>
      <c r="C2595" t="s">
        <v>8701</v>
      </c>
      <c r="D2595" t="s">
        <v>10310</v>
      </c>
      <c r="E2595" t="s">
        <v>406</v>
      </c>
      <c r="F2595" t="s">
        <v>2947</v>
      </c>
      <c r="G2595" t="s">
        <v>10311</v>
      </c>
      <c r="H2595" t="s">
        <v>1090</v>
      </c>
      <c r="I2595" t="s">
        <v>19</v>
      </c>
      <c r="J2595" s="3" t="s">
        <v>10312</v>
      </c>
      <c r="K2595" t="s">
        <v>10313</v>
      </c>
      <c r="L2595" t="s">
        <v>1092</v>
      </c>
      <c r="M2595" t="s">
        <v>771</v>
      </c>
    </row>
    <row r="2596" spans="1:13" x14ac:dyDescent="0.25">
      <c r="A2596" t="s">
        <v>673</v>
      </c>
      <c r="B2596" t="s">
        <v>13</v>
      </c>
      <c r="C2596" s="1">
        <v>44986</v>
      </c>
      <c r="D2596" t="s">
        <v>674</v>
      </c>
      <c r="E2596" t="s">
        <v>406</v>
      </c>
      <c r="F2596" t="s">
        <v>345</v>
      </c>
      <c r="G2596" t="s">
        <v>675</v>
      </c>
      <c r="H2596" t="s">
        <v>578</v>
      </c>
      <c r="I2596" t="s">
        <v>19</v>
      </c>
      <c r="J2596" s="3" t="s">
        <v>676</v>
      </c>
      <c r="K2596" t="s">
        <v>677</v>
      </c>
      <c r="L2596" t="s">
        <v>678</v>
      </c>
      <c r="M2596" t="s">
        <v>771</v>
      </c>
    </row>
    <row r="2597" spans="1:13" x14ac:dyDescent="0.25">
      <c r="A2597" t="s">
        <v>6891</v>
      </c>
      <c r="B2597" t="s">
        <v>13</v>
      </c>
      <c r="C2597" t="s">
        <v>6892</v>
      </c>
      <c r="D2597" t="s">
        <v>32135</v>
      </c>
      <c r="E2597" t="s">
        <v>406</v>
      </c>
      <c r="F2597" t="s">
        <v>345</v>
      </c>
      <c r="G2597" t="s">
        <v>6893</v>
      </c>
      <c r="H2597" t="s">
        <v>6894</v>
      </c>
      <c r="I2597" t="s">
        <v>19</v>
      </c>
      <c r="J2597" s="3" t="s">
        <v>6895</v>
      </c>
      <c r="K2597" t="s">
        <v>6896</v>
      </c>
      <c r="L2597" t="s">
        <v>32135</v>
      </c>
      <c r="M2597" t="s">
        <v>771</v>
      </c>
    </row>
    <row r="2598" spans="1:13" x14ac:dyDescent="0.25">
      <c r="A2598" t="s">
        <v>30378</v>
      </c>
      <c r="B2598" t="s">
        <v>13</v>
      </c>
      <c r="C2598" s="1">
        <v>40882</v>
      </c>
      <c r="D2598" t="s">
        <v>30379</v>
      </c>
      <c r="E2598" t="s">
        <v>406</v>
      </c>
      <c r="F2598" t="s">
        <v>2947</v>
      </c>
      <c r="G2598" t="s">
        <v>30380</v>
      </c>
      <c r="H2598" t="s">
        <v>428</v>
      </c>
      <c r="I2598" t="s">
        <v>19</v>
      </c>
      <c r="J2598" s="3" t="s">
        <v>30381</v>
      </c>
      <c r="K2598" t="s">
        <v>30382</v>
      </c>
      <c r="L2598" t="s">
        <v>1269</v>
      </c>
      <c r="M2598" t="s">
        <v>771</v>
      </c>
    </row>
    <row r="2599" spans="1:13" x14ac:dyDescent="0.25">
      <c r="A2599" t="s">
        <v>11208</v>
      </c>
      <c r="B2599" t="s">
        <v>13</v>
      </c>
      <c r="C2599" s="1">
        <v>43262</v>
      </c>
      <c r="D2599" t="s">
        <v>11209</v>
      </c>
      <c r="E2599" t="s">
        <v>406</v>
      </c>
      <c r="F2599" t="s">
        <v>2947</v>
      </c>
      <c r="G2599" t="s">
        <v>11210</v>
      </c>
      <c r="H2599" t="s">
        <v>88</v>
      </c>
      <c r="I2599" t="s">
        <v>19</v>
      </c>
      <c r="J2599" s="3" t="s">
        <v>11211</v>
      </c>
      <c r="K2599" t="s">
        <v>11212</v>
      </c>
      <c r="L2599" t="s">
        <v>764</v>
      </c>
      <c r="M2599" t="s">
        <v>771</v>
      </c>
    </row>
    <row r="2600" spans="1:13" x14ac:dyDescent="0.25">
      <c r="A2600" t="s">
        <v>29757</v>
      </c>
      <c r="B2600" t="s">
        <v>13</v>
      </c>
      <c r="C2600" t="s">
        <v>29758</v>
      </c>
      <c r="D2600" t="s">
        <v>29759</v>
      </c>
      <c r="E2600" t="s">
        <v>406</v>
      </c>
      <c r="F2600" t="s">
        <v>2947</v>
      </c>
      <c r="G2600" t="s">
        <v>10065</v>
      </c>
      <c r="H2600" t="s">
        <v>29689</v>
      </c>
      <c r="I2600" t="s">
        <v>19</v>
      </c>
      <c r="J2600" s="3" t="s">
        <v>10066</v>
      </c>
      <c r="K2600" t="s">
        <v>10067</v>
      </c>
      <c r="L2600" t="s">
        <v>10068</v>
      </c>
      <c r="M2600" t="s">
        <v>771</v>
      </c>
    </row>
    <row r="2601" spans="1:13" x14ac:dyDescent="0.25">
      <c r="A2601" t="s">
        <v>28339</v>
      </c>
      <c r="B2601" t="s">
        <v>13</v>
      </c>
      <c r="C2601" s="1">
        <v>42189</v>
      </c>
      <c r="D2601" t="s">
        <v>28340</v>
      </c>
      <c r="E2601" t="s">
        <v>406</v>
      </c>
      <c r="F2601" t="s">
        <v>2947</v>
      </c>
      <c r="G2601" t="s">
        <v>28322</v>
      </c>
      <c r="H2601" t="s">
        <v>28323</v>
      </c>
      <c r="I2601" t="s">
        <v>19</v>
      </c>
      <c r="J2601" s="3" t="s">
        <v>28324</v>
      </c>
      <c r="K2601" t="s">
        <v>28325</v>
      </c>
      <c r="L2601" t="s">
        <v>28326</v>
      </c>
      <c r="M2601" t="s">
        <v>771</v>
      </c>
    </row>
    <row r="2602" spans="1:13" x14ac:dyDescent="0.25">
      <c r="A2602" t="s">
        <v>29669</v>
      </c>
      <c r="B2602" t="s">
        <v>13</v>
      </c>
      <c r="C2602" s="1">
        <v>40609</v>
      </c>
      <c r="D2602" t="s">
        <v>29670</v>
      </c>
      <c r="E2602" t="s">
        <v>406</v>
      </c>
      <c r="F2602" t="s">
        <v>2947</v>
      </c>
      <c r="G2602" t="s">
        <v>14697</v>
      </c>
      <c r="H2602" t="s">
        <v>29656</v>
      </c>
      <c r="I2602" t="s">
        <v>19</v>
      </c>
      <c r="J2602" s="3" t="s">
        <v>24506</v>
      </c>
      <c r="K2602" t="s">
        <v>14699</v>
      </c>
      <c r="L2602" t="s">
        <v>2725</v>
      </c>
      <c r="M2602" t="s">
        <v>771</v>
      </c>
    </row>
    <row r="2603" spans="1:13" x14ac:dyDescent="0.25">
      <c r="A2603" t="s">
        <v>29424</v>
      </c>
      <c r="B2603" t="s">
        <v>13</v>
      </c>
      <c r="C2603" t="s">
        <v>29425</v>
      </c>
      <c r="D2603" t="s">
        <v>29426</v>
      </c>
      <c r="E2603" t="s">
        <v>406</v>
      </c>
      <c r="F2603" t="s">
        <v>2947</v>
      </c>
      <c r="G2603" t="s">
        <v>14697</v>
      </c>
      <c r="H2603" t="s">
        <v>36</v>
      </c>
      <c r="I2603" t="s">
        <v>19</v>
      </c>
      <c r="J2603" s="3" t="s">
        <v>24506</v>
      </c>
      <c r="K2603" t="s">
        <v>14699</v>
      </c>
      <c r="L2603" t="s">
        <v>2725</v>
      </c>
      <c r="M2603" t="s">
        <v>771</v>
      </c>
    </row>
    <row r="2604" spans="1:13" x14ac:dyDescent="0.25">
      <c r="A2604" t="s">
        <v>28153</v>
      </c>
      <c r="B2604" t="s">
        <v>13</v>
      </c>
      <c r="C2604" t="s">
        <v>28154</v>
      </c>
      <c r="D2604" t="s">
        <v>28155</v>
      </c>
      <c r="E2604" t="s">
        <v>406</v>
      </c>
      <c r="F2604" t="s">
        <v>2947</v>
      </c>
      <c r="G2604" t="s">
        <v>14697</v>
      </c>
      <c r="H2604" t="s">
        <v>36</v>
      </c>
      <c r="I2604" t="s">
        <v>19</v>
      </c>
      <c r="J2604" s="3" t="s">
        <v>24506</v>
      </c>
      <c r="K2604" t="s">
        <v>14699</v>
      </c>
      <c r="L2604" t="s">
        <v>2725</v>
      </c>
      <c r="M2604" t="s">
        <v>771</v>
      </c>
    </row>
    <row r="2605" spans="1:13" x14ac:dyDescent="0.25">
      <c r="A2605" t="s">
        <v>25036</v>
      </c>
      <c r="B2605" t="s">
        <v>13</v>
      </c>
      <c r="C2605" s="1">
        <v>42533</v>
      </c>
      <c r="D2605" t="s">
        <v>25037</v>
      </c>
      <c r="E2605" t="s">
        <v>406</v>
      </c>
      <c r="F2605" t="s">
        <v>2947</v>
      </c>
      <c r="G2605" t="s">
        <v>14697</v>
      </c>
      <c r="H2605" t="s">
        <v>36</v>
      </c>
      <c r="I2605" t="s">
        <v>19</v>
      </c>
      <c r="J2605" s="3" t="s">
        <v>24506</v>
      </c>
      <c r="K2605" t="s">
        <v>14699</v>
      </c>
      <c r="L2605" t="s">
        <v>2725</v>
      </c>
      <c r="M2605" t="s">
        <v>771</v>
      </c>
    </row>
    <row r="2606" spans="1:13" x14ac:dyDescent="0.25">
      <c r="A2606" t="s">
        <v>26971</v>
      </c>
      <c r="B2606" t="s">
        <v>13</v>
      </c>
      <c r="C2606" s="1">
        <v>42371</v>
      </c>
      <c r="D2606" t="s">
        <v>26972</v>
      </c>
      <c r="E2606" t="s">
        <v>6276</v>
      </c>
      <c r="F2606" t="s">
        <v>2947</v>
      </c>
      <c r="G2606" t="s">
        <v>26973</v>
      </c>
      <c r="H2606" t="s">
        <v>88</v>
      </c>
      <c r="I2606" t="s">
        <v>19</v>
      </c>
      <c r="J2606" s="3" t="s">
        <v>26974</v>
      </c>
      <c r="K2606" t="s">
        <v>11972</v>
      </c>
      <c r="L2606" t="s">
        <v>1092</v>
      </c>
      <c r="M2606" t="s">
        <v>771</v>
      </c>
    </row>
    <row r="2607" spans="1:13" x14ac:dyDescent="0.25">
      <c r="A2607" t="s">
        <v>12406</v>
      </c>
      <c r="B2607" t="s">
        <v>13</v>
      </c>
      <c r="C2607" s="1">
        <v>44078</v>
      </c>
      <c r="D2607" t="s">
        <v>12407</v>
      </c>
      <c r="E2607" t="s">
        <v>406</v>
      </c>
      <c r="F2607" t="s">
        <v>2947</v>
      </c>
      <c r="G2607" t="s">
        <v>12408</v>
      </c>
      <c r="H2607" t="s">
        <v>255</v>
      </c>
      <c r="I2607" t="s">
        <v>19</v>
      </c>
      <c r="J2607" s="3" t="s">
        <v>12409</v>
      </c>
      <c r="K2607" t="s">
        <v>12410</v>
      </c>
      <c r="L2607" t="s">
        <v>2467</v>
      </c>
      <c r="M2607" t="s">
        <v>771</v>
      </c>
    </row>
    <row r="2608" spans="1:13" x14ac:dyDescent="0.25">
      <c r="A2608" t="s">
        <v>22438</v>
      </c>
      <c r="B2608" t="s">
        <v>13</v>
      </c>
      <c r="C2608" t="s">
        <v>16682</v>
      </c>
      <c r="D2608" t="s">
        <v>22439</v>
      </c>
      <c r="E2608" t="s">
        <v>406</v>
      </c>
      <c r="F2608" t="s">
        <v>2947</v>
      </c>
      <c r="G2608" t="s">
        <v>22440</v>
      </c>
      <c r="H2608" t="s">
        <v>428</v>
      </c>
      <c r="I2608" t="s">
        <v>19</v>
      </c>
      <c r="J2608" s="3" t="s">
        <v>22441</v>
      </c>
      <c r="K2608" t="s">
        <v>22442</v>
      </c>
      <c r="L2608" t="s">
        <v>1113</v>
      </c>
      <c r="M2608" t="s">
        <v>771</v>
      </c>
    </row>
    <row r="2609" spans="1:13" x14ac:dyDescent="0.25">
      <c r="A2609" t="s">
        <v>27059</v>
      </c>
      <c r="B2609" t="s">
        <v>13</v>
      </c>
      <c r="C2609" t="s">
        <v>27060</v>
      </c>
      <c r="D2609" t="s">
        <v>27061</v>
      </c>
      <c r="E2609" t="s">
        <v>406</v>
      </c>
      <c r="F2609" t="s">
        <v>2947</v>
      </c>
      <c r="G2609" t="s">
        <v>25295</v>
      </c>
      <c r="H2609" t="s">
        <v>22872</v>
      </c>
      <c r="I2609" t="s">
        <v>19</v>
      </c>
      <c r="J2609" s="3" t="s">
        <v>25296</v>
      </c>
      <c r="K2609" t="s">
        <v>25297</v>
      </c>
      <c r="L2609" t="s">
        <v>25298</v>
      </c>
      <c r="M2609" t="s">
        <v>771</v>
      </c>
    </row>
    <row r="2610" spans="1:13" x14ac:dyDescent="0.25">
      <c r="A2610" t="s">
        <v>6293</v>
      </c>
      <c r="B2610" t="s">
        <v>13</v>
      </c>
      <c r="C2610" t="s">
        <v>21825</v>
      </c>
      <c r="D2610" t="s">
        <v>21841</v>
      </c>
      <c r="E2610" t="s">
        <v>406</v>
      </c>
      <c r="F2610" t="s">
        <v>2947</v>
      </c>
      <c r="G2610" t="s">
        <v>21842</v>
      </c>
      <c r="H2610" t="s">
        <v>5616</v>
      </c>
      <c r="I2610" t="s">
        <v>19</v>
      </c>
      <c r="J2610" s="3" t="s">
        <v>21843</v>
      </c>
      <c r="K2610" t="s">
        <v>2694</v>
      </c>
      <c r="L2610" t="s">
        <v>1092</v>
      </c>
      <c r="M2610" t="s">
        <v>771</v>
      </c>
    </row>
    <row r="2611" spans="1:13" x14ac:dyDescent="0.25">
      <c r="A2611" t="s">
        <v>30478</v>
      </c>
      <c r="B2611" t="s">
        <v>13</v>
      </c>
      <c r="C2611" s="1">
        <v>40675</v>
      </c>
      <c r="D2611" t="s">
        <v>30479</v>
      </c>
      <c r="E2611" t="s">
        <v>406</v>
      </c>
      <c r="F2611" t="s">
        <v>2947</v>
      </c>
      <c r="G2611" t="s">
        <v>30480</v>
      </c>
      <c r="H2611" t="s">
        <v>45</v>
      </c>
      <c r="I2611" t="s">
        <v>19</v>
      </c>
      <c r="J2611" s="3" t="s">
        <v>30481</v>
      </c>
      <c r="K2611" t="s">
        <v>30482</v>
      </c>
      <c r="L2611" t="s">
        <v>14461</v>
      </c>
      <c r="M2611" t="s">
        <v>771</v>
      </c>
    </row>
    <row r="2612" spans="1:13" x14ac:dyDescent="0.25">
      <c r="A2612" t="s">
        <v>20031</v>
      </c>
      <c r="B2612" t="s">
        <v>13</v>
      </c>
      <c r="C2612" t="s">
        <v>20019</v>
      </c>
      <c r="D2612" t="s">
        <v>20032</v>
      </c>
      <c r="E2612" t="s">
        <v>406</v>
      </c>
      <c r="F2612" t="s">
        <v>2947</v>
      </c>
      <c r="G2612" t="s">
        <v>18769</v>
      </c>
      <c r="H2612" t="s">
        <v>7181</v>
      </c>
      <c r="I2612" t="s">
        <v>19</v>
      </c>
      <c r="J2612" s="3">
        <f>55-35-99196-4999</f>
        <v>-104175</v>
      </c>
      <c r="K2612" t="s">
        <v>18770</v>
      </c>
      <c r="L2612" t="s">
        <v>1469</v>
      </c>
      <c r="M2612" t="s">
        <v>771</v>
      </c>
    </row>
    <row r="2613" spans="1:13" x14ac:dyDescent="0.25">
      <c r="A2613" t="s">
        <v>19330</v>
      </c>
      <c r="B2613" t="s">
        <v>13</v>
      </c>
      <c r="C2613" s="1">
        <v>43353</v>
      </c>
      <c r="D2613" t="s">
        <v>19331</v>
      </c>
      <c r="E2613" t="s">
        <v>406</v>
      </c>
      <c r="F2613" t="s">
        <v>2947</v>
      </c>
      <c r="G2613" t="s">
        <v>19174</v>
      </c>
      <c r="H2613" t="s">
        <v>444</v>
      </c>
      <c r="I2613" t="s">
        <v>19</v>
      </c>
      <c r="J2613" s="3">
        <f>55-87-988550442</f>
        <v>-988550474</v>
      </c>
      <c r="K2613" t="s">
        <v>19176</v>
      </c>
      <c r="L2613" t="s">
        <v>447</v>
      </c>
      <c r="M2613" t="s">
        <v>771</v>
      </c>
    </row>
    <row r="2614" spans="1:13" x14ac:dyDescent="0.25">
      <c r="A2614" t="s">
        <v>2911</v>
      </c>
      <c r="B2614" t="s">
        <v>13</v>
      </c>
      <c r="C2614" t="s">
        <v>2898</v>
      </c>
      <c r="D2614" t="s">
        <v>2912</v>
      </c>
      <c r="E2614" t="s">
        <v>406</v>
      </c>
      <c r="F2614" t="s">
        <v>43</v>
      </c>
      <c r="G2614" t="s">
        <v>2913</v>
      </c>
      <c r="H2614" t="s">
        <v>2914</v>
      </c>
      <c r="I2614" t="s">
        <v>19</v>
      </c>
      <c r="J2614" s="3">
        <v>5579999482287</v>
      </c>
      <c r="K2614" t="s">
        <v>2915</v>
      </c>
      <c r="L2614" t="s">
        <v>1050</v>
      </c>
      <c r="M2614" t="s">
        <v>771</v>
      </c>
    </row>
    <row r="2615" spans="1:13" x14ac:dyDescent="0.25">
      <c r="A2615" t="s">
        <v>3976</v>
      </c>
      <c r="B2615" t="s">
        <v>13</v>
      </c>
      <c r="C2615" s="1">
        <v>44899</v>
      </c>
      <c r="D2615" t="s">
        <v>32135</v>
      </c>
      <c r="E2615" t="s">
        <v>406</v>
      </c>
      <c r="F2615" t="s">
        <v>3977</v>
      </c>
      <c r="G2615" t="s">
        <v>3978</v>
      </c>
      <c r="H2615" t="s">
        <v>18</v>
      </c>
      <c r="I2615" t="s">
        <v>19</v>
      </c>
      <c r="J2615" s="3" t="s">
        <v>3979</v>
      </c>
      <c r="K2615" t="s">
        <v>3980</v>
      </c>
      <c r="L2615" t="s">
        <v>3981</v>
      </c>
      <c r="M2615" t="s">
        <v>771</v>
      </c>
    </row>
    <row r="2616" spans="1:13" x14ac:dyDescent="0.25">
      <c r="A2616" t="s">
        <v>25102</v>
      </c>
      <c r="B2616" t="s">
        <v>13</v>
      </c>
      <c r="C2616" t="s">
        <v>25103</v>
      </c>
      <c r="D2616" t="s">
        <v>25104</v>
      </c>
      <c r="E2616" t="s">
        <v>406</v>
      </c>
      <c r="F2616" t="s">
        <v>771</v>
      </c>
      <c r="G2616" t="s">
        <v>25105</v>
      </c>
      <c r="H2616" t="s">
        <v>489</v>
      </c>
      <c r="I2616" t="s">
        <v>19</v>
      </c>
      <c r="J2616" s="3" t="s">
        <v>25106</v>
      </c>
      <c r="K2616" t="s">
        <v>25107</v>
      </c>
      <c r="L2616" t="s">
        <v>25108</v>
      </c>
      <c r="M2616" t="s">
        <v>771</v>
      </c>
    </row>
    <row r="2617" spans="1:13" x14ac:dyDescent="0.25">
      <c r="A2617" t="s">
        <v>18480</v>
      </c>
      <c r="B2617" t="s">
        <v>13</v>
      </c>
      <c r="C2617" t="s">
        <v>18481</v>
      </c>
      <c r="D2617" t="s">
        <v>18482</v>
      </c>
      <c r="E2617" t="s">
        <v>406</v>
      </c>
      <c r="F2617" t="s">
        <v>771</v>
      </c>
      <c r="G2617" t="s">
        <v>8823</v>
      </c>
      <c r="H2617" t="s">
        <v>18</v>
      </c>
      <c r="I2617" t="s">
        <v>19</v>
      </c>
      <c r="J2617" s="3">
        <f>55-19-35218833</f>
        <v>-35218797</v>
      </c>
      <c r="K2617" t="s">
        <v>8824</v>
      </c>
      <c r="L2617" t="s">
        <v>285</v>
      </c>
      <c r="M2617" t="s">
        <v>771</v>
      </c>
    </row>
    <row r="2618" spans="1:13" x14ac:dyDescent="0.25">
      <c r="A2618" t="s">
        <v>5275</v>
      </c>
      <c r="B2618" t="s">
        <v>13</v>
      </c>
      <c r="C2618" t="s">
        <v>5220</v>
      </c>
      <c r="D2618" t="s">
        <v>5276</v>
      </c>
      <c r="E2618" t="s">
        <v>406</v>
      </c>
      <c r="F2618" t="s">
        <v>5277</v>
      </c>
      <c r="G2618" t="s">
        <v>5278</v>
      </c>
      <c r="H2618" t="s">
        <v>5279</v>
      </c>
      <c r="I2618" t="s">
        <v>19</v>
      </c>
      <c r="J2618" s="3">
        <f>55-31-3559-1830</f>
        <v>-5365</v>
      </c>
      <c r="K2618" t="s">
        <v>5280</v>
      </c>
      <c r="L2618" t="s">
        <v>32135</v>
      </c>
      <c r="M2618" t="s">
        <v>771</v>
      </c>
    </row>
    <row r="2619" spans="1:13" x14ac:dyDescent="0.25">
      <c r="A2619" t="s">
        <v>8207</v>
      </c>
      <c r="B2619" t="s">
        <v>13</v>
      </c>
      <c r="C2619" s="1">
        <v>44441</v>
      </c>
      <c r="D2619" t="s">
        <v>32135</v>
      </c>
      <c r="E2619" t="s">
        <v>6276</v>
      </c>
      <c r="F2619" t="s">
        <v>8208</v>
      </c>
      <c r="G2619" t="s">
        <v>8209</v>
      </c>
      <c r="H2619" t="s">
        <v>265</v>
      </c>
      <c r="I2619" t="s">
        <v>19</v>
      </c>
      <c r="J2619" s="3" t="s">
        <v>8210</v>
      </c>
      <c r="K2619" t="s">
        <v>8211</v>
      </c>
      <c r="L2619" t="s">
        <v>32135</v>
      </c>
      <c r="M2619" t="s">
        <v>1775</v>
      </c>
    </row>
    <row r="2620" spans="1:13" x14ac:dyDescent="0.25">
      <c r="A2620" t="s">
        <v>3664</v>
      </c>
      <c r="B2620" t="s">
        <v>13</v>
      </c>
      <c r="C2620" s="1">
        <v>44839</v>
      </c>
      <c r="D2620" t="s">
        <v>3665</v>
      </c>
      <c r="E2620" t="s">
        <v>406</v>
      </c>
      <c r="F2620" t="s">
        <v>1458</v>
      </c>
      <c r="G2620" t="s">
        <v>3666</v>
      </c>
      <c r="H2620" t="s">
        <v>936</v>
      </c>
      <c r="I2620" t="s">
        <v>19</v>
      </c>
      <c r="J2620" s="3" t="s">
        <v>3667</v>
      </c>
      <c r="K2620" t="s">
        <v>3668</v>
      </c>
      <c r="L2620" t="s">
        <v>3669</v>
      </c>
      <c r="M2620" t="s">
        <v>771</v>
      </c>
    </row>
    <row r="2621" spans="1:13" x14ac:dyDescent="0.25">
      <c r="A2621" t="s">
        <v>18846</v>
      </c>
      <c r="B2621" t="s">
        <v>13</v>
      </c>
      <c r="C2621" s="1">
        <v>43293</v>
      </c>
      <c r="D2621" t="s">
        <v>18847</v>
      </c>
      <c r="E2621" t="s">
        <v>6276</v>
      </c>
      <c r="F2621" t="s">
        <v>1464</v>
      </c>
      <c r="G2621" t="s">
        <v>18848</v>
      </c>
      <c r="H2621" t="s">
        <v>4552</v>
      </c>
      <c r="I2621" t="s">
        <v>19</v>
      </c>
      <c r="J2621" s="3">
        <f>55-77-981111884</f>
        <v>-981111906</v>
      </c>
      <c r="K2621" t="s">
        <v>18849</v>
      </c>
      <c r="L2621" t="s">
        <v>18850</v>
      </c>
      <c r="M2621" t="s">
        <v>771</v>
      </c>
    </row>
    <row r="2622" spans="1:13" x14ac:dyDescent="0.25">
      <c r="A2622" t="s">
        <v>22431</v>
      </c>
      <c r="B2622" t="s">
        <v>13</v>
      </c>
      <c r="C2622" t="s">
        <v>16682</v>
      </c>
      <c r="D2622" t="s">
        <v>22432</v>
      </c>
      <c r="E2622" t="s">
        <v>6276</v>
      </c>
      <c r="F2622" t="s">
        <v>1464</v>
      </c>
      <c r="G2622" t="s">
        <v>13356</v>
      </c>
      <c r="H2622" t="s">
        <v>36</v>
      </c>
      <c r="I2622" t="s">
        <v>19</v>
      </c>
      <c r="J2622" s="3">
        <v>5511988559397</v>
      </c>
      <c r="K2622" t="s">
        <v>13357</v>
      </c>
      <c r="L2622" t="s">
        <v>13358</v>
      </c>
      <c r="M2622" t="s">
        <v>771</v>
      </c>
    </row>
    <row r="2623" spans="1:13" x14ac:dyDescent="0.25">
      <c r="A2623" t="s">
        <v>13071</v>
      </c>
      <c r="B2623" t="s">
        <v>13</v>
      </c>
      <c r="C2623" t="s">
        <v>19643</v>
      </c>
      <c r="D2623" t="s">
        <v>19644</v>
      </c>
      <c r="E2623" t="s">
        <v>406</v>
      </c>
      <c r="F2623" t="s">
        <v>1464</v>
      </c>
      <c r="G2623" t="s">
        <v>13073</v>
      </c>
      <c r="H2623" t="s">
        <v>409</v>
      </c>
      <c r="I2623" t="s">
        <v>19</v>
      </c>
      <c r="J2623" s="3">
        <f>55-48-984284544</f>
        <v>-984284537</v>
      </c>
      <c r="K2623" t="s">
        <v>13074</v>
      </c>
      <c r="L2623" t="s">
        <v>412</v>
      </c>
      <c r="M2623" t="s">
        <v>771</v>
      </c>
    </row>
    <row r="2624" spans="1:13" x14ac:dyDescent="0.25">
      <c r="A2624" t="s">
        <v>17666</v>
      </c>
      <c r="B2624" t="s">
        <v>13</v>
      </c>
      <c r="C2624" t="s">
        <v>16631</v>
      </c>
      <c r="D2624" t="s">
        <v>17667</v>
      </c>
      <c r="E2624" t="s">
        <v>406</v>
      </c>
      <c r="F2624" t="s">
        <v>1464</v>
      </c>
      <c r="G2624" t="s">
        <v>7403</v>
      </c>
      <c r="H2624" t="s">
        <v>472</v>
      </c>
      <c r="I2624" t="s">
        <v>19</v>
      </c>
      <c r="J2624" s="3">
        <f>55-81-992161866</f>
        <v>-992161892</v>
      </c>
      <c r="K2624" t="s">
        <v>7404</v>
      </c>
      <c r="L2624" t="s">
        <v>7405</v>
      </c>
      <c r="M2624" t="s">
        <v>771</v>
      </c>
    </row>
    <row r="2625" spans="1:13" x14ac:dyDescent="0.25">
      <c r="A2625" t="s">
        <v>17265</v>
      </c>
      <c r="B2625" t="s">
        <v>13</v>
      </c>
      <c r="C2625" s="1">
        <v>43622</v>
      </c>
      <c r="D2625" t="s">
        <v>17266</v>
      </c>
      <c r="E2625" t="s">
        <v>406</v>
      </c>
      <c r="F2625" t="s">
        <v>1464</v>
      </c>
      <c r="G2625" t="s">
        <v>16933</v>
      </c>
      <c r="H2625" t="s">
        <v>1215</v>
      </c>
      <c r="I2625" t="s">
        <v>19</v>
      </c>
      <c r="J2625" s="3" t="s">
        <v>16934</v>
      </c>
      <c r="K2625" t="s">
        <v>8095</v>
      </c>
      <c r="L2625" t="s">
        <v>16935</v>
      </c>
      <c r="M2625" t="s">
        <v>771</v>
      </c>
    </row>
    <row r="2626" spans="1:13" x14ac:dyDescent="0.25">
      <c r="A2626" t="s">
        <v>14822</v>
      </c>
      <c r="B2626" t="s">
        <v>13</v>
      </c>
      <c r="C2626" t="s">
        <v>14813</v>
      </c>
      <c r="D2626" t="s">
        <v>14823</v>
      </c>
      <c r="E2626" t="s">
        <v>406</v>
      </c>
      <c r="F2626" t="s">
        <v>1464</v>
      </c>
      <c r="G2626" t="s">
        <v>14824</v>
      </c>
      <c r="H2626" t="s">
        <v>409</v>
      </c>
      <c r="I2626" t="s">
        <v>19</v>
      </c>
      <c r="J2626" s="3" t="s">
        <v>14825</v>
      </c>
      <c r="K2626" t="s">
        <v>4611</v>
      </c>
      <c r="L2626" t="s">
        <v>412</v>
      </c>
      <c r="M2626" t="s">
        <v>771</v>
      </c>
    </row>
    <row r="2627" spans="1:13" x14ac:dyDescent="0.25">
      <c r="A2627" t="s">
        <v>13071</v>
      </c>
      <c r="B2627" t="s">
        <v>13</v>
      </c>
      <c r="C2627" s="1">
        <v>44107</v>
      </c>
      <c r="D2627" t="s">
        <v>13072</v>
      </c>
      <c r="E2627" t="s">
        <v>406</v>
      </c>
      <c r="F2627" t="s">
        <v>1464</v>
      </c>
      <c r="G2627" t="s">
        <v>13073</v>
      </c>
      <c r="H2627" t="s">
        <v>409</v>
      </c>
      <c r="I2627" t="s">
        <v>19</v>
      </c>
      <c r="J2627" s="3">
        <f>55-48-984284544</f>
        <v>-984284537</v>
      </c>
      <c r="K2627" t="s">
        <v>13074</v>
      </c>
      <c r="L2627" t="s">
        <v>412</v>
      </c>
      <c r="M2627" t="s">
        <v>771</v>
      </c>
    </row>
    <row r="2628" spans="1:13" x14ac:dyDescent="0.25">
      <c r="A2628" t="s">
        <v>2731</v>
      </c>
      <c r="B2628" t="s">
        <v>13</v>
      </c>
      <c r="C2628" s="1">
        <v>44569</v>
      </c>
      <c r="D2628" t="s">
        <v>2732</v>
      </c>
      <c r="E2628" t="s">
        <v>406</v>
      </c>
      <c r="F2628" t="s">
        <v>2733</v>
      </c>
      <c r="G2628" t="s">
        <v>2734</v>
      </c>
      <c r="H2628" t="s">
        <v>2735</v>
      </c>
      <c r="I2628" t="s">
        <v>19</v>
      </c>
      <c r="J2628" s="3">
        <f>55-84-999366669</f>
        <v>-999366698</v>
      </c>
      <c r="K2628" t="s">
        <v>2736</v>
      </c>
      <c r="L2628" t="s">
        <v>2737</v>
      </c>
      <c r="M2628" t="s">
        <v>771</v>
      </c>
    </row>
    <row r="2629" spans="1:13" x14ac:dyDescent="0.25">
      <c r="A2629" t="s">
        <v>15501</v>
      </c>
      <c r="B2629" t="s">
        <v>13</v>
      </c>
      <c r="C2629" t="s">
        <v>5341</v>
      </c>
      <c r="D2629" t="s">
        <v>15502</v>
      </c>
      <c r="E2629" t="s">
        <v>32399</v>
      </c>
      <c r="F2629" t="s">
        <v>32121</v>
      </c>
      <c r="G2629" t="s">
        <v>15503</v>
      </c>
      <c r="H2629" t="s">
        <v>28</v>
      </c>
      <c r="I2629" t="s">
        <v>19</v>
      </c>
      <c r="J2629" s="3">
        <v>5503232153345</v>
      </c>
      <c r="K2629" t="s">
        <v>15504</v>
      </c>
      <c r="L2629" t="s">
        <v>15505</v>
      </c>
      <c r="M2629" t="s">
        <v>32121</v>
      </c>
    </row>
    <row r="2630" spans="1:13" x14ac:dyDescent="0.25">
      <c r="A2630" t="s">
        <v>30407</v>
      </c>
      <c r="B2630" t="s">
        <v>13</v>
      </c>
      <c r="C2630" s="1">
        <v>41000</v>
      </c>
      <c r="D2630" t="s">
        <v>30408</v>
      </c>
      <c r="E2630" t="s">
        <v>30409</v>
      </c>
      <c r="F2630" t="s">
        <v>2947</v>
      </c>
      <c r="G2630" t="s">
        <v>30410</v>
      </c>
      <c r="H2630" t="s">
        <v>4681</v>
      </c>
      <c r="I2630" t="s">
        <v>19</v>
      </c>
      <c r="J2630" s="3" t="s">
        <v>30411</v>
      </c>
      <c r="K2630" t="s">
        <v>30412</v>
      </c>
      <c r="L2630" t="s">
        <v>30413</v>
      </c>
      <c r="M2630" t="s">
        <v>771</v>
      </c>
    </row>
    <row r="2631" spans="1:13" x14ac:dyDescent="0.25">
      <c r="A2631" t="s">
        <v>13935</v>
      </c>
      <c r="B2631" t="s">
        <v>13</v>
      </c>
      <c r="C2631" t="s">
        <v>12548</v>
      </c>
      <c r="D2631" t="s">
        <v>13936</v>
      </c>
      <c r="E2631" s="2" t="s">
        <v>31084</v>
      </c>
      <c r="F2631" t="s">
        <v>2947</v>
      </c>
      <c r="G2631" t="s">
        <v>13937</v>
      </c>
      <c r="H2631" t="s">
        <v>615</v>
      </c>
      <c r="I2631" t="s">
        <v>19</v>
      </c>
      <c r="J2631" s="3">
        <f>55-34-992326196</f>
        <v>-992326175</v>
      </c>
      <c r="K2631" t="s">
        <v>13938</v>
      </c>
      <c r="L2631" t="s">
        <v>618</v>
      </c>
      <c r="M2631" t="s">
        <v>771</v>
      </c>
    </row>
    <row r="2632" spans="1:13" x14ac:dyDescent="0.25">
      <c r="A2632" t="s">
        <v>16113</v>
      </c>
      <c r="B2632" t="s">
        <v>13</v>
      </c>
      <c r="C2632" t="s">
        <v>15792</v>
      </c>
      <c r="D2632" t="s">
        <v>16114</v>
      </c>
      <c r="E2632" t="s">
        <v>32783</v>
      </c>
      <c r="F2632" t="s">
        <v>2947</v>
      </c>
      <c r="G2632" t="s">
        <v>16115</v>
      </c>
      <c r="H2632" t="s">
        <v>255</v>
      </c>
      <c r="I2632" t="s">
        <v>19</v>
      </c>
      <c r="J2632" s="3">
        <f>55-62-9-9997-8638</f>
        <v>-18651</v>
      </c>
      <c r="K2632" t="s">
        <v>16116</v>
      </c>
      <c r="L2632" t="s">
        <v>16117</v>
      </c>
      <c r="M2632" t="s">
        <v>771</v>
      </c>
    </row>
    <row r="2633" spans="1:13" x14ac:dyDescent="0.25">
      <c r="A2633" t="s">
        <v>17113</v>
      </c>
      <c r="B2633" t="s">
        <v>13</v>
      </c>
      <c r="C2633" s="1">
        <v>43775</v>
      </c>
      <c r="D2633" t="s">
        <v>17114</v>
      </c>
      <c r="E2633" s="2" t="s">
        <v>32400</v>
      </c>
      <c r="F2633" t="s">
        <v>1464</v>
      </c>
      <c r="G2633" t="s">
        <v>17115</v>
      </c>
      <c r="H2633" t="s">
        <v>462</v>
      </c>
      <c r="I2633" t="s">
        <v>19</v>
      </c>
      <c r="J2633" s="3">
        <v>554430276360</v>
      </c>
      <c r="K2633" t="s">
        <v>17116</v>
      </c>
      <c r="L2633" t="s">
        <v>17117</v>
      </c>
      <c r="M2633" t="s">
        <v>32145</v>
      </c>
    </row>
    <row r="2634" spans="1:13" x14ac:dyDescent="0.25">
      <c r="A2634" t="s">
        <v>4756</v>
      </c>
      <c r="B2634" t="s">
        <v>13</v>
      </c>
      <c r="C2634" t="s">
        <v>4698</v>
      </c>
      <c r="D2634" t="s">
        <v>4757</v>
      </c>
      <c r="E2634" s="2" t="s">
        <v>32115</v>
      </c>
      <c r="F2634" t="s">
        <v>727</v>
      </c>
      <c r="G2634" t="s">
        <v>4759</v>
      </c>
      <c r="H2634" t="s">
        <v>105</v>
      </c>
      <c r="I2634" t="s">
        <v>19</v>
      </c>
      <c r="J2634" s="3" t="s">
        <v>4760</v>
      </c>
      <c r="K2634" t="s">
        <v>4761</v>
      </c>
      <c r="L2634" t="s">
        <v>4762</v>
      </c>
      <c r="M2634" t="s">
        <v>1349</v>
      </c>
    </row>
    <row r="2635" spans="1:13" x14ac:dyDescent="0.25">
      <c r="A2635" t="s">
        <v>17543</v>
      </c>
      <c r="B2635" t="s">
        <v>13</v>
      </c>
      <c r="C2635" s="1">
        <v>43529</v>
      </c>
      <c r="D2635" t="s">
        <v>17544</v>
      </c>
      <c r="E2635" s="2" t="s">
        <v>31683</v>
      </c>
      <c r="F2635" t="s">
        <v>2947</v>
      </c>
      <c r="G2635" t="s">
        <v>17545</v>
      </c>
      <c r="H2635" t="s">
        <v>352</v>
      </c>
      <c r="I2635" t="s">
        <v>19</v>
      </c>
      <c r="J2635" s="3">
        <v>552128688485</v>
      </c>
      <c r="K2635" t="s">
        <v>17546</v>
      </c>
      <c r="L2635" t="s">
        <v>17547</v>
      </c>
      <c r="M2635" t="s">
        <v>771</v>
      </c>
    </row>
    <row r="2636" spans="1:13" x14ac:dyDescent="0.25">
      <c r="A2636" t="s">
        <v>8212</v>
      </c>
      <c r="B2636" t="s">
        <v>13</v>
      </c>
      <c r="C2636" t="s">
        <v>8213</v>
      </c>
      <c r="D2636" t="s">
        <v>8214</v>
      </c>
      <c r="E2636" t="s">
        <v>8215</v>
      </c>
      <c r="F2636" t="s">
        <v>2947</v>
      </c>
      <c r="G2636" t="s">
        <v>8216</v>
      </c>
      <c r="H2636" t="s">
        <v>608</v>
      </c>
      <c r="I2636" t="s">
        <v>19</v>
      </c>
      <c r="J2636" s="3">
        <f>55-54-33161000</f>
        <v>-33160999</v>
      </c>
      <c r="K2636" t="s">
        <v>8217</v>
      </c>
      <c r="L2636" t="s">
        <v>8218</v>
      </c>
      <c r="M2636" t="s">
        <v>771</v>
      </c>
    </row>
    <row r="2637" spans="1:13" x14ac:dyDescent="0.25">
      <c r="A2637" t="s">
        <v>24156</v>
      </c>
      <c r="B2637" t="s">
        <v>13</v>
      </c>
      <c r="C2637" t="s">
        <v>14133</v>
      </c>
      <c r="D2637" t="s">
        <v>24157</v>
      </c>
      <c r="E2637" t="s">
        <v>24158</v>
      </c>
      <c r="F2637" t="s">
        <v>2947</v>
      </c>
      <c r="G2637" t="s">
        <v>11210</v>
      </c>
      <c r="H2637" t="s">
        <v>88</v>
      </c>
      <c r="I2637" t="s">
        <v>19</v>
      </c>
      <c r="J2637" s="3" t="s">
        <v>23857</v>
      </c>
      <c r="K2637" t="s">
        <v>23858</v>
      </c>
      <c r="L2637" t="s">
        <v>91</v>
      </c>
      <c r="M2637" t="s">
        <v>771</v>
      </c>
    </row>
    <row r="2638" spans="1:13" x14ac:dyDescent="0.25">
      <c r="A2638" t="s">
        <v>20871</v>
      </c>
      <c r="B2638" t="s">
        <v>13</v>
      </c>
      <c r="C2638" t="s">
        <v>5288</v>
      </c>
      <c r="D2638" t="s">
        <v>20872</v>
      </c>
      <c r="E2638" s="2" t="s">
        <v>32086</v>
      </c>
      <c r="F2638" t="s">
        <v>2947</v>
      </c>
      <c r="G2638" t="s">
        <v>20873</v>
      </c>
      <c r="H2638" t="s">
        <v>1486</v>
      </c>
      <c r="I2638" t="s">
        <v>19</v>
      </c>
      <c r="J2638" s="3" t="s">
        <v>20874</v>
      </c>
      <c r="K2638" t="s">
        <v>20875</v>
      </c>
      <c r="L2638" t="s">
        <v>20876</v>
      </c>
      <c r="M2638" t="s">
        <v>32145</v>
      </c>
    </row>
    <row r="2639" spans="1:13" x14ac:dyDescent="0.25">
      <c r="A2639" t="s">
        <v>15073</v>
      </c>
      <c r="B2639" t="s">
        <v>13</v>
      </c>
      <c r="C2639" s="1">
        <v>43780</v>
      </c>
      <c r="D2639" t="s">
        <v>15074</v>
      </c>
      <c r="E2639" s="2" t="s">
        <v>32002</v>
      </c>
      <c r="F2639" t="s">
        <v>2947</v>
      </c>
      <c r="G2639" t="s">
        <v>15075</v>
      </c>
      <c r="H2639" t="s">
        <v>45</v>
      </c>
      <c r="I2639" t="s">
        <v>19</v>
      </c>
      <c r="J2639" s="3">
        <v>55085996509603</v>
      </c>
      <c r="K2639" t="s">
        <v>15076</v>
      </c>
      <c r="L2639" t="s">
        <v>1909</v>
      </c>
      <c r="M2639" t="s">
        <v>32161</v>
      </c>
    </row>
    <row r="2640" spans="1:13" x14ac:dyDescent="0.25">
      <c r="A2640" t="s">
        <v>13195</v>
      </c>
      <c r="B2640" t="s">
        <v>13</v>
      </c>
      <c r="C2640" s="1">
        <v>43954</v>
      </c>
      <c r="D2640" t="s">
        <v>13196</v>
      </c>
      <c r="E2640" t="s">
        <v>13197</v>
      </c>
      <c r="F2640" t="s">
        <v>2947</v>
      </c>
      <c r="G2640" t="s">
        <v>13198</v>
      </c>
      <c r="H2640" t="s">
        <v>615</v>
      </c>
      <c r="I2640" t="s">
        <v>19</v>
      </c>
      <c r="J2640" s="3" t="s">
        <v>13199</v>
      </c>
      <c r="K2640" t="s">
        <v>13200</v>
      </c>
      <c r="L2640" t="s">
        <v>13201</v>
      </c>
      <c r="M2640" t="s">
        <v>771</v>
      </c>
    </row>
    <row r="2641" spans="1:13" x14ac:dyDescent="0.25">
      <c r="A2641" t="s">
        <v>27048</v>
      </c>
      <c r="B2641" t="s">
        <v>13</v>
      </c>
      <c r="C2641" t="s">
        <v>27049</v>
      </c>
      <c r="D2641" t="s">
        <v>27050</v>
      </c>
      <c r="E2641" s="2" t="s">
        <v>31348</v>
      </c>
      <c r="F2641" t="s">
        <v>771</v>
      </c>
      <c r="G2641" t="s">
        <v>23077</v>
      </c>
      <c r="H2641" t="s">
        <v>265</v>
      </c>
      <c r="I2641" t="s">
        <v>19</v>
      </c>
      <c r="J2641" s="3" t="s">
        <v>27051</v>
      </c>
      <c r="K2641" t="s">
        <v>8058</v>
      </c>
      <c r="L2641" t="s">
        <v>27052</v>
      </c>
      <c r="M2641" t="s">
        <v>771</v>
      </c>
    </row>
    <row r="2642" spans="1:13" x14ac:dyDescent="0.25">
      <c r="A2642" t="s">
        <v>2944</v>
      </c>
      <c r="B2642" t="s">
        <v>13</v>
      </c>
      <c r="C2642" t="s">
        <v>2945</v>
      </c>
      <c r="D2642" t="s">
        <v>2946</v>
      </c>
      <c r="E2642" s="2" t="s">
        <v>30756</v>
      </c>
      <c r="F2642" t="s">
        <v>2947</v>
      </c>
      <c r="G2642" t="s">
        <v>2948</v>
      </c>
      <c r="H2642" t="s">
        <v>36</v>
      </c>
      <c r="I2642" t="s">
        <v>19</v>
      </c>
      <c r="J2642" s="3">
        <f>55-11-30617564</f>
        <v>-30617520</v>
      </c>
      <c r="K2642" t="s">
        <v>2949</v>
      </c>
      <c r="L2642" t="s">
        <v>2950</v>
      </c>
      <c r="M2642" t="s">
        <v>771</v>
      </c>
    </row>
    <row r="2643" spans="1:13" x14ac:dyDescent="0.25">
      <c r="A2643" t="s">
        <v>29699</v>
      </c>
      <c r="B2643" t="s">
        <v>13</v>
      </c>
      <c r="C2643" t="s">
        <v>29686</v>
      </c>
      <c r="D2643" t="s">
        <v>29700</v>
      </c>
      <c r="E2643" t="s">
        <v>29701</v>
      </c>
      <c r="F2643" t="s">
        <v>2947</v>
      </c>
      <c r="G2643" t="s">
        <v>307</v>
      </c>
      <c r="H2643" t="s">
        <v>308</v>
      </c>
      <c r="I2643" t="s">
        <v>309</v>
      </c>
      <c r="J2643" s="3" t="s">
        <v>310</v>
      </c>
      <c r="K2643" t="s">
        <v>311</v>
      </c>
      <c r="L2643" t="s">
        <v>312</v>
      </c>
      <c r="M2643" t="s">
        <v>771</v>
      </c>
    </row>
    <row r="2644" spans="1:13" x14ac:dyDescent="0.25">
      <c r="A2644" t="s">
        <v>6043</v>
      </c>
      <c r="B2644" t="s">
        <v>13</v>
      </c>
      <c r="C2644" s="1">
        <v>44479</v>
      </c>
      <c r="D2644" t="s">
        <v>6044</v>
      </c>
      <c r="E2644" s="2" t="s">
        <v>32013</v>
      </c>
      <c r="F2644" t="s">
        <v>345</v>
      </c>
      <c r="G2644" t="s">
        <v>6045</v>
      </c>
      <c r="H2644" t="s">
        <v>1090</v>
      </c>
      <c r="I2644" t="s">
        <v>19</v>
      </c>
      <c r="J2644" s="3">
        <f>55-83-32167791</f>
        <v>-32167819</v>
      </c>
      <c r="K2644" t="s">
        <v>6046</v>
      </c>
      <c r="L2644" t="s">
        <v>32135</v>
      </c>
      <c r="M2644" t="s">
        <v>771</v>
      </c>
    </row>
    <row r="2645" spans="1:13" x14ac:dyDescent="0.25">
      <c r="A2645" t="s">
        <v>14988</v>
      </c>
      <c r="B2645" t="s">
        <v>101</v>
      </c>
      <c r="C2645" t="s">
        <v>14967</v>
      </c>
      <c r="D2645" t="s">
        <v>14989</v>
      </c>
      <c r="E2645" s="2" t="s">
        <v>31874</v>
      </c>
      <c r="F2645" t="s">
        <v>2947</v>
      </c>
      <c r="G2645" t="s">
        <v>14990</v>
      </c>
      <c r="H2645" t="s">
        <v>105</v>
      </c>
      <c r="I2645" t="s">
        <v>19</v>
      </c>
      <c r="J2645" s="3" t="s">
        <v>14991</v>
      </c>
      <c r="K2645" t="s">
        <v>14992</v>
      </c>
      <c r="L2645" t="s">
        <v>14993</v>
      </c>
      <c r="M2645" t="s">
        <v>32145</v>
      </c>
    </row>
    <row r="2646" spans="1:13" x14ac:dyDescent="0.25">
      <c r="A2646" t="s">
        <v>16258</v>
      </c>
      <c r="B2646" t="s">
        <v>13</v>
      </c>
      <c r="C2646" s="1">
        <v>43594</v>
      </c>
      <c r="D2646" t="s">
        <v>16259</v>
      </c>
      <c r="E2646" s="2" t="s">
        <v>31482</v>
      </c>
      <c r="F2646" t="s">
        <v>2947</v>
      </c>
      <c r="G2646" t="s">
        <v>16260</v>
      </c>
      <c r="H2646" t="s">
        <v>409</v>
      </c>
      <c r="I2646" t="s">
        <v>19</v>
      </c>
      <c r="J2646" s="3" t="s">
        <v>16261</v>
      </c>
      <c r="K2646" t="s">
        <v>16262</v>
      </c>
      <c r="L2646" t="s">
        <v>412</v>
      </c>
      <c r="M2646" t="s">
        <v>771</v>
      </c>
    </row>
    <row r="2647" spans="1:13" x14ac:dyDescent="0.25">
      <c r="A2647" t="s">
        <v>14708</v>
      </c>
      <c r="B2647" t="s">
        <v>13</v>
      </c>
      <c r="C2647" t="s">
        <v>6364</v>
      </c>
      <c r="D2647" t="s">
        <v>14709</v>
      </c>
      <c r="E2647" s="2" t="s">
        <v>31105</v>
      </c>
      <c r="F2647" t="s">
        <v>2947</v>
      </c>
      <c r="G2647" t="s">
        <v>13857</v>
      </c>
      <c r="H2647" t="s">
        <v>714</v>
      </c>
      <c r="I2647" t="s">
        <v>19</v>
      </c>
      <c r="J2647" s="3" t="s">
        <v>13858</v>
      </c>
      <c r="K2647" t="s">
        <v>6724</v>
      </c>
      <c r="L2647" t="s">
        <v>13859</v>
      </c>
      <c r="M2647" t="s">
        <v>771</v>
      </c>
    </row>
    <row r="2648" spans="1:13" x14ac:dyDescent="0.25">
      <c r="A2648" t="s">
        <v>19759</v>
      </c>
      <c r="B2648" t="s">
        <v>13</v>
      </c>
      <c r="C2648" s="1">
        <v>43229</v>
      </c>
      <c r="D2648" t="s">
        <v>19760</v>
      </c>
      <c r="E2648" s="2" t="s">
        <v>31594</v>
      </c>
      <c r="F2648" t="s">
        <v>2947</v>
      </c>
      <c r="G2648" t="s">
        <v>19761</v>
      </c>
      <c r="H2648" t="s">
        <v>372</v>
      </c>
      <c r="I2648" t="s">
        <v>19</v>
      </c>
      <c r="J2648" s="3">
        <f>55-19-3124-1666</f>
        <v>-4754</v>
      </c>
      <c r="K2648" t="s">
        <v>15129</v>
      </c>
      <c r="L2648" t="s">
        <v>14182</v>
      </c>
      <c r="M2648" t="s">
        <v>771</v>
      </c>
    </row>
    <row r="2649" spans="1:13" x14ac:dyDescent="0.25">
      <c r="A2649" t="s">
        <v>10109</v>
      </c>
      <c r="B2649" t="s">
        <v>13</v>
      </c>
      <c r="C2649" t="s">
        <v>8861</v>
      </c>
      <c r="D2649" t="s">
        <v>10110</v>
      </c>
      <c r="E2649" t="s">
        <v>10111</v>
      </c>
      <c r="F2649" t="s">
        <v>32121</v>
      </c>
      <c r="G2649" t="s">
        <v>10112</v>
      </c>
      <c r="H2649" t="s">
        <v>352</v>
      </c>
      <c r="I2649" t="s">
        <v>19</v>
      </c>
      <c r="J2649" s="3" t="s">
        <v>10113</v>
      </c>
      <c r="K2649" t="s">
        <v>10114</v>
      </c>
      <c r="L2649" t="s">
        <v>10115</v>
      </c>
      <c r="M2649" t="s">
        <v>32121</v>
      </c>
    </row>
    <row r="2650" spans="1:13" x14ac:dyDescent="0.25">
      <c r="A2650" t="s">
        <v>12032</v>
      </c>
      <c r="B2650" t="s">
        <v>13</v>
      </c>
      <c r="C2650" t="s">
        <v>12033</v>
      </c>
      <c r="D2650" t="s">
        <v>12034</v>
      </c>
      <c r="E2650" s="2" t="s">
        <v>31032</v>
      </c>
      <c r="F2650" t="s">
        <v>2947</v>
      </c>
      <c r="G2650" t="s">
        <v>12036</v>
      </c>
      <c r="H2650" t="s">
        <v>265</v>
      </c>
      <c r="I2650" t="s">
        <v>19</v>
      </c>
      <c r="J2650" s="3" t="s">
        <v>12037</v>
      </c>
      <c r="K2650" t="s">
        <v>12038</v>
      </c>
      <c r="L2650" t="s">
        <v>9156</v>
      </c>
      <c r="M2650" t="s">
        <v>771</v>
      </c>
    </row>
    <row r="2651" spans="1:13" x14ac:dyDescent="0.25">
      <c r="A2651" t="s">
        <v>3828</v>
      </c>
      <c r="B2651" t="s">
        <v>13</v>
      </c>
      <c r="C2651" t="s">
        <v>3829</v>
      </c>
      <c r="D2651" t="s">
        <v>3830</v>
      </c>
      <c r="E2651" t="s">
        <v>3831</v>
      </c>
      <c r="F2651" t="s">
        <v>530</v>
      </c>
      <c r="G2651" t="s">
        <v>3832</v>
      </c>
      <c r="H2651" t="s">
        <v>372</v>
      </c>
      <c r="I2651" t="s">
        <v>19</v>
      </c>
      <c r="J2651" s="3">
        <f>558299400-2442</f>
        <v>558296958</v>
      </c>
      <c r="K2651" t="s">
        <v>3833</v>
      </c>
      <c r="L2651" t="s">
        <v>3834</v>
      </c>
      <c r="M2651" t="s">
        <v>32144</v>
      </c>
    </row>
    <row r="2652" spans="1:13" x14ac:dyDescent="0.25">
      <c r="A2652" t="s">
        <v>27534</v>
      </c>
      <c r="B2652" t="s">
        <v>13</v>
      </c>
      <c r="C2652" t="s">
        <v>22654</v>
      </c>
      <c r="D2652" t="s">
        <v>27535</v>
      </c>
      <c r="E2652" t="s">
        <v>27536</v>
      </c>
      <c r="F2652" t="s">
        <v>2947</v>
      </c>
      <c r="G2652" t="s">
        <v>27537</v>
      </c>
      <c r="H2652" t="s">
        <v>1090</v>
      </c>
      <c r="I2652" t="s">
        <v>19</v>
      </c>
      <c r="J2652" s="3" t="s">
        <v>27538</v>
      </c>
      <c r="K2652" t="s">
        <v>27539</v>
      </c>
      <c r="L2652" t="s">
        <v>27540</v>
      </c>
      <c r="M2652" t="s">
        <v>771</v>
      </c>
    </row>
    <row r="2653" spans="1:13" x14ac:dyDescent="0.25">
      <c r="A2653" t="s">
        <v>24668</v>
      </c>
      <c r="B2653" t="s">
        <v>13</v>
      </c>
      <c r="C2653" t="s">
        <v>24662</v>
      </c>
      <c r="D2653" t="s">
        <v>24669</v>
      </c>
      <c r="E2653" t="s">
        <v>24670</v>
      </c>
      <c r="F2653" t="s">
        <v>2947</v>
      </c>
      <c r="G2653" t="s">
        <v>24671</v>
      </c>
      <c r="H2653" t="s">
        <v>255</v>
      </c>
      <c r="I2653" t="s">
        <v>19</v>
      </c>
      <c r="J2653" s="3" t="s">
        <v>24672</v>
      </c>
      <c r="K2653" t="s">
        <v>24673</v>
      </c>
      <c r="L2653" t="s">
        <v>10068</v>
      </c>
      <c r="M2653" t="s">
        <v>771</v>
      </c>
    </row>
    <row r="2654" spans="1:13" x14ac:dyDescent="0.25">
      <c r="A2654" t="s">
        <v>10062</v>
      </c>
      <c r="B2654" t="s">
        <v>13</v>
      </c>
      <c r="C2654" t="s">
        <v>10054</v>
      </c>
      <c r="D2654" t="s">
        <v>10063</v>
      </c>
      <c r="E2654" t="s">
        <v>10064</v>
      </c>
      <c r="F2654" t="s">
        <v>771</v>
      </c>
      <c r="G2654" t="s">
        <v>10065</v>
      </c>
      <c r="H2654" t="s">
        <v>2440</v>
      </c>
      <c r="I2654" t="s">
        <v>19</v>
      </c>
      <c r="J2654" s="3" t="s">
        <v>10066</v>
      </c>
      <c r="K2654" t="s">
        <v>10067</v>
      </c>
      <c r="L2654" t="s">
        <v>10068</v>
      </c>
      <c r="M2654" t="s">
        <v>771</v>
      </c>
    </row>
    <row r="2655" spans="1:13" x14ac:dyDescent="0.25">
      <c r="A2655" t="s">
        <v>19669</v>
      </c>
      <c r="B2655" t="s">
        <v>13</v>
      </c>
      <c r="C2655" t="s">
        <v>8719</v>
      </c>
      <c r="D2655" t="s">
        <v>19670</v>
      </c>
      <c r="E2655" s="2" t="s">
        <v>31234</v>
      </c>
      <c r="F2655" t="s">
        <v>2947</v>
      </c>
      <c r="G2655" t="s">
        <v>19671</v>
      </c>
      <c r="H2655" t="s">
        <v>352</v>
      </c>
      <c r="I2655" t="s">
        <v>19</v>
      </c>
      <c r="J2655" s="3" t="s">
        <v>19672</v>
      </c>
      <c r="K2655" t="s">
        <v>19673</v>
      </c>
      <c r="L2655" t="s">
        <v>19674</v>
      </c>
      <c r="M2655" t="s">
        <v>771</v>
      </c>
    </row>
    <row r="2656" spans="1:13" x14ac:dyDescent="0.25">
      <c r="A2656" t="s">
        <v>13359</v>
      </c>
      <c r="B2656" t="s">
        <v>13</v>
      </c>
      <c r="C2656" t="s">
        <v>13349</v>
      </c>
      <c r="D2656" t="s">
        <v>13360</v>
      </c>
      <c r="E2656" t="s">
        <v>13361</v>
      </c>
      <c r="F2656" t="s">
        <v>771</v>
      </c>
      <c r="G2656" t="s">
        <v>495</v>
      </c>
      <c r="H2656" t="s">
        <v>18</v>
      </c>
      <c r="I2656" t="s">
        <v>19</v>
      </c>
      <c r="J2656" s="3">
        <f>55-19-35219304</f>
        <v>-35219268</v>
      </c>
      <c r="K2656" t="s">
        <v>497</v>
      </c>
      <c r="L2656" t="s">
        <v>285</v>
      </c>
      <c r="M2656" t="s">
        <v>771</v>
      </c>
    </row>
    <row r="2657" spans="1:13" x14ac:dyDescent="0.25">
      <c r="A2657" t="s">
        <v>26981</v>
      </c>
      <c r="B2657" t="s">
        <v>13</v>
      </c>
      <c r="C2657" t="s">
        <v>23102</v>
      </c>
      <c r="D2657" t="s">
        <v>26982</v>
      </c>
      <c r="E2657" t="s">
        <v>26983</v>
      </c>
      <c r="F2657" t="s">
        <v>306</v>
      </c>
      <c r="G2657" t="s">
        <v>26984</v>
      </c>
      <c r="H2657" t="s">
        <v>352</v>
      </c>
      <c r="I2657" t="s">
        <v>19</v>
      </c>
      <c r="J2657" s="3" t="s">
        <v>26985</v>
      </c>
      <c r="K2657" t="s">
        <v>26986</v>
      </c>
      <c r="L2657" t="s">
        <v>1232</v>
      </c>
      <c r="M2657" t="s">
        <v>32183</v>
      </c>
    </row>
    <row r="2658" spans="1:13" x14ac:dyDescent="0.25">
      <c r="A2658" t="s">
        <v>12132</v>
      </c>
      <c r="B2658" t="s">
        <v>13</v>
      </c>
      <c r="C2658" t="s">
        <v>12133</v>
      </c>
      <c r="D2658" t="s">
        <v>12134</v>
      </c>
      <c r="E2658" s="2" t="s">
        <v>32065</v>
      </c>
      <c r="F2658" t="s">
        <v>771</v>
      </c>
      <c r="G2658" t="s">
        <v>12135</v>
      </c>
      <c r="H2658" t="s">
        <v>12136</v>
      </c>
      <c r="I2658" t="s">
        <v>19</v>
      </c>
      <c r="J2658" s="3" t="s">
        <v>12137</v>
      </c>
      <c r="K2658" t="s">
        <v>12138</v>
      </c>
      <c r="L2658" t="s">
        <v>12139</v>
      </c>
      <c r="M2658" t="s">
        <v>771</v>
      </c>
    </row>
    <row r="2659" spans="1:13" x14ac:dyDescent="0.25">
      <c r="A2659" t="s">
        <v>135</v>
      </c>
      <c r="B2659" t="s">
        <v>13</v>
      </c>
      <c r="C2659" t="s">
        <v>136</v>
      </c>
      <c r="D2659" t="s">
        <v>137</v>
      </c>
      <c r="E2659" t="s">
        <v>138</v>
      </c>
      <c r="F2659" t="s">
        <v>139</v>
      </c>
      <c r="G2659" t="s">
        <v>140</v>
      </c>
      <c r="H2659" t="s">
        <v>141</v>
      </c>
      <c r="I2659" t="s">
        <v>19</v>
      </c>
      <c r="J2659" s="3" t="s">
        <v>142</v>
      </c>
      <c r="K2659" t="s">
        <v>143</v>
      </c>
      <c r="L2659" t="s">
        <v>144</v>
      </c>
      <c r="M2659" t="s">
        <v>129</v>
      </c>
    </row>
    <row r="2660" spans="1:13" x14ac:dyDescent="0.25">
      <c r="A2660" t="s">
        <v>18539</v>
      </c>
      <c r="B2660" t="s">
        <v>101</v>
      </c>
      <c r="C2660" s="1">
        <v>43739</v>
      </c>
      <c r="D2660" t="s">
        <v>18540</v>
      </c>
      <c r="E2660" t="s">
        <v>18541</v>
      </c>
      <c r="F2660" t="s">
        <v>771</v>
      </c>
      <c r="G2660" t="s">
        <v>18542</v>
      </c>
      <c r="H2660" t="s">
        <v>36</v>
      </c>
      <c r="I2660" t="s">
        <v>19</v>
      </c>
      <c r="J2660" s="3">
        <f>55-11-983893330</f>
        <v>-983893286</v>
      </c>
      <c r="K2660" t="s">
        <v>18543</v>
      </c>
      <c r="L2660" t="s">
        <v>18544</v>
      </c>
      <c r="M2660" t="s">
        <v>771</v>
      </c>
    </row>
    <row r="2661" spans="1:13" x14ac:dyDescent="0.25">
      <c r="A2661" t="s">
        <v>174</v>
      </c>
      <c r="B2661" t="s">
        <v>101</v>
      </c>
      <c r="C2661" t="s">
        <v>165</v>
      </c>
      <c r="D2661" t="s">
        <v>175</v>
      </c>
      <c r="E2661" t="s">
        <v>176</v>
      </c>
      <c r="F2661" t="s">
        <v>177</v>
      </c>
      <c r="G2661" t="s">
        <v>178</v>
      </c>
      <c r="H2661" t="s">
        <v>179</v>
      </c>
      <c r="I2661" t="s">
        <v>19</v>
      </c>
      <c r="J2661" s="3" t="s">
        <v>180</v>
      </c>
      <c r="K2661" t="s">
        <v>181</v>
      </c>
      <c r="L2661" t="s">
        <v>182</v>
      </c>
      <c r="M2661" t="s">
        <v>32145</v>
      </c>
    </row>
    <row r="2662" spans="1:13" x14ac:dyDescent="0.25">
      <c r="A2662" t="s">
        <v>25919</v>
      </c>
      <c r="B2662" t="s">
        <v>13</v>
      </c>
      <c r="C2662" s="1">
        <v>42711</v>
      </c>
      <c r="D2662" t="s">
        <v>25920</v>
      </c>
      <c r="E2662" t="s">
        <v>32401</v>
      </c>
      <c r="F2662" t="s">
        <v>306</v>
      </c>
      <c r="G2662" t="s">
        <v>25921</v>
      </c>
      <c r="H2662" t="s">
        <v>255</v>
      </c>
      <c r="I2662" t="s">
        <v>19</v>
      </c>
      <c r="J2662" s="3" t="s">
        <v>25922</v>
      </c>
      <c r="K2662" t="s">
        <v>25923</v>
      </c>
      <c r="L2662" t="s">
        <v>9587</v>
      </c>
      <c r="M2662" t="s">
        <v>32145</v>
      </c>
    </row>
    <row r="2663" spans="1:13" x14ac:dyDescent="0.25">
      <c r="A2663" t="s">
        <v>19706</v>
      </c>
      <c r="B2663" t="s">
        <v>13</v>
      </c>
      <c r="C2663" s="1">
        <v>43413</v>
      </c>
      <c r="D2663" t="s">
        <v>19707</v>
      </c>
      <c r="E2663" s="2" t="s">
        <v>31948</v>
      </c>
      <c r="F2663" t="s">
        <v>771</v>
      </c>
      <c r="G2663" t="s">
        <v>19708</v>
      </c>
      <c r="H2663" t="s">
        <v>36</v>
      </c>
      <c r="I2663" t="s">
        <v>19</v>
      </c>
      <c r="J2663" s="3">
        <v>5511983156024</v>
      </c>
      <c r="K2663" t="s">
        <v>19709</v>
      </c>
      <c r="L2663" t="s">
        <v>19710</v>
      </c>
      <c r="M2663" t="s">
        <v>771</v>
      </c>
    </row>
    <row r="2664" spans="1:13" x14ac:dyDescent="0.25">
      <c r="A2664" t="s">
        <v>14590</v>
      </c>
      <c r="B2664" t="s">
        <v>13</v>
      </c>
      <c r="C2664" s="1">
        <v>43597</v>
      </c>
      <c r="D2664" t="s">
        <v>14591</v>
      </c>
      <c r="E2664" t="s">
        <v>14592</v>
      </c>
      <c r="F2664" t="s">
        <v>1464</v>
      </c>
      <c r="G2664" t="s">
        <v>14593</v>
      </c>
      <c r="H2664" t="s">
        <v>14594</v>
      </c>
      <c r="I2664" t="s">
        <v>19</v>
      </c>
      <c r="J2664" s="3">
        <f>55-61-99672-9032</f>
        <v>-108710</v>
      </c>
      <c r="K2664" t="s">
        <v>14595</v>
      </c>
      <c r="L2664" t="s">
        <v>14593</v>
      </c>
      <c r="M2664" t="s">
        <v>32149</v>
      </c>
    </row>
    <row r="2665" spans="1:13" x14ac:dyDescent="0.25">
      <c r="A2665" t="s">
        <v>28460</v>
      </c>
      <c r="B2665" t="s">
        <v>13</v>
      </c>
      <c r="C2665" s="1">
        <v>42250</v>
      </c>
      <c r="D2665" t="s">
        <v>28461</v>
      </c>
      <c r="E2665" t="s">
        <v>28462</v>
      </c>
      <c r="F2665" t="s">
        <v>9519</v>
      </c>
      <c r="G2665" t="s">
        <v>27229</v>
      </c>
      <c r="H2665" t="s">
        <v>299</v>
      </c>
      <c r="I2665" t="s">
        <v>19</v>
      </c>
      <c r="J2665" s="3" t="s">
        <v>28463</v>
      </c>
      <c r="K2665" t="s">
        <v>27231</v>
      </c>
      <c r="L2665" t="s">
        <v>28464</v>
      </c>
      <c r="M2665" t="s">
        <v>32145</v>
      </c>
    </row>
    <row r="2666" spans="1:13" x14ac:dyDescent="0.25">
      <c r="A2666" t="s">
        <v>29883</v>
      </c>
      <c r="B2666" t="s">
        <v>13</v>
      </c>
      <c r="C2666" t="s">
        <v>14184</v>
      </c>
      <c r="D2666" t="s">
        <v>29884</v>
      </c>
      <c r="E2666" t="s">
        <v>29885</v>
      </c>
      <c r="F2666" t="s">
        <v>12383</v>
      </c>
      <c r="G2666" t="s">
        <v>29886</v>
      </c>
      <c r="H2666" t="s">
        <v>36</v>
      </c>
      <c r="I2666" t="s">
        <v>19</v>
      </c>
      <c r="J2666" s="3" t="s">
        <v>29887</v>
      </c>
      <c r="K2666" t="s">
        <v>29888</v>
      </c>
      <c r="L2666" t="s">
        <v>29889</v>
      </c>
      <c r="M2666" t="s">
        <v>32155</v>
      </c>
    </row>
    <row r="2667" spans="1:13" x14ac:dyDescent="0.25">
      <c r="A2667" t="s">
        <v>3290</v>
      </c>
      <c r="B2667" t="s">
        <v>13</v>
      </c>
      <c r="C2667" t="s">
        <v>3270</v>
      </c>
      <c r="D2667" t="s">
        <v>3291</v>
      </c>
      <c r="E2667" t="s">
        <v>3292</v>
      </c>
      <c r="F2667" t="s">
        <v>3293</v>
      </c>
      <c r="G2667" t="s">
        <v>307</v>
      </c>
      <c r="H2667" t="s">
        <v>308</v>
      </c>
      <c r="I2667" t="s">
        <v>309</v>
      </c>
      <c r="J2667" s="3" t="s">
        <v>310</v>
      </c>
      <c r="K2667" t="s">
        <v>311</v>
      </c>
      <c r="L2667" t="s">
        <v>312</v>
      </c>
      <c r="M2667" t="s">
        <v>771</v>
      </c>
    </row>
    <row r="2668" spans="1:13" x14ac:dyDescent="0.25">
      <c r="A2668" t="s">
        <v>14759</v>
      </c>
      <c r="B2668" t="s">
        <v>13</v>
      </c>
      <c r="C2668" s="1">
        <v>43508</v>
      </c>
      <c r="D2668" t="s">
        <v>14760</v>
      </c>
      <c r="E2668" s="2" t="s">
        <v>31108</v>
      </c>
      <c r="F2668" t="s">
        <v>2947</v>
      </c>
      <c r="G2668" t="s">
        <v>14761</v>
      </c>
      <c r="H2668" t="s">
        <v>3618</v>
      </c>
      <c r="I2668" t="s">
        <v>19</v>
      </c>
      <c r="J2668" s="3">
        <f>55-79-991722281</f>
        <v>-991722305</v>
      </c>
      <c r="K2668" t="s">
        <v>14762</v>
      </c>
      <c r="L2668" t="s">
        <v>82</v>
      </c>
      <c r="M2668" t="s">
        <v>771</v>
      </c>
    </row>
    <row r="2669" spans="1:13" x14ac:dyDescent="0.25">
      <c r="A2669" t="s">
        <v>376</v>
      </c>
      <c r="B2669" t="s">
        <v>13</v>
      </c>
      <c r="C2669" t="s">
        <v>366</v>
      </c>
      <c r="D2669" t="s">
        <v>377</v>
      </c>
      <c r="E2669" t="s">
        <v>378</v>
      </c>
      <c r="F2669" t="s">
        <v>379</v>
      </c>
      <c r="G2669" t="s">
        <v>380</v>
      </c>
      <c r="H2669" t="s">
        <v>352</v>
      </c>
      <c r="I2669" t="s">
        <v>19</v>
      </c>
      <c r="J2669" s="3" t="s">
        <v>381</v>
      </c>
      <c r="K2669" t="s">
        <v>382</v>
      </c>
      <c r="L2669" t="s">
        <v>383</v>
      </c>
      <c r="M2669" t="s">
        <v>6656</v>
      </c>
    </row>
    <row r="2670" spans="1:13" x14ac:dyDescent="0.25">
      <c r="A2670" t="s">
        <v>4341</v>
      </c>
      <c r="B2670" t="s">
        <v>13</v>
      </c>
      <c r="C2670" s="1">
        <v>44147</v>
      </c>
      <c r="D2670" t="s">
        <v>4342</v>
      </c>
      <c r="E2670" t="s">
        <v>378</v>
      </c>
      <c r="F2670" t="s">
        <v>2642</v>
      </c>
      <c r="G2670" t="s">
        <v>4343</v>
      </c>
      <c r="H2670" t="s">
        <v>105</v>
      </c>
      <c r="I2670" t="s">
        <v>19</v>
      </c>
      <c r="J2670" s="3">
        <f>55-21-26299000</f>
        <v>-26298966</v>
      </c>
      <c r="K2670" t="s">
        <v>4344</v>
      </c>
      <c r="L2670" t="s">
        <v>4345</v>
      </c>
      <c r="M2670" t="s">
        <v>741</v>
      </c>
    </row>
    <row r="2671" spans="1:13" x14ac:dyDescent="0.25">
      <c r="A2671" t="s">
        <v>20591</v>
      </c>
      <c r="B2671" t="s">
        <v>13</v>
      </c>
      <c r="C2671" s="1">
        <v>43411</v>
      </c>
      <c r="D2671" t="s">
        <v>20592</v>
      </c>
      <c r="E2671" s="2" t="s">
        <v>32042</v>
      </c>
      <c r="F2671" t="s">
        <v>2947</v>
      </c>
      <c r="G2671" t="s">
        <v>20593</v>
      </c>
      <c r="H2671" t="s">
        <v>36</v>
      </c>
      <c r="I2671" t="s">
        <v>19</v>
      </c>
      <c r="J2671" s="3">
        <f>55-11-50856479</f>
        <v>-50856435</v>
      </c>
      <c r="K2671" t="s">
        <v>20594</v>
      </c>
      <c r="L2671" t="s">
        <v>19710</v>
      </c>
      <c r="M2671" t="s">
        <v>771</v>
      </c>
    </row>
    <row r="2672" spans="1:13" x14ac:dyDescent="0.25">
      <c r="A2672" t="s">
        <v>24472</v>
      </c>
      <c r="B2672" t="s">
        <v>13</v>
      </c>
      <c r="C2672" t="s">
        <v>12014</v>
      </c>
      <c r="D2672" t="s">
        <v>24473</v>
      </c>
      <c r="E2672" t="s">
        <v>24474</v>
      </c>
      <c r="F2672" t="s">
        <v>1464</v>
      </c>
      <c r="G2672" t="s">
        <v>15987</v>
      </c>
      <c r="H2672" t="s">
        <v>45</v>
      </c>
      <c r="I2672" t="s">
        <v>19</v>
      </c>
      <c r="J2672" s="3" t="s">
        <v>24440</v>
      </c>
      <c r="K2672" t="s">
        <v>24441</v>
      </c>
      <c r="L2672" t="s">
        <v>48</v>
      </c>
      <c r="M2672" t="s">
        <v>6656</v>
      </c>
    </row>
    <row r="2673" spans="1:13" x14ac:dyDescent="0.25">
      <c r="A2673" t="s">
        <v>5514</v>
      </c>
      <c r="B2673" t="s">
        <v>101</v>
      </c>
      <c r="C2673" s="1">
        <v>44239</v>
      </c>
      <c r="D2673" t="s">
        <v>32135</v>
      </c>
      <c r="E2673" t="s">
        <v>5515</v>
      </c>
      <c r="F2673" t="s">
        <v>5516</v>
      </c>
      <c r="G2673" t="s">
        <v>5517</v>
      </c>
      <c r="H2673" t="s">
        <v>36</v>
      </c>
      <c r="I2673" t="s">
        <v>19</v>
      </c>
      <c r="J2673" s="3" t="s">
        <v>5518</v>
      </c>
      <c r="K2673" t="s">
        <v>5519</v>
      </c>
      <c r="L2673" t="s">
        <v>32135</v>
      </c>
      <c r="M2673" t="s">
        <v>224</v>
      </c>
    </row>
    <row r="2674" spans="1:13" x14ac:dyDescent="0.25">
      <c r="A2674" t="s">
        <v>20667</v>
      </c>
      <c r="B2674" t="s">
        <v>13</v>
      </c>
      <c r="C2674" s="1">
        <v>43350</v>
      </c>
      <c r="D2674" t="s">
        <v>20668</v>
      </c>
      <c r="E2674" t="s">
        <v>20669</v>
      </c>
      <c r="F2674" t="s">
        <v>1190</v>
      </c>
      <c r="G2674" t="s">
        <v>20670</v>
      </c>
      <c r="H2674" t="s">
        <v>706</v>
      </c>
      <c r="I2674" t="s">
        <v>19</v>
      </c>
      <c r="J2674" s="3" t="s">
        <v>20671</v>
      </c>
      <c r="K2674" t="s">
        <v>20672</v>
      </c>
      <c r="L2674" t="s">
        <v>20673</v>
      </c>
      <c r="M2674" t="s">
        <v>432</v>
      </c>
    </row>
    <row r="2675" spans="1:13" x14ac:dyDescent="0.25">
      <c r="A2675" t="s">
        <v>6400</v>
      </c>
      <c r="B2675" t="s">
        <v>101</v>
      </c>
      <c r="C2675" t="s">
        <v>6401</v>
      </c>
      <c r="D2675" t="s">
        <v>32135</v>
      </c>
      <c r="E2675" t="s">
        <v>6402</v>
      </c>
      <c r="F2675" t="s">
        <v>6403</v>
      </c>
      <c r="G2675" t="s">
        <v>6404</v>
      </c>
      <c r="H2675" t="s">
        <v>18</v>
      </c>
      <c r="I2675" t="s">
        <v>19</v>
      </c>
      <c r="J2675" s="3">
        <v>551935219306</v>
      </c>
      <c r="K2675" t="s">
        <v>6405</v>
      </c>
      <c r="L2675" t="s">
        <v>32135</v>
      </c>
      <c r="M2675" t="s">
        <v>32144</v>
      </c>
    </row>
    <row r="2676" spans="1:13" x14ac:dyDescent="0.25">
      <c r="A2676" t="s">
        <v>9278</v>
      </c>
      <c r="B2676" t="s">
        <v>13</v>
      </c>
      <c r="C2676" s="1">
        <v>44084</v>
      </c>
      <c r="D2676" t="s">
        <v>9279</v>
      </c>
      <c r="E2676" s="2" t="s">
        <v>31408</v>
      </c>
      <c r="F2676" t="s">
        <v>2036</v>
      </c>
      <c r="G2676" t="s">
        <v>9280</v>
      </c>
      <c r="H2676" t="s">
        <v>9281</v>
      </c>
      <c r="I2676" t="s">
        <v>19</v>
      </c>
      <c r="J2676" s="3">
        <f>55-81-997039934</f>
        <v>-997039960</v>
      </c>
      <c r="K2676" t="s">
        <v>9282</v>
      </c>
      <c r="L2676" t="s">
        <v>9283</v>
      </c>
      <c r="M2676" t="s">
        <v>57</v>
      </c>
    </row>
    <row r="2677" spans="1:13" x14ac:dyDescent="0.25">
      <c r="A2677" t="s">
        <v>3346</v>
      </c>
      <c r="B2677" t="s">
        <v>13</v>
      </c>
      <c r="C2677" t="s">
        <v>3340</v>
      </c>
      <c r="D2677" t="s">
        <v>32135</v>
      </c>
      <c r="E2677" s="2" t="s">
        <v>31666</v>
      </c>
      <c r="F2677" t="s">
        <v>3347</v>
      </c>
      <c r="G2677" t="s">
        <v>3348</v>
      </c>
      <c r="H2677" t="s">
        <v>352</v>
      </c>
      <c r="I2677" t="s">
        <v>19</v>
      </c>
      <c r="J2677" s="3">
        <v>2139382738</v>
      </c>
      <c r="K2677" t="s">
        <v>3349</v>
      </c>
      <c r="L2677" t="s">
        <v>1232</v>
      </c>
      <c r="M2677" t="s">
        <v>224</v>
      </c>
    </row>
    <row r="2678" spans="1:13" x14ac:dyDescent="0.25">
      <c r="A2678" t="s">
        <v>26910</v>
      </c>
      <c r="B2678" t="s">
        <v>13</v>
      </c>
      <c r="C2678" t="s">
        <v>26911</v>
      </c>
      <c r="D2678" t="s">
        <v>26912</v>
      </c>
      <c r="E2678" t="s">
        <v>26913</v>
      </c>
      <c r="F2678" t="s">
        <v>1129</v>
      </c>
      <c r="G2678" t="s">
        <v>20799</v>
      </c>
      <c r="H2678" t="s">
        <v>4092</v>
      </c>
      <c r="I2678" t="s">
        <v>19</v>
      </c>
      <c r="J2678" s="3" t="s">
        <v>15525</v>
      </c>
      <c r="K2678" t="s">
        <v>20800</v>
      </c>
      <c r="L2678" t="s">
        <v>4094</v>
      </c>
      <c r="M2678" t="s">
        <v>224</v>
      </c>
    </row>
    <row r="2679" spans="1:13" x14ac:dyDescent="0.25">
      <c r="A2679" t="s">
        <v>10875</v>
      </c>
      <c r="B2679" t="s">
        <v>13</v>
      </c>
      <c r="C2679" t="s">
        <v>10876</v>
      </c>
      <c r="D2679" t="s">
        <v>10877</v>
      </c>
      <c r="E2679" t="s">
        <v>10878</v>
      </c>
      <c r="F2679" t="s">
        <v>1464</v>
      </c>
      <c r="G2679" t="s">
        <v>10879</v>
      </c>
      <c r="H2679" t="s">
        <v>36</v>
      </c>
      <c r="I2679" t="s">
        <v>19</v>
      </c>
      <c r="J2679" s="3" t="s">
        <v>10880</v>
      </c>
      <c r="K2679" t="s">
        <v>10881</v>
      </c>
      <c r="L2679" t="s">
        <v>328</v>
      </c>
      <c r="M2679" t="s">
        <v>432</v>
      </c>
    </row>
    <row r="2680" spans="1:13" x14ac:dyDescent="0.25">
      <c r="A2680" t="s">
        <v>24621</v>
      </c>
      <c r="B2680" t="s">
        <v>13</v>
      </c>
      <c r="C2680" t="s">
        <v>24546</v>
      </c>
      <c r="D2680" t="s">
        <v>24622</v>
      </c>
      <c r="E2680" t="s">
        <v>24623</v>
      </c>
      <c r="F2680" t="s">
        <v>129</v>
      </c>
      <c r="G2680" t="s">
        <v>24624</v>
      </c>
      <c r="H2680" t="s">
        <v>150</v>
      </c>
      <c r="I2680" t="s">
        <v>19</v>
      </c>
      <c r="J2680" s="3">
        <v>551133677700</v>
      </c>
      <c r="K2680" t="s">
        <v>24625</v>
      </c>
      <c r="L2680" t="s">
        <v>2712</v>
      </c>
      <c r="M2680" t="s">
        <v>129</v>
      </c>
    </row>
    <row r="2681" spans="1:13" x14ac:dyDescent="0.25">
      <c r="A2681" t="s">
        <v>24599</v>
      </c>
      <c r="B2681" t="s">
        <v>13</v>
      </c>
      <c r="C2681" t="s">
        <v>12252</v>
      </c>
      <c r="D2681" t="s">
        <v>24600</v>
      </c>
      <c r="E2681" t="s">
        <v>24601</v>
      </c>
      <c r="F2681" t="s">
        <v>1775</v>
      </c>
      <c r="G2681" t="s">
        <v>24602</v>
      </c>
      <c r="H2681" t="s">
        <v>24603</v>
      </c>
      <c r="I2681" t="s">
        <v>19</v>
      </c>
      <c r="J2681" s="3" t="s">
        <v>24604</v>
      </c>
      <c r="K2681" t="s">
        <v>24605</v>
      </c>
      <c r="L2681" t="s">
        <v>24606</v>
      </c>
      <c r="M2681" t="s">
        <v>1775</v>
      </c>
    </row>
    <row r="2682" spans="1:13" x14ac:dyDescent="0.25">
      <c r="A2682" t="s">
        <v>27268</v>
      </c>
      <c r="B2682" t="s">
        <v>13</v>
      </c>
      <c r="C2682" t="s">
        <v>27269</v>
      </c>
      <c r="D2682" t="s">
        <v>27270</v>
      </c>
      <c r="E2682" t="s">
        <v>27271</v>
      </c>
      <c r="F2682" t="s">
        <v>5940</v>
      </c>
      <c r="G2682" t="s">
        <v>27272</v>
      </c>
      <c r="H2682" t="s">
        <v>936</v>
      </c>
      <c r="I2682" t="s">
        <v>19</v>
      </c>
      <c r="J2682" s="3" t="s">
        <v>27273</v>
      </c>
      <c r="K2682" t="s">
        <v>6664</v>
      </c>
      <c r="L2682" t="s">
        <v>9443</v>
      </c>
      <c r="M2682" t="s">
        <v>1304</v>
      </c>
    </row>
    <row r="2683" spans="1:13" x14ac:dyDescent="0.25">
      <c r="A2683" t="s">
        <v>17725</v>
      </c>
      <c r="B2683" t="s">
        <v>13</v>
      </c>
      <c r="C2683" t="s">
        <v>17726</v>
      </c>
      <c r="D2683" t="s">
        <v>17727</v>
      </c>
      <c r="E2683" s="2" t="s">
        <v>31183</v>
      </c>
      <c r="F2683" t="s">
        <v>1464</v>
      </c>
      <c r="G2683" t="s">
        <v>17728</v>
      </c>
      <c r="H2683" t="s">
        <v>114</v>
      </c>
      <c r="I2683" t="s">
        <v>19</v>
      </c>
      <c r="J2683" s="3">
        <f>55-79-991917075</f>
        <v>-991917099</v>
      </c>
      <c r="K2683" t="s">
        <v>17729</v>
      </c>
      <c r="L2683" t="s">
        <v>82</v>
      </c>
      <c r="M2683" t="s">
        <v>1304</v>
      </c>
    </row>
    <row r="2684" spans="1:13" x14ac:dyDescent="0.25">
      <c r="A2684" t="s">
        <v>13003</v>
      </c>
      <c r="B2684" t="s">
        <v>101</v>
      </c>
      <c r="C2684" s="1">
        <v>44138</v>
      </c>
      <c r="D2684" t="s">
        <v>13004</v>
      </c>
      <c r="E2684" s="2" t="s">
        <v>32040</v>
      </c>
      <c r="F2684" t="s">
        <v>1349</v>
      </c>
      <c r="G2684" t="s">
        <v>13005</v>
      </c>
      <c r="H2684" t="s">
        <v>150</v>
      </c>
      <c r="I2684" t="s">
        <v>19</v>
      </c>
      <c r="J2684" s="3">
        <v>551155711062</v>
      </c>
      <c r="K2684" t="s">
        <v>1550</v>
      </c>
      <c r="L2684" t="s">
        <v>8569</v>
      </c>
      <c r="M2684" t="s">
        <v>1349</v>
      </c>
    </row>
    <row r="2685" spans="1:13" x14ac:dyDescent="0.25">
      <c r="A2685" t="s">
        <v>4163</v>
      </c>
      <c r="B2685" t="s">
        <v>101</v>
      </c>
      <c r="C2685" t="s">
        <v>4164</v>
      </c>
      <c r="D2685" t="s">
        <v>4165</v>
      </c>
      <c r="E2685" s="2" t="s">
        <v>30802</v>
      </c>
      <c r="F2685" t="s">
        <v>4166</v>
      </c>
      <c r="G2685" t="s">
        <v>4167</v>
      </c>
      <c r="H2685" t="s">
        <v>36</v>
      </c>
      <c r="I2685" t="s">
        <v>19</v>
      </c>
      <c r="J2685" s="3" t="s">
        <v>4168</v>
      </c>
      <c r="K2685" t="s">
        <v>4169</v>
      </c>
      <c r="L2685" t="s">
        <v>344</v>
      </c>
      <c r="M2685" t="s">
        <v>1775</v>
      </c>
    </row>
    <row r="2686" spans="1:13" x14ac:dyDescent="0.25">
      <c r="A2686" t="s">
        <v>5459</v>
      </c>
      <c r="B2686" t="s">
        <v>13</v>
      </c>
      <c r="C2686" s="1">
        <v>44359</v>
      </c>
      <c r="D2686" t="s">
        <v>5460</v>
      </c>
      <c r="E2686" t="s">
        <v>5461</v>
      </c>
      <c r="F2686" t="s">
        <v>5462</v>
      </c>
      <c r="G2686" t="s">
        <v>1237</v>
      </c>
      <c r="H2686" t="s">
        <v>1238</v>
      </c>
      <c r="I2686" t="s">
        <v>19</v>
      </c>
      <c r="J2686" s="3" t="s">
        <v>4933</v>
      </c>
      <c r="K2686" t="s">
        <v>1240</v>
      </c>
      <c r="L2686" t="s">
        <v>32135</v>
      </c>
      <c r="M2686" t="s">
        <v>32149</v>
      </c>
    </row>
    <row r="2687" spans="1:13" x14ac:dyDescent="0.25">
      <c r="A2687" t="s">
        <v>8807</v>
      </c>
      <c r="B2687" t="s">
        <v>13</v>
      </c>
      <c r="C2687" t="s">
        <v>8802</v>
      </c>
      <c r="D2687" t="s">
        <v>8808</v>
      </c>
      <c r="E2687" t="s">
        <v>1697</v>
      </c>
      <c r="F2687" t="s">
        <v>337</v>
      </c>
      <c r="G2687" t="s">
        <v>8809</v>
      </c>
      <c r="H2687" t="s">
        <v>36</v>
      </c>
      <c r="I2687" t="s">
        <v>19</v>
      </c>
      <c r="J2687" s="3">
        <v>551130917832</v>
      </c>
      <c r="K2687" t="s">
        <v>8810</v>
      </c>
      <c r="L2687" t="s">
        <v>3512</v>
      </c>
      <c r="M2687" t="s">
        <v>337</v>
      </c>
    </row>
    <row r="2688" spans="1:13" x14ac:dyDescent="0.25">
      <c r="A2688" t="s">
        <v>14266</v>
      </c>
      <c r="B2688" t="s">
        <v>13</v>
      </c>
      <c r="C2688" s="1">
        <v>44075</v>
      </c>
      <c r="D2688" t="s">
        <v>14267</v>
      </c>
      <c r="E2688" t="s">
        <v>14268</v>
      </c>
      <c r="F2688" t="s">
        <v>332</v>
      </c>
      <c r="G2688" t="s">
        <v>14269</v>
      </c>
      <c r="H2688" t="s">
        <v>141</v>
      </c>
      <c r="I2688" t="s">
        <v>19</v>
      </c>
      <c r="J2688" s="3">
        <v>558232155000</v>
      </c>
      <c r="K2688" t="s">
        <v>14270</v>
      </c>
      <c r="L2688" t="s">
        <v>14271</v>
      </c>
      <c r="M2688" t="s">
        <v>337</v>
      </c>
    </row>
    <row r="2689" spans="1:13" x14ac:dyDescent="0.25">
      <c r="A2689" t="s">
        <v>10157</v>
      </c>
      <c r="B2689" t="s">
        <v>13</v>
      </c>
      <c r="C2689" t="s">
        <v>8861</v>
      </c>
      <c r="D2689" t="s">
        <v>10158</v>
      </c>
      <c r="E2689" t="s">
        <v>10159</v>
      </c>
      <c r="F2689" t="s">
        <v>332</v>
      </c>
      <c r="G2689" t="s">
        <v>10160</v>
      </c>
      <c r="H2689" t="s">
        <v>114</v>
      </c>
      <c r="I2689" t="s">
        <v>19</v>
      </c>
      <c r="J2689" s="3">
        <f>55-79-991126209</f>
        <v>-991126233</v>
      </c>
      <c r="K2689" t="s">
        <v>10161</v>
      </c>
      <c r="L2689" t="s">
        <v>10162</v>
      </c>
      <c r="M2689" t="s">
        <v>337</v>
      </c>
    </row>
    <row r="2690" spans="1:13" x14ac:dyDescent="0.25">
      <c r="A2690" t="s">
        <v>3505</v>
      </c>
      <c r="B2690" t="s">
        <v>13</v>
      </c>
      <c r="C2690" t="s">
        <v>3506</v>
      </c>
      <c r="D2690" t="s">
        <v>3507</v>
      </c>
      <c r="E2690" t="s">
        <v>3508</v>
      </c>
      <c r="F2690" t="s">
        <v>773</v>
      </c>
      <c r="G2690" t="s">
        <v>3509</v>
      </c>
      <c r="H2690" t="s">
        <v>36</v>
      </c>
      <c r="I2690" t="s">
        <v>19</v>
      </c>
      <c r="J2690" s="3" t="s">
        <v>3510</v>
      </c>
      <c r="K2690" t="s">
        <v>3511</v>
      </c>
      <c r="L2690" t="s">
        <v>3512</v>
      </c>
      <c r="M2690" t="s">
        <v>337</v>
      </c>
    </row>
    <row r="2691" spans="1:13" x14ac:dyDescent="0.25">
      <c r="A2691" t="s">
        <v>30643</v>
      </c>
      <c r="B2691" t="s">
        <v>13</v>
      </c>
      <c r="C2691" t="s">
        <v>30644</v>
      </c>
      <c r="D2691" t="s">
        <v>30645</v>
      </c>
      <c r="E2691" t="s">
        <v>30646</v>
      </c>
      <c r="F2691" t="s">
        <v>117</v>
      </c>
      <c r="G2691" t="s">
        <v>30647</v>
      </c>
      <c r="H2691" t="s">
        <v>1037</v>
      </c>
      <c r="I2691" t="s">
        <v>19</v>
      </c>
      <c r="J2691" s="3" t="s">
        <v>30648</v>
      </c>
      <c r="K2691" t="s">
        <v>30649</v>
      </c>
      <c r="L2691" t="s">
        <v>1040</v>
      </c>
      <c r="M2691" t="s">
        <v>32145</v>
      </c>
    </row>
    <row r="2692" spans="1:13" x14ac:dyDescent="0.25">
      <c r="A2692" t="s">
        <v>28428</v>
      </c>
      <c r="B2692" t="s">
        <v>13</v>
      </c>
      <c r="C2692" t="s">
        <v>28429</v>
      </c>
      <c r="D2692" t="s">
        <v>28430</v>
      </c>
      <c r="E2692" s="2" t="s">
        <v>31357</v>
      </c>
      <c r="F2692" t="s">
        <v>332</v>
      </c>
      <c r="G2692" t="s">
        <v>10102</v>
      </c>
      <c r="H2692" t="s">
        <v>372</v>
      </c>
      <c r="I2692" t="s">
        <v>19</v>
      </c>
      <c r="J2692" s="3" t="s">
        <v>27283</v>
      </c>
      <c r="K2692" t="s">
        <v>10103</v>
      </c>
      <c r="L2692" t="s">
        <v>28431</v>
      </c>
      <c r="M2692" t="s">
        <v>337</v>
      </c>
    </row>
    <row r="2693" spans="1:13" x14ac:dyDescent="0.25">
      <c r="A2693" t="s">
        <v>5463</v>
      </c>
      <c r="B2693" t="s">
        <v>13</v>
      </c>
      <c r="C2693" s="1">
        <v>44359</v>
      </c>
      <c r="D2693" t="s">
        <v>5464</v>
      </c>
      <c r="E2693" t="s">
        <v>5465</v>
      </c>
      <c r="F2693" t="s">
        <v>5466</v>
      </c>
      <c r="G2693" t="s">
        <v>1237</v>
      </c>
      <c r="H2693" t="s">
        <v>1238</v>
      </c>
      <c r="I2693" t="s">
        <v>19</v>
      </c>
      <c r="J2693" s="3" t="s">
        <v>4933</v>
      </c>
      <c r="K2693" t="s">
        <v>1240</v>
      </c>
      <c r="L2693" t="s">
        <v>32135</v>
      </c>
      <c r="M2693" t="s">
        <v>337</v>
      </c>
    </row>
    <row r="2694" spans="1:13" x14ac:dyDescent="0.25">
      <c r="A2694" t="s">
        <v>20059</v>
      </c>
      <c r="B2694" t="s">
        <v>13</v>
      </c>
      <c r="C2694" s="1">
        <v>43381</v>
      </c>
      <c r="D2694" t="s">
        <v>20060</v>
      </c>
      <c r="E2694" t="s">
        <v>20061</v>
      </c>
      <c r="F2694" t="s">
        <v>785</v>
      </c>
      <c r="G2694" t="s">
        <v>20062</v>
      </c>
      <c r="H2694" t="s">
        <v>472</v>
      </c>
      <c r="I2694" t="s">
        <v>19</v>
      </c>
      <c r="J2694" s="3">
        <f>55-81-21268000</f>
        <v>-21268026</v>
      </c>
      <c r="K2694" t="s">
        <v>20063</v>
      </c>
      <c r="L2694" t="s">
        <v>12097</v>
      </c>
      <c r="M2694" t="s">
        <v>785</v>
      </c>
    </row>
    <row r="2695" spans="1:13" x14ac:dyDescent="0.25">
      <c r="A2695" t="s">
        <v>11151</v>
      </c>
      <c r="B2695" t="s">
        <v>13</v>
      </c>
      <c r="C2695" s="1">
        <v>44019</v>
      </c>
      <c r="D2695" t="s">
        <v>11152</v>
      </c>
      <c r="E2695" t="s">
        <v>32402</v>
      </c>
      <c r="F2695" t="s">
        <v>2036</v>
      </c>
      <c r="G2695" t="s">
        <v>11153</v>
      </c>
      <c r="H2695" t="s">
        <v>1622</v>
      </c>
      <c r="I2695" t="s">
        <v>19</v>
      </c>
      <c r="J2695" s="3" t="s">
        <v>11154</v>
      </c>
      <c r="K2695" t="s">
        <v>11155</v>
      </c>
      <c r="L2695" t="s">
        <v>439</v>
      </c>
      <c r="M2695" t="s">
        <v>57</v>
      </c>
    </row>
    <row r="2696" spans="1:13" x14ac:dyDescent="0.25">
      <c r="A2696" t="s">
        <v>30451</v>
      </c>
      <c r="B2696" t="s">
        <v>13</v>
      </c>
      <c r="C2696" s="1">
        <v>41000</v>
      </c>
      <c r="D2696" t="s">
        <v>30452</v>
      </c>
      <c r="E2696" t="s">
        <v>30453</v>
      </c>
      <c r="F2696" t="s">
        <v>1464</v>
      </c>
      <c r="G2696" t="s">
        <v>30454</v>
      </c>
      <c r="H2696" t="s">
        <v>18</v>
      </c>
      <c r="I2696" t="s">
        <v>19</v>
      </c>
      <c r="J2696" s="3" t="s">
        <v>30455</v>
      </c>
      <c r="K2696" t="s">
        <v>30456</v>
      </c>
      <c r="L2696" t="s">
        <v>30457</v>
      </c>
      <c r="M2696" t="s">
        <v>129</v>
      </c>
    </row>
    <row r="2697" spans="1:13" x14ac:dyDescent="0.25">
      <c r="A2697" t="s">
        <v>25650</v>
      </c>
      <c r="B2697" t="s">
        <v>13</v>
      </c>
      <c r="C2697" t="s">
        <v>25640</v>
      </c>
      <c r="D2697" t="s">
        <v>25651</v>
      </c>
      <c r="E2697" t="s">
        <v>25652</v>
      </c>
      <c r="F2697" t="s">
        <v>1349</v>
      </c>
      <c r="G2697" t="s">
        <v>25653</v>
      </c>
      <c r="H2697" t="s">
        <v>428</v>
      </c>
      <c r="I2697" t="s">
        <v>19</v>
      </c>
      <c r="J2697" s="3">
        <v>555182017078</v>
      </c>
      <c r="K2697" t="s">
        <v>25654</v>
      </c>
      <c r="L2697" t="s">
        <v>1269</v>
      </c>
      <c r="M2697" t="s">
        <v>1349</v>
      </c>
    </row>
    <row r="2698" spans="1:13" x14ac:dyDescent="0.25">
      <c r="A2698" t="s">
        <v>15631</v>
      </c>
      <c r="B2698" t="s">
        <v>13</v>
      </c>
      <c r="C2698" s="1">
        <v>43718</v>
      </c>
      <c r="D2698" t="s">
        <v>15632</v>
      </c>
      <c r="E2698" s="2" t="s">
        <v>32403</v>
      </c>
      <c r="F2698" t="s">
        <v>306</v>
      </c>
      <c r="G2698" t="s">
        <v>15633</v>
      </c>
      <c r="H2698" t="s">
        <v>195</v>
      </c>
      <c r="I2698" t="s">
        <v>19</v>
      </c>
      <c r="J2698" s="3">
        <f>55-16-33518111</f>
        <v>-33518072</v>
      </c>
      <c r="K2698" t="s">
        <v>15634</v>
      </c>
      <c r="L2698" t="s">
        <v>197</v>
      </c>
      <c r="M2698" t="s">
        <v>32145</v>
      </c>
    </row>
    <row r="2699" spans="1:13" x14ac:dyDescent="0.25">
      <c r="A2699" t="s">
        <v>21882</v>
      </c>
      <c r="B2699" t="s">
        <v>13</v>
      </c>
      <c r="C2699" t="s">
        <v>10491</v>
      </c>
      <c r="D2699" t="s">
        <v>21883</v>
      </c>
      <c r="E2699" t="s">
        <v>32404</v>
      </c>
      <c r="F2699" t="s">
        <v>3084</v>
      </c>
      <c r="G2699" t="s">
        <v>21884</v>
      </c>
      <c r="H2699" t="s">
        <v>36</v>
      </c>
      <c r="I2699" t="s">
        <v>19</v>
      </c>
      <c r="J2699" s="3" t="s">
        <v>21885</v>
      </c>
      <c r="K2699" t="s">
        <v>21886</v>
      </c>
      <c r="L2699" t="s">
        <v>21887</v>
      </c>
      <c r="M2699" t="s">
        <v>32144</v>
      </c>
    </row>
    <row r="2700" spans="1:13" x14ac:dyDescent="0.25">
      <c r="A2700" t="s">
        <v>28899</v>
      </c>
      <c r="B2700" t="s">
        <v>13</v>
      </c>
      <c r="C2700" t="s">
        <v>28900</v>
      </c>
      <c r="D2700" t="s">
        <v>28901</v>
      </c>
      <c r="E2700" t="s">
        <v>28902</v>
      </c>
      <c r="F2700" t="s">
        <v>32121</v>
      </c>
      <c r="G2700" t="s">
        <v>10106</v>
      </c>
      <c r="H2700" t="s">
        <v>114</v>
      </c>
      <c r="I2700" t="s">
        <v>19</v>
      </c>
      <c r="J2700" s="3" t="s">
        <v>28903</v>
      </c>
      <c r="K2700" t="s">
        <v>20241</v>
      </c>
      <c r="L2700" t="s">
        <v>82</v>
      </c>
      <c r="M2700" t="s">
        <v>32121</v>
      </c>
    </row>
    <row r="2701" spans="1:13" x14ac:dyDescent="0.25">
      <c r="A2701" t="s">
        <v>5960</v>
      </c>
      <c r="B2701" t="s">
        <v>13</v>
      </c>
      <c r="C2701" s="1">
        <v>44540</v>
      </c>
      <c r="D2701" t="s">
        <v>32135</v>
      </c>
      <c r="E2701" t="s">
        <v>5961</v>
      </c>
      <c r="F2701" t="s">
        <v>5962</v>
      </c>
      <c r="G2701" t="s">
        <v>5963</v>
      </c>
      <c r="H2701" t="s">
        <v>36</v>
      </c>
      <c r="I2701" t="s">
        <v>19</v>
      </c>
      <c r="J2701" s="3">
        <v>5511998791048</v>
      </c>
      <c r="K2701" t="s">
        <v>2929</v>
      </c>
      <c r="L2701" t="s">
        <v>32135</v>
      </c>
      <c r="M2701" t="s">
        <v>1349</v>
      </c>
    </row>
    <row r="2702" spans="1:13" x14ac:dyDescent="0.25">
      <c r="A2702" t="s">
        <v>12145</v>
      </c>
      <c r="B2702" t="s">
        <v>13</v>
      </c>
      <c r="C2702" t="s">
        <v>9668</v>
      </c>
      <c r="D2702" t="s">
        <v>12146</v>
      </c>
      <c r="E2702" t="s">
        <v>8611</v>
      </c>
      <c r="F2702" t="s">
        <v>337</v>
      </c>
      <c r="G2702" t="s">
        <v>12147</v>
      </c>
      <c r="H2702" t="s">
        <v>428</v>
      </c>
      <c r="I2702" t="s">
        <v>19</v>
      </c>
      <c r="J2702" s="3">
        <f>55-51-996030790</f>
        <v>-996030786</v>
      </c>
      <c r="K2702" t="s">
        <v>12148</v>
      </c>
      <c r="L2702" t="s">
        <v>3299</v>
      </c>
      <c r="M2702" t="s">
        <v>337</v>
      </c>
    </row>
    <row r="2703" spans="1:13" x14ac:dyDescent="0.25">
      <c r="A2703" t="s">
        <v>8609</v>
      </c>
      <c r="B2703" t="s">
        <v>13</v>
      </c>
      <c r="C2703" s="1">
        <v>44317</v>
      </c>
      <c r="D2703" t="s">
        <v>8610</v>
      </c>
      <c r="E2703" t="s">
        <v>8611</v>
      </c>
      <c r="F2703" t="s">
        <v>8611</v>
      </c>
      <c r="G2703" t="s">
        <v>8612</v>
      </c>
      <c r="H2703" t="s">
        <v>714</v>
      </c>
      <c r="I2703" t="s">
        <v>19</v>
      </c>
      <c r="J2703" s="3">
        <f>55-18-36363271</f>
        <v>-36363234</v>
      </c>
      <c r="K2703" t="s">
        <v>8613</v>
      </c>
      <c r="L2703" t="s">
        <v>8614</v>
      </c>
      <c r="M2703" t="s">
        <v>337</v>
      </c>
    </row>
    <row r="2704" spans="1:13" x14ac:dyDescent="0.25">
      <c r="A2704" t="s">
        <v>10251</v>
      </c>
      <c r="B2704" t="s">
        <v>13</v>
      </c>
      <c r="C2704" t="s">
        <v>9229</v>
      </c>
      <c r="D2704" t="s">
        <v>10252</v>
      </c>
      <c r="E2704" t="s">
        <v>8611</v>
      </c>
      <c r="F2704" t="s">
        <v>332</v>
      </c>
      <c r="G2704" t="s">
        <v>10253</v>
      </c>
      <c r="H2704" t="s">
        <v>53</v>
      </c>
      <c r="I2704" t="s">
        <v>19</v>
      </c>
      <c r="J2704" s="3">
        <f>550383532-6082</f>
        <v>550377450</v>
      </c>
      <c r="K2704" t="s">
        <v>10254</v>
      </c>
      <c r="L2704" t="s">
        <v>56</v>
      </c>
      <c r="M2704" t="s">
        <v>337</v>
      </c>
    </row>
    <row r="2705" spans="1:13" x14ac:dyDescent="0.25">
      <c r="A2705" t="s">
        <v>30211</v>
      </c>
      <c r="B2705" t="s">
        <v>13</v>
      </c>
      <c r="C2705" t="s">
        <v>30212</v>
      </c>
      <c r="D2705" t="s">
        <v>30213</v>
      </c>
      <c r="E2705" t="s">
        <v>30214</v>
      </c>
      <c r="F2705" t="s">
        <v>1129</v>
      </c>
      <c r="G2705" t="s">
        <v>307</v>
      </c>
      <c r="H2705" t="s">
        <v>308</v>
      </c>
      <c r="I2705" t="s">
        <v>309</v>
      </c>
      <c r="J2705" s="3" t="s">
        <v>310</v>
      </c>
      <c r="K2705" t="s">
        <v>311</v>
      </c>
      <c r="L2705" t="s">
        <v>312</v>
      </c>
      <c r="M2705" t="s">
        <v>224</v>
      </c>
    </row>
    <row r="2706" spans="1:13" x14ac:dyDescent="0.25">
      <c r="A2706" t="s">
        <v>30317</v>
      </c>
      <c r="B2706" t="s">
        <v>13</v>
      </c>
      <c r="C2706" t="s">
        <v>30142</v>
      </c>
      <c r="D2706" t="s">
        <v>30318</v>
      </c>
      <c r="E2706" t="s">
        <v>30319</v>
      </c>
      <c r="F2706" t="s">
        <v>2036</v>
      </c>
      <c r="G2706" t="s">
        <v>30320</v>
      </c>
      <c r="H2706" t="s">
        <v>1335</v>
      </c>
      <c r="I2706" t="s">
        <v>19</v>
      </c>
      <c r="J2706" s="3" t="s">
        <v>30321</v>
      </c>
      <c r="K2706" t="s">
        <v>30322</v>
      </c>
      <c r="L2706" t="s">
        <v>1461</v>
      </c>
      <c r="M2706" t="s">
        <v>57</v>
      </c>
    </row>
    <row r="2707" spans="1:13" x14ac:dyDescent="0.25">
      <c r="A2707" t="s">
        <v>30445</v>
      </c>
      <c r="B2707" t="s">
        <v>13</v>
      </c>
      <c r="C2707" s="1">
        <v>41000</v>
      </c>
      <c r="D2707" t="s">
        <v>30446</v>
      </c>
      <c r="E2707" t="s">
        <v>30447</v>
      </c>
      <c r="F2707" t="s">
        <v>2036</v>
      </c>
      <c r="G2707" t="s">
        <v>30062</v>
      </c>
      <c r="H2707" t="s">
        <v>409</v>
      </c>
      <c r="I2707" t="s">
        <v>19</v>
      </c>
      <c r="J2707" s="3">
        <v>33218610</v>
      </c>
      <c r="K2707" t="s">
        <v>30063</v>
      </c>
      <c r="L2707" t="s">
        <v>1823</v>
      </c>
      <c r="M2707" t="s">
        <v>57</v>
      </c>
    </row>
    <row r="2708" spans="1:13" x14ac:dyDescent="0.25">
      <c r="A2708" t="s">
        <v>7177</v>
      </c>
      <c r="B2708" t="s">
        <v>13</v>
      </c>
      <c r="C2708" s="1">
        <v>44414</v>
      </c>
      <c r="D2708" t="s">
        <v>32135</v>
      </c>
      <c r="E2708" t="s">
        <v>7178</v>
      </c>
      <c r="F2708" t="s">
        <v>7179</v>
      </c>
      <c r="G2708" t="s">
        <v>7180</v>
      </c>
      <c r="H2708" t="s">
        <v>7181</v>
      </c>
      <c r="I2708" t="s">
        <v>19</v>
      </c>
      <c r="J2708" s="3">
        <f>55-35-991332964</f>
        <v>-991332944</v>
      </c>
      <c r="K2708" t="s">
        <v>7182</v>
      </c>
      <c r="L2708" t="s">
        <v>32135</v>
      </c>
      <c r="M2708" t="s">
        <v>1775</v>
      </c>
    </row>
    <row r="2709" spans="1:13" x14ac:dyDescent="0.25">
      <c r="A2709" t="s">
        <v>28194</v>
      </c>
      <c r="B2709" t="s">
        <v>13</v>
      </c>
      <c r="C2709" t="s">
        <v>28192</v>
      </c>
      <c r="D2709" t="s">
        <v>28195</v>
      </c>
      <c r="E2709" t="s">
        <v>28196</v>
      </c>
      <c r="F2709" t="s">
        <v>1190</v>
      </c>
      <c r="G2709" t="s">
        <v>28197</v>
      </c>
      <c r="H2709" t="s">
        <v>88</v>
      </c>
      <c r="I2709" t="s">
        <v>19</v>
      </c>
      <c r="J2709" s="3" t="s">
        <v>28198</v>
      </c>
      <c r="K2709" t="s">
        <v>28199</v>
      </c>
      <c r="L2709" t="s">
        <v>91</v>
      </c>
      <c r="M2709" t="s">
        <v>432</v>
      </c>
    </row>
    <row r="2710" spans="1:13" x14ac:dyDescent="0.25">
      <c r="A2710" t="s">
        <v>18720</v>
      </c>
      <c r="B2710" t="s">
        <v>13</v>
      </c>
      <c r="C2710" t="s">
        <v>8504</v>
      </c>
      <c r="D2710" t="s">
        <v>18721</v>
      </c>
      <c r="E2710" t="s">
        <v>18722</v>
      </c>
      <c r="F2710" t="s">
        <v>1129</v>
      </c>
      <c r="G2710" t="s">
        <v>17333</v>
      </c>
      <c r="H2710" t="s">
        <v>45</v>
      </c>
      <c r="I2710" t="s">
        <v>19</v>
      </c>
      <c r="J2710" s="3" t="s">
        <v>17334</v>
      </c>
      <c r="K2710" t="s">
        <v>17335</v>
      </c>
      <c r="L2710" t="s">
        <v>3108</v>
      </c>
      <c r="M2710" t="s">
        <v>224</v>
      </c>
    </row>
    <row r="2711" spans="1:13" x14ac:dyDescent="0.25">
      <c r="A2711" t="s">
        <v>29865</v>
      </c>
      <c r="B2711" t="s">
        <v>13</v>
      </c>
      <c r="C2711" s="1">
        <v>40731</v>
      </c>
      <c r="D2711" t="s">
        <v>29866</v>
      </c>
      <c r="E2711" t="s">
        <v>29867</v>
      </c>
      <c r="F2711" t="s">
        <v>224</v>
      </c>
      <c r="G2711" t="s">
        <v>17664</v>
      </c>
      <c r="H2711" t="s">
        <v>1597</v>
      </c>
      <c r="I2711" t="s">
        <v>19</v>
      </c>
      <c r="J2711" s="3" t="s">
        <v>29868</v>
      </c>
      <c r="K2711" t="s">
        <v>17665</v>
      </c>
      <c r="L2711" t="s">
        <v>1823</v>
      </c>
      <c r="M2711" t="s">
        <v>224</v>
      </c>
    </row>
    <row r="2712" spans="1:13" x14ac:dyDescent="0.25">
      <c r="A2712" t="s">
        <v>17609</v>
      </c>
      <c r="B2712" t="s">
        <v>13</v>
      </c>
      <c r="C2712" t="s">
        <v>17593</v>
      </c>
      <c r="D2712" t="s">
        <v>17610</v>
      </c>
      <c r="E2712" t="s">
        <v>17611</v>
      </c>
      <c r="F2712" t="s">
        <v>2036</v>
      </c>
      <c r="G2712" t="s">
        <v>17612</v>
      </c>
      <c r="H2712" t="s">
        <v>7109</v>
      </c>
      <c r="I2712" t="s">
        <v>19</v>
      </c>
      <c r="J2712" s="3">
        <v>551150847551</v>
      </c>
      <c r="K2712" t="s">
        <v>17613</v>
      </c>
      <c r="L2712" t="s">
        <v>17614</v>
      </c>
      <c r="M2712" t="s">
        <v>57</v>
      </c>
    </row>
    <row r="2713" spans="1:13" x14ac:dyDescent="0.25">
      <c r="A2713" t="s">
        <v>26305</v>
      </c>
      <c r="B2713" t="s">
        <v>13</v>
      </c>
      <c r="C2713" s="1">
        <v>42648</v>
      </c>
      <c r="D2713" t="s">
        <v>26306</v>
      </c>
      <c r="E2713" s="2" t="s">
        <v>32405</v>
      </c>
      <c r="F2713" t="s">
        <v>332</v>
      </c>
      <c r="G2713" t="s">
        <v>26307</v>
      </c>
      <c r="H2713" t="s">
        <v>372</v>
      </c>
      <c r="I2713" t="s">
        <v>19</v>
      </c>
      <c r="J2713" s="3" t="s">
        <v>26308</v>
      </c>
      <c r="K2713" t="s">
        <v>26309</v>
      </c>
      <c r="L2713" t="s">
        <v>9980</v>
      </c>
      <c r="M2713" t="s">
        <v>337</v>
      </c>
    </row>
    <row r="2714" spans="1:13" x14ac:dyDescent="0.25">
      <c r="A2714" t="s">
        <v>29513</v>
      </c>
      <c r="B2714" t="s">
        <v>13</v>
      </c>
      <c r="C2714" s="1">
        <v>41433</v>
      </c>
      <c r="D2714" t="s">
        <v>29514</v>
      </c>
      <c r="E2714" t="s">
        <v>29515</v>
      </c>
      <c r="F2714" t="s">
        <v>117</v>
      </c>
      <c r="G2714" t="s">
        <v>29516</v>
      </c>
      <c r="H2714" t="s">
        <v>36</v>
      </c>
      <c r="I2714" t="s">
        <v>19</v>
      </c>
      <c r="J2714" s="3" t="s">
        <v>29517</v>
      </c>
      <c r="K2714" t="s">
        <v>27432</v>
      </c>
      <c r="L2714" t="s">
        <v>29518</v>
      </c>
      <c r="M2714" t="s">
        <v>32145</v>
      </c>
    </row>
    <row r="2715" spans="1:13" x14ac:dyDescent="0.25">
      <c r="A2715" t="s">
        <v>30069</v>
      </c>
      <c r="B2715" t="s">
        <v>101</v>
      </c>
      <c r="C2715" t="s">
        <v>14184</v>
      </c>
      <c r="D2715" t="s">
        <v>30070</v>
      </c>
      <c r="E2715" t="s">
        <v>30071</v>
      </c>
      <c r="F2715" t="s">
        <v>1464</v>
      </c>
      <c r="G2715" t="s">
        <v>30072</v>
      </c>
      <c r="H2715" t="s">
        <v>28</v>
      </c>
      <c r="I2715" t="s">
        <v>19</v>
      </c>
      <c r="J2715" s="3" t="s">
        <v>30073</v>
      </c>
      <c r="K2715" t="s">
        <v>30074</v>
      </c>
      <c r="L2715" t="s">
        <v>923</v>
      </c>
      <c r="M2715" t="s">
        <v>32149</v>
      </c>
    </row>
    <row r="2716" spans="1:13" x14ac:dyDescent="0.25">
      <c r="A2716" t="s">
        <v>30333</v>
      </c>
      <c r="B2716" t="s">
        <v>101</v>
      </c>
      <c r="C2716" t="s">
        <v>30142</v>
      </c>
      <c r="D2716" t="s">
        <v>30334</v>
      </c>
      <c r="E2716" t="s">
        <v>30335</v>
      </c>
      <c r="F2716" t="s">
        <v>1464</v>
      </c>
      <c r="G2716" t="s">
        <v>30336</v>
      </c>
      <c r="H2716" t="s">
        <v>28</v>
      </c>
      <c r="I2716" t="s">
        <v>19</v>
      </c>
      <c r="J2716" s="3" t="s">
        <v>30337</v>
      </c>
      <c r="K2716" t="s">
        <v>30338</v>
      </c>
      <c r="L2716" t="s">
        <v>30339</v>
      </c>
      <c r="M2716" t="s">
        <v>771</v>
      </c>
    </row>
    <row r="2717" spans="1:13" x14ac:dyDescent="0.25">
      <c r="A2717" t="s">
        <v>22556</v>
      </c>
      <c r="B2717" t="s">
        <v>13</v>
      </c>
      <c r="C2717" t="s">
        <v>22557</v>
      </c>
      <c r="D2717" t="s">
        <v>22558</v>
      </c>
      <c r="E2717" t="s">
        <v>22559</v>
      </c>
      <c r="F2717" t="s">
        <v>2758</v>
      </c>
      <c r="G2717" t="s">
        <v>7293</v>
      </c>
      <c r="H2717" t="s">
        <v>7294</v>
      </c>
      <c r="I2717" t="s">
        <v>19</v>
      </c>
      <c r="J2717" s="3">
        <v>556181907111</v>
      </c>
      <c r="K2717" t="s">
        <v>7295</v>
      </c>
      <c r="L2717" t="s">
        <v>4378</v>
      </c>
      <c r="M2717" t="s">
        <v>32149</v>
      </c>
    </row>
    <row r="2718" spans="1:13" x14ac:dyDescent="0.25">
      <c r="A2718" t="s">
        <v>10330</v>
      </c>
      <c r="B2718" t="s">
        <v>13</v>
      </c>
      <c r="C2718" t="s">
        <v>10327</v>
      </c>
      <c r="D2718" t="s">
        <v>10331</v>
      </c>
      <c r="E2718" t="s">
        <v>10332</v>
      </c>
      <c r="F2718" t="s">
        <v>32121</v>
      </c>
      <c r="G2718" t="s">
        <v>10333</v>
      </c>
      <c r="H2718" t="s">
        <v>1090</v>
      </c>
      <c r="I2718" t="s">
        <v>19</v>
      </c>
      <c r="J2718" s="3">
        <v>5583999115518</v>
      </c>
      <c r="K2718" t="s">
        <v>10334</v>
      </c>
      <c r="L2718" t="s">
        <v>10302</v>
      </c>
      <c r="M2718" t="s">
        <v>32121</v>
      </c>
    </row>
    <row r="2719" spans="1:13" x14ac:dyDescent="0.25">
      <c r="A2719" t="s">
        <v>6773</v>
      </c>
      <c r="B2719" t="s">
        <v>13</v>
      </c>
      <c r="C2719" s="1">
        <v>44138</v>
      </c>
      <c r="D2719" t="s">
        <v>6774</v>
      </c>
      <c r="E2719" t="s">
        <v>6048</v>
      </c>
      <c r="F2719" t="s">
        <v>1775</v>
      </c>
      <c r="G2719" t="s">
        <v>6775</v>
      </c>
      <c r="H2719" t="s">
        <v>472</v>
      </c>
      <c r="I2719" t="s">
        <v>19</v>
      </c>
      <c r="J2719" s="3">
        <v>558196260108</v>
      </c>
      <c r="K2719" t="s">
        <v>6776</v>
      </c>
      <c r="L2719" t="s">
        <v>6777</v>
      </c>
      <c r="M2719" t="s">
        <v>6656</v>
      </c>
    </row>
    <row r="2720" spans="1:13" x14ac:dyDescent="0.25">
      <c r="A2720" t="s">
        <v>19530</v>
      </c>
      <c r="B2720" t="s">
        <v>13</v>
      </c>
      <c r="C2720" t="s">
        <v>13535</v>
      </c>
      <c r="D2720" t="s">
        <v>19531</v>
      </c>
      <c r="E2720" s="2" t="s">
        <v>31934</v>
      </c>
      <c r="F2720" t="s">
        <v>224</v>
      </c>
      <c r="G2720" t="s">
        <v>1868</v>
      </c>
      <c r="H2720" t="s">
        <v>195</v>
      </c>
      <c r="I2720" t="s">
        <v>19</v>
      </c>
      <c r="J2720" s="3" t="s">
        <v>19532</v>
      </c>
      <c r="K2720" t="s">
        <v>1870</v>
      </c>
      <c r="L2720" t="s">
        <v>1606</v>
      </c>
      <c r="M2720" t="s">
        <v>224</v>
      </c>
    </row>
    <row r="2721" spans="1:13" x14ac:dyDescent="0.25">
      <c r="A2721" t="s">
        <v>5536</v>
      </c>
      <c r="B2721" t="s">
        <v>101</v>
      </c>
      <c r="C2721" s="1">
        <v>44208</v>
      </c>
      <c r="D2721" t="s">
        <v>32135</v>
      </c>
      <c r="E2721" t="s">
        <v>3206</v>
      </c>
      <c r="F2721" t="s">
        <v>5420</v>
      </c>
      <c r="G2721" t="s">
        <v>5537</v>
      </c>
      <c r="H2721" t="s">
        <v>265</v>
      </c>
      <c r="I2721" t="s">
        <v>19</v>
      </c>
      <c r="J2721" s="3" t="s">
        <v>5538</v>
      </c>
      <c r="K2721" t="s">
        <v>5539</v>
      </c>
      <c r="L2721" t="s">
        <v>32135</v>
      </c>
      <c r="M2721" t="s">
        <v>32121</v>
      </c>
    </row>
    <row r="2722" spans="1:13" x14ac:dyDescent="0.25">
      <c r="A2722" t="s">
        <v>22266</v>
      </c>
      <c r="B2722" t="s">
        <v>13</v>
      </c>
      <c r="C2722" s="1">
        <v>43283</v>
      </c>
      <c r="D2722" t="s">
        <v>22267</v>
      </c>
      <c r="E2722" t="s">
        <v>22268</v>
      </c>
      <c r="F2722" t="s">
        <v>1464</v>
      </c>
      <c r="G2722" t="s">
        <v>22269</v>
      </c>
      <c r="H2722" t="s">
        <v>18</v>
      </c>
      <c r="I2722" t="s">
        <v>19</v>
      </c>
      <c r="J2722" s="3" t="s">
        <v>22270</v>
      </c>
      <c r="K2722" t="s">
        <v>22271</v>
      </c>
      <c r="L2722" t="s">
        <v>285</v>
      </c>
      <c r="M2722" t="s">
        <v>6656</v>
      </c>
    </row>
    <row r="2723" spans="1:13" x14ac:dyDescent="0.25">
      <c r="A2723" t="s">
        <v>4745</v>
      </c>
      <c r="B2723" t="s">
        <v>13</v>
      </c>
      <c r="C2723" t="s">
        <v>4698</v>
      </c>
      <c r="D2723" t="s">
        <v>4746</v>
      </c>
      <c r="E2723" s="2" t="s">
        <v>30822</v>
      </c>
      <c r="F2723" t="s">
        <v>1884</v>
      </c>
      <c r="G2723" t="s">
        <v>4747</v>
      </c>
      <c r="H2723" t="s">
        <v>409</v>
      </c>
      <c r="I2723" t="s">
        <v>19</v>
      </c>
      <c r="J2723" s="3">
        <v>5548988238025</v>
      </c>
      <c r="K2723" t="s">
        <v>4748</v>
      </c>
      <c r="L2723" t="s">
        <v>412</v>
      </c>
      <c r="M2723" t="s">
        <v>6656</v>
      </c>
    </row>
    <row r="2724" spans="1:13" x14ac:dyDescent="0.25">
      <c r="A2724" t="s">
        <v>26146</v>
      </c>
      <c r="B2724" t="s">
        <v>13</v>
      </c>
      <c r="C2724" t="s">
        <v>26115</v>
      </c>
      <c r="D2724" t="s">
        <v>26147</v>
      </c>
      <c r="E2724" t="s">
        <v>26148</v>
      </c>
      <c r="F2724" t="s">
        <v>10500</v>
      </c>
      <c r="G2724" t="s">
        <v>26149</v>
      </c>
      <c r="H2724" t="s">
        <v>36</v>
      </c>
      <c r="I2724" t="s">
        <v>19</v>
      </c>
      <c r="J2724" s="3" t="s">
        <v>26150</v>
      </c>
      <c r="K2724" t="s">
        <v>26151</v>
      </c>
      <c r="L2724" t="s">
        <v>1834</v>
      </c>
      <c r="M2724" t="s">
        <v>6656</v>
      </c>
    </row>
    <row r="2725" spans="1:13" x14ac:dyDescent="0.25">
      <c r="A2725" t="s">
        <v>1067</v>
      </c>
      <c r="B2725" t="s">
        <v>13</v>
      </c>
      <c r="C2725" t="s">
        <v>1060</v>
      </c>
      <c r="D2725" t="s">
        <v>1068</v>
      </c>
      <c r="E2725" s="2" t="s">
        <v>30698</v>
      </c>
      <c r="F2725" t="s">
        <v>1070</v>
      </c>
      <c r="G2725" t="s">
        <v>1071</v>
      </c>
      <c r="H2725" t="s">
        <v>1072</v>
      </c>
      <c r="I2725" t="s">
        <v>19</v>
      </c>
      <c r="J2725" s="3" t="s">
        <v>1073</v>
      </c>
      <c r="K2725" t="s">
        <v>1074</v>
      </c>
      <c r="L2725" t="s">
        <v>1075</v>
      </c>
      <c r="M2725" t="s">
        <v>432</v>
      </c>
    </row>
    <row r="2726" spans="1:13" x14ac:dyDescent="0.25">
      <c r="A2726" t="s">
        <v>3677</v>
      </c>
      <c r="B2726" t="s">
        <v>13</v>
      </c>
      <c r="C2726" s="1">
        <v>44839</v>
      </c>
      <c r="D2726" t="s">
        <v>32135</v>
      </c>
      <c r="E2726" t="s">
        <v>1630</v>
      </c>
      <c r="F2726" t="s">
        <v>3206</v>
      </c>
      <c r="G2726" t="s">
        <v>3678</v>
      </c>
      <c r="H2726" t="s">
        <v>1486</v>
      </c>
      <c r="I2726" t="s">
        <v>19</v>
      </c>
      <c r="J2726" s="3" t="s">
        <v>3679</v>
      </c>
      <c r="K2726" t="s">
        <v>3680</v>
      </c>
      <c r="L2726" t="s">
        <v>3681</v>
      </c>
      <c r="M2726" t="s">
        <v>6656</v>
      </c>
    </row>
    <row r="2727" spans="1:13" x14ac:dyDescent="0.25">
      <c r="A2727" t="s">
        <v>3350</v>
      </c>
      <c r="B2727" t="s">
        <v>13</v>
      </c>
      <c r="C2727" t="s">
        <v>3351</v>
      </c>
      <c r="D2727" t="s">
        <v>3352</v>
      </c>
      <c r="E2727" t="s">
        <v>1630</v>
      </c>
      <c r="F2727" t="s">
        <v>3353</v>
      </c>
      <c r="G2727" t="s">
        <v>3354</v>
      </c>
      <c r="H2727" t="s">
        <v>489</v>
      </c>
      <c r="I2727" t="s">
        <v>19</v>
      </c>
      <c r="J2727" s="3">
        <v>5541984068328</v>
      </c>
      <c r="K2727" t="s">
        <v>3355</v>
      </c>
      <c r="L2727" t="s">
        <v>3207</v>
      </c>
      <c r="M2727" t="s">
        <v>6656</v>
      </c>
    </row>
    <row r="2728" spans="1:13" x14ac:dyDescent="0.25">
      <c r="A2728" t="s">
        <v>18771</v>
      </c>
      <c r="B2728" t="s">
        <v>13</v>
      </c>
      <c r="C2728" t="s">
        <v>18751</v>
      </c>
      <c r="D2728" t="s">
        <v>18772</v>
      </c>
      <c r="E2728" t="s">
        <v>1630</v>
      </c>
      <c r="F2728" t="s">
        <v>1464</v>
      </c>
      <c r="G2728" t="s">
        <v>12742</v>
      </c>
      <c r="H2728" t="s">
        <v>1503</v>
      </c>
      <c r="I2728" t="s">
        <v>19</v>
      </c>
      <c r="J2728" s="3">
        <f>55-75-31618096</f>
        <v>-31618116</v>
      </c>
      <c r="K2728" t="s">
        <v>12744</v>
      </c>
      <c r="L2728" t="s">
        <v>12745</v>
      </c>
      <c r="M2728" t="s">
        <v>6656</v>
      </c>
    </row>
    <row r="2729" spans="1:13" x14ac:dyDescent="0.25">
      <c r="A2729" t="s">
        <v>12553</v>
      </c>
      <c r="B2729" t="s">
        <v>13</v>
      </c>
      <c r="C2729" s="1">
        <v>43834</v>
      </c>
      <c r="D2729" t="s">
        <v>12554</v>
      </c>
      <c r="E2729" t="s">
        <v>1630</v>
      </c>
      <c r="F2729" t="s">
        <v>1464</v>
      </c>
      <c r="G2729" t="s">
        <v>8512</v>
      </c>
      <c r="H2729" t="s">
        <v>489</v>
      </c>
      <c r="I2729" t="s">
        <v>19</v>
      </c>
      <c r="J2729" s="3">
        <f>55-41-33611799</f>
        <v>-33611785</v>
      </c>
      <c r="K2729" t="s">
        <v>6857</v>
      </c>
      <c r="L2729" t="s">
        <v>8513</v>
      </c>
      <c r="M2729" t="s">
        <v>6656</v>
      </c>
    </row>
    <row r="2730" spans="1:13" x14ac:dyDescent="0.25">
      <c r="A2730" t="s">
        <v>5964</v>
      </c>
      <c r="B2730" t="s">
        <v>13</v>
      </c>
      <c r="C2730" s="1">
        <v>44540</v>
      </c>
      <c r="D2730" t="s">
        <v>32135</v>
      </c>
      <c r="E2730" t="s">
        <v>1630</v>
      </c>
      <c r="F2730" t="s">
        <v>5176</v>
      </c>
      <c r="G2730" t="s">
        <v>5965</v>
      </c>
      <c r="H2730" t="s">
        <v>5966</v>
      </c>
      <c r="I2730" t="s">
        <v>19</v>
      </c>
      <c r="J2730" s="3" t="s">
        <v>5967</v>
      </c>
      <c r="K2730" t="s">
        <v>5968</v>
      </c>
      <c r="L2730" t="s">
        <v>32135</v>
      </c>
      <c r="M2730" t="s">
        <v>6656</v>
      </c>
    </row>
    <row r="2731" spans="1:13" x14ac:dyDescent="0.25">
      <c r="A2731" t="s">
        <v>3204</v>
      </c>
      <c r="B2731" t="s">
        <v>13</v>
      </c>
      <c r="C2731" t="s">
        <v>3199</v>
      </c>
      <c r="D2731" t="s">
        <v>3205</v>
      </c>
      <c r="E2731" s="2" t="s">
        <v>30771</v>
      </c>
      <c r="F2731" t="s">
        <v>3206</v>
      </c>
      <c r="G2731" t="s">
        <v>3207</v>
      </c>
      <c r="H2731" t="s">
        <v>489</v>
      </c>
      <c r="I2731" t="s">
        <v>19</v>
      </c>
      <c r="J2731" s="3" t="s">
        <v>3208</v>
      </c>
      <c r="K2731" t="s">
        <v>3209</v>
      </c>
      <c r="L2731" t="s">
        <v>3210</v>
      </c>
      <c r="M2731" t="s">
        <v>32121</v>
      </c>
    </row>
    <row r="2732" spans="1:13" x14ac:dyDescent="0.25">
      <c r="A2732" t="s">
        <v>748</v>
      </c>
      <c r="B2732" t="s">
        <v>13</v>
      </c>
      <c r="C2732" s="1">
        <v>43018</v>
      </c>
      <c r="D2732" t="s">
        <v>749</v>
      </c>
      <c r="E2732" t="s">
        <v>750</v>
      </c>
      <c r="F2732" t="s">
        <v>751</v>
      </c>
      <c r="G2732" t="s">
        <v>752</v>
      </c>
      <c r="H2732" t="s">
        <v>753</v>
      </c>
      <c r="I2732" t="s">
        <v>19</v>
      </c>
      <c r="J2732" s="3" t="s">
        <v>754</v>
      </c>
      <c r="K2732" t="s">
        <v>755</v>
      </c>
      <c r="L2732" t="s">
        <v>756</v>
      </c>
      <c r="M2732" t="s">
        <v>6656</v>
      </c>
    </row>
    <row r="2733" spans="1:13" x14ac:dyDescent="0.25">
      <c r="A2733" t="s">
        <v>22197</v>
      </c>
      <c r="B2733" t="s">
        <v>13</v>
      </c>
      <c r="C2733" t="s">
        <v>22182</v>
      </c>
      <c r="D2733" t="s">
        <v>22198</v>
      </c>
      <c r="E2733" s="2" t="s">
        <v>31307</v>
      </c>
      <c r="F2733" t="s">
        <v>2758</v>
      </c>
      <c r="G2733" t="s">
        <v>22199</v>
      </c>
      <c r="H2733" t="s">
        <v>22200</v>
      </c>
      <c r="I2733" t="s">
        <v>19</v>
      </c>
      <c r="J2733" s="3">
        <f>55-41-992197919</f>
        <v>-992197905</v>
      </c>
      <c r="K2733" t="s">
        <v>22201</v>
      </c>
      <c r="L2733" t="s">
        <v>22202</v>
      </c>
      <c r="M2733" t="s">
        <v>32149</v>
      </c>
    </row>
    <row r="2734" spans="1:13" x14ac:dyDescent="0.25">
      <c r="A2734" t="s">
        <v>10652</v>
      </c>
      <c r="B2734" t="s">
        <v>13</v>
      </c>
      <c r="C2734" t="s">
        <v>7838</v>
      </c>
      <c r="D2734" t="s">
        <v>10653</v>
      </c>
      <c r="E2734" s="2" t="s">
        <v>31369</v>
      </c>
      <c r="F2734" t="s">
        <v>1129</v>
      </c>
      <c r="G2734" t="s">
        <v>10654</v>
      </c>
      <c r="H2734" t="s">
        <v>114</v>
      </c>
      <c r="I2734" t="s">
        <v>19</v>
      </c>
      <c r="J2734" s="3" t="s">
        <v>10655</v>
      </c>
      <c r="K2734" t="s">
        <v>10656</v>
      </c>
      <c r="L2734" t="s">
        <v>10657</v>
      </c>
      <c r="M2734" t="s">
        <v>224</v>
      </c>
    </row>
    <row r="2735" spans="1:13" x14ac:dyDescent="0.25">
      <c r="A2735" t="s">
        <v>20613</v>
      </c>
      <c r="B2735" t="s">
        <v>13</v>
      </c>
      <c r="C2735" s="1">
        <v>43411</v>
      </c>
      <c r="D2735" t="s">
        <v>20614</v>
      </c>
      <c r="E2735" t="s">
        <v>20615</v>
      </c>
      <c r="F2735" t="s">
        <v>224</v>
      </c>
      <c r="G2735" t="s">
        <v>20616</v>
      </c>
      <c r="H2735" t="s">
        <v>2305</v>
      </c>
      <c r="I2735" t="s">
        <v>19</v>
      </c>
      <c r="J2735" s="3">
        <f>55-11-971114296</f>
        <v>-971114252</v>
      </c>
      <c r="K2735" t="s">
        <v>20617</v>
      </c>
      <c r="L2735" t="s">
        <v>1303</v>
      </c>
      <c r="M2735" t="s">
        <v>224</v>
      </c>
    </row>
    <row r="2736" spans="1:13" x14ac:dyDescent="0.25">
      <c r="A2736" t="s">
        <v>26705</v>
      </c>
      <c r="B2736" t="s">
        <v>13</v>
      </c>
      <c r="C2736" t="s">
        <v>26706</v>
      </c>
      <c r="D2736" t="s">
        <v>26707</v>
      </c>
      <c r="E2736" t="s">
        <v>32406</v>
      </c>
      <c r="F2736" t="s">
        <v>10500</v>
      </c>
      <c r="G2736" t="s">
        <v>26708</v>
      </c>
      <c r="H2736" t="s">
        <v>45</v>
      </c>
      <c r="I2736" t="s">
        <v>19</v>
      </c>
      <c r="J2736" s="3" t="s">
        <v>26709</v>
      </c>
      <c r="K2736" t="s">
        <v>26617</v>
      </c>
      <c r="L2736" t="s">
        <v>1909</v>
      </c>
      <c r="M2736" t="s">
        <v>129</v>
      </c>
    </row>
    <row r="2737" spans="1:13" x14ac:dyDescent="0.25">
      <c r="A2737" t="s">
        <v>26793</v>
      </c>
      <c r="B2737" t="s">
        <v>13</v>
      </c>
      <c r="C2737" s="1">
        <v>42646</v>
      </c>
      <c r="D2737" t="s">
        <v>26794</v>
      </c>
      <c r="E2737" t="s">
        <v>26795</v>
      </c>
      <c r="F2737" t="s">
        <v>432</v>
      </c>
      <c r="G2737" t="s">
        <v>26796</v>
      </c>
      <c r="H2737" t="s">
        <v>17190</v>
      </c>
      <c r="I2737" t="s">
        <v>19</v>
      </c>
      <c r="J2737" s="3" t="s">
        <v>26797</v>
      </c>
      <c r="K2737" t="s">
        <v>26798</v>
      </c>
      <c r="L2737" t="s">
        <v>26799</v>
      </c>
      <c r="M2737" t="s">
        <v>432</v>
      </c>
    </row>
    <row r="2738" spans="1:13" x14ac:dyDescent="0.25">
      <c r="A2738" t="s">
        <v>25885</v>
      </c>
      <c r="B2738" t="s">
        <v>13</v>
      </c>
      <c r="C2738" t="s">
        <v>25886</v>
      </c>
      <c r="D2738" t="s">
        <v>25887</v>
      </c>
      <c r="E2738" t="s">
        <v>25888</v>
      </c>
      <c r="F2738" t="s">
        <v>741</v>
      </c>
      <c r="G2738" t="s">
        <v>25281</v>
      </c>
      <c r="H2738" t="s">
        <v>16411</v>
      </c>
      <c r="I2738" t="s">
        <v>19</v>
      </c>
      <c r="J2738" s="3" t="s">
        <v>25282</v>
      </c>
      <c r="K2738" t="s">
        <v>25283</v>
      </c>
      <c r="L2738" t="s">
        <v>25284</v>
      </c>
      <c r="M2738" t="s">
        <v>741</v>
      </c>
    </row>
    <row r="2739" spans="1:13" x14ac:dyDescent="0.25">
      <c r="A2739" t="s">
        <v>25312</v>
      </c>
      <c r="B2739" t="s">
        <v>13</v>
      </c>
      <c r="C2739" t="s">
        <v>25286</v>
      </c>
      <c r="D2739" t="s">
        <v>25313</v>
      </c>
      <c r="E2739" t="s">
        <v>13657</v>
      </c>
      <c r="F2739" t="s">
        <v>10546</v>
      </c>
      <c r="G2739" t="s">
        <v>25314</v>
      </c>
      <c r="H2739" t="s">
        <v>265</v>
      </c>
      <c r="I2739" t="s">
        <v>19</v>
      </c>
      <c r="J2739" s="3" t="s">
        <v>25315</v>
      </c>
      <c r="K2739" t="s">
        <v>25316</v>
      </c>
      <c r="L2739" t="s">
        <v>1569</v>
      </c>
      <c r="M2739" t="s">
        <v>129</v>
      </c>
    </row>
    <row r="2740" spans="1:13" x14ac:dyDescent="0.25">
      <c r="A2740" t="s">
        <v>22246</v>
      </c>
      <c r="B2740" t="s">
        <v>13</v>
      </c>
      <c r="C2740" t="s">
        <v>22247</v>
      </c>
      <c r="D2740" t="s">
        <v>22248</v>
      </c>
      <c r="E2740" t="s">
        <v>13657</v>
      </c>
      <c r="F2740" t="s">
        <v>10546</v>
      </c>
      <c r="G2740" t="s">
        <v>22249</v>
      </c>
      <c r="H2740" t="s">
        <v>265</v>
      </c>
      <c r="I2740" t="s">
        <v>19</v>
      </c>
      <c r="J2740" s="3" t="s">
        <v>22250</v>
      </c>
      <c r="K2740" t="s">
        <v>22251</v>
      </c>
      <c r="L2740" t="s">
        <v>1569</v>
      </c>
      <c r="M2740" t="s">
        <v>129</v>
      </c>
    </row>
    <row r="2741" spans="1:13" x14ac:dyDescent="0.25">
      <c r="A2741" t="s">
        <v>13655</v>
      </c>
      <c r="B2741" t="s">
        <v>13</v>
      </c>
      <c r="C2741" s="1">
        <v>44106</v>
      </c>
      <c r="D2741" t="s">
        <v>13656</v>
      </c>
      <c r="E2741" t="s">
        <v>13657</v>
      </c>
      <c r="F2741" t="s">
        <v>1464</v>
      </c>
      <c r="G2741" t="s">
        <v>13658</v>
      </c>
      <c r="H2741" t="s">
        <v>36</v>
      </c>
      <c r="I2741" t="s">
        <v>19</v>
      </c>
      <c r="J2741" s="3" t="s">
        <v>13659</v>
      </c>
      <c r="K2741" t="s">
        <v>13660</v>
      </c>
      <c r="L2741" t="s">
        <v>13661</v>
      </c>
      <c r="M2741" t="s">
        <v>129</v>
      </c>
    </row>
    <row r="2742" spans="1:13" x14ac:dyDescent="0.25">
      <c r="A2742" t="s">
        <v>13643</v>
      </c>
      <c r="B2742" t="s">
        <v>13</v>
      </c>
      <c r="C2742" t="s">
        <v>13644</v>
      </c>
      <c r="D2742" t="s">
        <v>13645</v>
      </c>
      <c r="E2742" t="s">
        <v>13646</v>
      </c>
      <c r="F2742" t="s">
        <v>129</v>
      </c>
      <c r="G2742" t="s">
        <v>13647</v>
      </c>
      <c r="H2742" t="s">
        <v>706</v>
      </c>
      <c r="I2742" t="s">
        <v>19</v>
      </c>
      <c r="J2742" s="3" t="s">
        <v>13648</v>
      </c>
      <c r="K2742" t="s">
        <v>13649</v>
      </c>
      <c r="L2742" t="s">
        <v>13650</v>
      </c>
      <c r="M2742" t="s">
        <v>129</v>
      </c>
    </row>
    <row r="2743" spans="1:13" x14ac:dyDescent="0.25">
      <c r="A2743" t="s">
        <v>29208</v>
      </c>
      <c r="B2743" t="s">
        <v>13</v>
      </c>
      <c r="C2743" s="1">
        <v>41914</v>
      </c>
      <c r="D2743" t="s">
        <v>29209</v>
      </c>
      <c r="E2743" t="s">
        <v>29210</v>
      </c>
      <c r="F2743" t="s">
        <v>8193</v>
      </c>
      <c r="G2743" t="s">
        <v>29211</v>
      </c>
      <c r="H2743" t="s">
        <v>229</v>
      </c>
      <c r="I2743" t="s">
        <v>19</v>
      </c>
      <c r="J2743" s="3" t="s">
        <v>29212</v>
      </c>
      <c r="K2743" t="s">
        <v>29213</v>
      </c>
      <c r="L2743" t="s">
        <v>29214</v>
      </c>
      <c r="M2743" t="s">
        <v>129</v>
      </c>
    </row>
    <row r="2744" spans="1:13" x14ac:dyDescent="0.25">
      <c r="A2744" t="s">
        <v>25812</v>
      </c>
      <c r="B2744" t="s">
        <v>13</v>
      </c>
      <c r="C2744" t="s">
        <v>25813</v>
      </c>
      <c r="D2744" t="s">
        <v>25814</v>
      </c>
      <c r="E2744" t="s">
        <v>25815</v>
      </c>
      <c r="F2744" t="s">
        <v>337</v>
      </c>
      <c r="G2744" t="s">
        <v>25816</v>
      </c>
      <c r="H2744" t="s">
        <v>352</v>
      </c>
      <c r="I2744" t="s">
        <v>19</v>
      </c>
      <c r="J2744" s="3" t="s">
        <v>25817</v>
      </c>
      <c r="K2744" t="s">
        <v>25818</v>
      </c>
      <c r="L2744" t="s">
        <v>25819</v>
      </c>
      <c r="M2744" t="s">
        <v>337</v>
      </c>
    </row>
    <row r="2745" spans="1:13" x14ac:dyDescent="0.25">
      <c r="A2745" t="s">
        <v>3857</v>
      </c>
      <c r="B2745" t="s">
        <v>13</v>
      </c>
      <c r="C2745" t="s">
        <v>3845</v>
      </c>
      <c r="D2745" t="s">
        <v>3858</v>
      </c>
      <c r="E2745" t="s">
        <v>3548</v>
      </c>
      <c r="F2745" t="s">
        <v>2484</v>
      </c>
      <c r="G2745" t="s">
        <v>3859</v>
      </c>
      <c r="H2745" t="s">
        <v>2112</v>
      </c>
      <c r="I2745" t="s">
        <v>19</v>
      </c>
      <c r="J2745" s="3">
        <v>554532203168</v>
      </c>
      <c r="K2745" t="s">
        <v>3860</v>
      </c>
      <c r="L2745" t="s">
        <v>2115</v>
      </c>
      <c r="M2745" t="s">
        <v>741</v>
      </c>
    </row>
    <row r="2746" spans="1:13" x14ac:dyDescent="0.25">
      <c r="A2746" t="s">
        <v>3479</v>
      </c>
      <c r="B2746" t="s">
        <v>13</v>
      </c>
      <c r="C2746" t="s">
        <v>3480</v>
      </c>
      <c r="D2746" t="s">
        <v>3481</v>
      </c>
      <c r="E2746" t="s">
        <v>1249</v>
      </c>
      <c r="F2746" t="s">
        <v>3482</v>
      </c>
      <c r="G2746" t="s">
        <v>3483</v>
      </c>
      <c r="H2746" t="s">
        <v>1949</v>
      </c>
      <c r="I2746" t="s">
        <v>19</v>
      </c>
      <c r="J2746" s="3">
        <f>55-55-999224402</f>
        <v>-999224402</v>
      </c>
      <c r="K2746" t="s">
        <v>3484</v>
      </c>
      <c r="L2746" t="s">
        <v>3485</v>
      </c>
      <c r="M2746" t="s">
        <v>129</v>
      </c>
    </row>
    <row r="2747" spans="1:13" x14ac:dyDescent="0.25">
      <c r="A2747" t="s">
        <v>5912</v>
      </c>
      <c r="B2747" t="s">
        <v>13</v>
      </c>
      <c r="C2747" t="s">
        <v>5910</v>
      </c>
      <c r="D2747" t="s">
        <v>5913</v>
      </c>
      <c r="E2747" s="2" t="s">
        <v>30865</v>
      </c>
      <c r="F2747" t="s">
        <v>396</v>
      </c>
      <c r="G2747" t="s">
        <v>5914</v>
      </c>
      <c r="H2747" t="s">
        <v>32135</v>
      </c>
      <c r="I2747" t="s">
        <v>19</v>
      </c>
      <c r="J2747" s="3">
        <f>55-11-98894-3597</f>
        <v>-102447</v>
      </c>
      <c r="K2747" t="s">
        <v>5915</v>
      </c>
      <c r="L2747" t="s">
        <v>32135</v>
      </c>
      <c r="M2747" t="s">
        <v>32145</v>
      </c>
    </row>
    <row r="2748" spans="1:13" x14ac:dyDescent="0.25">
      <c r="A2748" t="s">
        <v>18558</v>
      </c>
      <c r="B2748" t="s">
        <v>13</v>
      </c>
      <c r="C2748" s="1">
        <v>43678</v>
      </c>
      <c r="D2748" t="s">
        <v>18559</v>
      </c>
      <c r="E2748" t="s">
        <v>18560</v>
      </c>
      <c r="F2748" t="s">
        <v>3084</v>
      </c>
      <c r="G2748" t="s">
        <v>18561</v>
      </c>
      <c r="H2748" t="s">
        <v>299</v>
      </c>
      <c r="I2748" t="s">
        <v>19</v>
      </c>
      <c r="J2748" s="3">
        <v>551438801171</v>
      </c>
      <c r="K2748" t="s">
        <v>18562</v>
      </c>
      <c r="L2748" t="s">
        <v>2548</v>
      </c>
      <c r="M2748" t="s">
        <v>32144</v>
      </c>
    </row>
    <row r="2749" spans="1:13" x14ac:dyDescent="0.25">
      <c r="A2749" t="s">
        <v>21930</v>
      </c>
      <c r="B2749" t="s">
        <v>13</v>
      </c>
      <c r="C2749" t="s">
        <v>21931</v>
      </c>
      <c r="D2749" t="s">
        <v>21932</v>
      </c>
      <c r="E2749" t="s">
        <v>32407</v>
      </c>
      <c r="F2749" t="s">
        <v>1464</v>
      </c>
      <c r="G2749" t="s">
        <v>21933</v>
      </c>
      <c r="H2749" t="s">
        <v>299</v>
      </c>
      <c r="I2749" t="s">
        <v>19</v>
      </c>
      <c r="J2749" s="3" t="s">
        <v>21934</v>
      </c>
      <c r="K2749" t="s">
        <v>21935</v>
      </c>
      <c r="L2749" t="s">
        <v>2621</v>
      </c>
      <c r="M2749" t="s">
        <v>1775</v>
      </c>
    </row>
    <row r="2750" spans="1:13" x14ac:dyDescent="0.25">
      <c r="A2750" t="s">
        <v>3733</v>
      </c>
      <c r="B2750" t="s">
        <v>13</v>
      </c>
      <c r="C2750" s="1">
        <v>44597</v>
      </c>
      <c r="D2750" t="s">
        <v>3734</v>
      </c>
      <c r="E2750" t="s">
        <v>3735</v>
      </c>
      <c r="F2750" t="s">
        <v>211</v>
      </c>
      <c r="G2750" t="s">
        <v>3736</v>
      </c>
      <c r="H2750" t="s">
        <v>2598</v>
      </c>
      <c r="I2750" t="s">
        <v>19</v>
      </c>
      <c r="J2750" s="3" t="s">
        <v>3737</v>
      </c>
      <c r="K2750" t="s">
        <v>3738</v>
      </c>
      <c r="L2750" t="s">
        <v>3739</v>
      </c>
      <c r="M2750" t="s">
        <v>32144</v>
      </c>
    </row>
    <row r="2751" spans="1:13" x14ac:dyDescent="0.25">
      <c r="A2751" t="s">
        <v>26016</v>
      </c>
      <c r="B2751" t="s">
        <v>13</v>
      </c>
      <c r="C2751" t="s">
        <v>17088</v>
      </c>
      <c r="D2751" t="s">
        <v>26017</v>
      </c>
      <c r="E2751" t="s">
        <v>26018</v>
      </c>
      <c r="F2751" t="s">
        <v>1464</v>
      </c>
      <c r="G2751" t="s">
        <v>21680</v>
      </c>
      <c r="H2751" t="s">
        <v>1802</v>
      </c>
      <c r="I2751" t="s">
        <v>19</v>
      </c>
      <c r="J2751" s="3" t="s">
        <v>21681</v>
      </c>
      <c r="K2751" t="s">
        <v>26019</v>
      </c>
      <c r="L2751" t="s">
        <v>14212</v>
      </c>
      <c r="M2751" t="s">
        <v>32200</v>
      </c>
    </row>
    <row r="2752" spans="1:13" x14ac:dyDescent="0.25">
      <c r="A2752" t="s">
        <v>6509</v>
      </c>
      <c r="B2752" t="s">
        <v>13</v>
      </c>
      <c r="C2752" s="1">
        <v>44356</v>
      </c>
      <c r="D2752" t="s">
        <v>6510</v>
      </c>
      <c r="E2752" s="2" t="s">
        <v>31759</v>
      </c>
      <c r="F2752" t="s">
        <v>147</v>
      </c>
      <c r="G2752" t="s">
        <v>74</v>
      </c>
      <c r="H2752" t="s">
        <v>6511</v>
      </c>
      <c r="I2752" t="s">
        <v>19</v>
      </c>
      <c r="J2752" s="3">
        <f>55863237-2332</f>
        <v>55860905</v>
      </c>
      <c r="K2752" t="s">
        <v>3909</v>
      </c>
      <c r="L2752" t="s">
        <v>32135</v>
      </c>
      <c r="M2752" t="s">
        <v>741</v>
      </c>
    </row>
    <row r="2753" spans="1:13" x14ac:dyDescent="0.25">
      <c r="A2753" t="s">
        <v>13064</v>
      </c>
      <c r="B2753" t="s">
        <v>13</v>
      </c>
      <c r="C2753" s="1">
        <v>44107</v>
      </c>
      <c r="D2753" t="s">
        <v>13065</v>
      </c>
      <c r="E2753" s="2" t="s">
        <v>31812</v>
      </c>
      <c r="F2753" t="s">
        <v>1464</v>
      </c>
      <c r="G2753" t="s">
        <v>877</v>
      </c>
      <c r="H2753" t="s">
        <v>7467</v>
      </c>
      <c r="I2753" t="s">
        <v>19</v>
      </c>
      <c r="J2753" s="3" t="s">
        <v>13066</v>
      </c>
      <c r="K2753" t="s">
        <v>879</v>
      </c>
      <c r="L2753" t="s">
        <v>1193</v>
      </c>
      <c r="M2753" t="s">
        <v>32147</v>
      </c>
    </row>
    <row r="2754" spans="1:13" x14ac:dyDescent="0.25">
      <c r="A2754" t="s">
        <v>18601</v>
      </c>
      <c r="B2754" t="s">
        <v>13</v>
      </c>
      <c r="C2754" s="1">
        <v>43556</v>
      </c>
      <c r="D2754" t="s">
        <v>18602</v>
      </c>
      <c r="E2754" s="2" t="s">
        <v>31813</v>
      </c>
      <c r="F2754" t="s">
        <v>1464</v>
      </c>
      <c r="G2754" t="s">
        <v>877</v>
      </c>
      <c r="H2754" t="s">
        <v>7467</v>
      </c>
      <c r="I2754" t="s">
        <v>19</v>
      </c>
      <c r="J2754" s="3" t="s">
        <v>13066</v>
      </c>
      <c r="K2754" t="s">
        <v>879</v>
      </c>
      <c r="L2754" t="s">
        <v>1193</v>
      </c>
      <c r="M2754" t="s">
        <v>337</v>
      </c>
    </row>
    <row r="2755" spans="1:13" x14ac:dyDescent="0.25">
      <c r="A2755" t="s">
        <v>22679</v>
      </c>
      <c r="B2755" t="s">
        <v>13</v>
      </c>
      <c r="C2755" s="1">
        <v>43221</v>
      </c>
      <c r="D2755" t="s">
        <v>22680</v>
      </c>
      <c r="E2755" s="2" t="s">
        <v>31317</v>
      </c>
      <c r="F2755" t="s">
        <v>6130</v>
      </c>
      <c r="G2755" t="s">
        <v>22681</v>
      </c>
      <c r="H2755" t="s">
        <v>36</v>
      </c>
      <c r="I2755" t="s">
        <v>19</v>
      </c>
      <c r="J2755" s="3" t="s">
        <v>22682</v>
      </c>
      <c r="K2755" t="s">
        <v>22683</v>
      </c>
      <c r="L2755" t="s">
        <v>439</v>
      </c>
      <c r="M2755" t="s">
        <v>32144</v>
      </c>
    </row>
    <row r="2756" spans="1:13" x14ac:dyDescent="0.25">
      <c r="A2756" t="s">
        <v>15831</v>
      </c>
      <c r="B2756" t="s">
        <v>13</v>
      </c>
      <c r="C2756" s="1">
        <v>43475</v>
      </c>
      <c r="D2756" t="s">
        <v>15832</v>
      </c>
      <c r="E2756" t="s">
        <v>15833</v>
      </c>
      <c r="F2756" t="s">
        <v>306</v>
      </c>
      <c r="G2756" t="s">
        <v>15834</v>
      </c>
      <c r="H2756" t="s">
        <v>114</v>
      </c>
      <c r="I2756" t="s">
        <v>19</v>
      </c>
      <c r="J2756" s="3">
        <v>5579981177721</v>
      </c>
      <c r="K2756" t="s">
        <v>15835</v>
      </c>
      <c r="L2756" t="s">
        <v>15836</v>
      </c>
      <c r="M2756" t="s">
        <v>32145</v>
      </c>
    </row>
    <row r="2757" spans="1:13" x14ac:dyDescent="0.25">
      <c r="A2757" t="s">
        <v>19554</v>
      </c>
      <c r="B2757" t="s">
        <v>13</v>
      </c>
      <c r="C2757" t="s">
        <v>19543</v>
      </c>
      <c r="D2757" t="s">
        <v>19555</v>
      </c>
      <c r="E2757" s="2" t="s">
        <v>31642</v>
      </c>
      <c r="F2757" t="s">
        <v>57</v>
      </c>
      <c r="G2757" t="s">
        <v>18910</v>
      </c>
      <c r="H2757" t="s">
        <v>472</v>
      </c>
      <c r="I2757" t="s">
        <v>19</v>
      </c>
      <c r="J2757" s="3" t="s">
        <v>18911</v>
      </c>
      <c r="K2757" t="s">
        <v>4106</v>
      </c>
      <c r="L2757" t="s">
        <v>18912</v>
      </c>
      <c r="M2757" t="s">
        <v>57</v>
      </c>
    </row>
    <row r="2758" spans="1:13" x14ac:dyDescent="0.25">
      <c r="A2758" t="s">
        <v>10484</v>
      </c>
      <c r="B2758" t="s">
        <v>13</v>
      </c>
      <c r="C2758" s="1">
        <v>44143</v>
      </c>
      <c r="D2758" t="s">
        <v>10485</v>
      </c>
      <c r="E2758" t="s">
        <v>8911</v>
      </c>
      <c r="F2758" t="s">
        <v>1464</v>
      </c>
      <c r="G2758" t="s">
        <v>10486</v>
      </c>
      <c r="H2758" t="s">
        <v>36</v>
      </c>
      <c r="I2758" t="s">
        <v>19</v>
      </c>
      <c r="J2758" s="3" t="s">
        <v>10487</v>
      </c>
      <c r="K2758" t="s">
        <v>10488</v>
      </c>
      <c r="L2758" t="s">
        <v>10489</v>
      </c>
      <c r="M2758" t="s">
        <v>771</v>
      </c>
    </row>
    <row r="2759" spans="1:13" x14ac:dyDescent="0.25">
      <c r="A2759" t="s">
        <v>17504</v>
      </c>
      <c r="B2759" t="s">
        <v>13</v>
      </c>
      <c r="C2759" s="1">
        <v>43651</v>
      </c>
      <c r="D2759" t="s">
        <v>17505</v>
      </c>
      <c r="E2759" t="s">
        <v>15637</v>
      </c>
      <c r="F2759" t="s">
        <v>6686</v>
      </c>
      <c r="G2759" t="s">
        <v>17506</v>
      </c>
      <c r="H2759" t="s">
        <v>36</v>
      </c>
      <c r="I2759" t="s">
        <v>19</v>
      </c>
      <c r="J2759" s="3" t="s">
        <v>17507</v>
      </c>
      <c r="K2759" t="s">
        <v>17508</v>
      </c>
      <c r="L2759" t="s">
        <v>13358</v>
      </c>
      <c r="M2759" t="s">
        <v>337</v>
      </c>
    </row>
    <row r="2760" spans="1:13" x14ac:dyDescent="0.25">
      <c r="A2760" t="s">
        <v>15635</v>
      </c>
      <c r="B2760" t="s">
        <v>13</v>
      </c>
      <c r="C2760" s="1">
        <v>43718</v>
      </c>
      <c r="D2760" t="s">
        <v>15636</v>
      </c>
      <c r="E2760" t="s">
        <v>15637</v>
      </c>
      <c r="F2760" t="s">
        <v>337</v>
      </c>
      <c r="G2760" t="s">
        <v>15638</v>
      </c>
      <c r="H2760" t="s">
        <v>36</v>
      </c>
      <c r="I2760" t="s">
        <v>19</v>
      </c>
      <c r="J2760" s="3">
        <v>5511973379117</v>
      </c>
      <c r="K2760" t="s">
        <v>15639</v>
      </c>
      <c r="L2760" t="s">
        <v>15640</v>
      </c>
      <c r="M2760" t="s">
        <v>337</v>
      </c>
    </row>
    <row r="2761" spans="1:13" x14ac:dyDescent="0.25">
      <c r="A2761" t="s">
        <v>6572</v>
      </c>
      <c r="B2761" t="s">
        <v>13</v>
      </c>
      <c r="C2761" t="s">
        <v>6573</v>
      </c>
      <c r="D2761" t="s">
        <v>6574</v>
      </c>
      <c r="E2761" t="s">
        <v>6575</v>
      </c>
      <c r="F2761" t="s">
        <v>1464</v>
      </c>
      <c r="G2761" t="s">
        <v>6576</v>
      </c>
      <c r="H2761" t="s">
        <v>3222</v>
      </c>
      <c r="I2761" t="s">
        <v>19</v>
      </c>
      <c r="J2761" s="3">
        <v>5502132388100</v>
      </c>
      <c r="K2761" t="s">
        <v>6577</v>
      </c>
      <c r="L2761" t="s">
        <v>32135</v>
      </c>
      <c r="M2761" t="s">
        <v>337</v>
      </c>
    </row>
    <row r="2762" spans="1:13" x14ac:dyDescent="0.25">
      <c r="A2762" t="s">
        <v>17704</v>
      </c>
      <c r="B2762" t="s">
        <v>101</v>
      </c>
      <c r="C2762" t="s">
        <v>17669</v>
      </c>
      <c r="D2762" t="s">
        <v>17705</v>
      </c>
      <c r="E2762" t="s">
        <v>17706</v>
      </c>
      <c r="F2762" t="s">
        <v>337</v>
      </c>
      <c r="G2762" t="s">
        <v>17707</v>
      </c>
      <c r="H2762" t="s">
        <v>3865</v>
      </c>
      <c r="I2762" t="s">
        <v>19</v>
      </c>
      <c r="J2762" s="3">
        <f>55-11-981117685</f>
        <v>-981117641</v>
      </c>
      <c r="K2762" t="s">
        <v>17708</v>
      </c>
      <c r="L2762" t="s">
        <v>15454</v>
      </c>
      <c r="M2762" t="s">
        <v>337</v>
      </c>
    </row>
    <row r="2763" spans="1:13" x14ac:dyDescent="0.25">
      <c r="A2763" t="s">
        <v>27394</v>
      </c>
      <c r="B2763" t="s">
        <v>13</v>
      </c>
      <c r="C2763" s="1">
        <v>42104</v>
      </c>
      <c r="D2763" t="s">
        <v>27395</v>
      </c>
      <c r="E2763" t="s">
        <v>32408</v>
      </c>
      <c r="F2763" t="s">
        <v>2758</v>
      </c>
      <c r="G2763" t="s">
        <v>26830</v>
      </c>
      <c r="H2763" t="s">
        <v>428</v>
      </c>
      <c r="I2763" t="s">
        <v>19</v>
      </c>
      <c r="J2763" s="3" t="s">
        <v>27396</v>
      </c>
      <c r="K2763" t="s">
        <v>26832</v>
      </c>
      <c r="L2763" t="s">
        <v>13252</v>
      </c>
      <c r="M2763" t="s">
        <v>32149</v>
      </c>
    </row>
    <row r="2764" spans="1:13" x14ac:dyDescent="0.25">
      <c r="A2764" t="s">
        <v>29678</v>
      </c>
      <c r="B2764" t="s">
        <v>13</v>
      </c>
      <c r="C2764" s="1">
        <v>40609</v>
      </c>
      <c r="D2764" t="s">
        <v>29679</v>
      </c>
      <c r="E2764" t="s">
        <v>32409</v>
      </c>
      <c r="F2764" t="s">
        <v>2758</v>
      </c>
      <c r="G2764" t="s">
        <v>29680</v>
      </c>
      <c r="H2764" t="s">
        <v>29681</v>
      </c>
      <c r="I2764" t="s">
        <v>19</v>
      </c>
      <c r="J2764" s="3" t="s">
        <v>29682</v>
      </c>
      <c r="K2764" t="s">
        <v>29683</v>
      </c>
      <c r="L2764" t="s">
        <v>29684</v>
      </c>
      <c r="M2764" t="s">
        <v>32149</v>
      </c>
    </row>
    <row r="2765" spans="1:13" x14ac:dyDescent="0.25">
      <c r="A2765" t="s">
        <v>16941</v>
      </c>
      <c r="B2765" t="s">
        <v>13</v>
      </c>
      <c r="C2765" t="s">
        <v>16942</v>
      </c>
      <c r="D2765" t="s">
        <v>16943</v>
      </c>
      <c r="E2765" s="2" t="s">
        <v>32410</v>
      </c>
      <c r="F2765" t="s">
        <v>771</v>
      </c>
      <c r="G2765" t="s">
        <v>16944</v>
      </c>
      <c r="H2765" t="s">
        <v>5815</v>
      </c>
      <c r="I2765" t="s">
        <v>19</v>
      </c>
      <c r="J2765" s="3" t="s">
        <v>16945</v>
      </c>
      <c r="K2765" t="s">
        <v>16946</v>
      </c>
      <c r="L2765" t="s">
        <v>9450</v>
      </c>
      <c r="M2765" t="s">
        <v>771</v>
      </c>
    </row>
    <row r="2766" spans="1:13" x14ac:dyDescent="0.25">
      <c r="A2766" t="s">
        <v>13116</v>
      </c>
      <c r="B2766" t="s">
        <v>13</v>
      </c>
      <c r="C2766" s="1">
        <v>44077</v>
      </c>
      <c r="D2766" t="s">
        <v>13117</v>
      </c>
      <c r="E2766" s="2" t="s">
        <v>31062</v>
      </c>
      <c r="G2766" t="s">
        <v>13118</v>
      </c>
      <c r="H2766" t="s">
        <v>936</v>
      </c>
      <c r="I2766" t="s">
        <v>19</v>
      </c>
      <c r="J2766" s="3">
        <f>55-71-3283-8910</f>
        <v>-12209</v>
      </c>
      <c r="K2766" t="s">
        <v>13119</v>
      </c>
      <c r="L2766" t="s">
        <v>13120</v>
      </c>
      <c r="M2766" t="s">
        <v>129</v>
      </c>
    </row>
    <row r="2767" spans="1:13" x14ac:dyDescent="0.25">
      <c r="A2767" t="s">
        <v>19824</v>
      </c>
      <c r="B2767" t="s">
        <v>13</v>
      </c>
      <c r="C2767" s="1">
        <v>43168</v>
      </c>
      <c r="D2767" t="s">
        <v>19825</v>
      </c>
      <c r="E2767" s="2" t="s">
        <v>31851</v>
      </c>
      <c r="F2767" t="s">
        <v>9969</v>
      </c>
      <c r="G2767" t="s">
        <v>19826</v>
      </c>
      <c r="H2767" t="s">
        <v>1090</v>
      </c>
      <c r="I2767" t="s">
        <v>19</v>
      </c>
      <c r="J2767" s="3">
        <v>558332098756</v>
      </c>
      <c r="K2767" t="s">
        <v>19827</v>
      </c>
      <c r="L2767" t="s">
        <v>19828</v>
      </c>
      <c r="M2767" t="s">
        <v>32149</v>
      </c>
    </row>
    <row r="2768" spans="1:13" x14ac:dyDescent="0.25">
      <c r="A2768" t="s">
        <v>12439</v>
      </c>
      <c r="B2768" t="s">
        <v>13</v>
      </c>
      <c r="C2768" s="1">
        <v>44047</v>
      </c>
      <c r="D2768" t="s">
        <v>12440</v>
      </c>
      <c r="E2768" s="2" t="s">
        <v>32411</v>
      </c>
      <c r="F2768" t="s">
        <v>1775</v>
      </c>
      <c r="G2768" t="s">
        <v>12441</v>
      </c>
      <c r="H2768" t="s">
        <v>706</v>
      </c>
      <c r="I2768" t="s">
        <v>19</v>
      </c>
      <c r="J2768" s="3">
        <v>553133094697</v>
      </c>
      <c r="K2768" t="s">
        <v>12442</v>
      </c>
      <c r="L2768" t="s">
        <v>12443</v>
      </c>
      <c r="M2768" t="s">
        <v>1775</v>
      </c>
    </row>
    <row r="2769" spans="1:13" x14ac:dyDescent="0.25">
      <c r="A2769" t="s">
        <v>9002</v>
      </c>
      <c r="B2769" t="s">
        <v>13</v>
      </c>
      <c r="C2769" t="s">
        <v>9003</v>
      </c>
      <c r="D2769" t="s">
        <v>9004</v>
      </c>
      <c r="E2769" t="s">
        <v>32412</v>
      </c>
      <c r="F2769" t="s">
        <v>3084</v>
      </c>
      <c r="G2769" t="s">
        <v>9005</v>
      </c>
      <c r="H2769" t="s">
        <v>36</v>
      </c>
      <c r="I2769" t="s">
        <v>19</v>
      </c>
      <c r="J2769" s="3">
        <f>55-11-26616518</f>
        <v>-26616474</v>
      </c>
      <c r="K2769" t="s">
        <v>9006</v>
      </c>
      <c r="L2769" t="s">
        <v>9007</v>
      </c>
      <c r="M2769" t="s">
        <v>32144</v>
      </c>
    </row>
    <row r="2770" spans="1:13" x14ac:dyDescent="0.25">
      <c r="A2770" t="s">
        <v>28641</v>
      </c>
      <c r="B2770" t="s">
        <v>13</v>
      </c>
      <c r="C2770" s="1">
        <v>42065</v>
      </c>
      <c r="D2770" t="s">
        <v>28642</v>
      </c>
      <c r="E2770" t="s">
        <v>28643</v>
      </c>
      <c r="F2770" t="s">
        <v>771</v>
      </c>
      <c r="G2770" t="s">
        <v>28644</v>
      </c>
      <c r="H2770" t="s">
        <v>10228</v>
      </c>
      <c r="I2770" t="s">
        <v>19</v>
      </c>
      <c r="J2770" s="3" t="s">
        <v>28645</v>
      </c>
      <c r="K2770" t="s">
        <v>28646</v>
      </c>
      <c r="L2770" t="s">
        <v>28647</v>
      </c>
      <c r="M2770" t="s">
        <v>771</v>
      </c>
    </row>
    <row r="2771" spans="1:13" x14ac:dyDescent="0.25">
      <c r="A2771" t="s">
        <v>18259</v>
      </c>
      <c r="B2771" t="s">
        <v>13</v>
      </c>
      <c r="C2771" t="s">
        <v>9845</v>
      </c>
      <c r="D2771" t="s">
        <v>18260</v>
      </c>
      <c r="E2771" s="2" t="s">
        <v>31632</v>
      </c>
      <c r="F2771" t="s">
        <v>6130</v>
      </c>
      <c r="G2771" t="s">
        <v>18261</v>
      </c>
      <c r="H2771" t="s">
        <v>18262</v>
      </c>
      <c r="I2771" t="s">
        <v>19</v>
      </c>
      <c r="J2771" s="3" t="s">
        <v>8494</v>
      </c>
      <c r="K2771" t="s">
        <v>8495</v>
      </c>
      <c r="L2771" t="s">
        <v>18263</v>
      </c>
      <c r="M2771" t="s">
        <v>32144</v>
      </c>
    </row>
    <row r="2772" spans="1:13" x14ac:dyDescent="0.25">
      <c r="A2772" t="s">
        <v>26542</v>
      </c>
      <c r="B2772" t="s">
        <v>13</v>
      </c>
      <c r="C2772" t="s">
        <v>26543</v>
      </c>
      <c r="D2772" t="s">
        <v>26544</v>
      </c>
      <c r="E2772" t="s">
        <v>26545</v>
      </c>
      <c r="F2772" t="s">
        <v>1464</v>
      </c>
      <c r="G2772" t="s">
        <v>26546</v>
      </c>
      <c r="H2772" t="s">
        <v>352</v>
      </c>
      <c r="I2772" t="s">
        <v>19</v>
      </c>
      <c r="J2772" s="3">
        <v>5521976622715</v>
      </c>
      <c r="K2772" t="s">
        <v>26547</v>
      </c>
      <c r="L2772" t="s">
        <v>26548</v>
      </c>
      <c r="M2772" t="s">
        <v>32144</v>
      </c>
    </row>
    <row r="2773" spans="1:13" x14ac:dyDescent="0.25">
      <c r="A2773" t="s">
        <v>14240</v>
      </c>
      <c r="B2773" t="s">
        <v>13</v>
      </c>
      <c r="C2773" s="1">
        <v>44105</v>
      </c>
      <c r="D2773" t="s">
        <v>14241</v>
      </c>
      <c r="E2773" t="s">
        <v>14242</v>
      </c>
      <c r="F2773" t="s">
        <v>9519</v>
      </c>
      <c r="G2773" t="s">
        <v>14243</v>
      </c>
      <c r="H2773" t="s">
        <v>10338</v>
      </c>
      <c r="I2773" t="s">
        <v>19</v>
      </c>
      <c r="J2773" s="3">
        <f>55-88-994092252</f>
        <v>-994092285</v>
      </c>
      <c r="K2773" t="s">
        <v>14244</v>
      </c>
      <c r="L2773" t="s">
        <v>14245</v>
      </c>
      <c r="M2773" t="s">
        <v>32145</v>
      </c>
    </row>
    <row r="2774" spans="1:13" x14ac:dyDescent="0.25">
      <c r="A2774" t="s">
        <v>16728</v>
      </c>
      <c r="B2774" t="s">
        <v>13</v>
      </c>
      <c r="C2774" t="s">
        <v>16729</v>
      </c>
      <c r="D2774" t="s">
        <v>16730</v>
      </c>
      <c r="E2774" t="s">
        <v>3672</v>
      </c>
      <c r="F2774" t="s">
        <v>117</v>
      </c>
      <c r="G2774" t="s">
        <v>16731</v>
      </c>
      <c r="H2774" t="s">
        <v>2934</v>
      </c>
      <c r="I2774" t="s">
        <v>19</v>
      </c>
      <c r="J2774" s="3" t="s">
        <v>16732</v>
      </c>
      <c r="K2774" t="s">
        <v>16733</v>
      </c>
      <c r="L2774" t="s">
        <v>16734</v>
      </c>
      <c r="M2774" t="s">
        <v>32145</v>
      </c>
    </row>
    <row r="2775" spans="1:13" x14ac:dyDescent="0.25">
      <c r="A2775" t="s">
        <v>9588</v>
      </c>
      <c r="B2775" t="s">
        <v>13</v>
      </c>
      <c r="C2775" t="s">
        <v>5619</v>
      </c>
      <c r="D2775" t="s">
        <v>9589</v>
      </c>
      <c r="E2775" t="s">
        <v>9590</v>
      </c>
      <c r="F2775" t="s">
        <v>117</v>
      </c>
      <c r="G2775" t="s">
        <v>9591</v>
      </c>
      <c r="H2775" t="s">
        <v>4705</v>
      </c>
      <c r="I2775" t="s">
        <v>19</v>
      </c>
      <c r="J2775" s="3">
        <f>55-19-996159731</f>
        <v>-996159695</v>
      </c>
      <c r="K2775" t="s">
        <v>9592</v>
      </c>
      <c r="L2775" t="s">
        <v>439</v>
      </c>
      <c r="M2775" t="s">
        <v>32145</v>
      </c>
    </row>
    <row r="2776" spans="1:13" x14ac:dyDescent="0.25">
      <c r="A2776" t="s">
        <v>3097</v>
      </c>
      <c r="B2776" t="s">
        <v>13</v>
      </c>
      <c r="C2776" s="1">
        <v>44780</v>
      </c>
      <c r="D2776" t="s">
        <v>32135</v>
      </c>
      <c r="E2776" t="s">
        <v>3098</v>
      </c>
      <c r="F2776" t="s">
        <v>3099</v>
      </c>
      <c r="G2776" t="s">
        <v>3100</v>
      </c>
      <c r="H2776" t="s">
        <v>3101</v>
      </c>
      <c r="I2776" t="s">
        <v>19</v>
      </c>
      <c r="J2776" s="3" t="s">
        <v>3102</v>
      </c>
      <c r="K2776" t="s">
        <v>3103</v>
      </c>
      <c r="L2776" t="s">
        <v>1489</v>
      </c>
      <c r="M2776" t="s">
        <v>32144</v>
      </c>
    </row>
    <row r="2777" spans="1:13" x14ac:dyDescent="0.25">
      <c r="A2777" t="s">
        <v>8539</v>
      </c>
      <c r="B2777" t="s">
        <v>13</v>
      </c>
      <c r="C2777" t="s">
        <v>8537</v>
      </c>
      <c r="D2777" t="s">
        <v>32135</v>
      </c>
      <c r="E2777" s="2" t="s">
        <v>31442</v>
      </c>
      <c r="F2777" t="s">
        <v>8540</v>
      </c>
      <c r="G2777" t="s">
        <v>8541</v>
      </c>
      <c r="H2777" t="s">
        <v>2112</v>
      </c>
      <c r="I2777" t="s">
        <v>19</v>
      </c>
      <c r="J2777" s="3">
        <v>5545999427146</v>
      </c>
      <c r="K2777" t="s">
        <v>8542</v>
      </c>
      <c r="L2777" t="s">
        <v>32135</v>
      </c>
      <c r="M2777" t="s">
        <v>1775</v>
      </c>
    </row>
    <row r="2778" spans="1:13" x14ac:dyDescent="0.25">
      <c r="A2778" t="s">
        <v>25017</v>
      </c>
      <c r="B2778" t="s">
        <v>13</v>
      </c>
      <c r="C2778" s="1">
        <v>42563</v>
      </c>
      <c r="D2778" t="s">
        <v>25018</v>
      </c>
      <c r="E2778" t="s">
        <v>25019</v>
      </c>
      <c r="F2778" t="s">
        <v>1464</v>
      </c>
      <c r="G2778" t="s">
        <v>25020</v>
      </c>
      <c r="H2778" t="s">
        <v>2678</v>
      </c>
      <c r="I2778" t="s">
        <v>19</v>
      </c>
      <c r="J2778" s="3" t="s">
        <v>25021</v>
      </c>
      <c r="K2778" t="s">
        <v>25022</v>
      </c>
      <c r="L2778" t="s">
        <v>2677</v>
      </c>
      <c r="M2778" t="s">
        <v>1775</v>
      </c>
    </row>
    <row r="2779" spans="1:13" x14ac:dyDescent="0.25">
      <c r="A2779" t="s">
        <v>11800</v>
      </c>
      <c r="B2779" t="s">
        <v>13</v>
      </c>
      <c r="C2779" t="s">
        <v>11801</v>
      </c>
      <c r="D2779" t="s">
        <v>11802</v>
      </c>
      <c r="E2779" s="2" t="s">
        <v>31026</v>
      </c>
      <c r="F2779" t="s">
        <v>1464</v>
      </c>
      <c r="G2779" t="s">
        <v>11803</v>
      </c>
      <c r="H2779" t="s">
        <v>615</v>
      </c>
      <c r="I2779" t="s">
        <v>19</v>
      </c>
      <c r="J2779" s="3" t="s">
        <v>11804</v>
      </c>
      <c r="K2779" t="s">
        <v>11805</v>
      </c>
      <c r="L2779" t="s">
        <v>618</v>
      </c>
      <c r="M2779" t="s">
        <v>1775</v>
      </c>
    </row>
    <row r="2780" spans="1:13" x14ac:dyDescent="0.25">
      <c r="A2780" t="s">
        <v>15101</v>
      </c>
      <c r="B2780" t="s">
        <v>13</v>
      </c>
      <c r="C2780" s="1">
        <v>43657</v>
      </c>
      <c r="D2780" t="s">
        <v>15102</v>
      </c>
      <c r="E2780" s="2" t="s">
        <v>31741</v>
      </c>
      <c r="F2780" t="s">
        <v>1464</v>
      </c>
      <c r="G2780" t="s">
        <v>10859</v>
      </c>
      <c r="H2780" t="s">
        <v>36</v>
      </c>
      <c r="I2780" t="s">
        <v>19</v>
      </c>
      <c r="J2780" s="3">
        <f>55-11-20700167</f>
        <v>-20700123</v>
      </c>
      <c r="K2780" t="s">
        <v>10860</v>
      </c>
      <c r="L2780" t="s">
        <v>10861</v>
      </c>
      <c r="M2780" t="s">
        <v>57</v>
      </c>
    </row>
    <row r="2781" spans="1:13" x14ac:dyDescent="0.25">
      <c r="A2781" t="s">
        <v>19791</v>
      </c>
      <c r="B2781" t="s">
        <v>13</v>
      </c>
      <c r="C2781" s="1">
        <v>43229</v>
      </c>
      <c r="D2781" t="s">
        <v>19792</v>
      </c>
      <c r="E2781" s="2" t="s">
        <v>31236</v>
      </c>
      <c r="F2781" t="s">
        <v>10500</v>
      </c>
      <c r="G2781" t="s">
        <v>19793</v>
      </c>
      <c r="H2781" t="s">
        <v>2678</v>
      </c>
      <c r="I2781" t="s">
        <v>19</v>
      </c>
      <c r="J2781" s="3">
        <f>55-53-984575187</f>
        <v>-984575185</v>
      </c>
      <c r="K2781" t="s">
        <v>19794</v>
      </c>
      <c r="L2781" t="s">
        <v>19795</v>
      </c>
      <c r="M2781" t="s">
        <v>129</v>
      </c>
    </row>
    <row r="2782" spans="1:13" x14ac:dyDescent="0.25">
      <c r="A2782" t="s">
        <v>21731</v>
      </c>
      <c r="B2782" t="s">
        <v>101</v>
      </c>
      <c r="C2782" t="s">
        <v>9776</v>
      </c>
      <c r="D2782" t="s">
        <v>21732</v>
      </c>
      <c r="E2782" t="s">
        <v>21733</v>
      </c>
      <c r="F2782" t="s">
        <v>306</v>
      </c>
      <c r="G2782" t="s">
        <v>21734</v>
      </c>
      <c r="H2782" t="s">
        <v>409</v>
      </c>
      <c r="I2782" t="s">
        <v>19</v>
      </c>
      <c r="J2782" s="3">
        <f>55-48-988428176</f>
        <v>-988428169</v>
      </c>
      <c r="K2782" t="s">
        <v>21735</v>
      </c>
      <c r="L2782" t="s">
        <v>412</v>
      </c>
      <c r="M2782" t="s">
        <v>32145</v>
      </c>
    </row>
    <row r="2783" spans="1:13" x14ac:dyDescent="0.25">
      <c r="A2783" t="s">
        <v>10360</v>
      </c>
      <c r="B2783" t="s">
        <v>13</v>
      </c>
      <c r="C2783" t="s">
        <v>7677</v>
      </c>
      <c r="D2783" t="s">
        <v>10361</v>
      </c>
      <c r="E2783" s="2" t="s">
        <v>30992</v>
      </c>
      <c r="F2783" t="s">
        <v>306</v>
      </c>
      <c r="G2783" t="s">
        <v>10362</v>
      </c>
      <c r="H2783" t="s">
        <v>6087</v>
      </c>
      <c r="I2783" t="s">
        <v>19</v>
      </c>
      <c r="J2783" s="3">
        <v>5504635200715</v>
      </c>
      <c r="K2783" t="s">
        <v>10363</v>
      </c>
      <c r="L2783" t="s">
        <v>2115</v>
      </c>
      <c r="M2783" t="s">
        <v>32145</v>
      </c>
    </row>
    <row r="2784" spans="1:13" x14ac:dyDescent="0.25">
      <c r="A2784" t="s">
        <v>20703</v>
      </c>
      <c r="B2784" t="s">
        <v>13</v>
      </c>
      <c r="C2784" s="1">
        <v>43258</v>
      </c>
      <c r="D2784" t="s">
        <v>20704</v>
      </c>
      <c r="E2784" s="2" t="s">
        <v>31878</v>
      </c>
      <c r="F2784" t="s">
        <v>1464</v>
      </c>
      <c r="G2784" t="s">
        <v>20705</v>
      </c>
      <c r="H2784" t="s">
        <v>2678</v>
      </c>
      <c r="I2784" t="s">
        <v>19</v>
      </c>
      <c r="J2784" s="3">
        <f>55-53-21288000</f>
        <v>-21287998</v>
      </c>
      <c r="K2784" t="s">
        <v>20706</v>
      </c>
      <c r="L2784" t="s">
        <v>4608</v>
      </c>
      <c r="M2784" t="s">
        <v>6656</v>
      </c>
    </row>
    <row r="2785" spans="1:13" x14ac:dyDescent="0.25">
      <c r="A2785" t="s">
        <v>25424</v>
      </c>
      <c r="B2785" t="s">
        <v>13</v>
      </c>
      <c r="C2785" t="s">
        <v>25410</v>
      </c>
      <c r="D2785" t="s">
        <v>25425</v>
      </c>
      <c r="E2785" t="s">
        <v>25426</v>
      </c>
      <c r="F2785" t="s">
        <v>1464</v>
      </c>
      <c r="G2785" t="s">
        <v>25427</v>
      </c>
      <c r="H2785" t="s">
        <v>1949</v>
      </c>
      <c r="I2785" t="s">
        <v>19</v>
      </c>
      <c r="J2785" s="3" t="s">
        <v>4695</v>
      </c>
      <c r="K2785" t="s">
        <v>25428</v>
      </c>
      <c r="L2785" t="s">
        <v>3250</v>
      </c>
      <c r="M2785" t="s">
        <v>1775</v>
      </c>
    </row>
    <row r="2786" spans="1:13" x14ac:dyDescent="0.25">
      <c r="A2786" t="s">
        <v>24504</v>
      </c>
      <c r="B2786" t="s">
        <v>13</v>
      </c>
      <c r="C2786" t="s">
        <v>24476</v>
      </c>
      <c r="D2786" t="s">
        <v>24505</v>
      </c>
      <c r="E2786" t="s">
        <v>561</v>
      </c>
      <c r="F2786" t="s">
        <v>2947</v>
      </c>
      <c r="G2786" t="s">
        <v>14697</v>
      </c>
      <c r="H2786" t="s">
        <v>36</v>
      </c>
      <c r="I2786" t="s">
        <v>19</v>
      </c>
      <c r="J2786" s="3" t="s">
        <v>24506</v>
      </c>
      <c r="K2786" t="s">
        <v>14699</v>
      </c>
      <c r="L2786" t="s">
        <v>2725</v>
      </c>
      <c r="M2786" t="s">
        <v>771</v>
      </c>
    </row>
    <row r="2787" spans="1:13" x14ac:dyDescent="0.25">
      <c r="A2787" t="s">
        <v>30310</v>
      </c>
      <c r="B2787" t="s">
        <v>13</v>
      </c>
      <c r="C2787" s="1">
        <v>40910</v>
      </c>
      <c r="D2787" t="s">
        <v>30311</v>
      </c>
      <c r="E2787" t="s">
        <v>561</v>
      </c>
      <c r="F2787" t="s">
        <v>2947</v>
      </c>
      <c r="G2787" t="s">
        <v>14697</v>
      </c>
      <c r="H2787" t="s">
        <v>36</v>
      </c>
      <c r="I2787" t="s">
        <v>19</v>
      </c>
      <c r="J2787" s="3">
        <v>551130913136</v>
      </c>
      <c r="K2787" t="s">
        <v>14699</v>
      </c>
      <c r="L2787" t="s">
        <v>2725</v>
      </c>
      <c r="M2787" t="s">
        <v>771</v>
      </c>
    </row>
    <row r="2788" spans="1:13" x14ac:dyDescent="0.25">
      <c r="A2788" t="s">
        <v>6672</v>
      </c>
      <c r="B2788" t="s">
        <v>13</v>
      </c>
      <c r="C2788" t="s">
        <v>6666</v>
      </c>
      <c r="D2788" t="s">
        <v>6673</v>
      </c>
      <c r="E2788" t="s">
        <v>6674</v>
      </c>
      <c r="F2788" t="s">
        <v>6675</v>
      </c>
      <c r="G2788" t="s">
        <v>6676</v>
      </c>
      <c r="H2788" t="s">
        <v>6677</v>
      </c>
      <c r="I2788" t="s">
        <v>19</v>
      </c>
      <c r="J2788" s="3" t="s">
        <v>6678</v>
      </c>
      <c r="K2788" t="s">
        <v>6679</v>
      </c>
      <c r="L2788" t="s">
        <v>32135</v>
      </c>
      <c r="M2788" t="s">
        <v>1775</v>
      </c>
    </row>
    <row r="2789" spans="1:13" x14ac:dyDescent="0.25">
      <c r="A2789" t="s">
        <v>19233</v>
      </c>
      <c r="B2789" t="s">
        <v>13</v>
      </c>
      <c r="C2789" t="s">
        <v>19229</v>
      </c>
      <c r="D2789" t="s">
        <v>19234</v>
      </c>
      <c r="E2789" t="s">
        <v>19235</v>
      </c>
      <c r="F2789" t="s">
        <v>2036</v>
      </c>
      <c r="G2789" t="s">
        <v>19236</v>
      </c>
      <c r="H2789" t="s">
        <v>2215</v>
      </c>
      <c r="I2789" t="s">
        <v>19</v>
      </c>
      <c r="J2789" s="3">
        <f>55-42-999072129</f>
        <v>-999072116</v>
      </c>
      <c r="K2789" t="s">
        <v>19237</v>
      </c>
      <c r="L2789" t="s">
        <v>2218</v>
      </c>
      <c r="M2789" t="s">
        <v>57</v>
      </c>
    </row>
    <row r="2790" spans="1:13" x14ac:dyDescent="0.25">
      <c r="A2790" t="s">
        <v>17286</v>
      </c>
      <c r="B2790" t="s">
        <v>13</v>
      </c>
      <c r="C2790" s="1">
        <v>43591</v>
      </c>
      <c r="D2790" t="s">
        <v>17287</v>
      </c>
      <c r="E2790" t="s">
        <v>17288</v>
      </c>
      <c r="F2790" t="s">
        <v>432</v>
      </c>
      <c r="G2790" t="s">
        <v>17289</v>
      </c>
      <c r="H2790" t="s">
        <v>170</v>
      </c>
      <c r="I2790" t="s">
        <v>19</v>
      </c>
      <c r="J2790" s="3">
        <v>35991478959</v>
      </c>
      <c r="K2790" t="s">
        <v>9069</v>
      </c>
      <c r="L2790" t="s">
        <v>17290</v>
      </c>
      <c r="M2790" t="s">
        <v>432</v>
      </c>
    </row>
    <row r="2791" spans="1:13" x14ac:dyDescent="0.25">
      <c r="A2791" t="s">
        <v>2853</v>
      </c>
      <c r="B2791" t="s">
        <v>13</v>
      </c>
      <c r="C2791" t="s">
        <v>2854</v>
      </c>
      <c r="D2791" t="s">
        <v>2855</v>
      </c>
      <c r="E2791" s="2" t="s">
        <v>32116</v>
      </c>
      <c r="F2791" t="s">
        <v>426</v>
      </c>
      <c r="G2791" t="s">
        <v>2859</v>
      </c>
      <c r="H2791" t="s">
        <v>706</v>
      </c>
      <c r="I2791" t="s">
        <v>19</v>
      </c>
      <c r="J2791" s="3">
        <v>553134094783</v>
      </c>
      <c r="K2791" t="s">
        <v>2860</v>
      </c>
      <c r="L2791" t="s">
        <v>2861</v>
      </c>
      <c r="M2791" t="s">
        <v>32162</v>
      </c>
    </row>
    <row r="2792" spans="1:13" x14ac:dyDescent="0.25">
      <c r="A2792" t="s">
        <v>18957</v>
      </c>
      <c r="B2792" t="s">
        <v>13</v>
      </c>
      <c r="C2792" t="s">
        <v>18958</v>
      </c>
      <c r="D2792" t="s">
        <v>18959</v>
      </c>
      <c r="E2792" t="s">
        <v>18960</v>
      </c>
      <c r="F2792" t="s">
        <v>9969</v>
      </c>
      <c r="G2792" t="s">
        <v>18961</v>
      </c>
      <c r="H2792" t="s">
        <v>578</v>
      </c>
      <c r="I2792" t="s">
        <v>19</v>
      </c>
      <c r="J2792" s="3">
        <v>5592984173208</v>
      </c>
      <c r="K2792" t="s">
        <v>18962</v>
      </c>
      <c r="L2792" t="s">
        <v>678</v>
      </c>
      <c r="M2792" t="s">
        <v>32149</v>
      </c>
    </row>
    <row r="2793" spans="1:13" x14ac:dyDescent="0.25">
      <c r="A2793" t="s">
        <v>17408</v>
      </c>
      <c r="B2793" t="s">
        <v>13</v>
      </c>
      <c r="C2793" s="1">
        <v>43561</v>
      </c>
      <c r="D2793" t="s">
        <v>17409</v>
      </c>
      <c r="E2793" t="s">
        <v>17410</v>
      </c>
      <c r="F2793" t="s">
        <v>2036</v>
      </c>
      <c r="G2793" t="s">
        <v>17411</v>
      </c>
      <c r="H2793" t="s">
        <v>150</v>
      </c>
      <c r="I2793" t="s">
        <v>19</v>
      </c>
      <c r="J2793" s="3">
        <v>1155391011</v>
      </c>
      <c r="K2793" t="s">
        <v>17412</v>
      </c>
      <c r="L2793" t="s">
        <v>17413</v>
      </c>
      <c r="M2793" t="s">
        <v>57</v>
      </c>
    </row>
    <row r="2794" spans="1:13" x14ac:dyDescent="0.25">
      <c r="A2794" t="s">
        <v>28778</v>
      </c>
      <c r="B2794" t="s">
        <v>13</v>
      </c>
      <c r="C2794" s="1">
        <v>41682</v>
      </c>
      <c r="D2794" t="s">
        <v>28779</v>
      </c>
      <c r="E2794" t="s">
        <v>28780</v>
      </c>
      <c r="F2794" t="s">
        <v>57</v>
      </c>
      <c r="G2794" t="s">
        <v>28781</v>
      </c>
      <c r="H2794" t="s">
        <v>71</v>
      </c>
      <c r="I2794" t="s">
        <v>19</v>
      </c>
      <c r="J2794" s="3" t="s">
        <v>28782</v>
      </c>
      <c r="K2794" t="s">
        <v>28783</v>
      </c>
      <c r="L2794" t="s">
        <v>21396</v>
      </c>
      <c r="M2794" t="s">
        <v>57</v>
      </c>
    </row>
    <row r="2795" spans="1:13" x14ac:dyDescent="0.25">
      <c r="A2795" t="s">
        <v>23728</v>
      </c>
      <c r="B2795" t="s">
        <v>13</v>
      </c>
      <c r="C2795" t="s">
        <v>8676</v>
      </c>
      <c r="D2795" t="s">
        <v>23729</v>
      </c>
      <c r="E2795" t="s">
        <v>23730</v>
      </c>
      <c r="F2795" t="s">
        <v>337</v>
      </c>
      <c r="G2795" t="s">
        <v>18800</v>
      </c>
      <c r="H2795" t="s">
        <v>2564</v>
      </c>
      <c r="I2795" t="s">
        <v>19</v>
      </c>
      <c r="J2795" s="3" t="s">
        <v>23731</v>
      </c>
      <c r="K2795" t="s">
        <v>18801</v>
      </c>
      <c r="L2795" t="s">
        <v>23732</v>
      </c>
      <c r="M2795" t="s">
        <v>337</v>
      </c>
    </row>
    <row r="2796" spans="1:13" x14ac:dyDescent="0.25">
      <c r="A2796" t="s">
        <v>17351</v>
      </c>
      <c r="B2796" t="s">
        <v>13</v>
      </c>
      <c r="C2796" s="1">
        <v>43561</v>
      </c>
      <c r="D2796" t="s">
        <v>17352</v>
      </c>
      <c r="E2796" t="s">
        <v>17353</v>
      </c>
      <c r="F2796" t="s">
        <v>1464</v>
      </c>
      <c r="G2796" t="s">
        <v>17354</v>
      </c>
      <c r="H2796" t="s">
        <v>798</v>
      </c>
      <c r="I2796" t="s">
        <v>19</v>
      </c>
      <c r="J2796" s="3" t="s">
        <v>17355</v>
      </c>
      <c r="K2796" t="s">
        <v>17356</v>
      </c>
      <c r="L2796" t="s">
        <v>1767</v>
      </c>
      <c r="M2796" t="s">
        <v>337</v>
      </c>
    </row>
    <row r="2797" spans="1:13" x14ac:dyDescent="0.25">
      <c r="A2797" t="s">
        <v>24578</v>
      </c>
      <c r="B2797" t="s">
        <v>101</v>
      </c>
      <c r="C2797" t="s">
        <v>24579</v>
      </c>
      <c r="D2797" t="s">
        <v>24580</v>
      </c>
      <c r="E2797" t="s">
        <v>24581</v>
      </c>
      <c r="F2797" t="s">
        <v>1464</v>
      </c>
      <c r="G2797" t="s">
        <v>2816</v>
      </c>
      <c r="H2797" t="s">
        <v>299</v>
      </c>
      <c r="I2797" t="s">
        <v>19</v>
      </c>
      <c r="J2797" s="3" t="s">
        <v>22026</v>
      </c>
      <c r="K2797" t="s">
        <v>24582</v>
      </c>
      <c r="L2797" t="s">
        <v>11235</v>
      </c>
      <c r="M2797" t="s">
        <v>337</v>
      </c>
    </row>
    <row r="2798" spans="1:13" x14ac:dyDescent="0.25">
      <c r="A2798" t="s">
        <v>11231</v>
      </c>
      <c r="B2798" t="s">
        <v>101</v>
      </c>
      <c r="C2798" t="s">
        <v>11232</v>
      </c>
      <c r="D2798" t="s">
        <v>11233</v>
      </c>
      <c r="E2798" s="2" t="s">
        <v>24581</v>
      </c>
      <c r="F2798" t="s">
        <v>1464</v>
      </c>
      <c r="G2798" t="s">
        <v>2816</v>
      </c>
      <c r="H2798" t="s">
        <v>299</v>
      </c>
      <c r="I2798" t="s">
        <v>19</v>
      </c>
      <c r="J2798" s="3">
        <f>55-14-38801001</f>
        <v>-38800960</v>
      </c>
      <c r="K2798" t="s">
        <v>11234</v>
      </c>
      <c r="L2798" t="s">
        <v>11235</v>
      </c>
      <c r="M2798" t="s">
        <v>337</v>
      </c>
    </row>
    <row r="2799" spans="1:13" x14ac:dyDescent="0.25">
      <c r="A2799" t="s">
        <v>9235</v>
      </c>
      <c r="B2799" t="s">
        <v>13</v>
      </c>
      <c r="C2799" s="1">
        <v>43989</v>
      </c>
      <c r="D2799" t="s">
        <v>9236</v>
      </c>
      <c r="E2799" t="s">
        <v>9237</v>
      </c>
      <c r="F2799" t="s">
        <v>6686</v>
      </c>
      <c r="G2799" t="s">
        <v>9238</v>
      </c>
      <c r="H2799" t="s">
        <v>299</v>
      </c>
      <c r="I2799" t="s">
        <v>19</v>
      </c>
      <c r="J2799" s="3" t="s">
        <v>9239</v>
      </c>
      <c r="K2799" t="s">
        <v>9240</v>
      </c>
      <c r="L2799" t="s">
        <v>9241</v>
      </c>
      <c r="M2799" t="s">
        <v>337</v>
      </c>
    </row>
    <row r="2800" spans="1:13" x14ac:dyDescent="0.25">
      <c r="A2800" t="s">
        <v>12506</v>
      </c>
      <c r="B2800" t="s">
        <v>13</v>
      </c>
      <c r="C2800" s="1">
        <v>43894</v>
      </c>
      <c r="D2800" t="s">
        <v>12507</v>
      </c>
      <c r="E2800" t="s">
        <v>12508</v>
      </c>
      <c r="F2800" t="s">
        <v>6686</v>
      </c>
      <c r="G2800" t="s">
        <v>12509</v>
      </c>
      <c r="H2800" t="s">
        <v>409</v>
      </c>
      <c r="I2800" t="s">
        <v>19</v>
      </c>
      <c r="J2800" s="3" t="s">
        <v>12510</v>
      </c>
      <c r="K2800" t="s">
        <v>12511</v>
      </c>
      <c r="L2800" t="s">
        <v>412</v>
      </c>
      <c r="M2800" t="s">
        <v>1349</v>
      </c>
    </row>
    <row r="2801" spans="1:13" x14ac:dyDescent="0.25">
      <c r="A2801" t="s">
        <v>16012</v>
      </c>
      <c r="B2801" t="s">
        <v>13</v>
      </c>
      <c r="C2801" t="s">
        <v>6274</v>
      </c>
      <c r="D2801" t="s">
        <v>16013</v>
      </c>
      <c r="E2801" t="s">
        <v>16014</v>
      </c>
      <c r="F2801" t="s">
        <v>3084</v>
      </c>
      <c r="G2801" t="s">
        <v>16015</v>
      </c>
      <c r="H2801" t="s">
        <v>798</v>
      </c>
      <c r="I2801" t="s">
        <v>19</v>
      </c>
      <c r="J2801" s="3">
        <f>55-61-996334719</f>
        <v>-996334725</v>
      </c>
      <c r="K2801" t="s">
        <v>16016</v>
      </c>
      <c r="L2801" t="s">
        <v>1767</v>
      </c>
      <c r="M2801" t="s">
        <v>32144</v>
      </c>
    </row>
    <row r="2802" spans="1:13" x14ac:dyDescent="0.25">
      <c r="A2802" t="s">
        <v>13750</v>
      </c>
      <c r="B2802" t="s">
        <v>101</v>
      </c>
      <c r="C2802" s="1">
        <v>43748</v>
      </c>
      <c r="D2802" t="s">
        <v>13751</v>
      </c>
      <c r="E2802" s="2" t="s">
        <v>31824</v>
      </c>
      <c r="F2802" t="s">
        <v>2036</v>
      </c>
      <c r="G2802" t="s">
        <v>7813</v>
      </c>
      <c r="H2802" t="s">
        <v>18</v>
      </c>
      <c r="I2802" t="s">
        <v>19</v>
      </c>
      <c r="J2802" s="3" t="s">
        <v>7814</v>
      </c>
      <c r="K2802" t="s">
        <v>7815</v>
      </c>
      <c r="L2802" t="s">
        <v>7816</v>
      </c>
      <c r="M2802" t="s">
        <v>57</v>
      </c>
    </row>
    <row r="2803" spans="1:13" x14ac:dyDescent="0.25">
      <c r="A2803" t="s">
        <v>520</v>
      </c>
      <c r="B2803" t="s">
        <v>13</v>
      </c>
      <c r="C2803" s="1">
        <v>45261</v>
      </c>
      <c r="D2803" t="s">
        <v>521</v>
      </c>
      <c r="E2803" t="s">
        <v>522</v>
      </c>
      <c r="F2803" t="s">
        <v>523</v>
      </c>
      <c r="G2803" t="s">
        <v>524</v>
      </c>
      <c r="H2803" t="s">
        <v>36</v>
      </c>
      <c r="I2803" t="s">
        <v>19</v>
      </c>
      <c r="J2803" s="3" t="s">
        <v>525</v>
      </c>
      <c r="K2803" t="s">
        <v>526</v>
      </c>
      <c r="L2803" t="s">
        <v>527</v>
      </c>
      <c r="M2803" t="s">
        <v>337</v>
      </c>
    </row>
    <row r="2804" spans="1:13" x14ac:dyDescent="0.25">
      <c r="A2804" t="s">
        <v>4429</v>
      </c>
      <c r="B2804" t="s">
        <v>101</v>
      </c>
      <c r="C2804" s="1">
        <v>44776</v>
      </c>
      <c r="D2804" t="s">
        <v>4430</v>
      </c>
      <c r="E2804" s="2" t="s">
        <v>30808</v>
      </c>
      <c r="F2804" t="s">
        <v>2882</v>
      </c>
      <c r="G2804" t="s">
        <v>4431</v>
      </c>
      <c r="H2804" t="s">
        <v>265</v>
      </c>
      <c r="I2804" t="s">
        <v>19</v>
      </c>
      <c r="J2804" s="3" t="s">
        <v>4432</v>
      </c>
      <c r="K2804" t="s">
        <v>4433</v>
      </c>
      <c r="L2804" t="s">
        <v>4434</v>
      </c>
      <c r="M2804" t="s">
        <v>1775</v>
      </c>
    </row>
    <row r="2805" spans="1:13" x14ac:dyDescent="0.25">
      <c r="A2805" t="s">
        <v>5854</v>
      </c>
      <c r="B2805" t="s">
        <v>101</v>
      </c>
      <c r="C2805" t="s">
        <v>5855</v>
      </c>
      <c r="D2805" t="s">
        <v>32135</v>
      </c>
      <c r="E2805" t="s">
        <v>5856</v>
      </c>
      <c r="F2805" t="s">
        <v>160</v>
      </c>
      <c r="G2805" t="s">
        <v>5857</v>
      </c>
      <c r="H2805" t="s">
        <v>299</v>
      </c>
      <c r="I2805" t="s">
        <v>19</v>
      </c>
      <c r="J2805" s="3" t="s">
        <v>5858</v>
      </c>
      <c r="K2805" t="s">
        <v>5859</v>
      </c>
      <c r="L2805" t="s">
        <v>32135</v>
      </c>
      <c r="M2805" t="s">
        <v>741</v>
      </c>
    </row>
    <row r="2806" spans="1:13" x14ac:dyDescent="0.25">
      <c r="A2806" t="s">
        <v>5560</v>
      </c>
      <c r="B2806" t="s">
        <v>101</v>
      </c>
      <c r="C2806" t="s">
        <v>5547</v>
      </c>
      <c r="D2806" t="s">
        <v>32135</v>
      </c>
      <c r="E2806" s="2" t="s">
        <v>30848</v>
      </c>
      <c r="F2806" t="s">
        <v>5561</v>
      </c>
      <c r="G2806" t="s">
        <v>5562</v>
      </c>
      <c r="H2806" t="s">
        <v>3630</v>
      </c>
      <c r="I2806" t="s">
        <v>19</v>
      </c>
      <c r="J2806" s="3">
        <f>55-483431-1719</f>
        <v>-485095</v>
      </c>
      <c r="K2806" t="s">
        <v>5563</v>
      </c>
      <c r="L2806" t="s">
        <v>32135</v>
      </c>
      <c r="M2806" t="s">
        <v>771</v>
      </c>
    </row>
    <row r="2807" spans="1:13" x14ac:dyDescent="0.25">
      <c r="A2807" t="s">
        <v>888</v>
      </c>
      <c r="B2807" t="s">
        <v>13</v>
      </c>
      <c r="C2807" t="s">
        <v>881</v>
      </c>
      <c r="D2807" t="s">
        <v>889</v>
      </c>
      <c r="E2807" t="s">
        <v>890</v>
      </c>
      <c r="F2807" t="s">
        <v>891</v>
      </c>
      <c r="G2807" t="s">
        <v>892</v>
      </c>
      <c r="H2807" t="s">
        <v>893</v>
      </c>
      <c r="I2807" t="s">
        <v>19</v>
      </c>
      <c r="J2807" s="3" t="s">
        <v>894</v>
      </c>
      <c r="K2807" t="s">
        <v>895</v>
      </c>
      <c r="L2807" t="s">
        <v>896</v>
      </c>
      <c r="M2807" t="s">
        <v>32145</v>
      </c>
    </row>
    <row r="2808" spans="1:13" x14ac:dyDescent="0.25">
      <c r="A2808" t="s">
        <v>30080</v>
      </c>
      <c r="B2808" t="s">
        <v>13</v>
      </c>
      <c r="C2808" t="s">
        <v>14184</v>
      </c>
      <c r="D2808" t="s">
        <v>30081</v>
      </c>
      <c r="E2808" t="s">
        <v>30082</v>
      </c>
      <c r="F2808" t="s">
        <v>1464</v>
      </c>
      <c r="G2808" t="s">
        <v>30083</v>
      </c>
      <c r="H2808" t="s">
        <v>30084</v>
      </c>
      <c r="I2808" t="s">
        <v>19</v>
      </c>
      <c r="J2808" s="3" t="s">
        <v>30085</v>
      </c>
      <c r="K2808" t="s">
        <v>30086</v>
      </c>
      <c r="L2808" t="s">
        <v>1569</v>
      </c>
      <c r="M2808" t="s">
        <v>1775</v>
      </c>
    </row>
    <row r="2809" spans="1:13" x14ac:dyDescent="0.25">
      <c r="A2809" t="s">
        <v>23068</v>
      </c>
      <c r="B2809" t="s">
        <v>13</v>
      </c>
      <c r="C2809" s="1">
        <v>42958</v>
      </c>
      <c r="D2809" t="s">
        <v>23069</v>
      </c>
      <c r="E2809" t="s">
        <v>32413</v>
      </c>
      <c r="F2809" t="s">
        <v>2947</v>
      </c>
      <c r="G2809" t="s">
        <v>23070</v>
      </c>
      <c r="H2809" t="s">
        <v>21441</v>
      </c>
      <c r="I2809" t="s">
        <v>19</v>
      </c>
      <c r="J2809" s="3" t="s">
        <v>23071</v>
      </c>
      <c r="K2809" t="s">
        <v>23072</v>
      </c>
      <c r="L2809" t="s">
        <v>1030</v>
      </c>
      <c r="M2809" t="s">
        <v>771</v>
      </c>
    </row>
    <row r="2810" spans="1:13" x14ac:dyDescent="0.25">
      <c r="A2810" t="s">
        <v>3435</v>
      </c>
      <c r="B2810" t="s">
        <v>101</v>
      </c>
      <c r="C2810" s="1">
        <v>44779</v>
      </c>
      <c r="D2810" t="s">
        <v>3436</v>
      </c>
      <c r="E2810" s="2" t="s">
        <v>30780</v>
      </c>
      <c r="F2810" t="s">
        <v>3437</v>
      </c>
      <c r="G2810" t="s">
        <v>3438</v>
      </c>
      <c r="H2810" t="s">
        <v>18</v>
      </c>
      <c r="I2810" t="s">
        <v>19</v>
      </c>
      <c r="J2810" s="3" t="s">
        <v>3439</v>
      </c>
      <c r="K2810" t="s">
        <v>3440</v>
      </c>
      <c r="L2810" t="s">
        <v>3441</v>
      </c>
      <c r="M2810" t="s">
        <v>432</v>
      </c>
    </row>
    <row r="2811" spans="1:13" x14ac:dyDescent="0.25">
      <c r="A2811" t="s">
        <v>25792</v>
      </c>
      <c r="B2811" t="s">
        <v>101</v>
      </c>
      <c r="C2811" t="s">
        <v>25786</v>
      </c>
      <c r="D2811" t="s">
        <v>25793</v>
      </c>
      <c r="E2811" t="s">
        <v>25794</v>
      </c>
      <c r="F2811" t="s">
        <v>2947</v>
      </c>
      <c r="G2811" t="s">
        <v>25795</v>
      </c>
      <c r="H2811" t="s">
        <v>18</v>
      </c>
      <c r="I2811" t="s">
        <v>19</v>
      </c>
      <c r="J2811" s="3" t="s">
        <v>25796</v>
      </c>
      <c r="K2811" t="s">
        <v>25797</v>
      </c>
      <c r="L2811" t="s">
        <v>285</v>
      </c>
      <c r="M2811" t="s">
        <v>771</v>
      </c>
    </row>
    <row r="2812" spans="1:13" x14ac:dyDescent="0.25">
      <c r="A2812" t="s">
        <v>8363</v>
      </c>
      <c r="B2812" t="s">
        <v>13</v>
      </c>
      <c r="C2812" s="1">
        <v>44257</v>
      </c>
      <c r="D2812" t="s">
        <v>8364</v>
      </c>
      <c r="E2812" s="2" t="s">
        <v>31779</v>
      </c>
      <c r="F2812" t="s">
        <v>2882</v>
      </c>
      <c r="G2812" t="s">
        <v>8366</v>
      </c>
      <c r="H2812" t="s">
        <v>1047</v>
      </c>
      <c r="I2812" t="s">
        <v>19</v>
      </c>
      <c r="J2812" s="3">
        <f>55-27-3335-7201</f>
        <v>-10508</v>
      </c>
      <c r="K2812" t="s">
        <v>8367</v>
      </c>
      <c r="L2812" t="s">
        <v>32135</v>
      </c>
      <c r="M2812" t="s">
        <v>1775</v>
      </c>
    </row>
    <row r="2813" spans="1:13" x14ac:dyDescent="0.25">
      <c r="A2813" t="s">
        <v>13447</v>
      </c>
      <c r="B2813" t="s">
        <v>13</v>
      </c>
      <c r="C2813" t="s">
        <v>4227</v>
      </c>
      <c r="D2813" t="s">
        <v>13448</v>
      </c>
      <c r="E2813" t="s">
        <v>13449</v>
      </c>
      <c r="F2813" t="s">
        <v>1464</v>
      </c>
      <c r="G2813" t="s">
        <v>13450</v>
      </c>
      <c r="H2813" t="s">
        <v>1802</v>
      </c>
      <c r="I2813" t="s">
        <v>19</v>
      </c>
      <c r="J2813" s="3">
        <v>551432358276</v>
      </c>
      <c r="K2813" t="s">
        <v>13451</v>
      </c>
      <c r="L2813" t="s">
        <v>1805</v>
      </c>
      <c r="M2813" t="s">
        <v>1775</v>
      </c>
    </row>
    <row r="2814" spans="1:13" x14ac:dyDescent="0.25">
      <c r="A2814" t="s">
        <v>9837</v>
      </c>
      <c r="B2814" t="s">
        <v>13</v>
      </c>
      <c r="C2814" s="1">
        <v>44083</v>
      </c>
      <c r="D2814" t="s">
        <v>9838</v>
      </c>
      <c r="E2814" t="s">
        <v>9839</v>
      </c>
      <c r="F2814" t="s">
        <v>2036</v>
      </c>
      <c r="G2814" t="s">
        <v>9840</v>
      </c>
      <c r="H2814" t="s">
        <v>798</v>
      </c>
      <c r="I2814" t="s">
        <v>19</v>
      </c>
      <c r="J2814" s="3" t="s">
        <v>9841</v>
      </c>
      <c r="K2814" t="s">
        <v>9842</v>
      </c>
      <c r="L2814" t="s">
        <v>9843</v>
      </c>
      <c r="M2814" t="s">
        <v>57</v>
      </c>
    </row>
    <row r="2815" spans="1:13" x14ac:dyDescent="0.25">
      <c r="A2815" t="s">
        <v>14722</v>
      </c>
      <c r="B2815" t="s">
        <v>13</v>
      </c>
      <c r="C2815" s="1">
        <v>43597</v>
      </c>
      <c r="D2815" t="s">
        <v>14723</v>
      </c>
      <c r="E2815" t="s">
        <v>14724</v>
      </c>
      <c r="F2815" t="s">
        <v>1432</v>
      </c>
      <c r="G2815" t="s">
        <v>14725</v>
      </c>
      <c r="H2815" t="s">
        <v>36</v>
      </c>
      <c r="I2815" t="s">
        <v>19</v>
      </c>
      <c r="J2815" s="3">
        <f>55115576-4981</f>
        <v>55110595</v>
      </c>
      <c r="K2815" t="s">
        <v>14726</v>
      </c>
      <c r="L2815" t="s">
        <v>439</v>
      </c>
      <c r="M2815" t="s">
        <v>1432</v>
      </c>
    </row>
    <row r="2816" spans="1:13" x14ac:dyDescent="0.25">
      <c r="A2816" t="s">
        <v>2037</v>
      </c>
      <c r="B2816" t="s">
        <v>13</v>
      </c>
      <c r="C2816" t="s">
        <v>2038</v>
      </c>
      <c r="D2816" t="s">
        <v>2039</v>
      </c>
      <c r="E2816" t="s">
        <v>1054</v>
      </c>
      <c r="F2816" t="s">
        <v>1055</v>
      </c>
      <c r="G2816" t="s">
        <v>1056</v>
      </c>
      <c r="H2816" t="s">
        <v>141</v>
      </c>
      <c r="I2816" t="s">
        <v>19</v>
      </c>
      <c r="J2816" s="3">
        <f>55-82-32141041</f>
        <v>-32141068</v>
      </c>
      <c r="K2816" t="s">
        <v>1057</v>
      </c>
      <c r="L2816" t="s">
        <v>1058</v>
      </c>
      <c r="M2816" t="s">
        <v>1304</v>
      </c>
    </row>
    <row r="2817" spans="1:13" x14ac:dyDescent="0.25">
      <c r="A2817" t="s">
        <v>1051</v>
      </c>
      <c r="B2817" t="s">
        <v>13</v>
      </c>
      <c r="C2817" t="s">
        <v>1052</v>
      </c>
      <c r="D2817" t="s">
        <v>1053</v>
      </c>
      <c r="E2817" t="s">
        <v>1054</v>
      </c>
      <c r="F2817" t="s">
        <v>1055</v>
      </c>
      <c r="G2817" t="s">
        <v>1056</v>
      </c>
      <c r="H2817" t="s">
        <v>141</v>
      </c>
      <c r="I2817" t="s">
        <v>19</v>
      </c>
      <c r="J2817" s="3">
        <f>55-82-32141041</f>
        <v>-32141068</v>
      </c>
      <c r="K2817" t="s">
        <v>1057</v>
      </c>
      <c r="L2817" t="s">
        <v>1058</v>
      </c>
      <c r="M2817" t="s">
        <v>1304</v>
      </c>
    </row>
    <row r="2818" spans="1:13" x14ac:dyDescent="0.25">
      <c r="A2818" t="s">
        <v>17903</v>
      </c>
      <c r="B2818" t="s">
        <v>13</v>
      </c>
      <c r="C2818" s="1">
        <v>43469</v>
      </c>
      <c r="D2818" t="s">
        <v>17904</v>
      </c>
      <c r="E2818" t="s">
        <v>17905</v>
      </c>
      <c r="F2818" t="s">
        <v>1349</v>
      </c>
      <c r="G2818" t="s">
        <v>17906</v>
      </c>
      <c r="H2818" t="s">
        <v>893</v>
      </c>
      <c r="I2818" t="s">
        <v>19</v>
      </c>
      <c r="J2818" s="3">
        <f>55-98-981123016</f>
        <v>-981123059</v>
      </c>
      <c r="K2818" t="s">
        <v>17907</v>
      </c>
      <c r="L2818" t="s">
        <v>7453</v>
      </c>
      <c r="M2818" t="s">
        <v>1349</v>
      </c>
    </row>
    <row r="2819" spans="1:13" x14ac:dyDescent="0.25">
      <c r="A2819" t="s">
        <v>21844</v>
      </c>
      <c r="B2819" t="s">
        <v>13</v>
      </c>
      <c r="C2819" t="s">
        <v>21825</v>
      </c>
      <c r="D2819" t="s">
        <v>21845</v>
      </c>
      <c r="E2819" s="2" t="s">
        <v>31814</v>
      </c>
      <c r="F2819" t="s">
        <v>6686</v>
      </c>
      <c r="G2819" t="s">
        <v>21846</v>
      </c>
      <c r="H2819" t="s">
        <v>7467</v>
      </c>
      <c r="I2819" t="s">
        <v>19</v>
      </c>
      <c r="J2819" s="3">
        <f>55-81-996987799</f>
        <v>-996987825</v>
      </c>
      <c r="K2819" t="s">
        <v>21847</v>
      </c>
      <c r="L2819" t="s">
        <v>2101</v>
      </c>
      <c r="M2819" t="s">
        <v>337</v>
      </c>
    </row>
    <row r="2820" spans="1:13" x14ac:dyDescent="0.25">
      <c r="A2820" t="s">
        <v>24450</v>
      </c>
      <c r="B2820" t="s">
        <v>13</v>
      </c>
      <c r="C2820" t="s">
        <v>24451</v>
      </c>
      <c r="D2820" t="s">
        <v>24452</v>
      </c>
      <c r="E2820" t="s">
        <v>24453</v>
      </c>
      <c r="F2820" t="s">
        <v>771</v>
      </c>
      <c r="G2820" t="s">
        <v>24454</v>
      </c>
      <c r="H2820" t="s">
        <v>299</v>
      </c>
      <c r="I2820" t="s">
        <v>19</v>
      </c>
      <c r="J2820" s="3" t="s">
        <v>24455</v>
      </c>
      <c r="K2820" t="s">
        <v>24456</v>
      </c>
      <c r="L2820" t="s">
        <v>24457</v>
      </c>
      <c r="M2820" t="s">
        <v>771</v>
      </c>
    </row>
    <row r="2821" spans="1:13" x14ac:dyDescent="0.25">
      <c r="A2821" t="s">
        <v>5068</v>
      </c>
      <c r="B2821" t="s">
        <v>101</v>
      </c>
      <c r="C2821" t="s">
        <v>5054</v>
      </c>
      <c r="D2821" t="s">
        <v>32135</v>
      </c>
      <c r="E2821" t="s">
        <v>5069</v>
      </c>
      <c r="F2821" t="s">
        <v>1136</v>
      </c>
      <c r="G2821" t="s">
        <v>5070</v>
      </c>
      <c r="H2821" t="s">
        <v>150</v>
      </c>
      <c r="I2821" t="s">
        <v>19</v>
      </c>
      <c r="J2821" s="3">
        <v>5511942850262</v>
      </c>
      <c r="K2821" t="s">
        <v>5071</v>
      </c>
      <c r="L2821" t="s">
        <v>32135</v>
      </c>
      <c r="M2821" t="s">
        <v>771</v>
      </c>
    </row>
    <row r="2822" spans="1:13" x14ac:dyDescent="0.25">
      <c r="A2822" t="s">
        <v>29785</v>
      </c>
      <c r="B2822" t="s">
        <v>13</v>
      </c>
      <c r="C2822" s="1">
        <v>41397</v>
      </c>
      <c r="D2822" t="s">
        <v>29786</v>
      </c>
      <c r="E2822" t="s">
        <v>29787</v>
      </c>
      <c r="F2822" t="s">
        <v>771</v>
      </c>
      <c r="G2822" t="s">
        <v>29788</v>
      </c>
      <c r="H2822" t="s">
        <v>36</v>
      </c>
      <c r="I2822" t="s">
        <v>19</v>
      </c>
      <c r="J2822" s="3" t="s">
        <v>29789</v>
      </c>
      <c r="K2822" t="s">
        <v>29790</v>
      </c>
      <c r="L2822" t="s">
        <v>29791</v>
      </c>
      <c r="M2822" t="s">
        <v>771</v>
      </c>
    </row>
    <row r="2823" spans="1:13" x14ac:dyDescent="0.25">
      <c r="A2823" t="s">
        <v>269</v>
      </c>
      <c r="B2823" t="s">
        <v>13</v>
      </c>
      <c r="C2823" t="s">
        <v>260</v>
      </c>
      <c r="D2823" t="s">
        <v>270</v>
      </c>
      <c r="E2823" t="s">
        <v>271</v>
      </c>
      <c r="F2823" t="s">
        <v>272</v>
      </c>
      <c r="G2823" t="s">
        <v>273</v>
      </c>
      <c r="H2823" t="s">
        <v>18</v>
      </c>
      <c r="I2823" t="s">
        <v>19</v>
      </c>
      <c r="J2823" s="3" t="s">
        <v>274</v>
      </c>
      <c r="K2823" t="s">
        <v>275</v>
      </c>
      <c r="L2823" t="s">
        <v>276</v>
      </c>
      <c r="M2823" t="s">
        <v>771</v>
      </c>
    </row>
    <row r="2824" spans="1:13" x14ac:dyDescent="0.25">
      <c r="A2824" t="s">
        <v>3085</v>
      </c>
      <c r="B2824" t="s">
        <v>13</v>
      </c>
      <c r="C2824" s="1">
        <v>44780</v>
      </c>
      <c r="D2824" t="s">
        <v>32135</v>
      </c>
      <c r="E2824" t="s">
        <v>3086</v>
      </c>
      <c r="F2824" t="s">
        <v>1815</v>
      </c>
      <c r="G2824" t="s">
        <v>3087</v>
      </c>
      <c r="H2824" t="s">
        <v>195</v>
      </c>
      <c r="I2824" t="s">
        <v>19</v>
      </c>
      <c r="J2824" s="3" t="s">
        <v>3088</v>
      </c>
      <c r="K2824" t="s">
        <v>3089</v>
      </c>
      <c r="L2824" t="s">
        <v>3090</v>
      </c>
      <c r="M2824" t="s">
        <v>771</v>
      </c>
    </row>
    <row r="2825" spans="1:13" x14ac:dyDescent="0.25">
      <c r="A2825" t="s">
        <v>27891</v>
      </c>
      <c r="B2825" t="s">
        <v>13</v>
      </c>
      <c r="C2825" t="s">
        <v>27892</v>
      </c>
      <c r="D2825" t="s">
        <v>27893</v>
      </c>
      <c r="E2825" s="2" t="s">
        <v>31353</v>
      </c>
      <c r="F2825" t="s">
        <v>117</v>
      </c>
      <c r="G2825" t="s">
        <v>27894</v>
      </c>
      <c r="H2825" t="s">
        <v>352</v>
      </c>
      <c r="I2825" t="s">
        <v>19</v>
      </c>
      <c r="J2825" s="3">
        <v>5521998215387</v>
      </c>
      <c r="K2825" t="s">
        <v>27895</v>
      </c>
      <c r="L2825" t="s">
        <v>27896</v>
      </c>
      <c r="M2825" t="s">
        <v>32145</v>
      </c>
    </row>
    <row r="2826" spans="1:13" x14ac:dyDescent="0.25">
      <c r="A2826" t="s">
        <v>21422</v>
      </c>
      <c r="B2826" t="s">
        <v>13</v>
      </c>
      <c r="C2826" t="s">
        <v>21416</v>
      </c>
      <c r="D2826" t="s">
        <v>21423</v>
      </c>
      <c r="E2826" t="s">
        <v>21424</v>
      </c>
      <c r="F2826" t="s">
        <v>10500</v>
      </c>
      <c r="G2826" t="s">
        <v>21425</v>
      </c>
      <c r="H2826" t="s">
        <v>21426</v>
      </c>
      <c r="I2826" t="s">
        <v>19</v>
      </c>
      <c r="J2826" s="3" t="s">
        <v>21427</v>
      </c>
      <c r="K2826" t="s">
        <v>21428</v>
      </c>
      <c r="L2826" t="s">
        <v>1058</v>
      </c>
      <c r="M2826" t="s">
        <v>129</v>
      </c>
    </row>
    <row r="2827" spans="1:13" x14ac:dyDescent="0.25">
      <c r="A2827" t="s">
        <v>12994</v>
      </c>
      <c r="B2827" t="s">
        <v>13</v>
      </c>
      <c r="C2827" s="1">
        <v>44138</v>
      </c>
      <c r="D2827" t="s">
        <v>12995</v>
      </c>
      <c r="E2827" s="2" t="s">
        <v>31059</v>
      </c>
      <c r="F2827" t="s">
        <v>1464</v>
      </c>
      <c r="G2827" t="s">
        <v>12147</v>
      </c>
      <c r="H2827" t="s">
        <v>428</v>
      </c>
      <c r="I2827" t="s">
        <v>19</v>
      </c>
      <c r="J2827" s="3">
        <f>55-51-996030790</f>
        <v>-996030786</v>
      </c>
      <c r="K2827" t="s">
        <v>12148</v>
      </c>
      <c r="L2827" t="s">
        <v>3299</v>
      </c>
      <c r="M2827" t="s">
        <v>337</v>
      </c>
    </row>
    <row r="2828" spans="1:13" x14ac:dyDescent="0.25">
      <c r="A2828" t="s">
        <v>19965</v>
      </c>
      <c r="B2828" t="s">
        <v>13</v>
      </c>
      <c r="C2828" t="s">
        <v>13612</v>
      </c>
      <c r="D2828" t="s">
        <v>19966</v>
      </c>
      <c r="E2828" t="s">
        <v>585</v>
      </c>
      <c r="F2828" t="s">
        <v>332</v>
      </c>
      <c r="G2828" t="s">
        <v>11622</v>
      </c>
      <c r="H2828" t="s">
        <v>88</v>
      </c>
      <c r="I2828" t="s">
        <v>19</v>
      </c>
      <c r="J2828" s="3" t="s">
        <v>19963</v>
      </c>
      <c r="K2828" t="s">
        <v>19964</v>
      </c>
      <c r="L2828" t="s">
        <v>91</v>
      </c>
      <c r="M2828" t="s">
        <v>337</v>
      </c>
    </row>
    <row r="2829" spans="1:13" x14ac:dyDescent="0.25">
      <c r="A2829" t="s">
        <v>4888</v>
      </c>
      <c r="B2829" t="s">
        <v>13</v>
      </c>
      <c r="C2829" t="s">
        <v>3467</v>
      </c>
      <c r="D2829" t="s">
        <v>4889</v>
      </c>
      <c r="E2829" t="s">
        <v>4890</v>
      </c>
      <c r="F2829" t="s">
        <v>4891</v>
      </c>
      <c r="G2829" t="s">
        <v>4892</v>
      </c>
      <c r="H2829" t="s">
        <v>2215</v>
      </c>
      <c r="I2829" t="s">
        <v>19</v>
      </c>
      <c r="J2829" s="3">
        <f>55-42-32203740</f>
        <v>-32203727</v>
      </c>
      <c r="K2829" t="s">
        <v>4893</v>
      </c>
      <c r="L2829" t="s">
        <v>32135</v>
      </c>
      <c r="M2829" t="s">
        <v>337</v>
      </c>
    </row>
    <row r="2830" spans="1:13" x14ac:dyDescent="0.25">
      <c r="A2830" t="s">
        <v>6154</v>
      </c>
      <c r="B2830" t="s">
        <v>13</v>
      </c>
      <c r="C2830" s="1">
        <v>44206</v>
      </c>
      <c r="D2830" t="s">
        <v>32135</v>
      </c>
      <c r="E2830" s="2" t="s">
        <v>30877</v>
      </c>
      <c r="F2830" t="s">
        <v>6156</v>
      </c>
      <c r="G2830" t="s">
        <v>6157</v>
      </c>
      <c r="H2830" t="s">
        <v>265</v>
      </c>
      <c r="I2830" t="s">
        <v>19</v>
      </c>
      <c r="J2830" s="3" t="s">
        <v>6158</v>
      </c>
      <c r="K2830" t="s">
        <v>6159</v>
      </c>
      <c r="L2830" t="s">
        <v>32135</v>
      </c>
      <c r="M2830" t="s">
        <v>337</v>
      </c>
    </row>
    <row r="2831" spans="1:13" x14ac:dyDescent="0.25">
      <c r="A2831" t="s">
        <v>30149</v>
      </c>
      <c r="B2831" t="s">
        <v>13</v>
      </c>
      <c r="C2831" t="s">
        <v>14184</v>
      </c>
      <c r="D2831" t="s">
        <v>30150</v>
      </c>
      <c r="E2831" t="s">
        <v>6155</v>
      </c>
      <c r="F2831" t="s">
        <v>1464</v>
      </c>
      <c r="G2831" t="s">
        <v>16214</v>
      </c>
      <c r="H2831" t="s">
        <v>30151</v>
      </c>
      <c r="I2831" t="s">
        <v>19</v>
      </c>
      <c r="J2831" s="3" t="s">
        <v>16215</v>
      </c>
      <c r="K2831" t="s">
        <v>11623</v>
      </c>
      <c r="L2831" t="s">
        <v>91</v>
      </c>
      <c r="M2831" t="s">
        <v>337</v>
      </c>
    </row>
    <row r="2832" spans="1:13" x14ac:dyDescent="0.25">
      <c r="A2832" t="s">
        <v>19193</v>
      </c>
      <c r="B2832" t="s">
        <v>13</v>
      </c>
      <c r="C2832" t="s">
        <v>19179</v>
      </c>
      <c r="D2832" t="s">
        <v>19194</v>
      </c>
      <c r="E2832" t="s">
        <v>19195</v>
      </c>
      <c r="F2832" t="s">
        <v>2036</v>
      </c>
      <c r="G2832" t="s">
        <v>14964</v>
      </c>
      <c r="H2832" t="s">
        <v>798</v>
      </c>
      <c r="I2832" t="s">
        <v>19</v>
      </c>
      <c r="J2832" s="3">
        <v>5561996794277</v>
      </c>
      <c r="K2832" t="s">
        <v>14965</v>
      </c>
      <c r="L2832" t="s">
        <v>3770</v>
      </c>
      <c r="M2832" t="s">
        <v>57</v>
      </c>
    </row>
    <row r="2833" spans="1:13" x14ac:dyDescent="0.25">
      <c r="A2833" t="s">
        <v>19187</v>
      </c>
      <c r="B2833" t="s">
        <v>13</v>
      </c>
      <c r="C2833" t="s">
        <v>19179</v>
      </c>
      <c r="D2833" t="s">
        <v>19188</v>
      </c>
      <c r="E2833" t="s">
        <v>19189</v>
      </c>
      <c r="F2833" t="s">
        <v>2036</v>
      </c>
      <c r="G2833" t="s">
        <v>19190</v>
      </c>
      <c r="H2833" t="s">
        <v>5616</v>
      </c>
      <c r="I2833" t="s">
        <v>19</v>
      </c>
      <c r="J2833" s="3">
        <v>5508388350888</v>
      </c>
      <c r="K2833" t="s">
        <v>19191</v>
      </c>
      <c r="L2833" t="s">
        <v>19192</v>
      </c>
      <c r="M2833" t="s">
        <v>57</v>
      </c>
    </row>
    <row r="2834" spans="1:13" x14ac:dyDescent="0.25">
      <c r="A2834" t="s">
        <v>5612</v>
      </c>
      <c r="B2834" t="s">
        <v>13</v>
      </c>
      <c r="C2834" t="s">
        <v>5607</v>
      </c>
      <c r="D2834" t="s">
        <v>5613</v>
      </c>
      <c r="E2834" t="s">
        <v>5614</v>
      </c>
      <c r="F2834" t="s">
        <v>537</v>
      </c>
      <c r="G2834" t="s">
        <v>5615</v>
      </c>
      <c r="H2834" t="s">
        <v>5616</v>
      </c>
      <c r="I2834" t="s">
        <v>19</v>
      </c>
      <c r="J2834" s="3">
        <v>5583991602287</v>
      </c>
      <c r="K2834" t="s">
        <v>5617</v>
      </c>
      <c r="L2834" t="s">
        <v>32135</v>
      </c>
      <c r="M2834" t="s">
        <v>57</v>
      </c>
    </row>
    <row r="2835" spans="1:13" x14ac:dyDescent="0.25">
      <c r="A2835" t="s">
        <v>9100</v>
      </c>
      <c r="B2835" t="s">
        <v>13</v>
      </c>
      <c r="C2835" s="1">
        <v>44146</v>
      </c>
      <c r="D2835" t="s">
        <v>9101</v>
      </c>
      <c r="E2835" s="2" t="s">
        <v>30969</v>
      </c>
      <c r="G2835" t="s">
        <v>9103</v>
      </c>
      <c r="H2835" t="s">
        <v>9104</v>
      </c>
      <c r="I2835" t="s">
        <v>19</v>
      </c>
      <c r="J2835" s="3">
        <f>55-99-991222285</f>
        <v>-991222329</v>
      </c>
      <c r="K2835" t="s">
        <v>9105</v>
      </c>
      <c r="L2835" t="s">
        <v>9103</v>
      </c>
      <c r="M2835" t="s">
        <v>741</v>
      </c>
    </row>
    <row r="2836" spans="1:13" x14ac:dyDescent="0.25">
      <c r="A2836" t="s">
        <v>3763</v>
      </c>
      <c r="B2836" t="s">
        <v>13</v>
      </c>
      <c r="C2836" t="s">
        <v>3747</v>
      </c>
      <c r="D2836" t="s">
        <v>3764</v>
      </c>
      <c r="E2836" t="s">
        <v>3765</v>
      </c>
      <c r="F2836" t="s">
        <v>3766</v>
      </c>
      <c r="G2836" t="s">
        <v>3767</v>
      </c>
      <c r="H2836" t="s">
        <v>3768</v>
      </c>
      <c r="I2836" t="s">
        <v>19</v>
      </c>
      <c r="J2836" s="3">
        <f>55-61-996566627</f>
        <v>-996566633</v>
      </c>
      <c r="K2836" t="s">
        <v>3769</v>
      </c>
      <c r="L2836" t="s">
        <v>3770</v>
      </c>
      <c r="M2836" t="s">
        <v>57</v>
      </c>
    </row>
    <row r="2837" spans="1:13" x14ac:dyDescent="0.25">
      <c r="A2837" t="s">
        <v>1474</v>
      </c>
      <c r="B2837" t="s">
        <v>13</v>
      </c>
      <c r="C2837" s="1">
        <v>44631</v>
      </c>
      <c r="D2837" t="s">
        <v>1475</v>
      </c>
      <c r="E2837" t="s">
        <v>1476</v>
      </c>
      <c r="F2837" t="s">
        <v>1477</v>
      </c>
      <c r="G2837" t="s">
        <v>1478</v>
      </c>
      <c r="H2837" t="s">
        <v>409</v>
      </c>
      <c r="I2837" t="s">
        <v>19</v>
      </c>
      <c r="J2837" s="3">
        <f>55-48-988354731</f>
        <v>-988354724</v>
      </c>
      <c r="K2837" t="s">
        <v>1479</v>
      </c>
      <c r="L2837" t="s">
        <v>1480</v>
      </c>
      <c r="M2837" t="s">
        <v>57</v>
      </c>
    </row>
    <row r="2838" spans="1:13" x14ac:dyDescent="0.25">
      <c r="A2838" t="s">
        <v>18053</v>
      </c>
      <c r="B2838" t="s">
        <v>13</v>
      </c>
      <c r="C2838" t="s">
        <v>14236</v>
      </c>
      <c r="D2838" t="s">
        <v>18054</v>
      </c>
      <c r="E2838" s="2" t="s">
        <v>32083</v>
      </c>
      <c r="F2838" t="s">
        <v>2036</v>
      </c>
      <c r="G2838" t="s">
        <v>18055</v>
      </c>
      <c r="H2838" t="s">
        <v>36</v>
      </c>
      <c r="I2838" t="s">
        <v>19</v>
      </c>
      <c r="J2838" s="3">
        <f>550115576-4000</f>
        <v>550111576</v>
      </c>
      <c r="K2838" t="s">
        <v>18056</v>
      </c>
      <c r="L2838" t="s">
        <v>439</v>
      </c>
      <c r="M2838" t="s">
        <v>57</v>
      </c>
    </row>
    <row r="2839" spans="1:13" x14ac:dyDescent="0.25">
      <c r="A2839" t="s">
        <v>2931</v>
      </c>
      <c r="B2839" t="s">
        <v>13</v>
      </c>
      <c r="C2839" t="s">
        <v>2923</v>
      </c>
      <c r="D2839" t="s">
        <v>32135</v>
      </c>
      <c r="E2839" s="2" t="s">
        <v>30755</v>
      </c>
      <c r="F2839" t="s">
        <v>2133</v>
      </c>
      <c r="G2839" t="s">
        <v>2933</v>
      </c>
      <c r="H2839" t="s">
        <v>2934</v>
      </c>
      <c r="I2839" t="s">
        <v>19</v>
      </c>
      <c r="J2839" s="3">
        <f>55-37-32293582</f>
        <v>-32293564</v>
      </c>
      <c r="K2839" t="s">
        <v>2935</v>
      </c>
      <c r="L2839" t="s">
        <v>2936</v>
      </c>
      <c r="M2839" t="s">
        <v>57</v>
      </c>
    </row>
    <row r="2840" spans="1:13" x14ac:dyDescent="0.25">
      <c r="A2840" t="s">
        <v>27563</v>
      </c>
      <c r="B2840" t="s">
        <v>13</v>
      </c>
      <c r="C2840" t="s">
        <v>25487</v>
      </c>
      <c r="D2840" t="s">
        <v>27564</v>
      </c>
      <c r="E2840" t="s">
        <v>27565</v>
      </c>
      <c r="F2840" t="s">
        <v>57</v>
      </c>
      <c r="G2840" t="s">
        <v>27566</v>
      </c>
      <c r="H2840" t="s">
        <v>27567</v>
      </c>
      <c r="I2840" t="s">
        <v>19</v>
      </c>
      <c r="J2840" s="3" t="s">
        <v>27568</v>
      </c>
      <c r="K2840" t="s">
        <v>27569</v>
      </c>
      <c r="L2840" t="s">
        <v>27570</v>
      </c>
      <c r="M2840" t="s">
        <v>57</v>
      </c>
    </row>
    <row r="2841" spans="1:13" x14ac:dyDescent="0.25">
      <c r="A2841" t="s">
        <v>14754</v>
      </c>
      <c r="B2841" t="s">
        <v>13</v>
      </c>
      <c r="C2841" s="1">
        <v>43508</v>
      </c>
      <c r="D2841" t="s">
        <v>14755</v>
      </c>
      <c r="E2841" s="2" t="s">
        <v>31107</v>
      </c>
      <c r="F2841" t="s">
        <v>9327</v>
      </c>
      <c r="G2841" t="s">
        <v>14756</v>
      </c>
      <c r="H2841" t="s">
        <v>265</v>
      </c>
      <c r="I2841" t="s">
        <v>19</v>
      </c>
      <c r="J2841" s="3">
        <f>55-16-988371707</f>
        <v>-988371668</v>
      </c>
      <c r="K2841" t="s">
        <v>14757</v>
      </c>
      <c r="L2841" t="s">
        <v>14758</v>
      </c>
      <c r="M2841" t="s">
        <v>1304</v>
      </c>
    </row>
    <row r="2842" spans="1:13" x14ac:dyDescent="0.25">
      <c r="A2842" t="s">
        <v>15438</v>
      </c>
      <c r="B2842" t="s">
        <v>13</v>
      </c>
      <c r="C2842" t="s">
        <v>10689</v>
      </c>
      <c r="D2842" t="s">
        <v>15439</v>
      </c>
      <c r="E2842" t="s">
        <v>15440</v>
      </c>
      <c r="F2842" t="s">
        <v>785</v>
      </c>
      <c r="G2842" t="s">
        <v>15441</v>
      </c>
      <c r="H2842" t="s">
        <v>36</v>
      </c>
      <c r="I2842" t="s">
        <v>19</v>
      </c>
      <c r="J2842" s="3">
        <v>5501133859241</v>
      </c>
      <c r="K2842" t="s">
        <v>15442</v>
      </c>
      <c r="L2842" t="s">
        <v>1999</v>
      </c>
      <c r="M2842" t="s">
        <v>785</v>
      </c>
    </row>
    <row r="2843" spans="1:13" x14ac:dyDescent="0.25">
      <c r="A2843" t="s">
        <v>1979</v>
      </c>
      <c r="B2843" t="s">
        <v>101</v>
      </c>
      <c r="C2843" t="s">
        <v>1980</v>
      </c>
      <c r="D2843" t="s">
        <v>1981</v>
      </c>
      <c r="E2843" t="s">
        <v>1426</v>
      </c>
      <c r="F2843" t="s">
        <v>1982</v>
      </c>
      <c r="G2843" t="s">
        <v>1983</v>
      </c>
      <c r="H2843" t="s">
        <v>141</v>
      </c>
      <c r="I2843" t="s">
        <v>19</v>
      </c>
      <c r="J2843" s="3" t="s">
        <v>1984</v>
      </c>
      <c r="K2843" t="s">
        <v>1985</v>
      </c>
      <c r="L2843" t="s">
        <v>1986</v>
      </c>
      <c r="M2843" t="s">
        <v>1432</v>
      </c>
    </row>
    <row r="2844" spans="1:13" x14ac:dyDescent="0.25">
      <c r="A2844" t="s">
        <v>2138</v>
      </c>
      <c r="B2844" t="s">
        <v>13</v>
      </c>
      <c r="C2844" t="s">
        <v>2139</v>
      </c>
      <c r="D2844" t="s">
        <v>2140</v>
      </c>
      <c r="E2844" t="s">
        <v>1426</v>
      </c>
      <c r="F2844" t="s">
        <v>1982</v>
      </c>
      <c r="G2844" t="s">
        <v>1428</v>
      </c>
      <c r="H2844" t="s">
        <v>706</v>
      </c>
      <c r="I2844" t="s">
        <v>19</v>
      </c>
      <c r="J2844" s="3" t="s">
        <v>1429</v>
      </c>
      <c r="K2844" t="s">
        <v>1430</v>
      </c>
      <c r="L2844" t="s">
        <v>1431</v>
      </c>
      <c r="M2844" t="s">
        <v>1432</v>
      </c>
    </row>
    <row r="2845" spans="1:13" x14ac:dyDescent="0.25">
      <c r="A2845" t="s">
        <v>2345</v>
      </c>
      <c r="B2845" t="s">
        <v>101</v>
      </c>
      <c r="C2845" t="s">
        <v>2346</v>
      </c>
      <c r="D2845" t="s">
        <v>2347</v>
      </c>
      <c r="E2845" t="s">
        <v>1426</v>
      </c>
      <c r="F2845" t="s">
        <v>1427</v>
      </c>
      <c r="G2845" t="s">
        <v>1428</v>
      </c>
      <c r="H2845" t="s">
        <v>706</v>
      </c>
      <c r="I2845" t="s">
        <v>19</v>
      </c>
      <c r="J2845" s="3" t="s">
        <v>1429</v>
      </c>
      <c r="K2845" t="s">
        <v>1430</v>
      </c>
      <c r="L2845" t="s">
        <v>1431</v>
      </c>
      <c r="M2845" t="s">
        <v>1432</v>
      </c>
    </row>
    <row r="2846" spans="1:13" x14ac:dyDescent="0.25">
      <c r="A2846" t="s">
        <v>1424</v>
      </c>
      <c r="B2846" t="s">
        <v>13</v>
      </c>
      <c r="C2846" s="1">
        <v>44662</v>
      </c>
      <c r="D2846" t="s">
        <v>1425</v>
      </c>
      <c r="E2846" t="s">
        <v>1426</v>
      </c>
      <c r="F2846" t="s">
        <v>1427</v>
      </c>
      <c r="G2846" t="s">
        <v>1428</v>
      </c>
      <c r="H2846" t="s">
        <v>706</v>
      </c>
      <c r="I2846" t="s">
        <v>19</v>
      </c>
      <c r="J2846" s="3" t="s">
        <v>1429</v>
      </c>
      <c r="K2846" t="s">
        <v>1430</v>
      </c>
      <c r="L2846" t="s">
        <v>1431</v>
      </c>
      <c r="M2846" t="s">
        <v>1432</v>
      </c>
    </row>
    <row r="2847" spans="1:13" x14ac:dyDescent="0.25">
      <c r="A2847" t="s">
        <v>8421</v>
      </c>
      <c r="B2847" t="s">
        <v>101</v>
      </c>
      <c r="C2847" t="s">
        <v>8422</v>
      </c>
      <c r="D2847" t="s">
        <v>32135</v>
      </c>
      <c r="E2847" t="s">
        <v>1426</v>
      </c>
      <c r="F2847" t="s">
        <v>1426</v>
      </c>
      <c r="G2847" t="s">
        <v>8423</v>
      </c>
      <c r="H2847" t="s">
        <v>4948</v>
      </c>
      <c r="I2847" t="s">
        <v>19</v>
      </c>
      <c r="J2847" s="3" t="s">
        <v>8424</v>
      </c>
      <c r="K2847" t="s">
        <v>8425</v>
      </c>
      <c r="L2847" t="s">
        <v>32135</v>
      </c>
      <c r="M2847" t="s">
        <v>1432</v>
      </c>
    </row>
    <row r="2848" spans="1:13" x14ac:dyDescent="0.25">
      <c r="A2848" t="s">
        <v>26848</v>
      </c>
      <c r="B2848" t="s">
        <v>101</v>
      </c>
      <c r="C2848" s="1">
        <v>42372</v>
      </c>
      <c r="D2848" t="s">
        <v>26849</v>
      </c>
      <c r="E2848" t="s">
        <v>26850</v>
      </c>
      <c r="F2848" t="s">
        <v>1464</v>
      </c>
      <c r="G2848" t="s">
        <v>26851</v>
      </c>
      <c r="H2848" t="s">
        <v>255</v>
      </c>
      <c r="I2848" t="s">
        <v>19</v>
      </c>
      <c r="J2848" s="3" t="s">
        <v>26852</v>
      </c>
      <c r="K2848" t="s">
        <v>26853</v>
      </c>
      <c r="L2848" t="s">
        <v>26854</v>
      </c>
      <c r="M2848" t="s">
        <v>224</v>
      </c>
    </row>
    <row r="2849" spans="1:13" x14ac:dyDescent="0.25">
      <c r="A2849" t="s">
        <v>870</v>
      </c>
      <c r="B2849" t="s">
        <v>13</v>
      </c>
      <c r="C2849" t="s">
        <v>871</v>
      </c>
      <c r="D2849" t="s">
        <v>872</v>
      </c>
      <c r="E2849" s="2" t="s">
        <v>30691</v>
      </c>
      <c r="F2849" t="s">
        <v>873</v>
      </c>
      <c r="G2849" t="s">
        <v>569</v>
      </c>
      <c r="H2849" t="s">
        <v>45</v>
      </c>
      <c r="I2849" t="s">
        <v>19</v>
      </c>
      <c r="J2849" s="3" t="s">
        <v>570</v>
      </c>
      <c r="K2849" t="s">
        <v>571</v>
      </c>
      <c r="L2849" t="s">
        <v>572</v>
      </c>
      <c r="M2849" t="s">
        <v>1775</v>
      </c>
    </row>
    <row r="2850" spans="1:13" x14ac:dyDescent="0.25">
      <c r="A2850" t="s">
        <v>5933</v>
      </c>
      <c r="B2850" t="s">
        <v>13</v>
      </c>
      <c r="C2850" t="s">
        <v>5931</v>
      </c>
      <c r="D2850" t="s">
        <v>5934</v>
      </c>
      <c r="E2850" t="s">
        <v>5935</v>
      </c>
      <c r="F2850" t="s">
        <v>5936</v>
      </c>
      <c r="G2850" t="s">
        <v>5937</v>
      </c>
      <c r="H2850" t="s">
        <v>36</v>
      </c>
      <c r="I2850" t="s">
        <v>19</v>
      </c>
      <c r="J2850" s="3">
        <v>5511987878689</v>
      </c>
      <c r="K2850" t="s">
        <v>5938</v>
      </c>
      <c r="L2850" t="s">
        <v>32135</v>
      </c>
      <c r="M2850" t="s">
        <v>129</v>
      </c>
    </row>
    <row r="2851" spans="1:13" x14ac:dyDescent="0.25">
      <c r="A2851" t="s">
        <v>11144</v>
      </c>
      <c r="B2851" t="s">
        <v>13</v>
      </c>
      <c r="C2851" s="1">
        <v>44019</v>
      </c>
      <c r="D2851" t="s">
        <v>11145</v>
      </c>
      <c r="E2851" t="s">
        <v>11146</v>
      </c>
      <c r="F2851" t="s">
        <v>9519</v>
      </c>
      <c r="G2851" t="s">
        <v>11147</v>
      </c>
      <c r="H2851" t="s">
        <v>11148</v>
      </c>
      <c r="I2851" t="s">
        <v>19</v>
      </c>
      <c r="J2851" s="3" t="s">
        <v>11149</v>
      </c>
      <c r="K2851" t="s">
        <v>11150</v>
      </c>
      <c r="L2851" t="s">
        <v>1232</v>
      </c>
      <c r="M2851" t="s">
        <v>32145</v>
      </c>
    </row>
    <row r="2852" spans="1:13" x14ac:dyDescent="0.25">
      <c r="A2852" t="s">
        <v>23205</v>
      </c>
      <c r="B2852" t="s">
        <v>13</v>
      </c>
      <c r="C2852" t="s">
        <v>23193</v>
      </c>
      <c r="D2852" t="s">
        <v>23206</v>
      </c>
      <c r="E2852" t="s">
        <v>23207</v>
      </c>
      <c r="F2852" t="s">
        <v>1464</v>
      </c>
      <c r="G2852" t="s">
        <v>23208</v>
      </c>
      <c r="H2852" t="s">
        <v>2678</v>
      </c>
      <c r="I2852" t="s">
        <v>19</v>
      </c>
      <c r="J2852" s="3" t="s">
        <v>23209</v>
      </c>
      <c r="K2852" t="s">
        <v>23210</v>
      </c>
      <c r="L2852" t="s">
        <v>23211</v>
      </c>
      <c r="M2852" t="s">
        <v>129</v>
      </c>
    </row>
    <row r="2853" spans="1:13" x14ac:dyDescent="0.25">
      <c r="A2853" t="s">
        <v>11945</v>
      </c>
      <c r="B2853" t="s">
        <v>13</v>
      </c>
      <c r="C2853" s="1">
        <v>43773</v>
      </c>
      <c r="D2853" t="s">
        <v>11946</v>
      </c>
      <c r="E2853" s="2" t="s">
        <v>31519</v>
      </c>
      <c r="F2853" t="s">
        <v>1464</v>
      </c>
      <c r="G2853" t="s">
        <v>3483</v>
      </c>
      <c r="H2853" t="s">
        <v>1949</v>
      </c>
      <c r="I2853" t="s">
        <v>19</v>
      </c>
      <c r="J2853" s="3">
        <v>55055999224402</v>
      </c>
      <c r="K2853" t="s">
        <v>3484</v>
      </c>
      <c r="L2853" t="s">
        <v>3485</v>
      </c>
      <c r="M2853" t="s">
        <v>32144</v>
      </c>
    </row>
    <row r="2854" spans="1:13" x14ac:dyDescent="0.25">
      <c r="A2854" t="s">
        <v>17763</v>
      </c>
      <c r="B2854" t="s">
        <v>13</v>
      </c>
      <c r="C2854" t="s">
        <v>17764</v>
      </c>
      <c r="D2854" t="s">
        <v>17765</v>
      </c>
      <c r="E2854" s="2" t="s">
        <v>17909</v>
      </c>
      <c r="F2854" t="s">
        <v>1464</v>
      </c>
      <c r="G2854" t="s">
        <v>17766</v>
      </c>
      <c r="H2854" t="s">
        <v>893</v>
      </c>
      <c r="I2854" t="s">
        <v>19</v>
      </c>
      <c r="J2854" s="3" t="s">
        <v>17767</v>
      </c>
      <c r="K2854" t="s">
        <v>17768</v>
      </c>
      <c r="L2854" t="s">
        <v>1727</v>
      </c>
      <c r="M2854" t="s">
        <v>129</v>
      </c>
    </row>
    <row r="2855" spans="1:13" x14ac:dyDescent="0.25">
      <c r="A2855" t="s">
        <v>17763</v>
      </c>
      <c r="B2855" t="s">
        <v>13</v>
      </c>
      <c r="C2855" s="1">
        <v>43469</v>
      </c>
      <c r="D2855" t="s">
        <v>17910</v>
      </c>
      <c r="E2855" t="s">
        <v>17909</v>
      </c>
      <c r="F2855" t="s">
        <v>1464</v>
      </c>
      <c r="G2855" t="s">
        <v>17766</v>
      </c>
      <c r="H2855" t="s">
        <v>893</v>
      </c>
      <c r="I2855" t="s">
        <v>19</v>
      </c>
      <c r="J2855" s="3" t="s">
        <v>17767</v>
      </c>
      <c r="K2855" t="s">
        <v>17768</v>
      </c>
      <c r="L2855" t="s">
        <v>1727</v>
      </c>
      <c r="M2855" t="s">
        <v>129</v>
      </c>
    </row>
    <row r="2856" spans="1:13" x14ac:dyDescent="0.25">
      <c r="A2856" t="s">
        <v>17763</v>
      </c>
      <c r="B2856" t="s">
        <v>13</v>
      </c>
      <c r="C2856" s="1">
        <v>43469</v>
      </c>
      <c r="D2856" t="s">
        <v>17908</v>
      </c>
      <c r="E2856" t="s">
        <v>17909</v>
      </c>
      <c r="F2856" t="s">
        <v>1464</v>
      </c>
      <c r="G2856" t="s">
        <v>17766</v>
      </c>
      <c r="H2856" t="s">
        <v>893</v>
      </c>
      <c r="I2856" t="s">
        <v>19</v>
      </c>
      <c r="J2856" s="3" t="s">
        <v>17767</v>
      </c>
      <c r="K2856" t="s">
        <v>17768</v>
      </c>
      <c r="L2856" t="s">
        <v>1727</v>
      </c>
      <c r="M2856" t="s">
        <v>129</v>
      </c>
    </row>
    <row r="2857" spans="1:13" x14ac:dyDescent="0.25">
      <c r="A2857" t="s">
        <v>17763</v>
      </c>
      <c r="B2857" t="s">
        <v>13</v>
      </c>
      <c r="C2857" s="1">
        <v>43558</v>
      </c>
      <c r="D2857" t="s">
        <v>18212</v>
      </c>
      <c r="E2857" t="s">
        <v>17909</v>
      </c>
      <c r="F2857" t="s">
        <v>1464</v>
      </c>
      <c r="G2857" t="s">
        <v>17766</v>
      </c>
      <c r="H2857" t="s">
        <v>893</v>
      </c>
      <c r="I2857" t="s">
        <v>19</v>
      </c>
      <c r="J2857" s="3" t="s">
        <v>17767</v>
      </c>
      <c r="K2857" t="s">
        <v>17768</v>
      </c>
      <c r="L2857" t="s">
        <v>1727</v>
      </c>
      <c r="M2857" t="s">
        <v>129</v>
      </c>
    </row>
    <row r="2858" spans="1:13" x14ac:dyDescent="0.25">
      <c r="A2858" t="s">
        <v>13529</v>
      </c>
      <c r="B2858" t="s">
        <v>13</v>
      </c>
      <c r="C2858" t="s">
        <v>6103</v>
      </c>
      <c r="D2858" t="s">
        <v>13530</v>
      </c>
      <c r="E2858" s="2" t="s">
        <v>31077</v>
      </c>
      <c r="F2858" t="s">
        <v>1464</v>
      </c>
      <c r="G2858" t="s">
        <v>13531</v>
      </c>
      <c r="H2858" t="s">
        <v>893</v>
      </c>
      <c r="I2858" t="s">
        <v>19</v>
      </c>
      <c r="J2858" s="3" t="s">
        <v>13532</v>
      </c>
      <c r="K2858" t="s">
        <v>13533</v>
      </c>
      <c r="L2858" t="s">
        <v>1727</v>
      </c>
      <c r="M2858" t="s">
        <v>129</v>
      </c>
    </row>
    <row r="2859" spans="1:13" x14ac:dyDescent="0.25">
      <c r="A2859" t="s">
        <v>23839</v>
      </c>
      <c r="B2859" t="s">
        <v>13</v>
      </c>
      <c r="C2859" s="1">
        <v>42955</v>
      </c>
      <c r="D2859" t="s">
        <v>23840</v>
      </c>
      <c r="E2859" t="s">
        <v>23841</v>
      </c>
      <c r="F2859" t="s">
        <v>1464</v>
      </c>
      <c r="G2859" t="s">
        <v>23842</v>
      </c>
      <c r="H2859" t="s">
        <v>1037</v>
      </c>
      <c r="I2859" t="s">
        <v>19</v>
      </c>
      <c r="J2859" s="3" t="s">
        <v>23843</v>
      </c>
      <c r="K2859" t="s">
        <v>23844</v>
      </c>
      <c r="L2859" t="s">
        <v>1040</v>
      </c>
      <c r="M2859" t="s">
        <v>129</v>
      </c>
    </row>
    <row r="2860" spans="1:13" x14ac:dyDescent="0.25">
      <c r="A2860" t="s">
        <v>18022</v>
      </c>
      <c r="B2860" t="s">
        <v>13</v>
      </c>
      <c r="C2860" t="s">
        <v>14236</v>
      </c>
      <c r="D2860" t="s">
        <v>18023</v>
      </c>
      <c r="E2860" t="s">
        <v>18024</v>
      </c>
      <c r="F2860" t="s">
        <v>6686</v>
      </c>
      <c r="G2860" t="s">
        <v>18025</v>
      </c>
      <c r="H2860" t="s">
        <v>255</v>
      </c>
      <c r="I2860" t="s">
        <v>19</v>
      </c>
      <c r="J2860" s="3" t="s">
        <v>18026</v>
      </c>
      <c r="K2860" t="s">
        <v>18027</v>
      </c>
      <c r="L2860" t="s">
        <v>2467</v>
      </c>
      <c r="M2860" t="s">
        <v>129</v>
      </c>
    </row>
    <row r="2861" spans="1:13" x14ac:dyDescent="0.25">
      <c r="A2861" t="s">
        <v>18022</v>
      </c>
      <c r="B2861" t="s">
        <v>13</v>
      </c>
      <c r="C2861" t="s">
        <v>1003</v>
      </c>
      <c r="D2861" t="s">
        <v>18099</v>
      </c>
      <c r="E2861" t="s">
        <v>18100</v>
      </c>
      <c r="F2861" t="s">
        <v>1464</v>
      </c>
      <c r="G2861" t="s">
        <v>16144</v>
      </c>
      <c r="H2861" t="s">
        <v>255</v>
      </c>
      <c r="I2861" t="s">
        <v>19</v>
      </c>
      <c r="J2861" s="3" t="s">
        <v>18101</v>
      </c>
      <c r="K2861" t="s">
        <v>16146</v>
      </c>
      <c r="L2861" t="s">
        <v>2467</v>
      </c>
      <c r="M2861" t="s">
        <v>129</v>
      </c>
    </row>
    <row r="2862" spans="1:13" x14ac:dyDescent="0.25">
      <c r="A2862" t="s">
        <v>23139</v>
      </c>
      <c r="B2862" t="s">
        <v>13</v>
      </c>
      <c r="C2862" t="s">
        <v>22833</v>
      </c>
      <c r="D2862" t="s">
        <v>23140</v>
      </c>
      <c r="E2862" t="s">
        <v>3482</v>
      </c>
      <c r="F2862" t="s">
        <v>10546</v>
      </c>
      <c r="G2862" t="s">
        <v>23141</v>
      </c>
      <c r="H2862" t="s">
        <v>4681</v>
      </c>
      <c r="I2862" t="s">
        <v>19</v>
      </c>
      <c r="J2862" s="3" t="s">
        <v>23142</v>
      </c>
      <c r="K2862" t="s">
        <v>23143</v>
      </c>
      <c r="L2862" t="s">
        <v>1246</v>
      </c>
      <c r="M2862" t="s">
        <v>129</v>
      </c>
    </row>
    <row r="2863" spans="1:13" x14ac:dyDescent="0.25">
      <c r="A2863" t="s">
        <v>18391</v>
      </c>
      <c r="B2863" t="s">
        <v>13</v>
      </c>
      <c r="C2863" s="1">
        <v>43587</v>
      </c>
      <c r="D2863" t="s">
        <v>18392</v>
      </c>
      <c r="E2863" t="s">
        <v>3482</v>
      </c>
      <c r="F2863" t="s">
        <v>1464</v>
      </c>
      <c r="G2863" t="s">
        <v>18393</v>
      </c>
      <c r="H2863" t="s">
        <v>195</v>
      </c>
      <c r="I2863" t="s">
        <v>19</v>
      </c>
      <c r="J2863" s="3" t="s">
        <v>18394</v>
      </c>
      <c r="K2863" t="s">
        <v>18395</v>
      </c>
      <c r="L2863" t="s">
        <v>197</v>
      </c>
      <c r="M2863" t="s">
        <v>129</v>
      </c>
    </row>
    <row r="2864" spans="1:13" x14ac:dyDescent="0.25">
      <c r="A2864" t="s">
        <v>25094</v>
      </c>
      <c r="B2864" t="s">
        <v>13</v>
      </c>
      <c r="C2864" t="s">
        <v>25095</v>
      </c>
      <c r="D2864" t="s">
        <v>25096</v>
      </c>
      <c r="E2864" t="s">
        <v>25097</v>
      </c>
      <c r="F2864" t="s">
        <v>1464</v>
      </c>
      <c r="G2864" t="s">
        <v>25098</v>
      </c>
      <c r="H2864" t="s">
        <v>615</v>
      </c>
      <c r="I2864" t="s">
        <v>19</v>
      </c>
      <c r="J2864" s="3" t="s">
        <v>25099</v>
      </c>
      <c r="K2864" t="s">
        <v>25100</v>
      </c>
      <c r="L2864" t="s">
        <v>25101</v>
      </c>
      <c r="M2864" t="s">
        <v>129</v>
      </c>
    </row>
    <row r="2865" spans="1:13" x14ac:dyDescent="0.25">
      <c r="A2865" t="s">
        <v>16681</v>
      </c>
      <c r="B2865" t="s">
        <v>13</v>
      </c>
      <c r="C2865" t="s">
        <v>16682</v>
      </c>
      <c r="D2865" t="s">
        <v>16683</v>
      </c>
      <c r="E2865" s="2" t="s">
        <v>31160</v>
      </c>
      <c r="F2865" t="s">
        <v>1464</v>
      </c>
      <c r="G2865" t="s">
        <v>15770</v>
      </c>
      <c r="H2865" t="s">
        <v>6091</v>
      </c>
      <c r="I2865" t="s">
        <v>19</v>
      </c>
      <c r="J2865" s="3">
        <f>55-99-981476060</f>
        <v>-981476104</v>
      </c>
      <c r="K2865" t="s">
        <v>15771</v>
      </c>
      <c r="L2865" t="s">
        <v>15772</v>
      </c>
      <c r="M2865" t="s">
        <v>129</v>
      </c>
    </row>
    <row r="2866" spans="1:13" x14ac:dyDescent="0.25">
      <c r="A2866" t="s">
        <v>22594</v>
      </c>
      <c r="B2866" t="s">
        <v>13</v>
      </c>
      <c r="C2866" s="1">
        <v>43435</v>
      </c>
      <c r="D2866" t="s">
        <v>22595</v>
      </c>
      <c r="E2866" t="s">
        <v>22596</v>
      </c>
      <c r="F2866" t="s">
        <v>57</v>
      </c>
      <c r="G2866" t="s">
        <v>14118</v>
      </c>
      <c r="H2866" t="s">
        <v>1335</v>
      </c>
      <c r="I2866" t="s">
        <v>19</v>
      </c>
      <c r="J2866" s="3">
        <v>554333731000</v>
      </c>
      <c r="K2866" t="s">
        <v>14119</v>
      </c>
      <c r="L2866" t="s">
        <v>14120</v>
      </c>
      <c r="M2866" t="s">
        <v>57</v>
      </c>
    </row>
    <row r="2867" spans="1:13" x14ac:dyDescent="0.25">
      <c r="A2867" t="s">
        <v>29148</v>
      </c>
      <c r="B2867" t="s">
        <v>13</v>
      </c>
      <c r="C2867" t="s">
        <v>29145</v>
      </c>
      <c r="D2867" t="s">
        <v>29149</v>
      </c>
      <c r="E2867" t="s">
        <v>29150</v>
      </c>
      <c r="F2867" t="s">
        <v>2036</v>
      </c>
      <c r="G2867" t="s">
        <v>22129</v>
      </c>
      <c r="H2867" t="s">
        <v>409</v>
      </c>
      <c r="I2867" t="s">
        <v>19</v>
      </c>
      <c r="J2867" s="3" t="s">
        <v>22130</v>
      </c>
      <c r="K2867" t="s">
        <v>22131</v>
      </c>
      <c r="L2867" t="s">
        <v>1823</v>
      </c>
      <c r="M2867" t="s">
        <v>57</v>
      </c>
    </row>
    <row r="2868" spans="1:13" x14ac:dyDescent="0.25">
      <c r="A2868" t="s">
        <v>4123</v>
      </c>
      <c r="B2868" t="s">
        <v>13</v>
      </c>
      <c r="C2868" t="s">
        <v>3836</v>
      </c>
      <c r="D2868" t="s">
        <v>32135</v>
      </c>
      <c r="E2868" t="s">
        <v>4124</v>
      </c>
      <c r="F2868" t="s">
        <v>57</v>
      </c>
      <c r="G2868" t="s">
        <v>4125</v>
      </c>
      <c r="H2868" t="s">
        <v>927</v>
      </c>
      <c r="I2868" t="s">
        <v>19</v>
      </c>
      <c r="J2868" s="3" t="s">
        <v>4126</v>
      </c>
      <c r="K2868" t="s">
        <v>4127</v>
      </c>
      <c r="L2868" t="s">
        <v>1200</v>
      </c>
      <c r="M2868" t="s">
        <v>57</v>
      </c>
    </row>
    <row r="2869" spans="1:13" x14ac:dyDescent="0.25">
      <c r="A2869" t="s">
        <v>21898</v>
      </c>
      <c r="B2869" t="s">
        <v>13</v>
      </c>
      <c r="C2869" t="s">
        <v>7715</v>
      </c>
      <c r="D2869" t="s">
        <v>21899</v>
      </c>
      <c r="E2869" t="s">
        <v>21900</v>
      </c>
      <c r="F2869" t="s">
        <v>57</v>
      </c>
      <c r="G2869" t="s">
        <v>4567</v>
      </c>
      <c r="H2869" t="s">
        <v>927</v>
      </c>
      <c r="I2869" t="s">
        <v>19</v>
      </c>
      <c r="J2869" s="3" t="s">
        <v>4568</v>
      </c>
      <c r="K2869" t="s">
        <v>4569</v>
      </c>
      <c r="L2869" t="s">
        <v>1200</v>
      </c>
      <c r="M2869" t="s">
        <v>57</v>
      </c>
    </row>
    <row r="2870" spans="1:13" x14ac:dyDescent="0.25">
      <c r="A2870" t="s">
        <v>11416</v>
      </c>
      <c r="B2870" t="s">
        <v>13</v>
      </c>
      <c r="C2870" t="s">
        <v>11417</v>
      </c>
      <c r="D2870" t="s">
        <v>11418</v>
      </c>
      <c r="E2870" t="s">
        <v>11419</v>
      </c>
      <c r="F2870" t="s">
        <v>57</v>
      </c>
      <c r="G2870" t="s">
        <v>4567</v>
      </c>
      <c r="H2870" t="s">
        <v>927</v>
      </c>
      <c r="I2870" t="s">
        <v>19</v>
      </c>
      <c r="J2870" s="3" t="s">
        <v>4568</v>
      </c>
      <c r="K2870" t="s">
        <v>4569</v>
      </c>
      <c r="L2870" t="s">
        <v>1200</v>
      </c>
      <c r="M2870" t="s">
        <v>57</v>
      </c>
    </row>
    <row r="2871" spans="1:13" x14ac:dyDescent="0.25">
      <c r="A2871" t="s">
        <v>24533</v>
      </c>
      <c r="B2871" t="s">
        <v>101</v>
      </c>
      <c r="C2871" t="s">
        <v>24534</v>
      </c>
      <c r="D2871" t="s">
        <v>24535</v>
      </c>
      <c r="E2871" t="s">
        <v>32414</v>
      </c>
      <c r="F2871" t="s">
        <v>2036</v>
      </c>
      <c r="G2871" t="s">
        <v>24536</v>
      </c>
      <c r="H2871" t="s">
        <v>1335</v>
      </c>
      <c r="I2871" t="s">
        <v>19</v>
      </c>
      <c r="J2871" s="3" t="s">
        <v>24537</v>
      </c>
      <c r="K2871" t="s">
        <v>24538</v>
      </c>
      <c r="L2871" t="s">
        <v>24539</v>
      </c>
      <c r="M2871" t="s">
        <v>57</v>
      </c>
    </row>
    <row r="2872" spans="1:13" x14ac:dyDescent="0.25">
      <c r="A2872" t="s">
        <v>14213</v>
      </c>
      <c r="B2872" t="s">
        <v>13</v>
      </c>
      <c r="C2872" t="s">
        <v>14201</v>
      </c>
      <c r="D2872" t="s">
        <v>14214</v>
      </c>
      <c r="E2872" t="s">
        <v>14215</v>
      </c>
      <c r="F2872" t="s">
        <v>1464</v>
      </c>
      <c r="G2872" t="s">
        <v>14216</v>
      </c>
      <c r="H2872" t="s">
        <v>2678</v>
      </c>
      <c r="I2872" t="s">
        <v>19</v>
      </c>
      <c r="J2872" s="3" t="s">
        <v>14217</v>
      </c>
      <c r="K2872" t="s">
        <v>14218</v>
      </c>
      <c r="L2872" t="s">
        <v>993</v>
      </c>
      <c r="M2872" t="s">
        <v>57</v>
      </c>
    </row>
    <row r="2873" spans="1:13" x14ac:dyDescent="0.25">
      <c r="A2873" t="s">
        <v>11989</v>
      </c>
      <c r="B2873" t="s">
        <v>13</v>
      </c>
      <c r="C2873" s="1">
        <v>43987</v>
      </c>
      <c r="D2873" t="s">
        <v>11990</v>
      </c>
      <c r="E2873" s="2" t="s">
        <v>31031</v>
      </c>
      <c r="F2873" t="s">
        <v>2036</v>
      </c>
      <c r="G2873" t="s">
        <v>1485</v>
      </c>
      <c r="H2873" t="s">
        <v>1486</v>
      </c>
      <c r="I2873" t="s">
        <v>19</v>
      </c>
      <c r="J2873" s="3">
        <v>553437006812</v>
      </c>
      <c r="K2873" t="s">
        <v>1488</v>
      </c>
      <c r="L2873" t="s">
        <v>1489</v>
      </c>
      <c r="M2873" t="s">
        <v>57</v>
      </c>
    </row>
    <row r="2874" spans="1:13" x14ac:dyDescent="0.25">
      <c r="A2874" t="s">
        <v>1210</v>
      </c>
      <c r="B2874" t="s">
        <v>13</v>
      </c>
      <c r="C2874" t="s">
        <v>1202</v>
      </c>
      <c r="D2874" t="s">
        <v>1211</v>
      </c>
      <c r="E2874" t="s">
        <v>1212</v>
      </c>
      <c r="F2874" t="s">
        <v>1213</v>
      </c>
      <c r="G2874" t="s">
        <v>1214</v>
      </c>
      <c r="H2874" t="s">
        <v>1215</v>
      </c>
      <c r="I2874" t="s">
        <v>19</v>
      </c>
      <c r="J2874" s="3" t="s">
        <v>1216</v>
      </c>
      <c r="K2874" t="s">
        <v>1217</v>
      </c>
      <c r="L2874" t="s">
        <v>1218</v>
      </c>
      <c r="M2874" t="s">
        <v>57</v>
      </c>
    </row>
    <row r="2875" spans="1:13" x14ac:dyDescent="0.25">
      <c r="A2875" t="s">
        <v>29124</v>
      </c>
      <c r="B2875" t="s">
        <v>13</v>
      </c>
      <c r="C2875" s="1">
        <v>41887</v>
      </c>
      <c r="D2875" t="s">
        <v>29125</v>
      </c>
      <c r="E2875" t="s">
        <v>3035</v>
      </c>
      <c r="F2875" t="s">
        <v>57</v>
      </c>
      <c r="G2875" t="s">
        <v>27328</v>
      </c>
      <c r="H2875" t="s">
        <v>36</v>
      </c>
      <c r="I2875" t="s">
        <v>19</v>
      </c>
      <c r="J2875" s="3" t="s">
        <v>29126</v>
      </c>
      <c r="K2875" t="s">
        <v>27330</v>
      </c>
      <c r="L2875" t="s">
        <v>439</v>
      </c>
      <c r="M2875" t="s">
        <v>57</v>
      </c>
    </row>
    <row r="2876" spans="1:13" x14ac:dyDescent="0.25">
      <c r="A2876" t="s">
        <v>27325</v>
      </c>
      <c r="B2876" t="s">
        <v>13</v>
      </c>
      <c r="C2876" t="s">
        <v>27326</v>
      </c>
      <c r="D2876" t="s">
        <v>27327</v>
      </c>
      <c r="E2876" t="s">
        <v>3799</v>
      </c>
      <c r="F2876" t="s">
        <v>57</v>
      </c>
      <c r="G2876" t="s">
        <v>27328</v>
      </c>
      <c r="H2876" t="s">
        <v>36</v>
      </c>
      <c r="I2876" t="s">
        <v>19</v>
      </c>
      <c r="J2876" s="3" t="s">
        <v>27329</v>
      </c>
      <c r="K2876" t="s">
        <v>27330</v>
      </c>
      <c r="L2876" t="s">
        <v>27331</v>
      </c>
      <c r="M2876" t="s">
        <v>57</v>
      </c>
    </row>
    <row r="2877" spans="1:13" x14ac:dyDescent="0.25">
      <c r="A2877" t="s">
        <v>14116</v>
      </c>
      <c r="B2877" t="s">
        <v>13</v>
      </c>
      <c r="C2877" s="1">
        <v>42531</v>
      </c>
      <c r="D2877" t="s">
        <v>14117</v>
      </c>
      <c r="E2877" t="s">
        <v>1212</v>
      </c>
      <c r="F2877" t="s">
        <v>57</v>
      </c>
      <c r="G2877" t="s">
        <v>14118</v>
      </c>
      <c r="H2877" t="s">
        <v>1335</v>
      </c>
      <c r="I2877" t="s">
        <v>19</v>
      </c>
      <c r="J2877" s="3">
        <v>554333731000</v>
      </c>
      <c r="K2877" t="s">
        <v>14119</v>
      </c>
      <c r="L2877" t="s">
        <v>14120</v>
      </c>
      <c r="M2877" t="s">
        <v>57</v>
      </c>
    </row>
    <row r="2878" spans="1:13" x14ac:dyDescent="0.25">
      <c r="A2878" t="s">
        <v>11548</v>
      </c>
      <c r="B2878" t="s">
        <v>13</v>
      </c>
      <c r="C2878" s="1">
        <v>43896</v>
      </c>
      <c r="D2878" t="s">
        <v>11549</v>
      </c>
      <c r="E2878" t="s">
        <v>3799</v>
      </c>
      <c r="F2878" t="s">
        <v>57</v>
      </c>
      <c r="G2878" t="s">
        <v>11550</v>
      </c>
      <c r="H2878" t="s">
        <v>706</v>
      </c>
      <c r="I2878" t="s">
        <v>19</v>
      </c>
      <c r="J2878" s="3">
        <v>31992424449</v>
      </c>
      <c r="K2878" t="s">
        <v>11551</v>
      </c>
      <c r="L2878" t="s">
        <v>11550</v>
      </c>
      <c r="M2878" t="s">
        <v>57</v>
      </c>
    </row>
    <row r="2879" spans="1:13" x14ac:dyDescent="0.25">
      <c r="A2879" t="s">
        <v>14916</v>
      </c>
      <c r="B2879" t="s">
        <v>13</v>
      </c>
      <c r="C2879" t="s">
        <v>10506</v>
      </c>
      <c r="D2879" t="s">
        <v>14917</v>
      </c>
      <c r="E2879" t="s">
        <v>3799</v>
      </c>
      <c r="F2879" t="s">
        <v>57</v>
      </c>
      <c r="G2879" t="s">
        <v>14561</v>
      </c>
      <c r="H2879" t="s">
        <v>36</v>
      </c>
      <c r="I2879" t="s">
        <v>19</v>
      </c>
      <c r="J2879" s="3">
        <v>551130617090</v>
      </c>
      <c r="K2879" t="s">
        <v>14562</v>
      </c>
      <c r="L2879" t="s">
        <v>14563</v>
      </c>
      <c r="M2879" t="s">
        <v>57</v>
      </c>
    </row>
    <row r="2880" spans="1:13" x14ac:dyDescent="0.25">
      <c r="A2880" t="s">
        <v>3797</v>
      </c>
      <c r="B2880" t="s">
        <v>13</v>
      </c>
      <c r="C2880" t="s">
        <v>3780</v>
      </c>
      <c r="D2880" t="s">
        <v>3798</v>
      </c>
      <c r="E2880" t="s">
        <v>3799</v>
      </c>
      <c r="F2880" t="s">
        <v>3800</v>
      </c>
      <c r="G2880" t="s">
        <v>3801</v>
      </c>
      <c r="H2880" t="s">
        <v>36</v>
      </c>
      <c r="I2880" t="s">
        <v>19</v>
      </c>
      <c r="J2880" s="3" t="s">
        <v>3802</v>
      </c>
      <c r="K2880" t="s">
        <v>3803</v>
      </c>
      <c r="L2880" t="s">
        <v>3804</v>
      </c>
      <c r="M2880" t="s">
        <v>57</v>
      </c>
    </row>
    <row r="2881" spans="1:13" x14ac:dyDescent="0.25">
      <c r="A2881" t="s">
        <v>7362</v>
      </c>
      <c r="B2881" t="s">
        <v>101</v>
      </c>
      <c r="C2881" t="s">
        <v>7363</v>
      </c>
      <c r="D2881" t="s">
        <v>32135</v>
      </c>
      <c r="E2881" t="s">
        <v>3799</v>
      </c>
      <c r="F2881" t="s">
        <v>7364</v>
      </c>
      <c r="G2881" t="s">
        <v>5337</v>
      </c>
      <c r="H2881" t="s">
        <v>150</v>
      </c>
      <c r="I2881" t="s">
        <v>19</v>
      </c>
      <c r="J2881" s="3" t="s">
        <v>5338</v>
      </c>
      <c r="K2881" t="s">
        <v>5339</v>
      </c>
      <c r="L2881" t="s">
        <v>32135</v>
      </c>
      <c r="M2881" t="s">
        <v>57</v>
      </c>
    </row>
    <row r="2882" spans="1:13" x14ac:dyDescent="0.25">
      <c r="A2882" t="s">
        <v>5253</v>
      </c>
      <c r="B2882" t="s">
        <v>13</v>
      </c>
      <c r="C2882" t="s">
        <v>2770</v>
      </c>
      <c r="D2882" t="s">
        <v>32135</v>
      </c>
      <c r="E2882" t="s">
        <v>3035</v>
      </c>
      <c r="F2882" t="s">
        <v>2445</v>
      </c>
      <c r="G2882" t="s">
        <v>5254</v>
      </c>
      <c r="H2882" t="s">
        <v>36</v>
      </c>
      <c r="I2882" t="s">
        <v>19</v>
      </c>
      <c r="J2882" s="3">
        <v>5511951232694</v>
      </c>
      <c r="K2882" t="s">
        <v>5255</v>
      </c>
      <c r="L2882" t="s">
        <v>32135</v>
      </c>
      <c r="M2882" t="s">
        <v>57</v>
      </c>
    </row>
    <row r="2883" spans="1:13" x14ac:dyDescent="0.25">
      <c r="A2883" t="s">
        <v>29748</v>
      </c>
      <c r="B2883" t="s">
        <v>13</v>
      </c>
      <c r="C2883" t="s">
        <v>29749</v>
      </c>
      <c r="D2883" t="s">
        <v>29750</v>
      </c>
      <c r="E2883" t="s">
        <v>3799</v>
      </c>
      <c r="F2883" t="s">
        <v>2036</v>
      </c>
      <c r="G2883" t="s">
        <v>29751</v>
      </c>
      <c r="H2883" t="s">
        <v>29681</v>
      </c>
      <c r="I2883" t="s">
        <v>19</v>
      </c>
      <c r="J2883" s="3" t="s">
        <v>29752</v>
      </c>
      <c r="K2883" t="s">
        <v>29753</v>
      </c>
      <c r="L2883" t="s">
        <v>565</v>
      </c>
      <c r="M2883" t="s">
        <v>57</v>
      </c>
    </row>
    <row r="2884" spans="1:13" x14ac:dyDescent="0.25">
      <c r="A2884" t="s">
        <v>20761</v>
      </c>
      <c r="B2884" t="s">
        <v>13</v>
      </c>
      <c r="C2884" s="1">
        <v>43197</v>
      </c>
      <c r="D2884" t="s">
        <v>20762</v>
      </c>
      <c r="E2884" t="s">
        <v>3799</v>
      </c>
      <c r="F2884" t="s">
        <v>2036</v>
      </c>
      <c r="G2884" t="s">
        <v>3854</v>
      </c>
      <c r="H2884" t="s">
        <v>489</v>
      </c>
      <c r="I2884" t="s">
        <v>19</v>
      </c>
      <c r="J2884" s="3" t="s">
        <v>20763</v>
      </c>
      <c r="K2884" t="s">
        <v>20764</v>
      </c>
      <c r="L2884" t="s">
        <v>625</v>
      </c>
      <c r="M2884" t="s">
        <v>57</v>
      </c>
    </row>
    <row r="2885" spans="1:13" x14ac:dyDescent="0.25">
      <c r="A2885" t="s">
        <v>19418</v>
      </c>
      <c r="B2885" t="s">
        <v>13</v>
      </c>
      <c r="C2885" t="s">
        <v>19413</v>
      </c>
      <c r="D2885" t="s">
        <v>19419</v>
      </c>
      <c r="E2885" t="s">
        <v>3799</v>
      </c>
      <c r="F2885" t="s">
        <v>2036</v>
      </c>
      <c r="G2885" t="s">
        <v>19420</v>
      </c>
      <c r="H2885" t="s">
        <v>36</v>
      </c>
      <c r="I2885" t="s">
        <v>19</v>
      </c>
      <c r="J2885" s="3">
        <v>551111997326681</v>
      </c>
      <c r="K2885" t="s">
        <v>19421</v>
      </c>
      <c r="L2885" t="s">
        <v>344</v>
      </c>
      <c r="M2885" t="s">
        <v>57</v>
      </c>
    </row>
    <row r="2886" spans="1:13" x14ac:dyDescent="0.25">
      <c r="A2886" t="s">
        <v>16674</v>
      </c>
      <c r="B2886" t="s">
        <v>13</v>
      </c>
      <c r="C2886" t="s">
        <v>16675</v>
      </c>
      <c r="D2886" t="s">
        <v>16676</v>
      </c>
      <c r="E2886" t="s">
        <v>3799</v>
      </c>
      <c r="F2886" t="s">
        <v>2036</v>
      </c>
      <c r="G2886" t="s">
        <v>15122</v>
      </c>
      <c r="H2886" t="s">
        <v>195</v>
      </c>
      <c r="I2886" t="s">
        <v>19</v>
      </c>
      <c r="J2886" s="3" t="s">
        <v>15123</v>
      </c>
      <c r="K2886" t="s">
        <v>15124</v>
      </c>
      <c r="L2886" t="s">
        <v>15125</v>
      </c>
      <c r="M2886" t="s">
        <v>57</v>
      </c>
    </row>
    <row r="2887" spans="1:13" x14ac:dyDescent="0.25">
      <c r="A2887" t="s">
        <v>7630</v>
      </c>
      <c r="B2887" t="s">
        <v>13</v>
      </c>
      <c r="C2887" t="s">
        <v>7631</v>
      </c>
      <c r="D2887" t="s">
        <v>7632</v>
      </c>
      <c r="E2887" t="s">
        <v>3799</v>
      </c>
      <c r="F2887" t="s">
        <v>2036</v>
      </c>
      <c r="G2887" t="s">
        <v>7633</v>
      </c>
      <c r="H2887" t="s">
        <v>195</v>
      </c>
      <c r="I2887" t="s">
        <v>19</v>
      </c>
      <c r="J2887" s="3" t="s">
        <v>7634</v>
      </c>
      <c r="K2887" t="s">
        <v>7635</v>
      </c>
      <c r="L2887" t="s">
        <v>197</v>
      </c>
      <c r="M2887" t="s">
        <v>57</v>
      </c>
    </row>
    <row r="2888" spans="1:13" x14ac:dyDescent="0.25">
      <c r="A2888" t="s">
        <v>9426</v>
      </c>
      <c r="B2888" t="s">
        <v>13</v>
      </c>
      <c r="C2888" s="1">
        <v>43840</v>
      </c>
      <c r="D2888" t="s">
        <v>9427</v>
      </c>
      <c r="E2888" t="s">
        <v>1212</v>
      </c>
      <c r="F2888" t="s">
        <v>2036</v>
      </c>
      <c r="G2888" t="s">
        <v>9428</v>
      </c>
      <c r="H2888" t="s">
        <v>6100</v>
      </c>
      <c r="I2888" t="s">
        <v>19</v>
      </c>
      <c r="J2888" s="3">
        <v>5596981145505</v>
      </c>
      <c r="K2888" t="s">
        <v>9429</v>
      </c>
      <c r="L2888" t="s">
        <v>9430</v>
      </c>
      <c r="M2888" t="s">
        <v>57</v>
      </c>
    </row>
    <row r="2889" spans="1:13" x14ac:dyDescent="0.25">
      <c r="A2889" t="s">
        <v>3033</v>
      </c>
      <c r="B2889" t="s">
        <v>13</v>
      </c>
      <c r="C2889" s="1">
        <v>44902</v>
      </c>
      <c r="D2889" t="s">
        <v>3034</v>
      </c>
      <c r="E2889" t="s">
        <v>3035</v>
      </c>
      <c r="F2889" t="s">
        <v>3036</v>
      </c>
      <c r="G2889" t="s">
        <v>3037</v>
      </c>
      <c r="H2889" t="s">
        <v>3038</v>
      </c>
      <c r="I2889" t="s">
        <v>19</v>
      </c>
      <c r="J2889" s="3">
        <f>55-(35)-984566163</f>
        <v>-984566143</v>
      </c>
      <c r="K2889" t="s">
        <v>3039</v>
      </c>
      <c r="L2889" t="s">
        <v>1469</v>
      </c>
      <c r="M2889" t="s">
        <v>57</v>
      </c>
    </row>
    <row r="2890" spans="1:13" x14ac:dyDescent="0.25">
      <c r="A2890" t="s">
        <v>7689</v>
      </c>
      <c r="B2890" t="s">
        <v>13</v>
      </c>
      <c r="C2890" s="1">
        <v>44474</v>
      </c>
      <c r="D2890" t="s">
        <v>7690</v>
      </c>
      <c r="E2890" t="s">
        <v>3035</v>
      </c>
      <c r="F2890" t="s">
        <v>7691</v>
      </c>
      <c r="G2890" t="s">
        <v>7692</v>
      </c>
      <c r="H2890" t="s">
        <v>36</v>
      </c>
      <c r="I2890" t="s">
        <v>19</v>
      </c>
      <c r="J2890" s="3">
        <f>55-11-2070-167</f>
        <v>-2193</v>
      </c>
      <c r="K2890" t="s">
        <v>7693</v>
      </c>
      <c r="L2890" t="s">
        <v>32135</v>
      </c>
      <c r="M2890" t="s">
        <v>57</v>
      </c>
    </row>
    <row r="2891" spans="1:13" x14ac:dyDescent="0.25">
      <c r="A2891" t="s">
        <v>5883</v>
      </c>
      <c r="B2891" t="s">
        <v>13</v>
      </c>
      <c r="C2891" t="s">
        <v>5884</v>
      </c>
      <c r="D2891" t="s">
        <v>5885</v>
      </c>
      <c r="E2891" t="s">
        <v>3035</v>
      </c>
      <c r="F2891" t="s">
        <v>160</v>
      </c>
      <c r="G2891" t="s">
        <v>5886</v>
      </c>
      <c r="H2891" t="s">
        <v>1090</v>
      </c>
      <c r="I2891" t="s">
        <v>19</v>
      </c>
      <c r="J2891" s="3" t="s">
        <v>5887</v>
      </c>
      <c r="K2891" t="s">
        <v>5888</v>
      </c>
      <c r="L2891" t="s">
        <v>32135</v>
      </c>
      <c r="M2891" t="s">
        <v>57</v>
      </c>
    </row>
    <row r="2892" spans="1:13" x14ac:dyDescent="0.25">
      <c r="A2892" t="s">
        <v>3374</v>
      </c>
      <c r="B2892" t="s">
        <v>13</v>
      </c>
      <c r="C2892" s="1">
        <v>44871</v>
      </c>
      <c r="D2892" t="s">
        <v>3375</v>
      </c>
      <c r="E2892" t="s">
        <v>3035</v>
      </c>
      <c r="F2892" t="s">
        <v>3376</v>
      </c>
      <c r="G2892" t="s">
        <v>3377</v>
      </c>
      <c r="H2892" t="s">
        <v>540</v>
      </c>
      <c r="I2892" t="s">
        <v>19</v>
      </c>
      <c r="J2892" s="3" t="s">
        <v>3378</v>
      </c>
      <c r="K2892" t="s">
        <v>3379</v>
      </c>
      <c r="L2892" t="s">
        <v>1531</v>
      </c>
      <c r="M2892" t="s">
        <v>57</v>
      </c>
    </row>
    <row r="2893" spans="1:13" x14ac:dyDescent="0.25">
      <c r="A2893" t="s">
        <v>19876</v>
      </c>
      <c r="B2893" t="s">
        <v>13</v>
      </c>
      <c r="C2893" t="s">
        <v>19877</v>
      </c>
      <c r="D2893" t="s">
        <v>19878</v>
      </c>
      <c r="E2893" s="2" t="s">
        <v>31776</v>
      </c>
      <c r="F2893" t="s">
        <v>1464</v>
      </c>
      <c r="G2893" t="s">
        <v>19879</v>
      </c>
      <c r="H2893" t="s">
        <v>615</v>
      </c>
      <c r="I2893" t="s">
        <v>19</v>
      </c>
      <c r="J2893" s="3" t="s">
        <v>19880</v>
      </c>
      <c r="K2893" t="s">
        <v>19881</v>
      </c>
      <c r="L2893" t="s">
        <v>618</v>
      </c>
      <c r="M2893" t="s">
        <v>57</v>
      </c>
    </row>
    <row r="2894" spans="1:13" x14ac:dyDescent="0.25">
      <c r="A2894" t="s">
        <v>16058</v>
      </c>
      <c r="B2894" t="s">
        <v>13</v>
      </c>
      <c r="C2894" t="s">
        <v>10388</v>
      </c>
      <c r="D2894" t="s">
        <v>16059</v>
      </c>
      <c r="E2894" s="2" t="s">
        <v>31146</v>
      </c>
      <c r="F2894" t="s">
        <v>2036</v>
      </c>
      <c r="G2894" t="s">
        <v>15370</v>
      </c>
      <c r="H2894" t="s">
        <v>578</v>
      </c>
      <c r="I2894" t="s">
        <v>19</v>
      </c>
      <c r="J2894" s="3">
        <f>55-92-981286708</f>
        <v>-981286745</v>
      </c>
      <c r="K2894" t="s">
        <v>15371</v>
      </c>
      <c r="L2894" t="s">
        <v>15372</v>
      </c>
      <c r="M2894" t="s">
        <v>57</v>
      </c>
    </row>
    <row r="2895" spans="1:13" x14ac:dyDescent="0.25">
      <c r="A2895" t="s">
        <v>3386</v>
      </c>
      <c r="B2895" t="s">
        <v>13</v>
      </c>
      <c r="C2895" s="1">
        <v>44840</v>
      </c>
      <c r="D2895" t="s">
        <v>3387</v>
      </c>
      <c r="E2895" t="s">
        <v>3388</v>
      </c>
      <c r="F2895" t="s">
        <v>3389</v>
      </c>
      <c r="G2895" t="s">
        <v>3390</v>
      </c>
      <c r="H2895" t="s">
        <v>3391</v>
      </c>
      <c r="I2895" t="s">
        <v>19</v>
      </c>
      <c r="J2895" s="3">
        <v>5519995956536</v>
      </c>
      <c r="K2895" t="s">
        <v>3392</v>
      </c>
      <c r="L2895" t="s">
        <v>285</v>
      </c>
      <c r="M2895" t="s">
        <v>57</v>
      </c>
    </row>
    <row r="2896" spans="1:13" x14ac:dyDescent="0.25">
      <c r="A2896" t="s">
        <v>21728</v>
      </c>
      <c r="B2896" t="s">
        <v>13</v>
      </c>
      <c r="C2896" s="1">
        <v>43105</v>
      </c>
      <c r="D2896" t="s">
        <v>21729</v>
      </c>
      <c r="E2896" s="2" t="s">
        <v>31298</v>
      </c>
      <c r="F2896" t="s">
        <v>2036</v>
      </c>
      <c r="G2896" t="s">
        <v>13537</v>
      </c>
      <c r="H2896" t="s">
        <v>927</v>
      </c>
      <c r="I2896" t="s">
        <v>19</v>
      </c>
      <c r="J2896" s="3" t="s">
        <v>21730</v>
      </c>
      <c r="K2896" t="s">
        <v>13538</v>
      </c>
      <c r="L2896" t="s">
        <v>439</v>
      </c>
      <c r="M2896" t="s">
        <v>57</v>
      </c>
    </row>
    <row r="2897" spans="1:13" x14ac:dyDescent="0.25">
      <c r="A2897" t="s">
        <v>4783</v>
      </c>
      <c r="B2897" t="s">
        <v>13</v>
      </c>
      <c r="C2897" s="1">
        <v>44867</v>
      </c>
      <c r="D2897" t="s">
        <v>4784</v>
      </c>
      <c r="E2897" s="2" t="s">
        <v>32156</v>
      </c>
      <c r="G2897" t="s">
        <v>3987</v>
      </c>
      <c r="H2897" t="s">
        <v>4785</v>
      </c>
      <c r="I2897" t="s">
        <v>19</v>
      </c>
      <c r="J2897" s="3">
        <v>5524992764872</v>
      </c>
      <c r="K2897" t="s">
        <v>3988</v>
      </c>
      <c r="L2897" t="s">
        <v>3989</v>
      </c>
      <c r="M2897" t="s">
        <v>57</v>
      </c>
    </row>
    <row r="2898" spans="1:13" x14ac:dyDescent="0.25">
      <c r="A2898" t="s">
        <v>30259</v>
      </c>
      <c r="B2898" t="s">
        <v>101</v>
      </c>
      <c r="C2898" t="s">
        <v>15685</v>
      </c>
      <c r="D2898" t="s">
        <v>30260</v>
      </c>
      <c r="E2898" t="s">
        <v>30261</v>
      </c>
      <c r="F2898" t="s">
        <v>57</v>
      </c>
      <c r="G2898" t="s">
        <v>12991</v>
      </c>
      <c r="H2898" t="s">
        <v>195</v>
      </c>
      <c r="I2898" t="s">
        <v>19</v>
      </c>
      <c r="J2898" s="3" t="s">
        <v>30262</v>
      </c>
      <c r="K2898" t="s">
        <v>30263</v>
      </c>
      <c r="L2898" t="s">
        <v>197</v>
      </c>
      <c r="M2898" t="s">
        <v>57</v>
      </c>
    </row>
    <row r="2899" spans="1:13" x14ac:dyDescent="0.25">
      <c r="A2899" t="s">
        <v>7272</v>
      </c>
      <c r="B2899" t="s">
        <v>13</v>
      </c>
      <c r="C2899" s="1">
        <v>44202</v>
      </c>
      <c r="D2899" t="s">
        <v>7273</v>
      </c>
      <c r="E2899" t="s">
        <v>7274</v>
      </c>
      <c r="F2899" t="s">
        <v>7274</v>
      </c>
      <c r="G2899" t="s">
        <v>307</v>
      </c>
      <c r="H2899" t="s">
        <v>308</v>
      </c>
      <c r="I2899" t="s">
        <v>309</v>
      </c>
      <c r="J2899" s="3" t="s">
        <v>310</v>
      </c>
      <c r="K2899" t="s">
        <v>311</v>
      </c>
      <c r="L2899" t="s">
        <v>312</v>
      </c>
      <c r="M2899" t="s">
        <v>57</v>
      </c>
    </row>
    <row r="2900" spans="1:13" x14ac:dyDescent="0.25">
      <c r="A2900" t="s">
        <v>972</v>
      </c>
      <c r="B2900" t="s">
        <v>13</v>
      </c>
      <c r="C2900" s="1">
        <v>44724</v>
      </c>
      <c r="D2900" t="s">
        <v>973</v>
      </c>
      <c r="E2900" t="s">
        <v>974</v>
      </c>
      <c r="F2900" t="s">
        <v>975</v>
      </c>
      <c r="G2900" t="s">
        <v>976</v>
      </c>
      <c r="H2900" t="s">
        <v>36</v>
      </c>
      <c r="I2900" t="s">
        <v>19</v>
      </c>
      <c r="J2900" s="3" t="s">
        <v>977</v>
      </c>
      <c r="K2900" t="s">
        <v>978</v>
      </c>
      <c r="L2900" t="s">
        <v>439</v>
      </c>
      <c r="M2900" t="s">
        <v>57</v>
      </c>
    </row>
    <row r="2901" spans="1:13" x14ac:dyDescent="0.25">
      <c r="A2901" t="s">
        <v>29760</v>
      </c>
      <c r="B2901" t="s">
        <v>13</v>
      </c>
      <c r="C2901" t="s">
        <v>29761</v>
      </c>
      <c r="D2901" t="s">
        <v>29762</v>
      </c>
      <c r="E2901" t="s">
        <v>29763</v>
      </c>
      <c r="F2901" t="s">
        <v>2036</v>
      </c>
      <c r="G2901" t="s">
        <v>29764</v>
      </c>
      <c r="H2901" t="s">
        <v>706</v>
      </c>
      <c r="I2901" t="s">
        <v>19</v>
      </c>
      <c r="J2901" s="3" t="s">
        <v>27988</v>
      </c>
      <c r="K2901" t="s">
        <v>29765</v>
      </c>
      <c r="L2901" t="s">
        <v>565</v>
      </c>
      <c r="M2901" t="s">
        <v>57</v>
      </c>
    </row>
    <row r="2902" spans="1:13" x14ac:dyDescent="0.25">
      <c r="A2902" t="s">
        <v>793</v>
      </c>
      <c r="B2902" t="s">
        <v>13</v>
      </c>
      <c r="C2902" t="s">
        <v>777</v>
      </c>
      <c r="D2902" t="s">
        <v>794</v>
      </c>
      <c r="E2902" t="s">
        <v>795</v>
      </c>
      <c r="F2902" t="s">
        <v>796</v>
      </c>
      <c r="G2902" t="s">
        <v>797</v>
      </c>
      <c r="H2902" t="s">
        <v>798</v>
      </c>
      <c r="I2902" t="s">
        <v>19</v>
      </c>
      <c r="J2902" s="3" t="s">
        <v>799</v>
      </c>
      <c r="K2902" t="s">
        <v>800</v>
      </c>
      <c r="L2902" t="s">
        <v>801</v>
      </c>
      <c r="M2902" t="s">
        <v>1775</v>
      </c>
    </row>
    <row r="2903" spans="1:13" x14ac:dyDescent="0.25">
      <c r="A2903" t="s">
        <v>24197</v>
      </c>
      <c r="B2903" t="s">
        <v>13</v>
      </c>
      <c r="C2903" s="1">
        <v>42772</v>
      </c>
      <c r="D2903" t="s">
        <v>24198</v>
      </c>
      <c r="E2903" t="s">
        <v>795</v>
      </c>
      <c r="F2903" t="s">
        <v>1464</v>
      </c>
      <c r="G2903" t="s">
        <v>24199</v>
      </c>
      <c r="H2903" t="s">
        <v>45</v>
      </c>
      <c r="I2903" t="s">
        <v>19</v>
      </c>
      <c r="J2903" s="3" t="s">
        <v>24200</v>
      </c>
      <c r="K2903" t="s">
        <v>24201</v>
      </c>
      <c r="L2903" t="s">
        <v>13762</v>
      </c>
      <c r="M2903" t="s">
        <v>1775</v>
      </c>
    </row>
    <row r="2904" spans="1:13" x14ac:dyDescent="0.25">
      <c r="A2904" t="s">
        <v>24250</v>
      </c>
      <c r="B2904" t="s">
        <v>13</v>
      </c>
      <c r="C2904" t="s">
        <v>24251</v>
      </c>
      <c r="D2904" t="s">
        <v>24252</v>
      </c>
      <c r="E2904" t="s">
        <v>24253</v>
      </c>
      <c r="F2904" t="s">
        <v>306</v>
      </c>
      <c r="G2904" t="s">
        <v>24254</v>
      </c>
      <c r="H2904" t="s">
        <v>472</v>
      </c>
      <c r="I2904" t="s">
        <v>19</v>
      </c>
      <c r="J2904" s="3" t="s">
        <v>24255</v>
      </c>
      <c r="K2904" t="s">
        <v>24256</v>
      </c>
      <c r="L2904" t="s">
        <v>2101</v>
      </c>
      <c r="M2904" t="s">
        <v>32145</v>
      </c>
    </row>
    <row r="2905" spans="1:13" x14ac:dyDescent="0.25">
      <c r="A2905" t="s">
        <v>11156</v>
      </c>
      <c r="B2905" t="s">
        <v>13</v>
      </c>
      <c r="C2905" s="1">
        <v>43989</v>
      </c>
      <c r="D2905" t="s">
        <v>11157</v>
      </c>
      <c r="E2905" t="s">
        <v>11158</v>
      </c>
      <c r="F2905" t="s">
        <v>32121</v>
      </c>
      <c r="G2905" t="s">
        <v>11159</v>
      </c>
      <c r="H2905" t="s">
        <v>36</v>
      </c>
      <c r="I2905" t="s">
        <v>19</v>
      </c>
      <c r="J2905" s="3">
        <v>5511983217114</v>
      </c>
      <c r="K2905" t="s">
        <v>11160</v>
      </c>
      <c r="L2905" t="s">
        <v>11161</v>
      </c>
      <c r="M2905" t="s">
        <v>32121</v>
      </c>
    </row>
    <row r="2906" spans="1:13" x14ac:dyDescent="0.25">
      <c r="A2906" t="s">
        <v>16646</v>
      </c>
      <c r="B2906" t="s">
        <v>13</v>
      </c>
      <c r="C2906" t="s">
        <v>16644</v>
      </c>
      <c r="D2906" t="s">
        <v>16647</v>
      </c>
      <c r="E2906" t="s">
        <v>16648</v>
      </c>
      <c r="F2906" t="s">
        <v>1464</v>
      </c>
      <c r="G2906" t="s">
        <v>2900</v>
      </c>
      <c r="H2906" t="s">
        <v>1486</v>
      </c>
      <c r="I2906" t="s">
        <v>19</v>
      </c>
      <c r="J2906" s="3" t="s">
        <v>2901</v>
      </c>
      <c r="K2906" t="s">
        <v>2902</v>
      </c>
      <c r="L2906" t="s">
        <v>1489</v>
      </c>
      <c r="M2906" t="s">
        <v>1775</v>
      </c>
    </row>
    <row r="2907" spans="1:13" x14ac:dyDescent="0.25">
      <c r="A2907" t="s">
        <v>3499</v>
      </c>
      <c r="B2907" t="s">
        <v>13</v>
      </c>
      <c r="C2907" t="s">
        <v>3500</v>
      </c>
      <c r="D2907" t="s">
        <v>32135</v>
      </c>
      <c r="E2907" t="s">
        <v>3501</v>
      </c>
      <c r="F2907" t="s">
        <v>160</v>
      </c>
      <c r="G2907" t="s">
        <v>3502</v>
      </c>
      <c r="H2907" t="s">
        <v>409</v>
      </c>
      <c r="I2907" t="s">
        <v>19</v>
      </c>
      <c r="J2907" s="3" t="s">
        <v>3503</v>
      </c>
      <c r="K2907" t="s">
        <v>3504</v>
      </c>
      <c r="L2907" t="s">
        <v>1030</v>
      </c>
      <c r="M2907" t="s">
        <v>32147</v>
      </c>
    </row>
    <row r="2908" spans="1:13" x14ac:dyDescent="0.25">
      <c r="A2908" t="s">
        <v>27476</v>
      </c>
      <c r="B2908" t="s">
        <v>13</v>
      </c>
      <c r="C2908" s="1">
        <v>42190</v>
      </c>
      <c r="D2908" t="s">
        <v>27477</v>
      </c>
      <c r="E2908" t="s">
        <v>27478</v>
      </c>
      <c r="F2908" t="s">
        <v>1464</v>
      </c>
      <c r="G2908" t="s">
        <v>25323</v>
      </c>
      <c r="H2908" t="s">
        <v>18</v>
      </c>
      <c r="I2908" t="s">
        <v>19</v>
      </c>
      <c r="J2908" s="3">
        <v>551935219304</v>
      </c>
      <c r="K2908" t="s">
        <v>25325</v>
      </c>
      <c r="L2908" t="s">
        <v>285</v>
      </c>
      <c r="M2908" t="s">
        <v>32121</v>
      </c>
    </row>
    <row r="2909" spans="1:13" x14ac:dyDescent="0.25">
      <c r="A2909" t="s">
        <v>28465</v>
      </c>
      <c r="B2909" t="s">
        <v>13</v>
      </c>
      <c r="C2909" s="1">
        <v>42250</v>
      </c>
      <c r="D2909" t="s">
        <v>28466</v>
      </c>
      <c r="E2909" t="s">
        <v>28467</v>
      </c>
      <c r="F2909" t="s">
        <v>1464</v>
      </c>
      <c r="G2909" t="s">
        <v>28468</v>
      </c>
      <c r="H2909" t="s">
        <v>36</v>
      </c>
      <c r="I2909" t="s">
        <v>19</v>
      </c>
      <c r="J2909" s="3" t="s">
        <v>28469</v>
      </c>
      <c r="K2909" t="s">
        <v>28470</v>
      </c>
      <c r="L2909" t="s">
        <v>3083</v>
      </c>
      <c r="M2909" t="s">
        <v>32147</v>
      </c>
    </row>
    <row r="2910" spans="1:13" x14ac:dyDescent="0.25">
      <c r="A2910" t="s">
        <v>22720</v>
      </c>
      <c r="B2910" t="s">
        <v>13</v>
      </c>
      <c r="C2910" t="s">
        <v>22721</v>
      </c>
      <c r="D2910" t="s">
        <v>22722</v>
      </c>
      <c r="E2910" t="s">
        <v>32415</v>
      </c>
      <c r="F2910" t="s">
        <v>32121</v>
      </c>
      <c r="G2910" t="s">
        <v>22723</v>
      </c>
      <c r="H2910" t="s">
        <v>17190</v>
      </c>
      <c r="I2910" t="s">
        <v>19</v>
      </c>
      <c r="J2910" s="3">
        <f>55-14-36229881</f>
        <v>-36229840</v>
      </c>
      <c r="K2910" t="s">
        <v>22724</v>
      </c>
      <c r="L2910" t="s">
        <v>2621</v>
      </c>
      <c r="M2910" t="s">
        <v>32121</v>
      </c>
    </row>
    <row r="2911" spans="1:13" x14ac:dyDescent="0.25">
      <c r="A2911" t="s">
        <v>28142</v>
      </c>
      <c r="B2911" t="s">
        <v>13</v>
      </c>
      <c r="C2911" t="s">
        <v>28143</v>
      </c>
      <c r="D2911" t="s">
        <v>28144</v>
      </c>
      <c r="E2911" t="s">
        <v>28145</v>
      </c>
      <c r="F2911" t="s">
        <v>32121</v>
      </c>
      <c r="G2911" t="s">
        <v>28042</v>
      </c>
      <c r="H2911" t="s">
        <v>18</v>
      </c>
      <c r="I2911" t="s">
        <v>19</v>
      </c>
      <c r="J2911" s="3" t="s">
        <v>28043</v>
      </c>
      <c r="K2911" t="s">
        <v>28044</v>
      </c>
      <c r="L2911" t="s">
        <v>28045</v>
      </c>
      <c r="M2911" t="s">
        <v>32121</v>
      </c>
    </row>
    <row r="2912" spans="1:13" x14ac:dyDescent="0.25">
      <c r="A2912" t="s">
        <v>28039</v>
      </c>
      <c r="B2912" t="s">
        <v>13</v>
      </c>
      <c r="C2912" s="1">
        <v>42191</v>
      </c>
      <c r="D2912" t="s">
        <v>28040</v>
      </c>
      <c r="E2912" t="s">
        <v>28041</v>
      </c>
      <c r="F2912" t="s">
        <v>833</v>
      </c>
      <c r="G2912" t="s">
        <v>28042</v>
      </c>
      <c r="H2912" t="s">
        <v>18</v>
      </c>
      <c r="I2912" t="s">
        <v>19</v>
      </c>
      <c r="J2912" s="3" t="s">
        <v>28043</v>
      </c>
      <c r="K2912" t="s">
        <v>28044</v>
      </c>
      <c r="L2912" t="s">
        <v>28045</v>
      </c>
      <c r="M2912" t="s">
        <v>32144</v>
      </c>
    </row>
    <row r="2913" spans="1:13" x14ac:dyDescent="0.25">
      <c r="A2913" t="s">
        <v>5744</v>
      </c>
      <c r="B2913" t="s">
        <v>13</v>
      </c>
      <c r="C2913" s="1">
        <v>44419</v>
      </c>
      <c r="D2913" t="s">
        <v>32135</v>
      </c>
      <c r="E2913" s="2" t="s">
        <v>32014</v>
      </c>
      <c r="F2913" t="s">
        <v>5745</v>
      </c>
      <c r="G2913" t="s">
        <v>5746</v>
      </c>
      <c r="H2913" t="s">
        <v>5747</v>
      </c>
      <c r="I2913" t="s">
        <v>19</v>
      </c>
      <c r="J2913" s="3" t="s">
        <v>5748</v>
      </c>
      <c r="K2913" t="s">
        <v>5749</v>
      </c>
      <c r="L2913" t="s">
        <v>32135</v>
      </c>
      <c r="M2913" t="s">
        <v>1775</v>
      </c>
    </row>
    <row r="2914" spans="1:13" x14ac:dyDescent="0.25">
      <c r="A2914" t="s">
        <v>6568</v>
      </c>
      <c r="B2914" t="s">
        <v>13</v>
      </c>
      <c r="C2914" t="s">
        <v>6569</v>
      </c>
      <c r="D2914" t="s">
        <v>6570</v>
      </c>
      <c r="E2914" t="s">
        <v>6571</v>
      </c>
      <c r="F2914" t="s">
        <v>32121</v>
      </c>
      <c r="G2914" t="s">
        <v>4188</v>
      </c>
      <c r="H2914" t="s">
        <v>615</v>
      </c>
      <c r="I2914" t="s">
        <v>19</v>
      </c>
      <c r="J2914" s="3">
        <f>55-34-32182935</f>
        <v>-32182914</v>
      </c>
      <c r="K2914" t="s">
        <v>4190</v>
      </c>
      <c r="L2914" t="s">
        <v>618</v>
      </c>
      <c r="M2914" t="s">
        <v>32121</v>
      </c>
    </row>
    <row r="2915" spans="1:13" x14ac:dyDescent="0.25">
      <c r="A2915" t="s">
        <v>11755</v>
      </c>
      <c r="B2915" t="s">
        <v>13</v>
      </c>
      <c r="C2915" t="s">
        <v>127</v>
      </c>
      <c r="D2915" t="s">
        <v>11756</v>
      </c>
      <c r="E2915" t="s">
        <v>11757</v>
      </c>
      <c r="F2915" t="s">
        <v>1464</v>
      </c>
      <c r="G2915" t="s">
        <v>11758</v>
      </c>
      <c r="H2915" t="s">
        <v>88</v>
      </c>
      <c r="I2915" t="s">
        <v>19</v>
      </c>
      <c r="J2915" s="3" t="s">
        <v>11759</v>
      </c>
      <c r="K2915" t="s">
        <v>11760</v>
      </c>
      <c r="L2915" t="s">
        <v>91</v>
      </c>
      <c r="M2915" t="s">
        <v>792</v>
      </c>
    </row>
    <row r="2916" spans="1:13" x14ac:dyDescent="0.25">
      <c r="A2916" t="s">
        <v>22392</v>
      </c>
      <c r="B2916" t="s">
        <v>13</v>
      </c>
      <c r="C2916" t="s">
        <v>7092</v>
      </c>
      <c r="D2916" t="s">
        <v>22393</v>
      </c>
      <c r="E2916" s="2" t="s">
        <v>31996</v>
      </c>
      <c r="F2916" t="s">
        <v>6308</v>
      </c>
      <c r="G2916" t="s">
        <v>998</v>
      </c>
      <c r="H2916" t="s">
        <v>53</v>
      </c>
      <c r="I2916" t="s">
        <v>19</v>
      </c>
      <c r="J2916" s="3">
        <v>5503835312758</v>
      </c>
      <c r="K2916" t="s">
        <v>1000</v>
      </c>
      <c r="L2916" t="s">
        <v>22394</v>
      </c>
      <c r="M2916" t="s">
        <v>792</v>
      </c>
    </row>
    <row r="2917" spans="1:13" x14ac:dyDescent="0.25">
      <c r="A2917" t="s">
        <v>2332</v>
      </c>
      <c r="B2917" t="s">
        <v>13</v>
      </c>
      <c r="C2917" t="s">
        <v>2327</v>
      </c>
      <c r="D2917" t="s">
        <v>2333</v>
      </c>
      <c r="E2917" t="s">
        <v>2334</v>
      </c>
      <c r="F2917" t="s">
        <v>2335</v>
      </c>
      <c r="G2917" t="s">
        <v>2336</v>
      </c>
      <c r="H2917" t="s">
        <v>489</v>
      </c>
      <c r="I2917" t="s">
        <v>19</v>
      </c>
      <c r="J2917" s="3" t="s">
        <v>2337</v>
      </c>
      <c r="K2917" t="s">
        <v>2338</v>
      </c>
      <c r="L2917" t="s">
        <v>625</v>
      </c>
      <c r="M2917" t="s">
        <v>1775</v>
      </c>
    </row>
    <row r="2918" spans="1:13" x14ac:dyDescent="0.25">
      <c r="A2918" t="s">
        <v>2575</v>
      </c>
      <c r="B2918" t="s">
        <v>13</v>
      </c>
      <c r="C2918" s="1">
        <v>44903</v>
      </c>
      <c r="D2918" t="s">
        <v>2576</v>
      </c>
      <c r="E2918" t="s">
        <v>2577</v>
      </c>
      <c r="F2918" t="s">
        <v>2335</v>
      </c>
      <c r="G2918" t="s">
        <v>2578</v>
      </c>
      <c r="H2918" t="s">
        <v>489</v>
      </c>
      <c r="I2918" t="s">
        <v>19</v>
      </c>
      <c r="J2918" s="3">
        <v>554133613072</v>
      </c>
      <c r="K2918" t="s">
        <v>2579</v>
      </c>
      <c r="L2918" t="s">
        <v>2580</v>
      </c>
      <c r="M2918" t="s">
        <v>1775</v>
      </c>
    </row>
    <row r="2919" spans="1:13" x14ac:dyDescent="0.25">
      <c r="A2919" t="s">
        <v>5355</v>
      </c>
      <c r="B2919" t="s">
        <v>13</v>
      </c>
      <c r="C2919" s="1">
        <v>44481</v>
      </c>
      <c r="D2919" t="s">
        <v>5356</v>
      </c>
      <c r="E2919" s="2" t="s">
        <v>30845</v>
      </c>
      <c r="F2919" t="s">
        <v>34</v>
      </c>
      <c r="G2919" t="s">
        <v>5357</v>
      </c>
      <c r="H2919" t="s">
        <v>4005</v>
      </c>
      <c r="I2919" t="s">
        <v>19</v>
      </c>
      <c r="J2919" s="3">
        <f>55-53-981336377</f>
        <v>-981336375</v>
      </c>
      <c r="K2919" t="s">
        <v>5358</v>
      </c>
      <c r="L2919" t="s">
        <v>32135</v>
      </c>
      <c r="M2919" t="s">
        <v>1775</v>
      </c>
    </row>
    <row r="2920" spans="1:13" x14ac:dyDescent="0.25">
      <c r="A2920" t="s">
        <v>16228</v>
      </c>
      <c r="B2920" t="s">
        <v>13</v>
      </c>
      <c r="C2920" s="1">
        <v>43778</v>
      </c>
      <c r="D2920" t="s">
        <v>16229</v>
      </c>
      <c r="E2920" t="s">
        <v>15158</v>
      </c>
      <c r="F2920" t="s">
        <v>3084</v>
      </c>
      <c r="G2920" t="s">
        <v>16230</v>
      </c>
      <c r="H2920" t="s">
        <v>36</v>
      </c>
      <c r="I2920" t="s">
        <v>19</v>
      </c>
      <c r="J2920" s="3" t="s">
        <v>16231</v>
      </c>
      <c r="K2920" t="s">
        <v>16232</v>
      </c>
      <c r="L2920" t="s">
        <v>3083</v>
      </c>
      <c r="M2920" t="s">
        <v>32144</v>
      </c>
    </row>
    <row r="2921" spans="1:13" x14ac:dyDescent="0.25">
      <c r="A2921" t="s">
        <v>15156</v>
      </c>
      <c r="B2921" t="s">
        <v>13</v>
      </c>
      <c r="C2921" t="s">
        <v>9417</v>
      </c>
      <c r="D2921" t="s">
        <v>15157</v>
      </c>
      <c r="E2921" t="s">
        <v>15158</v>
      </c>
      <c r="F2921" t="s">
        <v>3084</v>
      </c>
      <c r="G2921" t="s">
        <v>15159</v>
      </c>
      <c r="H2921" t="s">
        <v>36</v>
      </c>
      <c r="I2921" t="s">
        <v>19</v>
      </c>
      <c r="J2921" s="3">
        <v>551155496174</v>
      </c>
      <c r="K2921" t="s">
        <v>15160</v>
      </c>
      <c r="L2921" t="s">
        <v>3083</v>
      </c>
      <c r="M2921" t="s">
        <v>32144</v>
      </c>
    </row>
    <row r="2922" spans="1:13" x14ac:dyDescent="0.25">
      <c r="A2922" t="s">
        <v>11901</v>
      </c>
      <c r="B2922" t="s">
        <v>13</v>
      </c>
      <c r="C2922" s="1">
        <v>44170</v>
      </c>
      <c r="D2922" t="s">
        <v>11902</v>
      </c>
      <c r="E2922" t="s">
        <v>11903</v>
      </c>
      <c r="F2922" t="s">
        <v>32121</v>
      </c>
      <c r="G2922" t="s">
        <v>11904</v>
      </c>
      <c r="H2922" t="s">
        <v>265</v>
      </c>
      <c r="I2922" t="s">
        <v>19</v>
      </c>
      <c r="J2922" s="3" t="s">
        <v>11905</v>
      </c>
      <c r="K2922" t="s">
        <v>11906</v>
      </c>
      <c r="L2922" t="s">
        <v>11907</v>
      </c>
      <c r="M2922" t="s">
        <v>32121</v>
      </c>
    </row>
    <row r="2923" spans="1:13" x14ac:dyDescent="0.25">
      <c r="A2923" t="s">
        <v>5438</v>
      </c>
      <c r="B2923" t="s">
        <v>13</v>
      </c>
      <c r="C2923" s="1">
        <v>44359</v>
      </c>
      <c r="D2923" t="s">
        <v>5439</v>
      </c>
      <c r="E2923" s="2" t="s">
        <v>31663</v>
      </c>
      <c r="F2923" t="s">
        <v>5440</v>
      </c>
      <c r="G2923" t="s">
        <v>5441</v>
      </c>
      <c r="H2923" t="s">
        <v>3660</v>
      </c>
      <c r="I2923" t="s">
        <v>19</v>
      </c>
      <c r="J2923" s="3" t="s">
        <v>5442</v>
      </c>
      <c r="K2923" t="s">
        <v>5443</v>
      </c>
      <c r="L2923" t="s">
        <v>32135</v>
      </c>
      <c r="M2923" t="s">
        <v>32121</v>
      </c>
    </row>
    <row r="2924" spans="1:13" x14ac:dyDescent="0.25">
      <c r="A2924" t="s">
        <v>16593</v>
      </c>
      <c r="B2924" t="s">
        <v>13</v>
      </c>
      <c r="C2924" s="1">
        <v>42622</v>
      </c>
      <c r="D2924" t="s">
        <v>16594</v>
      </c>
      <c r="E2924" t="s">
        <v>16595</v>
      </c>
      <c r="F2924" t="s">
        <v>117</v>
      </c>
      <c r="G2924" t="s">
        <v>16596</v>
      </c>
      <c r="H2924" t="s">
        <v>1741</v>
      </c>
      <c r="I2924" t="s">
        <v>19</v>
      </c>
      <c r="J2924" s="3" t="s">
        <v>16597</v>
      </c>
      <c r="K2924" t="s">
        <v>16598</v>
      </c>
      <c r="L2924" t="s">
        <v>16599</v>
      </c>
      <c r="M2924" t="s">
        <v>32145</v>
      </c>
    </row>
    <row r="2925" spans="1:13" x14ac:dyDescent="0.25">
      <c r="A2925" t="s">
        <v>14507</v>
      </c>
      <c r="B2925" t="s">
        <v>13</v>
      </c>
      <c r="C2925" t="s">
        <v>14500</v>
      </c>
      <c r="D2925" t="s">
        <v>14508</v>
      </c>
      <c r="E2925" t="s">
        <v>14509</v>
      </c>
      <c r="F2925" t="s">
        <v>117</v>
      </c>
      <c r="G2925" t="s">
        <v>14510</v>
      </c>
      <c r="H2925" t="s">
        <v>936</v>
      </c>
      <c r="I2925" t="s">
        <v>19</v>
      </c>
      <c r="J2925" s="3">
        <v>5571999772922</v>
      </c>
      <c r="K2925" t="s">
        <v>14511</v>
      </c>
      <c r="L2925" t="s">
        <v>3669</v>
      </c>
      <c r="M2925" t="s">
        <v>32145</v>
      </c>
    </row>
    <row r="2926" spans="1:13" x14ac:dyDescent="0.25">
      <c r="A2926" t="s">
        <v>23492</v>
      </c>
      <c r="B2926" t="s">
        <v>13</v>
      </c>
      <c r="C2926" t="s">
        <v>23479</v>
      </c>
      <c r="D2926" t="s">
        <v>23493</v>
      </c>
      <c r="E2926" t="s">
        <v>23494</v>
      </c>
      <c r="F2926" t="s">
        <v>6686</v>
      </c>
      <c r="G2926" t="s">
        <v>18119</v>
      </c>
      <c r="H2926" t="s">
        <v>1622</v>
      </c>
      <c r="I2926" t="s">
        <v>19</v>
      </c>
      <c r="J2926" s="3" t="s">
        <v>18120</v>
      </c>
      <c r="K2926" t="s">
        <v>18121</v>
      </c>
      <c r="L2926" t="s">
        <v>8972</v>
      </c>
      <c r="M2926" t="s">
        <v>337</v>
      </c>
    </row>
    <row r="2927" spans="1:13" x14ac:dyDescent="0.25">
      <c r="A2927" t="s">
        <v>4749</v>
      </c>
      <c r="B2927" t="s">
        <v>13</v>
      </c>
      <c r="C2927" t="s">
        <v>4698</v>
      </c>
      <c r="D2927" t="s">
        <v>32135</v>
      </c>
      <c r="E2927" t="s">
        <v>4750</v>
      </c>
      <c r="F2927" t="s">
        <v>1436</v>
      </c>
      <c r="G2927" t="s">
        <v>4751</v>
      </c>
      <c r="H2927" t="s">
        <v>4752</v>
      </c>
      <c r="I2927" t="s">
        <v>19</v>
      </c>
      <c r="J2927" s="3" t="s">
        <v>4753</v>
      </c>
      <c r="K2927" t="s">
        <v>4754</v>
      </c>
      <c r="L2927" t="s">
        <v>4755</v>
      </c>
      <c r="M2927" t="s">
        <v>32121</v>
      </c>
    </row>
    <row r="2928" spans="1:13" x14ac:dyDescent="0.25">
      <c r="A2928" t="s">
        <v>14434</v>
      </c>
      <c r="B2928" t="s">
        <v>13</v>
      </c>
      <c r="C2928" t="s">
        <v>14435</v>
      </c>
      <c r="D2928" t="s">
        <v>14436</v>
      </c>
      <c r="E2928" t="s">
        <v>14437</v>
      </c>
      <c r="F2928" t="s">
        <v>1190</v>
      </c>
      <c r="G2928" t="s">
        <v>14438</v>
      </c>
      <c r="H2928" t="s">
        <v>13456</v>
      </c>
      <c r="I2928" t="s">
        <v>19</v>
      </c>
      <c r="J2928" s="3">
        <f>55-27-33357013</f>
        <v>-33356985</v>
      </c>
      <c r="K2928" t="s">
        <v>14439</v>
      </c>
      <c r="L2928" t="s">
        <v>14440</v>
      </c>
      <c r="M2928" t="s">
        <v>432</v>
      </c>
    </row>
    <row r="2929" spans="1:13" x14ac:dyDescent="0.25">
      <c r="A2929" t="s">
        <v>28532</v>
      </c>
      <c r="B2929" t="s">
        <v>13</v>
      </c>
      <c r="C2929" t="s">
        <v>28533</v>
      </c>
      <c r="D2929" t="s">
        <v>28534</v>
      </c>
      <c r="E2929" t="s">
        <v>28535</v>
      </c>
      <c r="F2929" t="s">
        <v>10034</v>
      </c>
      <c r="G2929" t="s">
        <v>28536</v>
      </c>
      <c r="H2929" t="s">
        <v>352</v>
      </c>
      <c r="I2929" t="s">
        <v>19</v>
      </c>
      <c r="J2929" s="3">
        <f>5521-982189194</f>
        <v>-982183673</v>
      </c>
      <c r="K2929" t="s">
        <v>28537</v>
      </c>
      <c r="L2929" t="s">
        <v>1232</v>
      </c>
      <c r="M2929" t="s">
        <v>741</v>
      </c>
    </row>
    <row r="2930" spans="1:13" x14ac:dyDescent="0.25">
      <c r="A2930" t="s">
        <v>19711</v>
      </c>
      <c r="B2930" t="s">
        <v>13</v>
      </c>
      <c r="C2930" s="1">
        <v>43382</v>
      </c>
      <c r="D2930" t="s">
        <v>19712</v>
      </c>
      <c r="E2930" t="s">
        <v>19713</v>
      </c>
      <c r="F2930" t="s">
        <v>1464</v>
      </c>
      <c r="G2930" t="s">
        <v>18647</v>
      </c>
      <c r="H2930" t="s">
        <v>13456</v>
      </c>
      <c r="I2930" t="s">
        <v>19</v>
      </c>
      <c r="J2930" s="3">
        <f>55-27-33357013</f>
        <v>-33356985</v>
      </c>
      <c r="K2930" t="s">
        <v>18648</v>
      </c>
      <c r="L2930" t="s">
        <v>14440</v>
      </c>
      <c r="M2930" t="s">
        <v>741</v>
      </c>
    </row>
    <row r="2931" spans="1:13" x14ac:dyDescent="0.25">
      <c r="A2931" t="s">
        <v>19467</v>
      </c>
      <c r="B2931" t="s">
        <v>13</v>
      </c>
      <c r="C2931" t="s">
        <v>19453</v>
      </c>
      <c r="D2931" t="s">
        <v>19468</v>
      </c>
      <c r="E2931" t="s">
        <v>19469</v>
      </c>
      <c r="F2931" t="s">
        <v>57</v>
      </c>
      <c r="G2931" t="s">
        <v>13537</v>
      </c>
      <c r="H2931" t="s">
        <v>927</v>
      </c>
      <c r="I2931" t="s">
        <v>19</v>
      </c>
      <c r="J2931" s="3">
        <f>55-13-38783700</f>
        <v>-38783658</v>
      </c>
      <c r="K2931" t="s">
        <v>13538</v>
      </c>
      <c r="L2931" t="s">
        <v>439</v>
      </c>
      <c r="M2931" t="s">
        <v>57</v>
      </c>
    </row>
    <row r="2932" spans="1:13" x14ac:dyDescent="0.25">
      <c r="A2932" t="s">
        <v>18163</v>
      </c>
      <c r="B2932" t="s">
        <v>13</v>
      </c>
      <c r="C2932" t="s">
        <v>18157</v>
      </c>
      <c r="D2932" t="s">
        <v>18164</v>
      </c>
      <c r="E2932" s="2" t="s">
        <v>31895</v>
      </c>
      <c r="F2932" t="s">
        <v>6130</v>
      </c>
      <c r="G2932" t="s">
        <v>8493</v>
      </c>
      <c r="H2932" t="s">
        <v>1215</v>
      </c>
      <c r="I2932" t="s">
        <v>19</v>
      </c>
      <c r="J2932" s="3" t="s">
        <v>8494</v>
      </c>
      <c r="K2932" t="s">
        <v>8495</v>
      </c>
      <c r="L2932" t="s">
        <v>8429</v>
      </c>
      <c r="M2932" t="s">
        <v>32144</v>
      </c>
    </row>
    <row r="2933" spans="1:13" x14ac:dyDescent="0.25">
      <c r="A2933" t="s">
        <v>28930</v>
      </c>
      <c r="B2933" t="s">
        <v>13</v>
      </c>
      <c r="C2933" t="s">
        <v>28931</v>
      </c>
      <c r="D2933" t="s">
        <v>28932</v>
      </c>
      <c r="E2933" t="s">
        <v>28933</v>
      </c>
      <c r="F2933" t="s">
        <v>2947</v>
      </c>
      <c r="G2933" t="s">
        <v>27696</v>
      </c>
      <c r="H2933" t="s">
        <v>105</v>
      </c>
      <c r="I2933" t="s">
        <v>19</v>
      </c>
      <c r="J2933" s="3" t="s">
        <v>27697</v>
      </c>
      <c r="K2933" t="s">
        <v>27698</v>
      </c>
      <c r="L2933" t="s">
        <v>108</v>
      </c>
      <c r="M2933" t="s">
        <v>771</v>
      </c>
    </row>
    <row r="2934" spans="1:13" x14ac:dyDescent="0.25">
      <c r="A2934" t="s">
        <v>7878</v>
      </c>
      <c r="B2934" t="s">
        <v>13</v>
      </c>
      <c r="C2934" t="s">
        <v>7879</v>
      </c>
      <c r="D2934" t="s">
        <v>32135</v>
      </c>
      <c r="E2934" t="s">
        <v>7880</v>
      </c>
      <c r="F2934" t="s">
        <v>3563</v>
      </c>
      <c r="G2934" t="s">
        <v>7881</v>
      </c>
      <c r="H2934" t="s">
        <v>352</v>
      </c>
      <c r="I2934" t="s">
        <v>19</v>
      </c>
      <c r="J2934" s="3">
        <v>5521988944889</v>
      </c>
      <c r="K2934" t="s">
        <v>7882</v>
      </c>
      <c r="L2934" t="s">
        <v>32135</v>
      </c>
      <c r="M2934" t="s">
        <v>771</v>
      </c>
    </row>
    <row r="2935" spans="1:13" x14ac:dyDescent="0.25">
      <c r="A2935" t="s">
        <v>27446</v>
      </c>
      <c r="B2935" t="s">
        <v>13</v>
      </c>
      <c r="C2935" t="s">
        <v>27435</v>
      </c>
      <c r="D2935" t="s">
        <v>27447</v>
      </c>
      <c r="E2935" s="2" t="s">
        <v>31350</v>
      </c>
      <c r="F2935" t="s">
        <v>2947</v>
      </c>
      <c r="G2935" t="s">
        <v>27448</v>
      </c>
      <c r="H2935" t="s">
        <v>88</v>
      </c>
      <c r="I2935" t="s">
        <v>19</v>
      </c>
      <c r="J2935" s="3" t="s">
        <v>27449</v>
      </c>
      <c r="K2935" t="s">
        <v>27450</v>
      </c>
      <c r="L2935" t="s">
        <v>1137</v>
      </c>
      <c r="M2935" t="s">
        <v>771</v>
      </c>
    </row>
    <row r="2936" spans="1:13" x14ac:dyDescent="0.25">
      <c r="A2936" t="s">
        <v>4624</v>
      </c>
      <c r="B2936" t="s">
        <v>13</v>
      </c>
      <c r="C2936" t="s">
        <v>4625</v>
      </c>
      <c r="D2936" t="s">
        <v>32135</v>
      </c>
      <c r="E2936" t="s">
        <v>4626</v>
      </c>
      <c r="F2936" t="s">
        <v>3563</v>
      </c>
      <c r="G2936" t="s">
        <v>4627</v>
      </c>
      <c r="H2936" t="s">
        <v>36</v>
      </c>
      <c r="I2936" t="s">
        <v>19</v>
      </c>
      <c r="J2936" s="3" t="s">
        <v>4628</v>
      </c>
      <c r="K2936" t="s">
        <v>4629</v>
      </c>
      <c r="L2936" t="s">
        <v>4457</v>
      </c>
      <c r="M2936" t="s">
        <v>771</v>
      </c>
    </row>
    <row r="2937" spans="1:13" x14ac:dyDescent="0.25">
      <c r="A2937" t="s">
        <v>3559</v>
      </c>
      <c r="B2937" t="s">
        <v>13</v>
      </c>
      <c r="C2937" t="s">
        <v>3560</v>
      </c>
      <c r="D2937" t="s">
        <v>3561</v>
      </c>
      <c r="E2937" t="s">
        <v>3562</v>
      </c>
      <c r="F2937" t="s">
        <v>3563</v>
      </c>
      <c r="G2937" t="s">
        <v>3564</v>
      </c>
      <c r="H2937" t="s">
        <v>36</v>
      </c>
      <c r="I2937" t="s">
        <v>19</v>
      </c>
      <c r="J2937" s="3">
        <f>55-11-95604-5888</f>
        <v>-101448</v>
      </c>
      <c r="K2937" t="s">
        <v>3565</v>
      </c>
      <c r="L2937" t="s">
        <v>3566</v>
      </c>
      <c r="M2937" t="s">
        <v>771</v>
      </c>
    </row>
    <row r="2938" spans="1:13" x14ac:dyDescent="0.25">
      <c r="A2938" t="s">
        <v>3126</v>
      </c>
      <c r="B2938" t="s">
        <v>13</v>
      </c>
      <c r="C2938" s="1">
        <v>44719</v>
      </c>
      <c r="D2938" t="s">
        <v>3127</v>
      </c>
      <c r="E2938" s="2" t="s">
        <v>30768</v>
      </c>
      <c r="F2938" t="s">
        <v>253</v>
      </c>
      <c r="G2938" t="s">
        <v>3128</v>
      </c>
      <c r="H2938" t="s">
        <v>352</v>
      </c>
      <c r="I2938" t="s">
        <v>19</v>
      </c>
      <c r="J2938" s="3">
        <f>55-21-39386244</f>
        <v>-39386210</v>
      </c>
      <c r="K2938" t="s">
        <v>3129</v>
      </c>
      <c r="L2938" t="s">
        <v>3130</v>
      </c>
      <c r="M2938" t="s">
        <v>32149</v>
      </c>
    </row>
    <row r="2939" spans="1:13" x14ac:dyDescent="0.25">
      <c r="A2939" t="s">
        <v>28673</v>
      </c>
      <c r="B2939" t="s">
        <v>13</v>
      </c>
      <c r="C2939" t="s">
        <v>28674</v>
      </c>
      <c r="D2939" t="s">
        <v>28675</v>
      </c>
      <c r="E2939" t="s">
        <v>28676</v>
      </c>
      <c r="F2939" t="s">
        <v>2036</v>
      </c>
      <c r="G2939" t="s">
        <v>28677</v>
      </c>
      <c r="H2939" t="s">
        <v>1215</v>
      </c>
      <c r="I2939" t="s">
        <v>19</v>
      </c>
      <c r="J2939" s="3" t="s">
        <v>28678</v>
      </c>
      <c r="K2939" t="s">
        <v>28679</v>
      </c>
      <c r="L2939" t="s">
        <v>28680</v>
      </c>
      <c r="M2939" t="s">
        <v>57</v>
      </c>
    </row>
    <row r="2940" spans="1:13" x14ac:dyDescent="0.25">
      <c r="A2940" t="s">
        <v>27274</v>
      </c>
      <c r="B2940" t="s">
        <v>13</v>
      </c>
      <c r="C2940" s="1">
        <v>42288</v>
      </c>
      <c r="D2940" t="s">
        <v>27275</v>
      </c>
      <c r="E2940" t="s">
        <v>32416</v>
      </c>
      <c r="F2940" t="s">
        <v>1349</v>
      </c>
      <c r="G2940" t="s">
        <v>27276</v>
      </c>
      <c r="H2940" t="s">
        <v>936</v>
      </c>
      <c r="I2940" t="s">
        <v>19</v>
      </c>
      <c r="J2940" s="3" t="s">
        <v>27277</v>
      </c>
      <c r="K2940" t="s">
        <v>27278</v>
      </c>
      <c r="L2940" t="s">
        <v>22409</v>
      </c>
      <c r="M2940" t="s">
        <v>1349</v>
      </c>
    </row>
    <row r="2941" spans="1:13" x14ac:dyDescent="0.25">
      <c r="A2941" t="s">
        <v>9404</v>
      </c>
      <c r="B2941" t="s">
        <v>13</v>
      </c>
      <c r="C2941" s="1">
        <v>43840</v>
      </c>
      <c r="D2941" t="s">
        <v>9405</v>
      </c>
      <c r="E2941" t="s">
        <v>2069</v>
      </c>
      <c r="F2941" t="s">
        <v>741</v>
      </c>
      <c r="G2941" t="s">
        <v>9406</v>
      </c>
      <c r="H2941" t="s">
        <v>706</v>
      </c>
      <c r="I2941" t="s">
        <v>19</v>
      </c>
      <c r="J2941" s="3" t="s">
        <v>9407</v>
      </c>
      <c r="K2941" t="s">
        <v>9408</v>
      </c>
      <c r="L2941" t="s">
        <v>9409</v>
      </c>
      <c r="M2941" t="s">
        <v>741</v>
      </c>
    </row>
    <row r="2942" spans="1:13" x14ac:dyDescent="0.25">
      <c r="A2942" t="s">
        <v>16712</v>
      </c>
      <c r="B2942" t="s">
        <v>13</v>
      </c>
      <c r="C2942" t="s">
        <v>7631</v>
      </c>
      <c r="D2942" t="s">
        <v>16713</v>
      </c>
      <c r="E2942" s="2" t="s">
        <v>31161</v>
      </c>
      <c r="F2942" t="s">
        <v>741</v>
      </c>
      <c r="G2942" t="s">
        <v>16714</v>
      </c>
      <c r="H2942" t="s">
        <v>798</v>
      </c>
      <c r="I2942" t="s">
        <v>19</v>
      </c>
      <c r="J2942" s="3">
        <v>556131071753</v>
      </c>
      <c r="K2942" t="s">
        <v>16715</v>
      </c>
      <c r="L2942" t="s">
        <v>16716</v>
      </c>
      <c r="M2942" t="s">
        <v>741</v>
      </c>
    </row>
    <row r="2943" spans="1:13" x14ac:dyDescent="0.25">
      <c r="A2943" t="s">
        <v>27405</v>
      </c>
      <c r="B2943" t="s">
        <v>13</v>
      </c>
      <c r="C2943" t="s">
        <v>27398</v>
      </c>
      <c r="D2943" t="s">
        <v>27406</v>
      </c>
      <c r="E2943" t="s">
        <v>27407</v>
      </c>
      <c r="F2943" t="s">
        <v>1464</v>
      </c>
      <c r="G2943" t="s">
        <v>27408</v>
      </c>
      <c r="H2943" t="s">
        <v>36</v>
      </c>
      <c r="I2943" t="s">
        <v>19</v>
      </c>
      <c r="J2943" s="3" t="s">
        <v>27409</v>
      </c>
      <c r="K2943" t="s">
        <v>27410</v>
      </c>
      <c r="L2943" t="s">
        <v>27411</v>
      </c>
      <c r="M2943" t="s">
        <v>1775</v>
      </c>
    </row>
    <row r="2944" spans="1:13" x14ac:dyDescent="0.25">
      <c r="A2944" t="s">
        <v>27938</v>
      </c>
      <c r="B2944" t="s">
        <v>13</v>
      </c>
      <c r="C2944" t="s">
        <v>27932</v>
      </c>
      <c r="D2944" t="s">
        <v>27939</v>
      </c>
      <c r="E2944" t="s">
        <v>2021</v>
      </c>
      <c r="F2944" t="s">
        <v>10034</v>
      </c>
      <c r="G2944" t="s">
        <v>27940</v>
      </c>
      <c r="H2944" t="s">
        <v>753</v>
      </c>
      <c r="I2944" t="s">
        <v>19</v>
      </c>
      <c r="J2944" s="3">
        <v>556733453662</v>
      </c>
      <c r="K2944" t="s">
        <v>27941</v>
      </c>
      <c r="L2944" t="s">
        <v>27942</v>
      </c>
      <c r="M2944" t="s">
        <v>741</v>
      </c>
    </row>
    <row r="2945" spans="1:13" x14ac:dyDescent="0.25">
      <c r="A2945" t="s">
        <v>2019</v>
      </c>
      <c r="B2945" t="s">
        <v>13</v>
      </c>
      <c r="C2945" t="s">
        <v>1980</v>
      </c>
      <c r="D2945" t="s">
        <v>2020</v>
      </c>
      <c r="E2945" t="s">
        <v>2021</v>
      </c>
      <c r="F2945" t="s">
        <v>2022</v>
      </c>
      <c r="G2945" t="s">
        <v>2023</v>
      </c>
      <c r="H2945" t="s">
        <v>2024</v>
      </c>
      <c r="I2945" t="s">
        <v>19</v>
      </c>
      <c r="J2945" s="3">
        <f>55-65-36158859</f>
        <v>-36158869</v>
      </c>
      <c r="K2945" t="s">
        <v>2025</v>
      </c>
      <c r="L2945" t="s">
        <v>2026</v>
      </c>
      <c r="M2945" t="s">
        <v>741</v>
      </c>
    </row>
    <row r="2946" spans="1:13" x14ac:dyDescent="0.25">
      <c r="A2946" t="s">
        <v>15979</v>
      </c>
      <c r="B2946" t="s">
        <v>13</v>
      </c>
      <c r="C2946" t="s">
        <v>15974</v>
      </c>
      <c r="D2946" t="s">
        <v>15980</v>
      </c>
      <c r="E2946" t="s">
        <v>15764</v>
      </c>
      <c r="F2946" t="s">
        <v>4639</v>
      </c>
      <c r="G2946" t="s">
        <v>15981</v>
      </c>
      <c r="H2946" t="s">
        <v>2206</v>
      </c>
      <c r="I2946" t="s">
        <v>19</v>
      </c>
      <c r="J2946" s="3">
        <f>55-83-99075034</f>
        <v>-99075062</v>
      </c>
      <c r="K2946" t="s">
        <v>15982</v>
      </c>
      <c r="L2946" t="s">
        <v>15983</v>
      </c>
      <c r="M2946" t="s">
        <v>785</v>
      </c>
    </row>
    <row r="2947" spans="1:13" x14ac:dyDescent="0.25">
      <c r="A2947" t="s">
        <v>13909</v>
      </c>
      <c r="B2947" t="s">
        <v>13</v>
      </c>
      <c r="C2947" t="s">
        <v>7230</v>
      </c>
      <c r="D2947" t="s">
        <v>13910</v>
      </c>
      <c r="E2947" s="2" t="s">
        <v>31682</v>
      </c>
      <c r="F2947" t="s">
        <v>10034</v>
      </c>
      <c r="G2947" t="s">
        <v>13911</v>
      </c>
      <c r="H2947" t="s">
        <v>517</v>
      </c>
      <c r="I2947" t="s">
        <v>19</v>
      </c>
      <c r="J2947" s="3" t="s">
        <v>13912</v>
      </c>
      <c r="K2947" t="s">
        <v>13913</v>
      </c>
      <c r="L2947" t="s">
        <v>4617</v>
      </c>
      <c r="M2947" t="s">
        <v>741</v>
      </c>
    </row>
    <row r="2948" spans="1:13" x14ac:dyDescent="0.25">
      <c r="A2948" t="s">
        <v>24202</v>
      </c>
      <c r="B2948" t="s">
        <v>13</v>
      </c>
      <c r="C2948" s="1">
        <v>42741</v>
      </c>
      <c r="D2948" t="s">
        <v>24203</v>
      </c>
      <c r="E2948" t="s">
        <v>24204</v>
      </c>
      <c r="F2948" t="s">
        <v>10034</v>
      </c>
      <c r="G2948" t="s">
        <v>24205</v>
      </c>
      <c r="H2948" t="s">
        <v>352</v>
      </c>
      <c r="I2948" t="s">
        <v>19</v>
      </c>
      <c r="J2948" s="3" t="s">
        <v>24206</v>
      </c>
      <c r="K2948" t="s">
        <v>24207</v>
      </c>
      <c r="L2948" t="s">
        <v>24208</v>
      </c>
      <c r="M2948" t="s">
        <v>741</v>
      </c>
    </row>
    <row r="2949" spans="1:13" x14ac:dyDescent="0.25">
      <c r="A2949" t="s">
        <v>15762</v>
      </c>
      <c r="B2949" t="s">
        <v>13</v>
      </c>
      <c r="C2949" s="1">
        <v>43534</v>
      </c>
      <c r="D2949" t="s">
        <v>15763</v>
      </c>
      <c r="E2949" s="2" t="s">
        <v>32146</v>
      </c>
      <c r="F2949" t="s">
        <v>10034</v>
      </c>
      <c r="G2949" t="s">
        <v>15765</v>
      </c>
      <c r="H2949" t="s">
        <v>2564</v>
      </c>
      <c r="I2949" t="s">
        <v>19</v>
      </c>
      <c r="J2949" s="3" t="s">
        <v>15766</v>
      </c>
      <c r="K2949" t="s">
        <v>15767</v>
      </c>
      <c r="L2949" t="s">
        <v>2026</v>
      </c>
      <c r="M2949" t="s">
        <v>741</v>
      </c>
    </row>
    <row r="2950" spans="1:13" x14ac:dyDescent="0.25">
      <c r="A2950" t="s">
        <v>17769</v>
      </c>
      <c r="B2950" t="s">
        <v>101</v>
      </c>
      <c r="C2950" t="s">
        <v>17764</v>
      </c>
      <c r="D2950" t="s">
        <v>17770</v>
      </c>
      <c r="E2950" s="2" t="s">
        <v>31184</v>
      </c>
      <c r="F2950" t="s">
        <v>741</v>
      </c>
      <c r="G2950" t="s">
        <v>8048</v>
      </c>
      <c r="H2950" t="s">
        <v>352</v>
      </c>
      <c r="I2950" t="s">
        <v>19</v>
      </c>
      <c r="J2950" s="3">
        <v>552123340703</v>
      </c>
      <c r="K2950" t="s">
        <v>8049</v>
      </c>
      <c r="L2950" t="s">
        <v>550</v>
      </c>
      <c r="M2950" t="s">
        <v>741</v>
      </c>
    </row>
    <row r="2951" spans="1:13" x14ac:dyDescent="0.25">
      <c r="A2951" t="s">
        <v>6690</v>
      </c>
      <c r="B2951" t="s">
        <v>13</v>
      </c>
      <c r="C2951" s="1">
        <v>44508</v>
      </c>
      <c r="D2951" t="s">
        <v>32135</v>
      </c>
      <c r="E2951" s="2" t="s">
        <v>31925</v>
      </c>
      <c r="F2951" t="s">
        <v>2021</v>
      </c>
      <c r="G2951" t="s">
        <v>6691</v>
      </c>
      <c r="H2951" t="s">
        <v>352</v>
      </c>
      <c r="I2951" t="s">
        <v>19</v>
      </c>
      <c r="J2951" s="3">
        <v>21964978094</v>
      </c>
      <c r="K2951" t="s">
        <v>6692</v>
      </c>
      <c r="L2951" t="s">
        <v>32135</v>
      </c>
      <c r="M2951" t="s">
        <v>741</v>
      </c>
    </row>
    <row r="2952" spans="1:13" x14ac:dyDescent="0.25">
      <c r="A2952" t="s">
        <v>21170</v>
      </c>
      <c r="B2952" t="s">
        <v>13</v>
      </c>
      <c r="C2952" s="1">
        <v>43137</v>
      </c>
      <c r="D2952" t="s">
        <v>21171</v>
      </c>
      <c r="E2952" s="2" t="s">
        <v>32417</v>
      </c>
      <c r="F2952" t="s">
        <v>2758</v>
      </c>
      <c r="G2952" t="s">
        <v>21172</v>
      </c>
      <c r="H2952" t="s">
        <v>1802</v>
      </c>
      <c r="I2952" t="s">
        <v>19</v>
      </c>
      <c r="J2952" s="3" t="s">
        <v>21173</v>
      </c>
      <c r="K2952" t="s">
        <v>21174</v>
      </c>
      <c r="L2952" t="s">
        <v>21175</v>
      </c>
      <c r="M2952" t="s">
        <v>32149</v>
      </c>
    </row>
    <row r="2953" spans="1:13" x14ac:dyDescent="0.25">
      <c r="A2953" t="s">
        <v>5806</v>
      </c>
      <c r="B2953" t="s">
        <v>13</v>
      </c>
      <c r="C2953" t="s">
        <v>5807</v>
      </c>
      <c r="D2953" t="s">
        <v>32135</v>
      </c>
      <c r="E2953" t="s">
        <v>5808</v>
      </c>
      <c r="F2953" t="s">
        <v>5808</v>
      </c>
      <c r="G2953" t="s">
        <v>5809</v>
      </c>
      <c r="H2953" t="s">
        <v>936</v>
      </c>
      <c r="I2953" t="s">
        <v>19</v>
      </c>
      <c r="J2953" s="3">
        <v>557132837400</v>
      </c>
      <c r="K2953" t="s">
        <v>5810</v>
      </c>
      <c r="L2953" t="s">
        <v>32135</v>
      </c>
      <c r="M2953" t="s">
        <v>741</v>
      </c>
    </row>
    <row r="2954" spans="1:13" x14ac:dyDescent="0.25">
      <c r="A2954" t="s">
        <v>225</v>
      </c>
      <c r="B2954" t="s">
        <v>13</v>
      </c>
      <c r="C2954" t="s">
        <v>199</v>
      </c>
      <c r="D2954" t="s">
        <v>226</v>
      </c>
      <c r="E2954" t="s">
        <v>30676</v>
      </c>
      <c r="F2954" t="s">
        <v>227</v>
      </c>
      <c r="G2954" t="s">
        <v>228</v>
      </c>
      <c r="H2954" t="s">
        <v>229</v>
      </c>
      <c r="I2954" t="s">
        <v>19</v>
      </c>
      <c r="J2954" s="3" t="s">
        <v>230</v>
      </c>
      <c r="K2954" t="s">
        <v>231</v>
      </c>
      <c r="L2954" t="s">
        <v>232</v>
      </c>
      <c r="M2954" t="s">
        <v>1349</v>
      </c>
    </row>
    <row r="2955" spans="1:13" x14ac:dyDescent="0.25">
      <c r="A2955" t="s">
        <v>15321</v>
      </c>
      <c r="B2955" t="s">
        <v>13</v>
      </c>
      <c r="C2955" t="s">
        <v>15322</v>
      </c>
      <c r="D2955" t="s">
        <v>15323</v>
      </c>
      <c r="E2955" s="2" t="s">
        <v>31124</v>
      </c>
      <c r="F2955" t="s">
        <v>1349</v>
      </c>
      <c r="G2955" t="s">
        <v>15324</v>
      </c>
      <c r="H2955" t="s">
        <v>36</v>
      </c>
      <c r="I2955" t="s">
        <v>19</v>
      </c>
      <c r="J2955" s="3">
        <v>5501155761062</v>
      </c>
      <c r="K2955" t="s">
        <v>6272</v>
      </c>
      <c r="L2955" t="s">
        <v>15325</v>
      </c>
      <c r="M2955" t="s">
        <v>1349</v>
      </c>
    </row>
    <row r="2956" spans="1:13" x14ac:dyDescent="0.25">
      <c r="A2956" t="s">
        <v>12983</v>
      </c>
      <c r="B2956" t="s">
        <v>13</v>
      </c>
      <c r="C2956" s="1">
        <v>44138</v>
      </c>
      <c r="D2956" t="s">
        <v>12984</v>
      </c>
      <c r="E2956" t="s">
        <v>12985</v>
      </c>
      <c r="F2956" t="s">
        <v>1464</v>
      </c>
      <c r="G2956" t="s">
        <v>12986</v>
      </c>
      <c r="H2956" t="s">
        <v>372</v>
      </c>
      <c r="I2956" t="s">
        <v>19</v>
      </c>
      <c r="J2956" s="3">
        <f>55-19-21065320</f>
        <v>-21065284</v>
      </c>
      <c r="K2956" t="s">
        <v>12987</v>
      </c>
      <c r="L2956" t="s">
        <v>9980</v>
      </c>
      <c r="M2956" t="s">
        <v>337</v>
      </c>
    </row>
    <row r="2957" spans="1:13" x14ac:dyDescent="0.25">
      <c r="A2957" t="s">
        <v>11631</v>
      </c>
      <c r="B2957" t="s">
        <v>13</v>
      </c>
      <c r="C2957" t="s">
        <v>11609</v>
      </c>
      <c r="D2957" t="s">
        <v>11632</v>
      </c>
      <c r="E2957" t="s">
        <v>11633</v>
      </c>
      <c r="F2957" t="s">
        <v>1464</v>
      </c>
      <c r="G2957" t="s">
        <v>11634</v>
      </c>
      <c r="H2957" t="s">
        <v>3416</v>
      </c>
      <c r="I2957" t="s">
        <v>19</v>
      </c>
      <c r="J2957" s="3">
        <f>55-16-33016300</f>
        <v>-33016261</v>
      </c>
      <c r="K2957" t="s">
        <v>11635</v>
      </c>
      <c r="L2957" t="s">
        <v>2548</v>
      </c>
      <c r="M2957" t="s">
        <v>785</v>
      </c>
    </row>
    <row r="2958" spans="1:13" x14ac:dyDescent="0.25">
      <c r="A2958" t="s">
        <v>365</v>
      </c>
      <c r="B2958" t="s">
        <v>13</v>
      </c>
      <c r="C2958" t="s">
        <v>366</v>
      </c>
      <c r="D2958" t="s">
        <v>367</v>
      </c>
      <c r="E2958" t="s">
        <v>368</v>
      </c>
      <c r="F2958" t="s">
        <v>369</v>
      </c>
      <c r="G2958" t="s">
        <v>371</v>
      </c>
      <c r="H2958" t="s">
        <v>372</v>
      </c>
      <c r="I2958" t="s">
        <v>19</v>
      </c>
      <c r="J2958" s="3" t="s">
        <v>373</v>
      </c>
      <c r="K2958" t="s">
        <v>374</v>
      </c>
      <c r="L2958" t="s">
        <v>375</v>
      </c>
      <c r="M2958" t="s">
        <v>337</v>
      </c>
    </row>
    <row r="2959" spans="1:13" x14ac:dyDescent="0.25">
      <c r="A2959" t="s">
        <v>8697</v>
      </c>
      <c r="B2959" t="s">
        <v>101</v>
      </c>
      <c r="C2959" t="s">
        <v>8633</v>
      </c>
      <c r="D2959" t="s">
        <v>8698</v>
      </c>
      <c r="E2959" s="2" t="s">
        <v>30957</v>
      </c>
      <c r="F2959" t="s">
        <v>8699</v>
      </c>
      <c r="G2959" t="s">
        <v>7372</v>
      </c>
      <c r="H2959" t="s">
        <v>36</v>
      </c>
      <c r="I2959" t="s">
        <v>19</v>
      </c>
      <c r="J2959" s="3">
        <v>551130917883</v>
      </c>
      <c r="K2959" t="s">
        <v>7373</v>
      </c>
      <c r="L2959" t="s">
        <v>3512</v>
      </c>
      <c r="M2959" t="s">
        <v>32176</v>
      </c>
    </row>
    <row r="2960" spans="1:13" x14ac:dyDescent="0.25">
      <c r="A2960" t="s">
        <v>5227</v>
      </c>
      <c r="B2960" t="s">
        <v>13</v>
      </c>
      <c r="C2960" t="s">
        <v>5214</v>
      </c>
      <c r="D2960" t="s">
        <v>32135</v>
      </c>
      <c r="E2960" t="s">
        <v>5228</v>
      </c>
      <c r="F2960" t="s">
        <v>1893</v>
      </c>
      <c r="G2960" t="s">
        <v>5229</v>
      </c>
      <c r="H2960" t="s">
        <v>2678</v>
      </c>
      <c r="I2960" t="s">
        <v>19</v>
      </c>
      <c r="J2960" s="3">
        <f>55-53-981527588</f>
        <v>-981527586</v>
      </c>
      <c r="K2960" t="s">
        <v>5230</v>
      </c>
      <c r="L2960" t="s">
        <v>32135</v>
      </c>
      <c r="M2960" t="s">
        <v>1775</v>
      </c>
    </row>
    <row r="2961" spans="1:13" x14ac:dyDescent="0.25">
      <c r="A2961" t="s">
        <v>25618</v>
      </c>
      <c r="B2961" t="s">
        <v>13</v>
      </c>
      <c r="C2961" t="s">
        <v>25619</v>
      </c>
      <c r="D2961" t="s">
        <v>25620</v>
      </c>
      <c r="E2961" t="s">
        <v>25621</v>
      </c>
      <c r="F2961" t="s">
        <v>2758</v>
      </c>
      <c r="G2961" t="s">
        <v>25622</v>
      </c>
      <c r="H2961" t="s">
        <v>5178</v>
      </c>
      <c r="I2961" t="s">
        <v>19</v>
      </c>
      <c r="J2961" s="3" t="s">
        <v>25623</v>
      </c>
      <c r="K2961" t="s">
        <v>25624</v>
      </c>
      <c r="L2961" t="s">
        <v>285</v>
      </c>
      <c r="M2961" t="s">
        <v>32149</v>
      </c>
    </row>
    <row r="2962" spans="1:13" x14ac:dyDescent="0.25">
      <c r="A2962" t="s">
        <v>21208</v>
      </c>
      <c r="B2962" t="s">
        <v>13</v>
      </c>
      <c r="C2962" t="s">
        <v>21193</v>
      </c>
      <c r="D2962" t="s">
        <v>21209</v>
      </c>
      <c r="E2962" t="s">
        <v>21210</v>
      </c>
      <c r="F2962" t="s">
        <v>1464</v>
      </c>
      <c r="G2962" t="s">
        <v>21211</v>
      </c>
      <c r="H2962" t="s">
        <v>255</v>
      </c>
      <c r="I2962" t="s">
        <v>19</v>
      </c>
      <c r="J2962" s="3">
        <f>55-62-39916012</f>
        <v>-39916019</v>
      </c>
      <c r="K2962" t="s">
        <v>21212</v>
      </c>
      <c r="L2962" t="s">
        <v>21213</v>
      </c>
      <c r="M2962" t="s">
        <v>57</v>
      </c>
    </row>
    <row r="2963" spans="1:13" x14ac:dyDescent="0.25">
      <c r="A2963" t="s">
        <v>15724</v>
      </c>
      <c r="B2963" t="s">
        <v>13</v>
      </c>
      <c r="C2963" s="1">
        <v>43656</v>
      </c>
      <c r="D2963" t="s">
        <v>15725</v>
      </c>
      <c r="E2963" t="s">
        <v>15726</v>
      </c>
      <c r="F2963" t="s">
        <v>10500</v>
      </c>
      <c r="G2963" t="s">
        <v>15727</v>
      </c>
      <c r="H2963" t="s">
        <v>428</v>
      </c>
      <c r="I2963" t="s">
        <v>19</v>
      </c>
      <c r="J2963" s="3">
        <f>55-51-991525376</f>
        <v>-991525372</v>
      </c>
      <c r="K2963" t="s">
        <v>15728</v>
      </c>
      <c r="L2963" t="s">
        <v>3299</v>
      </c>
      <c r="M2963" t="s">
        <v>129</v>
      </c>
    </row>
    <row r="2964" spans="1:13" x14ac:dyDescent="0.25">
      <c r="A2964" t="s">
        <v>3689</v>
      </c>
      <c r="B2964" t="s">
        <v>13</v>
      </c>
      <c r="C2964" s="1">
        <v>44717</v>
      </c>
      <c r="D2964" t="s">
        <v>3690</v>
      </c>
      <c r="E2964" t="s">
        <v>3691</v>
      </c>
      <c r="F2964" t="s">
        <v>3692</v>
      </c>
      <c r="G2964" t="s">
        <v>3693</v>
      </c>
      <c r="H2964" t="s">
        <v>540</v>
      </c>
      <c r="I2964" t="s">
        <v>19</v>
      </c>
      <c r="J2964" s="3">
        <f>55-91-32010961</f>
        <v>-32010997</v>
      </c>
      <c r="K2964" t="s">
        <v>3694</v>
      </c>
      <c r="L2964" t="s">
        <v>3695</v>
      </c>
      <c r="M2964" t="s">
        <v>32145</v>
      </c>
    </row>
    <row r="2965" spans="1:13" x14ac:dyDescent="0.25">
      <c r="A2965" t="s">
        <v>92</v>
      </c>
      <c r="B2965" t="s">
        <v>13</v>
      </c>
      <c r="C2965" s="1">
        <v>44959</v>
      </c>
      <c r="D2965" t="s">
        <v>93</v>
      </c>
      <c r="E2965" t="s">
        <v>94</v>
      </c>
      <c r="F2965" t="s">
        <v>95</v>
      </c>
      <c r="G2965" t="s">
        <v>96</v>
      </c>
      <c r="H2965" t="s">
        <v>45</v>
      </c>
      <c r="I2965" t="s">
        <v>19</v>
      </c>
      <c r="J2965" s="3" t="s">
        <v>97</v>
      </c>
      <c r="K2965" t="s">
        <v>98</v>
      </c>
      <c r="L2965" t="s">
        <v>99</v>
      </c>
      <c r="M2965" t="s">
        <v>337</v>
      </c>
    </row>
    <row r="2966" spans="1:13" x14ac:dyDescent="0.25">
      <c r="A2966" t="s">
        <v>24385</v>
      </c>
      <c r="B2966" t="s">
        <v>13</v>
      </c>
      <c r="C2966" s="1">
        <v>43012</v>
      </c>
      <c r="D2966" t="s">
        <v>24386</v>
      </c>
      <c r="E2966" t="s">
        <v>24387</v>
      </c>
      <c r="F2966" t="s">
        <v>117</v>
      </c>
      <c r="G2966" t="s">
        <v>24388</v>
      </c>
      <c r="H2966" t="s">
        <v>299</v>
      </c>
      <c r="I2966" t="s">
        <v>19</v>
      </c>
      <c r="J2966" s="3">
        <f>55-14-996095577</f>
        <v>-996095536</v>
      </c>
      <c r="K2966" t="s">
        <v>24389</v>
      </c>
      <c r="L2966" t="s">
        <v>13988</v>
      </c>
      <c r="M2966" t="s">
        <v>32145</v>
      </c>
    </row>
    <row r="2967" spans="1:13" x14ac:dyDescent="0.25">
      <c r="A2967" t="s">
        <v>12877</v>
      </c>
      <c r="B2967" t="s">
        <v>13</v>
      </c>
      <c r="C2967" t="s">
        <v>12867</v>
      </c>
      <c r="D2967" t="s">
        <v>12878</v>
      </c>
      <c r="E2967" s="2" t="s">
        <v>31916</v>
      </c>
      <c r="F2967" t="s">
        <v>1464</v>
      </c>
      <c r="G2967" t="s">
        <v>3254</v>
      </c>
      <c r="H2967" t="s">
        <v>352</v>
      </c>
      <c r="I2967" t="s">
        <v>19</v>
      </c>
      <c r="J2967" s="3">
        <v>2139382480</v>
      </c>
      <c r="K2967" t="s">
        <v>12879</v>
      </c>
      <c r="L2967" t="s">
        <v>11571</v>
      </c>
      <c r="M2967" t="s">
        <v>32185</v>
      </c>
    </row>
    <row r="2968" spans="1:13" x14ac:dyDescent="0.25">
      <c r="A2968" t="s">
        <v>21628</v>
      </c>
      <c r="B2968" t="s">
        <v>13</v>
      </c>
      <c r="C2968" s="1">
        <v>43286</v>
      </c>
      <c r="D2968" t="s">
        <v>21629</v>
      </c>
      <c r="E2968" s="2" t="s">
        <v>31756</v>
      </c>
      <c r="F2968" t="s">
        <v>1464</v>
      </c>
      <c r="G2968" t="s">
        <v>21630</v>
      </c>
      <c r="H2968" t="s">
        <v>4948</v>
      </c>
      <c r="I2968" t="s">
        <v>19</v>
      </c>
      <c r="J2968" s="3">
        <f>55-15-991219485</f>
        <v>-991219445</v>
      </c>
      <c r="K2968" t="s">
        <v>21631</v>
      </c>
      <c r="L2968" t="s">
        <v>21632</v>
      </c>
      <c r="M2968" t="s">
        <v>337</v>
      </c>
    </row>
    <row r="2969" spans="1:13" x14ac:dyDescent="0.25">
      <c r="A2969" t="s">
        <v>19500</v>
      </c>
      <c r="B2969" t="s">
        <v>13</v>
      </c>
      <c r="C2969" t="s">
        <v>19478</v>
      </c>
      <c r="D2969" t="s">
        <v>19501</v>
      </c>
      <c r="E2969" t="s">
        <v>19502</v>
      </c>
      <c r="F2969" t="s">
        <v>6686</v>
      </c>
      <c r="G2969" t="s">
        <v>1315</v>
      </c>
      <c r="H2969" t="s">
        <v>195</v>
      </c>
      <c r="I2969" t="s">
        <v>19</v>
      </c>
      <c r="J2969" s="3" t="s">
        <v>19503</v>
      </c>
      <c r="K2969" t="s">
        <v>19504</v>
      </c>
      <c r="L2969" t="s">
        <v>197</v>
      </c>
      <c r="M2969" t="s">
        <v>337</v>
      </c>
    </row>
    <row r="2970" spans="1:13" x14ac:dyDescent="0.25">
      <c r="A2970" t="s">
        <v>12166</v>
      </c>
      <c r="B2970" t="s">
        <v>13</v>
      </c>
      <c r="C2970" t="s">
        <v>12161</v>
      </c>
      <c r="D2970" t="s">
        <v>12167</v>
      </c>
      <c r="E2970" s="2" t="s">
        <v>31796</v>
      </c>
      <c r="F2970" t="s">
        <v>337</v>
      </c>
      <c r="G2970" t="s">
        <v>12168</v>
      </c>
      <c r="H2970" t="s">
        <v>706</v>
      </c>
      <c r="I2970" t="s">
        <v>19</v>
      </c>
      <c r="J2970" s="3">
        <v>5531999780887</v>
      </c>
      <c r="K2970" t="s">
        <v>12169</v>
      </c>
      <c r="L2970" t="s">
        <v>12170</v>
      </c>
      <c r="M2970" t="s">
        <v>337</v>
      </c>
    </row>
    <row r="2971" spans="1:13" x14ac:dyDescent="0.25">
      <c r="A2971" t="s">
        <v>23962</v>
      </c>
      <c r="B2971" t="s">
        <v>13</v>
      </c>
      <c r="C2971" t="s">
        <v>23963</v>
      </c>
      <c r="D2971" t="s">
        <v>23964</v>
      </c>
      <c r="E2971" t="s">
        <v>23965</v>
      </c>
      <c r="F2971" t="s">
        <v>337</v>
      </c>
      <c r="G2971" t="s">
        <v>23966</v>
      </c>
      <c r="H2971" t="s">
        <v>409</v>
      </c>
      <c r="I2971" t="s">
        <v>19</v>
      </c>
      <c r="J2971" s="3" t="s">
        <v>23967</v>
      </c>
      <c r="K2971" t="s">
        <v>23968</v>
      </c>
      <c r="L2971" t="s">
        <v>23969</v>
      </c>
      <c r="M2971" t="s">
        <v>337</v>
      </c>
    </row>
    <row r="2972" spans="1:13" x14ac:dyDescent="0.25">
      <c r="A2972" t="s">
        <v>26272</v>
      </c>
      <c r="B2972" t="s">
        <v>101</v>
      </c>
      <c r="C2972" t="s">
        <v>26253</v>
      </c>
      <c r="D2972" t="s">
        <v>26273</v>
      </c>
      <c r="E2972" t="s">
        <v>26274</v>
      </c>
      <c r="F2972" t="s">
        <v>6686</v>
      </c>
      <c r="G2972" t="s">
        <v>26275</v>
      </c>
      <c r="H2972" t="s">
        <v>26276</v>
      </c>
      <c r="I2972" t="s">
        <v>19</v>
      </c>
      <c r="J2972" s="3">
        <v>554497420423</v>
      </c>
      <c r="K2972" t="s">
        <v>26277</v>
      </c>
      <c r="L2972" t="s">
        <v>26278</v>
      </c>
      <c r="M2972" t="s">
        <v>337</v>
      </c>
    </row>
    <row r="2973" spans="1:13" x14ac:dyDescent="0.25">
      <c r="A2973" t="s">
        <v>21140</v>
      </c>
      <c r="B2973" t="s">
        <v>13</v>
      </c>
      <c r="C2973" s="1">
        <v>43226</v>
      </c>
      <c r="D2973" t="s">
        <v>21141</v>
      </c>
      <c r="E2973" t="s">
        <v>21142</v>
      </c>
      <c r="F2973" t="s">
        <v>10034</v>
      </c>
      <c r="G2973" t="s">
        <v>21143</v>
      </c>
      <c r="H2973" t="s">
        <v>170</v>
      </c>
      <c r="I2973" t="s">
        <v>19</v>
      </c>
      <c r="J2973" s="3">
        <f>55-12-3876-1999</f>
        <v>-5832</v>
      </c>
      <c r="K2973" t="s">
        <v>21144</v>
      </c>
      <c r="L2973" t="s">
        <v>21145</v>
      </c>
      <c r="M2973" t="s">
        <v>741</v>
      </c>
    </row>
    <row r="2974" spans="1:13" x14ac:dyDescent="0.25">
      <c r="A2974" t="s">
        <v>21966</v>
      </c>
      <c r="B2974" t="s">
        <v>13</v>
      </c>
      <c r="C2974" s="1">
        <v>43104</v>
      </c>
      <c r="D2974" t="s">
        <v>21967</v>
      </c>
      <c r="E2974" t="s">
        <v>21968</v>
      </c>
      <c r="F2974" t="s">
        <v>6686</v>
      </c>
      <c r="G2974" t="s">
        <v>21969</v>
      </c>
      <c r="H2974" t="s">
        <v>45</v>
      </c>
      <c r="I2974" t="s">
        <v>19</v>
      </c>
      <c r="J2974" s="3">
        <f>55-85-999974064</f>
        <v>-999974094</v>
      </c>
      <c r="K2974" t="s">
        <v>21970</v>
      </c>
      <c r="L2974" t="s">
        <v>3108</v>
      </c>
      <c r="M2974" t="s">
        <v>337</v>
      </c>
    </row>
    <row r="2975" spans="1:13" x14ac:dyDescent="0.25">
      <c r="A2975" t="s">
        <v>13549</v>
      </c>
      <c r="B2975" t="s">
        <v>13</v>
      </c>
      <c r="C2975" t="s">
        <v>13550</v>
      </c>
      <c r="D2975" t="s">
        <v>13551</v>
      </c>
      <c r="E2975" s="2" t="s">
        <v>31434</v>
      </c>
      <c r="F2975" t="s">
        <v>1349</v>
      </c>
      <c r="G2975" t="s">
        <v>13552</v>
      </c>
      <c r="H2975" t="s">
        <v>18</v>
      </c>
      <c r="I2975" t="s">
        <v>19</v>
      </c>
      <c r="J2975" s="3">
        <f>55-19-35218990</f>
        <v>-35218954</v>
      </c>
      <c r="K2975" t="s">
        <v>13553</v>
      </c>
      <c r="L2975" t="s">
        <v>12159</v>
      </c>
      <c r="M2975" t="s">
        <v>1349</v>
      </c>
    </row>
    <row r="2976" spans="1:13" x14ac:dyDescent="0.25">
      <c r="A2976" t="s">
        <v>30566</v>
      </c>
      <c r="B2976" t="s">
        <v>13</v>
      </c>
      <c r="C2976" s="1">
        <v>40552</v>
      </c>
      <c r="D2976" t="s">
        <v>30567</v>
      </c>
      <c r="E2976" t="s">
        <v>30568</v>
      </c>
      <c r="F2976" t="s">
        <v>6686</v>
      </c>
      <c r="G2976" t="s">
        <v>11459</v>
      </c>
      <c r="H2976" t="s">
        <v>1802</v>
      </c>
      <c r="I2976" t="s">
        <v>19</v>
      </c>
      <c r="J2976" s="3" t="s">
        <v>30569</v>
      </c>
      <c r="K2976" t="s">
        <v>30570</v>
      </c>
      <c r="L2976" t="s">
        <v>1963</v>
      </c>
      <c r="M2976" t="s">
        <v>337</v>
      </c>
    </row>
    <row r="2977" spans="1:13" x14ac:dyDescent="0.25">
      <c r="A2977" t="s">
        <v>25156</v>
      </c>
      <c r="B2977" t="s">
        <v>13</v>
      </c>
      <c r="C2977" t="s">
        <v>25157</v>
      </c>
      <c r="D2977" t="s">
        <v>25158</v>
      </c>
      <c r="E2977" t="s">
        <v>25159</v>
      </c>
      <c r="F2977" t="s">
        <v>117</v>
      </c>
      <c r="G2977" t="s">
        <v>1081</v>
      </c>
      <c r="H2977" t="s">
        <v>489</v>
      </c>
      <c r="I2977" t="s">
        <v>19</v>
      </c>
      <c r="J2977" s="3" t="s">
        <v>25160</v>
      </c>
      <c r="K2977" t="s">
        <v>11449</v>
      </c>
      <c r="L2977" t="s">
        <v>625</v>
      </c>
      <c r="M2977" t="s">
        <v>32145</v>
      </c>
    </row>
    <row r="2978" spans="1:13" x14ac:dyDescent="0.25">
      <c r="A2978" t="s">
        <v>4025</v>
      </c>
      <c r="B2978" t="s">
        <v>13</v>
      </c>
      <c r="C2978" s="1">
        <v>44685</v>
      </c>
      <c r="D2978" t="s">
        <v>4026</v>
      </c>
      <c r="E2978" t="s">
        <v>4027</v>
      </c>
      <c r="F2978" t="s">
        <v>4028</v>
      </c>
      <c r="G2978" t="s">
        <v>4029</v>
      </c>
      <c r="H2978" t="s">
        <v>88</v>
      </c>
      <c r="I2978" t="s">
        <v>19</v>
      </c>
      <c r="J2978" s="3" t="s">
        <v>4030</v>
      </c>
      <c r="K2978" t="s">
        <v>4031</v>
      </c>
      <c r="L2978" t="s">
        <v>91</v>
      </c>
      <c r="M2978" t="s">
        <v>32145</v>
      </c>
    </row>
    <row r="2979" spans="1:13" x14ac:dyDescent="0.25">
      <c r="A2979" t="s">
        <v>21250</v>
      </c>
      <c r="B2979" t="s">
        <v>13</v>
      </c>
      <c r="C2979" t="s">
        <v>14151</v>
      </c>
      <c r="D2979" t="s">
        <v>21251</v>
      </c>
      <c r="E2979" s="2" t="s">
        <v>31284</v>
      </c>
      <c r="F2979" t="s">
        <v>117</v>
      </c>
      <c r="G2979" t="s">
        <v>21252</v>
      </c>
      <c r="H2979" t="s">
        <v>1466</v>
      </c>
      <c r="I2979" t="s">
        <v>19</v>
      </c>
      <c r="J2979" s="3">
        <f>55-35-37011921</f>
        <v>-37011901</v>
      </c>
      <c r="K2979" t="s">
        <v>21253</v>
      </c>
      <c r="L2979" t="s">
        <v>21254</v>
      </c>
      <c r="M2979" t="s">
        <v>32145</v>
      </c>
    </row>
    <row r="2980" spans="1:13" x14ac:dyDescent="0.25">
      <c r="A2980" t="s">
        <v>11825</v>
      </c>
      <c r="B2980" t="s">
        <v>13</v>
      </c>
      <c r="C2980" t="s">
        <v>11826</v>
      </c>
      <c r="D2980" t="s">
        <v>11827</v>
      </c>
      <c r="E2980" t="s">
        <v>11828</v>
      </c>
      <c r="F2980" t="s">
        <v>2036</v>
      </c>
      <c r="G2980" t="s">
        <v>11829</v>
      </c>
      <c r="H2980" t="s">
        <v>3416</v>
      </c>
      <c r="I2980" t="s">
        <v>19</v>
      </c>
      <c r="J2980" s="3" t="s">
        <v>11830</v>
      </c>
      <c r="K2980" t="s">
        <v>11831</v>
      </c>
      <c r="L2980" t="s">
        <v>11832</v>
      </c>
      <c r="M2980" t="s">
        <v>57</v>
      </c>
    </row>
    <row r="2981" spans="1:13" x14ac:dyDescent="0.25">
      <c r="A2981" t="s">
        <v>10679</v>
      </c>
      <c r="B2981" t="s">
        <v>13</v>
      </c>
      <c r="C2981" t="s">
        <v>1703</v>
      </c>
      <c r="D2981" t="s">
        <v>10680</v>
      </c>
      <c r="E2981" t="s">
        <v>10681</v>
      </c>
      <c r="F2981" t="s">
        <v>337</v>
      </c>
      <c r="G2981" t="s">
        <v>10682</v>
      </c>
      <c r="H2981" t="s">
        <v>714</v>
      </c>
      <c r="I2981" t="s">
        <v>19</v>
      </c>
      <c r="J2981" s="3">
        <f>55-18-36363237</f>
        <v>-36363200</v>
      </c>
      <c r="K2981" t="s">
        <v>10683</v>
      </c>
      <c r="L2981" t="s">
        <v>4094</v>
      </c>
      <c r="M2981" t="s">
        <v>337</v>
      </c>
    </row>
    <row r="2982" spans="1:13" x14ac:dyDescent="0.25">
      <c r="A2982" t="s">
        <v>14627</v>
      </c>
      <c r="B2982" t="s">
        <v>13</v>
      </c>
      <c r="C2982" s="1">
        <v>43781</v>
      </c>
      <c r="D2982" t="s">
        <v>14628</v>
      </c>
      <c r="E2982" s="2" t="s">
        <v>31928</v>
      </c>
      <c r="F2982" t="s">
        <v>1775</v>
      </c>
      <c r="G2982" t="s">
        <v>11927</v>
      </c>
      <c r="H2982" t="s">
        <v>936</v>
      </c>
      <c r="I2982" t="s">
        <v>19</v>
      </c>
      <c r="J2982" s="3">
        <f>55-71-33366973</f>
        <v>-33366989</v>
      </c>
      <c r="K2982" t="s">
        <v>11928</v>
      </c>
      <c r="L2982" t="s">
        <v>11929</v>
      </c>
      <c r="M2982" t="s">
        <v>337</v>
      </c>
    </row>
    <row r="2983" spans="1:13" x14ac:dyDescent="0.25">
      <c r="A2983" t="s">
        <v>16749</v>
      </c>
      <c r="B2983" t="s">
        <v>13</v>
      </c>
      <c r="C2983" t="s">
        <v>8504</v>
      </c>
      <c r="D2983" t="s">
        <v>16750</v>
      </c>
      <c r="E2983" s="2" t="s">
        <v>32418</v>
      </c>
      <c r="F2983" t="s">
        <v>332</v>
      </c>
      <c r="G2983" t="s">
        <v>16751</v>
      </c>
      <c r="H2983" t="s">
        <v>352</v>
      </c>
      <c r="I2983" t="s">
        <v>19</v>
      </c>
      <c r="J2983" s="3">
        <f>55-21-28688286</f>
        <v>-28688252</v>
      </c>
      <c r="K2983" t="s">
        <v>16752</v>
      </c>
      <c r="L2983" t="s">
        <v>16753</v>
      </c>
      <c r="M2983" t="s">
        <v>337</v>
      </c>
    </row>
    <row r="2984" spans="1:13" x14ac:dyDescent="0.25">
      <c r="A2984" t="s">
        <v>14081</v>
      </c>
      <c r="B2984" t="s">
        <v>13</v>
      </c>
      <c r="C2984" t="s">
        <v>7928</v>
      </c>
      <c r="D2984" t="s">
        <v>14082</v>
      </c>
      <c r="E2984" s="2" t="s">
        <v>31588</v>
      </c>
      <c r="F2984" t="s">
        <v>900</v>
      </c>
      <c r="G2984" t="s">
        <v>13675</v>
      </c>
      <c r="H2984" t="s">
        <v>2678</v>
      </c>
      <c r="I2984" t="s">
        <v>19</v>
      </c>
      <c r="J2984" s="3">
        <f>55-53-999349134</f>
        <v>-999349132</v>
      </c>
      <c r="K2984" t="s">
        <v>13676</v>
      </c>
      <c r="L2984" t="s">
        <v>2677</v>
      </c>
      <c r="M2984" t="s">
        <v>337</v>
      </c>
    </row>
    <row r="2985" spans="1:13" x14ac:dyDescent="0.25">
      <c r="A2985" t="s">
        <v>17307</v>
      </c>
      <c r="B2985" t="s">
        <v>13</v>
      </c>
      <c r="C2985" s="1">
        <v>43591</v>
      </c>
      <c r="D2985" t="s">
        <v>17308</v>
      </c>
      <c r="E2985" s="2" t="s">
        <v>31589</v>
      </c>
      <c r="F2985" t="s">
        <v>1062</v>
      </c>
      <c r="G2985" t="s">
        <v>13675</v>
      </c>
      <c r="H2985" t="s">
        <v>2678</v>
      </c>
      <c r="I2985" t="s">
        <v>19</v>
      </c>
      <c r="J2985" s="3">
        <f>55-53-999349134</f>
        <v>-999349132</v>
      </c>
      <c r="K2985" t="s">
        <v>13676</v>
      </c>
      <c r="L2985" t="s">
        <v>2677</v>
      </c>
      <c r="M2985" t="s">
        <v>337</v>
      </c>
    </row>
    <row r="2986" spans="1:13" x14ac:dyDescent="0.25">
      <c r="A2986" t="s">
        <v>20057</v>
      </c>
      <c r="B2986" t="s">
        <v>101</v>
      </c>
      <c r="C2986" s="1">
        <v>43381</v>
      </c>
      <c r="D2986" t="s">
        <v>20058</v>
      </c>
      <c r="E2986" s="2" t="s">
        <v>31589</v>
      </c>
      <c r="F2986" t="s">
        <v>332</v>
      </c>
      <c r="G2986" t="s">
        <v>13675</v>
      </c>
      <c r="H2986" t="s">
        <v>2678</v>
      </c>
      <c r="I2986" t="s">
        <v>19</v>
      </c>
      <c r="J2986" s="3">
        <f>55-53-999349134</f>
        <v>-999349132</v>
      </c>
      <c r="K2986" t="s">
        <v>13676</v>
      </c>
      <c r="L2986" t="s">
        <v>2677</v>
      </c>
      <c r="M2986" t="s">
        <v>337</v>
      </c>
    </row>
    <row r="2987" spans="1:13" x14ac:dyDescent="0.25">
      <c r="A2987" t="s">
        <v>21270</v>
      </c>
      <c r="B2987" t="s">
        <v>13</v>
      </c>
      <c r="C2987" t="s">
        <v>21271</v>
      </c>
      <c r="D2987" t="s">
        <v>21272</v>
      </c>
      <c r="E2987" s="2" t="s">
        <v>32025</v>
      </c>
      <c r="F2987" t="s">
        <v>1062</v>
      </c>
      <c r="G2987" t="s">
        <v>13675</v>
      </c>
      <c r="H2987" t="s">
        <v>2678</v>
      </c>
      <c r="I2987" t="s">
        <v>19</v>
      </c>
      <c r="J2987" s="3">
        <f>55-53-999349134</f>
        <v>-999349132</v>
      </c>
      <c r="K2987" t="s">
        <v>13676</v>
      </c>
      <c r="L2987" t="s">
        <v>2677</v>
      </c>
      <c r="M2987" t="s">
        <v>337</v>
      </c>
    </row>
    <row r="2988" spans="1:13" x14ac:dyDescent="0.25">
      <c r="A2988" t="s">
        <v>582</v>
      </c>
      <c r="B2988" t="s">
        <v>13</v>
      </c>
      <c r="C2988" t="s">
        <v>583</v>
      </c>
      <c r="D2988" t="s">
        <v>584</v>
      </c>
      <c r="E2988" t="s">
        <v>30685</v>
      </c>
      <c r="F2988" t="s">
        <v>586</v>
      </c>
      <c r="G2988" t="s">
        <v>587</v>
      </c>
      <c r="H2988" t="s">
        <v>409</v>
      </c>
      <c r="I2988" t="s">
        <v>19</v>
      </c>
      <c r="J2988" s="3" t="s">
        <v>588</v>
      </c>
      <c r="K2988" t="s">
        <v>589</v>
      </c>
      <c r="L2988" t="s">
        <v>412</v>
      </c>
      <c r="M2988" t="s">
        <v>337</v>
      </c>
    </row>
    <row r="2989" spans="1:13" x14ac:dyDescent="0.25">
      <c r="A2989" t="s">
        <v>5219</v>
      </c>
      <c r="B2989" t="s">
        <v>13</v>
      </c>
      <c r="C2989" t="s">
        <v>5220</v>
      </c>
      <c r="D2989" t="s">
        <v>5221</v>
      </c>
      <c r="E2989" t="s">
        <v>1062</v>
      </c>
      <c r="F2989" t="s">
        <v>5222</v>
      </c>
      <c r="G2989" t="s">
        <v>5223</v>
      </c>
      <c r="H2989" t="s">
        <v>5224</v>
      </c>
      <c r="I2989" t="s">
        <v>19</v>
      </c>
      <c r="J2989" s="3" t="s">
        <v>5225</v>
      </c>
      <c r="K2989" t="s">
        <v>5226</v>
      </c>
      <c r="L2989" t="s">
        <v>32135</v>
      </c>
      <c r="M2989" t="s">
        <v>337</v>
      </c>
    </row>
    <row r="2990" spans="1:13" x14ac:dyDescent="0.25">
      <c r="A2990" t="s">
        <v>1059</v>
      </c>
      <c r="B2990" t="s">
        <v>13</v>
      </c>
      <c r="C2990" t="s">
        <v>1060</v>
      </c>
      <c r="D2990" t="s">
        <v>1061</v>
      </c>
      <c r="E2990" t="s">
        <v>1062</v>
      </c>
      <c r="F2990" t="s">
        <v>1063</v>
      </c>
      <c r="G2990" t="s">
        <v>1064</v>
      </c>
      <c r="H2990" t="s">
        <v>36</v>
      </c>
      <c r="I2990" t="s">
        <v>19</v>
      </c>
      <c r="J2990" s="3" t="s">
        <v>1065</v>
      </c>
      <c r="K2990" t="s">
        <v>1066</v>
      </c>
      <c r="L2990" t="s">
        <v>527</v>
      </c>
      <c r="M2990" t="s">
        <v>337</v>
      </c>
    </row>
    <row r="2991" spans="1:13" x14ac:dyDescent="0.25">
      <c r="A2991" t="s">
        <v>10100</v>
      </c>
      <c r="B2991" t="s">
        <v>13</v>
      </c>
      <c r="C2991" t="s">
        <v>8861</v>
      </c>
      <c r="D2991" t="s">
        <v>10101</v>
      </c>
      <c r="E2991" t="s">
        <v>32419</v>
      </c>
      <c r="F2991" t="s">
        <v>337</v>
      </c>
      <c r="G2991" t="s">
        <v>10102</v>
      </c>
      <c r="H2991" t="s">
        <v>372</v>
      </c>
      <c r="I2991" t="s">
        <v>19</v>
      </c>
      <c r="J2991" s="3">
        <f>55-19-21065294</f>
        <v>-21065258</v>
      </c>
      <c r="K2991" t="s">
        <v>10103</v>
      </c>
      <c r="L2991" t="s">
        <v>285</v>
      </c>
      <c r="M2991" t="s">
        <v>337</v>
      </c>
    </row>
    <row r="2992" spans="1:13" x14ac:dyDescent="0.25">
      <c r="A2992" t="s">
        <v>14596</v>
      </c>
      <c r="B2992" t="s">
        <v>13</v>
      </c>
      <c r="C2992" s="1">
        <v>43811</v>
      </c>
      <c r="D2992" t="s">
        <v>14597</v>
      </c>
      <c r="E2992" s="2" t="s">
        <v>31099</v>
      </c>
      <c r="F2992" t="s">
        <v>1062</v>
      </c>
      <c r="G2992" t="s">
        <v>13675</v>
      </c>
      <c r="H2992" t="s">
        <v>2678</v>
      </c>
      <c r="I2992" t="s">
        <v>19</v>
      </c>
      <c r="J2992" s="3">
        <f>55-53-999349134</f>
        <v>-999349132</v>
      </c>
      <c r="K2992" t="s">
        <v>13676</v>
      </c>
      <c r="L2992" t="s">
        <v>2677</v>
      </c>
      <c r="M2992" t="s">
        <v>337</v>
      </c>
    </row>
    <row r="2993" spans="1:13" x14ac:dyDescent="0.25">
      <c r="A2993" t="s">
        <v>21219</v>
      </c>
      <c r="B2993" t="s">
        <v>13</v>
      </c>
      <c r="C2993" t="s">
        <v>21215</v>
      </c>
      <c r="D2993" t="s">
        <v>21220</v>
      </c>
      <c r="E2993" t="s">
        <v>20620</v>
      </c>
      <c r="F2993" t="s">
        <v>337</v>
      </c>
      <c r="G2993" t="s">
        <v>1064</v>
      </c>
      <c r="H2993" t="s">
        <v>36</v>
      </c>
      <c r="I2993" t="s">
        <v>19</v>
      </c>
      <c r="J2993" s="3" t="s">
        <v>20621</v>
      </c>
      <c r="K2993" t="s">
        <v>1066</v>
      </c>
      <c r="L2993" t="s">
        <v>3512</v>
      </c>
      <c r="M2993" t="s">
        <v>337</v>
      </c>
    </row>
    <row r="2994" spans="1:13" x14ac:dyDescent="0.25">
      <c r="A2994" t="s">
        <v>20618</v>
      </c>
      <c r="B2994" t="s">
        <v>13</v>
      </c>
      <c r="C2994" s="1">
        <v>43411</v>
      </c>
      <c r="D2994" t="s">
        <v>20619</v>
      </c>
      <c r="E2994" t="s">
        <v>20620</v>
      </c>
      <c r="F2994" t="s">
        <v>337</v>
      </c>
      <c r="G2994" t="s">
        <v>1064</v>
      </c>
      <c r="H2994" t="s">
        <v>36</v>
      </c>
      <c r="I2994" t="s">
        <v>19</v>
      </c>
      <c r="J2994" s="3" t="s">
        <v>20621</v>
      </c>
      <c r="K2994" t="s">
        <v>1066</v>
      </c>
      <c r="L2994" t="s">
        <v>3512</v>
      </c>
      <c r="M2994" t="s">
        <v>337</v>
      </c>
    </row>
    <row r="2995" spans="1:13" x14ac:dyDescent="0.25">
      <c r="A2995" t="s">
        <v>413</v>
      </c>
      <c r="B2995" t="s">
        <v>13</v>
      </c>
      <c r="C2995" t="s">
        <v>393</v>
      </c>
      <c r="D2995" t="s">
        <v>414</v>
      </c>
      <c r="E2995" t="s">
        <v>157</v>
      </c>
      <c r="F2995" t="s">
        <v>415</v>
      </c>
      <c r="G2995" t="s">
        <v>307</v>
      </c>
      <c r="H2995" t="s">
        <v>308</v>
      </c>
      <c r="I2995" t="s">
        <v>309</v>
      </c>
      <c r="J2995" s="3" t="s">
        <v>310</v>
      </c>
      <c r="K2995" t="s">
        <v>311</v>
      </c>
      <c r="L2995" t="s">
        <v>312</v>
      </c>
      <c r="M2995" t="s">
        <v>57</v>
      </c>
    </row>
    <row r="2996" spans="1:13" x14ac:dyDescent="0.25">
      <c r="A2996" t="s">
        <v>5569</v>
      </c>
      <c r="B2996" t="s">
        <v>13</v>
      </c>
      <c r="C2996" t="s">
        <v>5570</v>
      </c>
      <c r="D2996" t="s">
        <v>5571</v>
      </c>
      <c r="E2996" t="s">
        <v>812</v>
      </c>
      <c r="F2996" t="s">
        <v>288</v>
      </c>
      <c r="G2996" t="s">
        <v>5572</v>
      </c>
      <c r="H2996" t="s">
        <v>5573</v>
      </c>
      <c r="I2996" t="s">
        <v>19</v>
      </c>
      <c r="J2996" s="3" t="s">
        <v>5574</v>
      </c>
      <c r="K2996" t="s">
        <v>5575</v>
      </c>
      <c r="L2996" t="s">
        <v>32135</v>
      </c>
      <c r="M2996" t="s">
        <v>57</v>
      </c>
    </row>
    <row r="2997" spans="1:13" x14ac:dyDescent="0.25">
      <c r="A2997" t="s">
        <v>4582</v>
      </c>
      <c r="B2997" t="s">
        <v>13</v>
      </c>
      <c r="C2997" t="s">
        <v>4576</v>
      </c>
      <c r="D2997" t="s">
        <v>4583</v>
      </c>
      <c r="E2997" t="s">
        <v>157</v>
      </c>
      <c r="F2997" t="s">
        <v>415</v>
      </c>
      <c r="G2997" t="s">
        <v>4584</v>
      </c>
      <c r="H2997" t="s">
        <v>265</v>
      </c>
      <c r="I2997" t="s">
        <v>19</v>
      </c>
      <c r="J2997" s="3" t="s">
        <v>4585</v>
      </c>
      <c r="K2997" t="s">
        <v>4586</v>
      </c>
      <c r="L2997" t="s">
        <v>3558</v>
      </c>
      <c r="M2997" t="s">
        <v>57</v>
      </c>
    </row>
    <row r="2998" spans="1:13" x14ac:dyDescent="0.25">
      <c r="A2998" t="s">
        <v>3613</v>
      </c>
      <c r="B2998" t="s">
        <v>13</v>
      </c>
      <c r="C2998" t="s">
        <v>3614</v>
      </c>
      <c r="D2998" t="s">
        <v>3615</v>
      </c>
      <c r="E2998" t="s">
        <v>2056</v>
      </c>
      <c r="F2998" t="s">
        <v>3616</v>
      </c>
      <c r="G2998" t="s">
        <v>3617</v>
      </c>
      <c r="H2998" t="s">
        <v>3618</v>
      </c>
      <c r="I2998" t="s">
        <v>19</v>
      </c>
      <c r="J2998" s="3" t="s">
        <v>3619</v>
      </c>
      <c r="K2998" t="s">
        <v>3620</v>
      </c>
      <c r="L2998" t="s">
        <v>82</v>
      </c>
      <c r="M2998" t="s">
        <v>57</v>
      </c>
    </row>
    <row r="2999" spans="1:13" x14ac:dyDescent="0.25">
      <c r="A2999" t="s">
        <v>1903</v>
      </c>
      <c r="B2999" t="s">
        <v>13</v>
      </c>
      <c r="C2999" t="s">
        <v>1904</v>
      </c>
      <c r="D2999" t="s">
        <v>1905</v>
      </c>
      <c r="E2999" t="s">
        <v>157</v>
      </c>
      <c r="F2999" t="s">
        <v>288</v>
      </c>
      <c r="G2999" t="s">
        <v>1906</v>
      </c>
      <c r="H2999" t="s">
        <v>45</v>
      </c>
      <c r="I2999" t="s">
        <v>19</v>
      </c>
      <c r="J2999" s="3" t="s">
        <v>1907</v>
      </c>
      <c r="K2999" t="s">
        <v>1908</v>
      </c>
      <c r="L2999" t="s">
        <v>1909</v>
      </c>
      <c r="M2999" t="s">
        <v>57</v>
      </c>
    </row>
    <row r="3000" spans="1:13" x14ac:dyDescent="0.25">
      <c r="A3000" t="s">
        <v>810</v>
      </c>
      <c r="B3000" t="s">
        <v>13</v>
      </c>
      <c r="C3000" t="s">
        <v>803</v>
      </c>
      <c r="D3000" t="s">
        <v>811</v>
      </c>
      <c r="E3000" t="s">
        <v>812</v>
      </c>
      <c r="F3000" t="s">
        <v>288</v>
      </c>
      <c r="G3000" t="s">
        <v>813</v>
      </c>
      <c r="H3000" t="s">
        <v>814</v>
      </c>
      <c r="I3000" t="s">
        <v>19</v>
      </c>
      <c r="J3000" s="3">
        <f>55-22-988347996</f>
        <v>-988347963</v>
      </c>
      <c r="K3000" t="s">
        <v>815</v>
      </c>
      <c r="L3000" t="s">
        <v>816</v>
      </c>
      <c r="M3000" t="s">
        <v>57</v>
      </c>
    </row>
    <row r="3001" spans="1:13" x14ac:dyDescent="0.25">
      <c r="A3001" t="s">
        <v>1332</v>
      </c>
      <c r="B3001" t="s">
        <v>13</v>
      </c>
      <c r="C3001" s="1">
        <v>44815</v>
      </c>
      <c r="D3001" t="s">
        <v>1333</v>
      </c>
      <c r="E3001" t="s">
        <v>157</v>
      </c>
      <c r="F3001" t="s">
        <v>288</v>
      </c>
      <c r="G3001" t="s">
        <v>1334</v>
      </c>
      <c r="H3001" t="s">
        <v>1335</v>
      </c>
      <c r="I3001" t="s">
        <v>19</v>
      </c>
      <c r="J3001" s="3" t="s">
        <v>1336</v>
      </c>
      <c r="K3001" t="s">
        <v>1337</v>
      </c>
      <c r="L3001" t="s">
        <v>1338</v>
      </c>
      <c r="M3001" t="s">
        <v>57</v>
      </c>
    </row>
    <row r="3002" spans="1:13" x14ac:dyDescent="0.25">
      <c r="A3002" t="s">
        <v>286</v>
      </c>
      <c r="B3002" t="s">
        <v>13</v>
      </c>
      <c r="C3002" t="s">
        <v>278</v>
      </c>
      <c r="D3002" t="s">
        <v>287</v>
      </c>
      <c r="E3002" t="s">
        <v>157</v>
      </c>
      <c r="F3002" t="s">
        <v>288</v>
      </c>
      <c r="G3002" t="s">
        <v>289</v>
      </c>
      <c r="H3002" t="s">
        <v>290</v>
      </c>
      <c r="I3002" t="s">
        <v>19</v>
      </c>
      <c r="J3002" s="3" t="s">
        <v>291</v>
      </c>
      <c r="K3002" t="s">
        <v>292</v>
      </c>
      <c r="L3002" t="s">
        <v>293</v>
      </c>
      <c r="M3002" t="s">
        <v>57</v>
      </c>
    </row>
    <row r="3003" spans="1:13" x14ac:dyDescent="0.25">
      <c r="A3003" t="s">
        <v>155</v>
      </c>
      <c r="B3003" t="s">
        <v>13</v>
      </c>
      <c r="C3003" t="s">
        <v>136</v>
      </c>
      <c r="D3003" t="s">
        <v>156</v>
      </c>
      <c r="E3003" t="s">
        <v>157</v>
      </c>
      <c r="F3003" t="s">
        <v>158</v>
      </c>
      <c r="G3003" t="s">
        <v>113</v>
      </c>
      <c r="H3003" t="s">
        <v>114</v>
      </c>
      <c r="I3003" t="s">
        <v>19</v>
      </c>
      <c r="J3003" s="3" t="s">
        <v>159</v>
      </c>
      <c r="K3003" t="s">
        <v>116</v>
      </c>
      <c r="L3003" t="s">
        <v>82</v>
      </c>
      <c r="M3003" t="s">
        <v>32144</v>
      </c>
    </row>
    <row r="3004" spans="1:13" x14ac:dyDescent="0.25">
      <c r="A3004" t="s">
        <v>27873</v>
      </c>
      <c r="B3004" t="s">
        <v>13</v>
      </c>
      <c r="C3004" s="1">
        <v>42162</v>
      </c>
      <c r="D3004" t="s">
        <v>27874</v>
      </c>
      <c r="E3004" t="s">
        <v>157</v>
      </c>
      <c r="F3004" t="s">
        <v>57</v>
      </c>
      <c r="G3004" t="s">
        <v>27875</v>
      </c>
      <c r="H3004" t="s">
        <v>1622</v>
      </c>
      <c r="I3004" t="s">
        <v>19</v>
      </c>
      <c r="J3004" s="3" t="s">
        <v>27876</v>
      </c>
      <c r="K3004" t="s">
        <v>27877</v>
      </c>
      <c r="L3004" t="s">
        <v>27878</v>
      </c>
      <c r="M3004" t="s">
        <v>57</v>
      </c>
    </row>
    <row r="3005" spans="1:13" x14ac:dyDescent="0.25">
      <c r="A3005" t="s">
        <v>30157</v>
      </c>
      <c r="B3005" t="s">
        <v>13</v>
      </c>
      <c r="C3005" t="s">
        <v>15685</v>
      </c>
      <c r="D3005" t="s">
        <v>30158</v>
      </c>
      <c r="E3005" t="s">
        <v>157</v>
      </c>
      <c r="F3005" t="s">
        <v>57</v>
      </c>
      <c r="G3005" t="s">
        <v>30159</v>
      </c>
      <c r="H3005" t="s">
        <v>36</v>
      </c>
      <c r="I3005" t="s">
        <v>19</v>
      </c>
      <c r="J3005" s="3" t="s">
        <v>30160</v>
      </c>
      <c r="K3005" t="s">
        <v>30161</v>
      </c>
      <c r="L3005" t="s">
        <v>14188</v>
      </c>
      <c r="M3005" t="s">
        <v>57</v>
      </c>
    </row>
    <row r="3006" spans="1:13" x14ac:dyDescent="0.25">
      <c r="A3006" t="s">
        <v>14148</v>
      </c>
      <c r="B3006" t="s">
        <v>13</v>
      </c>
      <c r="C3006" t="s">
        <v>2033</v>
      </c>
      <c r="D3006" t="s">
        <v>14149</v>
      </c>
      <c r="E3006" t="s">
        <v>157</v>
      </c>
      <c r="F3006" t="s">
        <v>57</v>
      </c>
      <c r="G3006" t="s">
        <v>3241</v>
      </c>
      <c r="H3006" t="s">
        <v>489</v>
      </c>
      <c r="I3006" t="s">
        <v>19</v>
      </c>
      <c r="J3006" s="3">
        <v>5541999944080</v>
      </c>
      <c r="K3006" t="s">
        <v>7085</v>
      </c>
      <c r="L3006" t="s">
        <v>625</v>
      </c>
      <c r="M3006" t="s">
        <v>57</v>
      </c>
    </row>
    <row r="3007" spans="1:13" x14ac:dyDescent="0.25">
      <c r="A3007" t="s">
        <v>13677</v>
      </c>
      <c r="B3007" t="s">
        <v>101</v>
      </c>
      <c r="C3007" s="1">
        <v>44106</v>
      </c>
      <c r="D3007" t="s">
        <v>13678</v>
      </c>
      <c r="E3007" t="s">
        <v>157</v>
      </c>
      <c r="F3007" t="s">
        <v>57</v>
      </c>
      <c r="G3007" t="s">
        <v>13679</v>
      </c>
      <c r="H3007" t="s">
        <v>18</v>
      </c>
      <c r="I3007" t="s">
        <v>19</v>
      </c>
      <c r="J3007" s="3">
        <v>19981017307</v>
      </c>
      <c r="K3007" t="s">
        <v>13680</v>
      </c>
      <c r="L3007" t="s">
        <v>9170</v>
      </c>
      <c r="M3007" t="s">
        <v>57</v>
      </c>
    </row>
    <row r="3008" spans="1:13" x14ac:dyDescent="0.25">
      <c r="A3008" t="s">
        <v>15292</v>
      </c>
      <c r="B3008" t="s">
        <v>13</v>
      </c>
      <c r="C3008" t="s">
        <v>15293</v>
      </c>
      <c r="D3008" t="s">
        <v>15294</v>
      </c>
      <c r="E3008" t="s">
        <v>2056</v>
      </c>
      <c r="F3008" t="s">
        <v>57</v>
      </c>
      <c r="G3008" t="s">
        <v>2178</v>
      </c>
      <c r="H3008" t="s">
        <v>2112</v>
      </c>
      <c r="I3008" t="s">
        <v>19</v>
      </c>
      <c r="J3008" s="3">
        <f>55-45-32207344</f>
        <v>-32207334</v>
      </c>
      <c r="K3008" t="s">
        <v>14019</v>
      </c>
      <c r="L3008" t="s">
        <v>14020</v>
      </c>
      <c r="M3008" t="s">
        <v>57</v>
      </c>
    </row>
    <row r="3009" spans="1:13" x14ac:dyDescent="0.25">
      <c r="A3009" t="s">
        <v>13191</v>
      </c>
      <c r="B3009" t="s">
        <v>13</v>
      </c>
      <c r="C3009" s="1">
        <v>43954</v>
      </c>
      <c r="D3009" t="s">
        <v>13192</v>
      </c>
      <c r="E3009" t="s">
        <v>2056</v>
      </c>
      <c r="F3009" t="s">
        <v>57</v>
      </c>
      <c r="G3009" t="s">
        <v>13193</v>
      </c>
      <c r="H3009" t="s">
        <v>36</v>
      </c>
      <c r="I3009" t="s">
        <v>19</v>
      </c>
      <c r="J3009" s="3">
        <v>551155764848</v>
      </c>
      <c r="K3009" t="s">
        <v>13194</v>
      </c>
      <c r="L3009" t="s">
        <v>11674</v>
      </c>
      <c r="M3009" t="s">
        <v>57</v>
      </c>
    </row>
    <row r="3010" spans="1:13" x14ac:dyDescent="0.25">
      <c r="A3010" t="s">
        <v>14130</v>
      </c>
      <c r="B3010" t="s">
        <v>13</v>
      </c>
      <c r="C3010" t="s">
        <v>10297</v>
      </c>
      <c r="D3010" t="s">
        <v>14131</v>
      </c>
      <c r="E3010" t="s">
        <v>157</v>
      </c>
      <c r="F3010" t="s">
        <v>57</v>
      </c>
      <c r="G3010" t="s">
        <v>3241</v>
      </c>
      <c r="H3010" t="s">
        <v>489</v>
      </c>
      <c r="I3010" t="s">
        <v>19</v>
      </c>
      <c r="J3010" s="3">
        <v>5541999944080</v>
      </c>
      <c r="K3010" t="s">
        <v>7085</v>
      </c>
      <c r="L3010" t="s">
        <v>625</v>
      </c>
      <c r="M3010" t="s">
        <v>57</v>
      </c>
    </row>
    <row r="3011" spans="1:13" x14ac:dyDescent="0.25">
      <c r="A3011" t="s">
        <v>11282</v>
      </c>
      <c r="B3011" t="s">
        <v>13</v>
      </c>
      <c r="C3011" t="s">
        <v>11266</v>
      </c>
      <c r="D3011" t="s">
        <v>11283</v>
      </c>
      <c r="E3011" t="s">
        <v>157</v>
      </c>
      <c r="F3011" t="s">
        <v>57</v>
      </c>
      <c r="G3011" t="s">
        <v>11284</v>
      </c>
      <c r="H3011" t="s">
        <v>45</v>
      </c>
      <c r="I3011" t="s">
        <v>19</v>
      </c>
      <c r="J3011" s="3">
        <f>55-85-999336239</f>
        <v>-999336269</v>
      </c>
      <c r="K3011" t="s">
        <v>11285</v>
      </c>
      <c r="L3011" t="s">
        <v>11286</v>
      </c>
      <c r="M3011" t="s">
        <v>57</v>
      </c>
    </row>
    <row r="3012" spans="1:13" x14ac:dyDescent="0.25">
      <c r="A3012" t="s">
        <v>12117</v>
      </c>
      <c r="B3012" t="s">
        <v>13</v>
      </c>
      <c r="C3012" t="s">
        <v>9668</v>
      </c>
      <c r="D3012" t="s">
        <v>12118</v>
      </c>
      <c r="E3012" t="s">
        <v>2056</v>
      </c>
      <c r="F3012" t="s">
        <v>57</v>
      </c>
      <c r="G3012" t="s">
        <v>12119</v>
      </c>
      <c r="H3012" t="s">
        <v>12120</v>
      </c>
      <c r="I3012" t="s">
        <v>19</v>
      </c>
      <c r="J3012" s="3">
        <f>55-24-992192494</f>
        <v>-992192463</v>
      </c>
      <c r="K3012" t="s">
        <v>12121</v>
      </c>
      <c r="L3012" t="s">
        <v>12122</v>
      </c>
      <c r="M3012" t="s">
        <v>57</v>
      </c>
    </row>
    <row r="3013" spans="1:13" x14ac:dyDescent="0.25">
      <c r="A3013" t="s">
        <v>4945</v>
      </c>
      <c r="B3013" t="s">
        <v>13</v>
      </c>
      <c r="C3013" t="s">
        <v>1387</v>
      </c>
      <c r="D3013" t="s">
        <v>4946</v>
      </c>
      <c r="E3013" t="s">
        <v>2056</v>
      </c>
      <c r="F3013" t="s">
        <v>812</v>
      </c>
      <c r="G3013" t="s">
        <v>4947</v>
      </c>
      <c r="H3013" t="s">
        <v>4948</v>
      </c>
      <c r="I3013" t="s">
        <v>19</v>
      </c>
      <c r="J3013" s="3">
        <f>55-15-981466312</f>
        <v>-981466272</v>
      </c>
      <c r="K3013" t="s">
        <v>4949</v>
      </c>
      <c r="L3013" t="s">
        <v>32135</v>
      </c>
      <c r="M3013" t="s">
        <v>57</v>
      </c>
    </row>
    <row r="3014" spans="1:13" x14ac:dyDescent="0.25">
      <c r="A3014" t="s">
        <v>9037</v>
      </c>
      <c r="B3014" t="s">
        <v>13</v>
      </c>
      <c r="C3014" t="s">
        <v>9038</v>
      </c>
      <c r="D3014" t="s">
        <v>9039</v>
      </c>
      <c r="E3014" t="s">
        <v>157</v>
      </c>
      <c r="F3014" t="s">
        <v>157</v>
      </c>
      <c r="G3014" t="s">
        <v>9040</v>
      </c>
      <c r="H3014" t="s">
        <v>4808</v>
      </c>
      <c r="I3014" t="s">
        <v>19</v>
      </c>
      <c r="J3014" s="3">
        <f>55-51-996497380</f>
        <v>-996497376</v>
      </c>
      <c r="K3014" t="s">
        <v>9041</v>
      </c>
      <c r="L3014" t="s">
        <v>993</v>
      </c>
      <c r="M3014" t="s">
        <v>57</v>
      </c>
    </row>
    <row r="3015" spans="1:13" x14ac:dyDescent="0.25">
      <c r="A3015" t="s">
        <v>924</v>
      </c>
      <c r="B3015" t="s">
        <v>13</v>
      </c>
      <c r="C3015" t="s">
        <v>918</v>
      </c>
      <c r="D3015" t="s">
        <v>925</v>
      </c>
      <c r="E3015" t="s">
        <v>157</v>
      </c>
      <c r="F3015" t="s">
        <v>157</v>
      </c>
      <c r="G3015" t="s">
        <v>926</v>
      </c>
      <c r="H3015" t="s">
        <v>927</v>
      </c>
      <c r="I3015" t="s">
        <v>19</v>
      </c>
      <c r="J3015" s="3" t="s">
        <v>928</v>
      </c>
      <c r="K3015" t="s">
        <v>929</v>
      </c>
      <c r="L3015" t="s">
        <v>439</v>
      </c>
      <c r="M3015" t="s">
        <v>57</v>
      </c>
    </row>
    <row r="3016" spans="1:13" x14ac:dyDescent="0.25">
      <c r="A3016" t="s">
        <v>2320</v>
      </c>
      <c r="B3016" t="s">
        <v>13</v>
      </c>
      <c r="C3016" t="s">
        <v>2314</v>
      </c>
      <c r="D3016" t="s">
        <v>2321</v>
      </c>
      <c r="E3016" t="s">
        <v>157</v>
      </c>
      <c r="F3016" t="s">
        <v>2322</v>
      </c>
      <c r="G3016" t="s">
        <v>2323</v>
      </c>
      <c r="H3016" t="s">
        <v>503</v>
      </c>
      <c r="I3016" t="s">
        <v>19</v>
      </c>
      <c r="J3016" s="3" t="s">
        <v>2324</v>
      </c>
      <c r="K3016" t="s">
        <v>2325</v>
      </c>
      <c r="L3016" t="s">
        <v>412</v>
      </c>
      <c r="M3016" t="s">
        <v>57</v>
      </c>
    </row>
    <row r="3017" spans="1:13" x14ac:dyDescent="0.25">
      <c r="A3017" t="s">
        <v>7081</v>
      </c>
      <c r="B3017" t="s">
        <v>13</v>
      </c>
      <c r="C3017" t="s">
        <v>7082</v>
      </c>
      <c r="D3017" t="s">
        <v>7083</v>
      </c>
      <c r="E3017" t="s">
        <v>812</v>
      </c>
      <c r="F3017" t="s">
        <v>7084</v>
      </c>
      <c r="G3017" t="s">
        <v>3241</v>
      </c>
      <c r="H3017" t="s">
        <v>489</v>
      </c>
      <c r="I3017" t="s">
        <v>19</v>
      </c>
      <c r="J3017" s="3">
        <v>5541999944080</v>
      </c>
      <c r="K3017" t="s">
        <v>7085</v>
      </c>
      <c r="L3017" t="s">
        <v>625</v>
      </c>
      <c r="M3017" t="s">
        <v>57</v>
      </c>
    </row>
    <row r="3018" spans="1:13" x14ac:dyDescent="0.25">
      <c r="A3018" t="s">
        <v>19021</v>
      </c>
      <c r="B3018" t="s">
        <v>13</v>
      </c>
      <c r="C3018" t="s">
        <v>19016</v>
      </c>
      <c r="D3018" t="s">
        <v>19022</v>
      </c>
      <c r="E3018" t="s">
        <v>157</v>
      </c>
      <c r="F3018" t="s">
        <v>2036</v>
      </c>
      <c r="G3018" t="s">
        <v>19023</v>
      </c>
      <c r="H3018" t="s">
        <v>5366</v>
      </c>
      <c r="I3018" t="s">
        <v>19</v>
      </c>
      <c r="J3018" s="3">
        <v>55063992015484</v>
      </c>
      <c r="K3018" t="s">
        <v>19024</v>
      </c>
      <c r="L3018" t="s">
        <v>19025</v>
      </c>
      <c r="M3018" t="s">
        <v>57</v>
      </c>
    </row>
    <row r="3019" spans="1:13" x14ac:dyDescent="0.25">
      <c r="A3019" t="s">
        <v>18094</v>
      </c>
      <c r="B3019" t="s">
        <v>13</v>
      </c>
      <c r="C3019" t="s">
        <v>1003</v>
      </c>
      <c r="D3019" t="s">
        <v>18095</v>
      </c>
      <c r="E3019" t="s">
        <v>157</v>
      </c>
      <c r="F3019" t="s">
        <v>2036</v>
      </c>
      <c r="G3019" t="s">
        <v>18096</v>
      </c>
      <c r="H3019" t="s">
        <v>4092</v>
      </c>
      <c r="I3019" t="s">
        <v>19</v>
      </c>
      <c r="J3019" s="3" t="s">
        <v>15525</v>
      </c>
      <c r="K3019" t="s">
        <v>18097</v>
      </c>
      <c r="L3019" t="s">
        <v>18098</v>
      </c>
      <c r="M3019" t="s">
        <v>57</v>
      </c>
    </row>
    <row r="3020" spans="1:13" x14ac:dyDescent="0.25">
      <c r="A3020" t="s">
        <v>16538</v>
      </c>
      <c r="B3020" t="s">
        <v>13</v>
      </c>
      <c r="C3020" t="s">
        <v>1931</v>
      </c>
      <c r="D3020" t="s">
        <v>16539</v>
      </c>
      <c r="E3020" t="s">
        <v>157</v>
      </c>
      <c r="F3020" t="s">
        <v>2036</v>
      </c>
      <c r="G3020" t="s">
        <v>16187</v>
      </c>
      <c r="H3020" t="s">
        <v>578</v>
      </c>
      <c r="I3020" t="s">
        <v>19</v>
      </c>
      <c r="J3020" s="3">
        <f>55-92-981284894</f>
        <v>-981284931</v>
      </c>
      <c r="K3020" t="s">
        <v>16188</v>
      </c>
      <c r="L3020" t="s">
        <v>581</v>
      </c>
      <c r="M3020" t="s">
        <v>57</v>
      </c>
    </row>
    <row r="3021" spans="1:13" x14ac:dyDescent="0.25">
      <c r="A3021" t="s">
        <v>12189</v>
      </c>
      <c r="B3021" t="s">
        <v>13</v>
      </c>
      <c r="C3021" s="1">
        <v>43748</v>
      </c>
      <c r="D3021" t="s">
        <v>12190</v>
      </c>
      <c r="E3021" t="s">
        <v>812</v>
      </c>
      <c r="F3021" t="s">
        <v>2036</v>
      </c>
      <c r="G3021" t="s">
        <v>12191</v>
      </c>
      <c r="H3021" t="s">
        <v>12192</v>
      </c>
      <c r="I3021" t="s">
        <v>19</v>
      </c>
      <c r="J3021" s="3" t="s">
        <v>12193</v>
      </c>
      <c r="K3021" t="s">
        <v>12194</v>
      </c>
      <c r="L3021" t="s">
        <v>12195</v>
      </c>
      <c r="M3021" t="s">
        <v>57</v>
      </c>
    </row>
    <row r="3022" spans="1:13" x14ac:dyDescent="0.25">
      <c r="A3022" t="s">
        <v>12530</v>
      </c>
      <c r="B3022" t="s">
        <v>13</v>
      </c>
      <c r="C3022" s="1">
        <v>43865</v>
      </c>
      <c r="D3022" t="s">
        <v>12531</v>
      </c>
      <c r="E3022" t="s">
        <v>812</v>
      </c>
      <c r="F3022" t="s">
        <v>2036</v>
      </c>
      <c r="G3022" t="s">
        <v>12532</v>
      </c>
      <c r="H3022" t="s">
        <v>489</v>
      </c>
      <c r="I3022" t="s">
        <v>19</v>
      </c>
      <c r="J3022" s="3" t="s">
        <v>12533</v>
      </c>
      <c r="K3022" t="s">
        <v>12534</v>
      </c>
      <c r="L3022" t="s">
        <v>9181</v>
      </c>
      <c r="M3022" t="s">
        <v>57</v>
      </c>
    </row>
    <row r="3023" spans="1:13" x14ac:dyDescent="0.25">
      <c r="A3023" t="s">
        <v>10126</v>
      </c>
      <c r="B3023" t="s">
        <v>13</v>
      </c>
      <c r="C3023" t="s">
        <v>8861</v>
      </c>
      <c r="D3023" t="s">
        <v>10127</v>
      </c>
      <c r="E3023" t="s">
        <v>812</v>
      </c>
      <c r="F3023" t="s">
        <v>2036</v>
      </c>
      <c r="G3023" t="s">
        <v>10128</v>
      </c>
      <c r="H3023" t="s">
        <v>2513</v>
      </c>
      <c r="I3023" t="s">
        <v>19</v>
      </c>
      <c r="J3023" s="3">
        <v>5586999939674</v>
      </c>
      <c r="K3023" t="s">
        <v>10129</v>
      </c>
      <c r="L3023" t="s">
        <v>74</v>
      </c>
      <c r="M3023" t="s">
        <v>57</v>
      </c>
    </row>
    <row r="3024" spans="1:13" x14ac:dyDescent="0.25">
      <c r="A3024" t="s">
        <v>9053</v>
      </c>
      <c r="B3024" t="s">
        <v>13</v>
      </c>
      <c r="C3024" t="s">
        <v>9054</v>
      </c>
      <c r="D3024" t="s">
        <v>9055</v>
      </c>
      <c r="E3024" t="s">
        <v>812</v>
      </c>
      <c r="F3024" t="s">
        <v>2036</v>
      </c>
      <c r="G3024" t="s">
        <v>9056</v>
      </c>
      <c r="H3024" t="s">
        <v>53</v>
      </c>
      <c r="I3024" t="s">
        <v>19</v>
      </c>
      <c r="J3024" s="3">
        <v>5531995696214</v>
      </c>
      <c r="K3024" t="s">
        <v>9057</v>
      </c>
      <c r="L3024" t="s">
        <v>56</v>
      </c>
      <c r="M3024" t="s">
        <v>57</v>
      </c>
    </row>
    <row r="3025" spans="1:13" x14ac:dyDescent="0.25">
      <c r="A3025" t="s">
        <v>2053</v>
      </c>
      <c r="B3025" t="s">
        <v>13</v>
      </c>
      <c r="C3025" t="s">
        <v>2054</v>
      </c>
      <c r="D3025" t="s">
        <v>2055</v>
      </c>
      <c r="E3025" t="s">
        <v>2056</v>
      </c>
      <c r="F3025" t="s">
        <v>2036</v>
      </c>
      <c r="G3025" t="s">
        <v>2057</v>
      </c>
      <c r="H3025" t="s">
        <v>2058</v>
      </c>
      <c r="I3025" t="s">
        <v>2059</v>
      </c>
      <c r="J3025" s="3" t="s">
        <v>2060</v>
      </c>
      <c r="K3025" t="s">
        <v>2061</v>
      </c>
      <c r="L3025" t="s">
        <v>2062</v>
      </c>
      <c r="M3025" t="s">
        <v>57</v>
      </c>
    </row>
    <row r="3026" spans="1:13" x14ac:dyDescent="0.25">
      <c r="A3026" t="s">
        <v>24674</v>
      </c>
      <c r="B3026" t="s">
        <v>13</v>
      </c>
      <c r="C3026" t="s">
        <v>24662</v>
      </c>
      <c r="D3026" t="s">
        <v>24675</v>
      </c>
      <c r="E3026" t="s">
        <v>24676</v>
      </c>
      <c r="F3026" t="s">
        <v>2036</v>
      </c>
      <c r="G3026" t="s">
        <v>3241</v>
      </c>
      <c r="H3026" t="s">
        <v>489</v>
      </c>
      <c r="I3026" t="s">
        <v>19</v>
      </c>
      <c r="J3026" s="3" t="s">
        <v>24677</v>
      </c>
      <c r="K3026" t="s">
        <v>7085</v>
      </c>
      <c r="L3026" t="s">
        <v>625</v>
      </c>
      <c r="M3026" t="s">
        <v>57</v>
      </c>
    </row>
    <row r="3027" spans="1:13" x14ac:dyDescent="0.25">
      <c r="A3027" t="s">
        <v>19677</v>
      </c>
      <c r="B3027" t="s">
        <v>13</v>
      </c>
      <c r="C3027" s="1">
        <v>43443</v>
      </c>
      <c r="D3027" t="s">
        <v>19678</v>
      </c>
      <c r="E3027" t="s">
        <v>157</v>
      </c>
      <c r="F3027" t="s">
        <v>2036</v>
      </c>
      <c r="G3027" t="s">
        <v>19536</v>
      </c>
      <c r="H3027" t="s">
        <v>2678</v>
      </c>
      <c r="I3027" t="s">
        <v>19</v>
      </c>
      <c r="J3027" s="3" t="s">
        <v>19537</v>
      </c>
      <c r="K3027" t="s">
        <v>14218</v>
      </c>
      <c r="L3027" t="s">
        <v>993</v>
      </c>
      <c r="M3027" t="s">
        <v>57</v>
      </c>
    </row>
    <row r="3028" spans="1:13" x14ac:dyDescent="0.25">
      <c r="A3028" t="s">
        <v>19573</v>
      </c>
      <c r="B3028" t="s">
        <v>13</v>
      </c>
      <c r="C3028" t="s">
        <v>19574</v>
      </c>
      <c r="D3028" t="s">
        <v>19575</v>
      </c>
      <c r="E3028" t="s">
        <v>812</v>
      </c>
      <c r="F3028" t="s">
        <v>2036</v>
      </c>
      <c r="G3028" t="s">
        <v>19536</v>
      </c>
      <c r="H3028" t="s">
        <v>2678</v>
      </c>
      <c r="I3028" t="s">
        <v>19</v>
      </c>
      <c r="J3028" s="3" t="s">
        <v>19537</v>
      </c>
      <c r="K3028" t="s">
        <v>14218</v>
      </c>
      <c r="L3028" t="s">
        <v>993</v>
      </c>
      <c r="M3028" t="s">
        <v>57</v>
      </c>
    </row>
    <row r="3029" spans="1:13" x14ac:dyDescent="0.25">
      <c r="A3029" t="s">
        <v>25517</v>
      </c>
      <c r="B3029" t="s">
        <v>13</v>
      </c>
      <c r="C3029" s="1">
        <v>42713</v>
      </c>
      <c r="D3029" t="s">
        <v>25518</v>
      </c>
      <c r="E3029" t="s">
        <v>157</v>
      </c>
      <c r="F3029" t="s">
        <v>2036</v>
      </c>
      <c r="G3029" t="s">
        <v>25519</v>
      </c>
      <c r="H3029" t="s">
        <v>5100</v>
      </c>
      <c r="I3029" t="s">
        <v>19</v>
      </c>
      <c r="J3029" s="3" t="s">
        <v>25520</v>
      </c>
      <c r="K3029" t="s">
        <v>25521</v>
      </c>
      <c r="L3029" t="s">
        <v>2101</v>
      </c>
      <c r="M3029" t="s">
        <v>57</v>
      </c>
    </row>
    <row r="3030" spans="1:13" x14ac:dyDescent="0.25">
      <c r="A3030" t="s">
        <v>22256</v>
      </c>
      <c r="B3030" t="s">
        <v>13</v>
      </c>
      <c r="C3030" s="1">
        <v>43283</v>
      </c>
      <c r="D3030" t="s">
        <v>22257</v>
      </c>
      <c r="E3030" t="s">
        <v>2056</v>
      </c>
      <c r="F3030" t="s">
        <v>2036</v>
      </c>
      <c r="G3030" t="s">
        <v>2200</v>
      </c>
      <c r="H3030" t="s">
        <v>503</v>
      </c>
      <c r="I3030" t="s">
        <v>19</v>
      </c>
      <c r="J3030" s="3" t="s">
        <v>9848</v>
      </c>
      <c r="K3030" t="s">
        <v>2201</v>
      </c>
      <c r="L3030" t="s">
        <v>412</v>
      </c>
      <c r="M3030" t="s">
        <v>57</v>
      </c>
    </row>
    <row r="3031" spans="1:13" x14ac:dyDescent="0.25">
      <c r="A3031" t="s">
        <v>28229</v>
      </c>
      <c r="B3031" t="s">
        <v>13</v>
      </c>
      <c r="C3031" s="1">
        <v>42221</v>
      </c>
      <c r="D3031" t="s">
        <v>28230</v>
      </c>
      <c r="E3031" t="s">
        <v>812</v>
      </c>
      <c r="F3031" t="s">
        <v>2036</v>
      </c>
      <c r="G3031" t="s">
        <v>28231</v>
      </c>
      <c r="H3031" t="s">
        <v>352</v>
      </c>
      <c r="I3031" t="s">
        <v>19</v>
      </c>
      <c r="J3031" s="3" t="s">
        <v>28232</v>
      </c>
      <c r="K3031" t="s">
        <v>28233</v>
      </c>
      <c r="L3031" t="s">
        <v>9330</v>
      </c>
      <c r="M3031" t="s">
        <v>57</v>
      </c>
    </row>
    <row r="3032" spans="1:13" x14ac:dyDescent="0.25">
      <c r="A3032" t="s">
        <v>29608</v>
      </c>
      <c r="B3032" t="s">
        <v>13</v>
      </c>
      <c r="C3032" s="1">
        <v>41371</v>
      </c>
      <c r="D3032" t="s">
        <v>29609</v>
      </c>
      <c r="E3032" t="s">
        <v>812</v>
      </c>
      <c r="F3032" t="s">
        <v>2036</v>
      </c>
      <c r="G3032" t="s">
        <v>29610</v>
      </c>
      <c r="H3032" t="s">
        <v>352</v>
      </c>
      <c r="I3032" t="s">
        <v>19</v>
      </c>
      <c r="J3032" s="3" t="s">
        <v>29611</v>
      </c>
      <c r="K3032" t="s">
        <v>29612</v>
      </c>
      <c r="L3032" t="s">
        <v>1030</v>
      </c>
      <c r="M3032" t="s">
        <v>57</v>
      </c>
    </row>
    <row r="3033" spans="1:13" x14ac:dyDescent="0.25">
      <c r="A3033" t="s">
        <v>11753</v>
      </c>
      <c r="B3033" t="s">
        <v>13</v>
      </c>
      <c r="C3033" s="1">
        <v>43956</v>
      </c>
      <c r="D3033" t="s">
        <v>11754</v>
      </c>
      <c r="E3033" t="s">
        <v>812</v>
      </c>
      <c r="F3033" t="s">
        <v>2036</v>
      </c>
      <c r="G3033" t="s">
        <v>10785</v>
      </c>
      <c r="H3033" t="s">
        <v>36</v>
      </c>
      <c r="I3033" t="s">
        <v>19</v>
      </c>
      <c r="J3033" s="3" t="s">
        <v>10786</v>
      </c>
      <c r="K3033" t="s">
        <v>10787</v>
      </c>
      <c r="L3033" t="s">
        <v>223</v>
      </c>
      <c r="M3033" t="s">
        <v>57</v>
      </c>
    </row>
    <row r="3034" spans="1:13" x14ac:dyDescent="0.25">
      <c r="A3034" t="s">
        <v>25965</v>
      </c>
      <c r="B3034" t="s">
        <v>13</v>
      </c>
      <c r="C3034" s="1">
        <v>42467</v>
      </c>
      <c r="D3034" t="s">
        <v>25966</v>
      </c>
      <c r="E3034" t="s">
        <v>2056</v>
      </c>
      <c r="F3034" t="s">
        <v>2036</v>
      </c>
      <c r="G3034" t="s">
        <v>25967</v>
      </c>
      <c r="H3034" t="s">
        <v>6100</v>
      </c>
      <c r="I3034" t="s">
        <v>19</v>
      </c>
      <c r="J3034" s="3" t="s">
        <v>25968</v>
      </c>
      <c r="K3034" t="s">
        <v>25969</v>
      </c>
      <c r="L3034" t="s">
        <v>9430</v>
      </c>
      <c r="M3034" t="s">
        <v>57</v>
      </c>
    </row>
    <row r="3035" spans="1:13" x14ac:dyDescent="0.25">
      <c r="A3035" t="s">
        <v>26111</v>
      </c>
      <c r="B3035" t="s">
        <v>13</v>
      </c>
      <c r="C3035" t="s">
        <v>26112</v>
      </c>
      <c r="D3035" t="s">
        <v>26113</v>
      </c>
      <c r="E3035" t="s">
        <v>2056</v>
      </c>
      <c r="F3035" t="s">
        <v>2036</v>
      </c>
      <c r="G3035" t="s">
        <v>26009</v>
      </c>
      <c r="H3035" t="s">
        <v>114</v>
      </c>
      <c r="I3035" t="s">
        <v>19</v>
      </c>
      <c r="J3035" s="3" t="s">
        <v>26010</v>
      </c>
      <c r="K3035" t="s">
        <v>20241</v>
      </c>
      <c r="L3035" t="s">
        <v>26011</v>
      </c>
      <c r="M3035" t="s">
        <v>57</v>
      </c>
    </row>
    <row r="3036" spans="1:13" x14ac:dyDescent="0.25">
      <c r="A3036" t="s">
        <v>24429</v>
      </c>
      <c r="B3036" t="s">
        <v>13</v>
      </c>
      <c r="C3036" s="1">
        <v>42859</v>
      </c>
      <c r="D3036" t="s">
        <v>24430</v>
      </c>
      <c r="E3036" t="s">
        <v>157</v>
      </c>
      <c r="F3036" t="s">
        <v>2036</v>
      </c>
      <c r="G3036" t="s">
        <v>24431</v>
      </c>
      <c r="H3036" t="s">
        <v>1486</v>
      </c>
      <c r="I3036" t="s">
        <v>19</v>
      </c>
      <c r="J3036" s="3" t="s">
        <v>24432</v>
      </c>
      <c r="K3036" t="s">
        <v>24433</v>
      </c>
      <c r="L3036" t="s">
        <v>1489</v>
      </c>
      <c r="M3036" t="s">
        <v>57</v>
      </c>
    </row>
    <row r="3037" spans="1:13" x14ac:dyDescent="0.25">
      <c r="A3037" t="s">
        <v>23953</v>
      </c>
      <c r="B3037" t="s">
        <v>13</v>
      </c>
      <c r="C3037" t="s">
        <v>21815</v>
      </c>
      <c r="D3037" t="s">
        <v>23954</v>
      </c>
      <c r="E3037" t="s">
        <v>157</v>
      </c>
      <c r="F3037" t="s">
        <v>2036</v>
      </c>
      <c r="G3037" t="s">
        <v>16496</v>
      </c>
      <c r="H3037" t="s">
        <v>36</v>
      </c>
      <c r="I3037" t="s">
        <v>19</v>
      </c>
      <c r="J3037" s="3">
        <v>551155754251</v>
      </c>
      <c r="K3037" t="s">
        <v>16497</v>
      </c>
      <c r="L3037" t="s">
        <v>9723</v>
      </c>
      <c r="M3037" t="s">
        <v>57</v>
      </c>
    </row>
    <row r="3038" spans="1:13" x14ac:dyDescent="0.25">
      <c r="A3038" t="s">
        <v>10779</v>
      </c>
      <c r="B3038" t="s">
        <v>13</v>
      </c>
      <c r="C3038" t="s">
        <v>7057</v>
      </c>
      <c r="D3038" t="s">
        <v>10780</v>
      </c>
      <c r="E3038" t="s">
        <v>2056</v>
      </c>
      <c r="F3038" t="s">
        <v>2036</v>
      </c>
      <c r="G3038" t="s">
        <v>10781</v>
      </c>
      <c r="H3038" t="s">
        <v>36</v>
      </c>
      <c r="I3038" t="s">
        <v>19</v>
      </c>
      <c r="J3038" s="3">
        <v>1133854134</v>
      </c>
      <c r="K3038" t="s">
        <v>10782</v>
      </c>
      <c r="L3038" t="s">
        <v>439</v>
      </c>
      <c r="M3038" t="s">
        <v>57</v>
      </c>
    </row>
    <row r="3039" spans="1:13" x14ac:dyDescent="0.25">
      <c r="A3039" t="s">
        <v>4660</v>
      </c>
      <c r="B3039" t="s">
        <v>13</v>
      </c>
      <c r="C3039" t="s">
        <v>4495</v>
      </c>
      <c r="D3039" t="s">
        <v>32135</v>
      </c>
      <c r="E3039" t="s">
        <v>812</v>
      </c>
      <c r="F3039" t="s">
        <v>186</v>
      </c>
      <c r="G3039" t="s">
        <v>307</v>
      </c>
      <c r="H3039" t="s">
        <v>308</v>
      </c>
      <c r="I3039" t="s">
        <v>309</v>
      </c>
      <c r="J3039" s="3" t="s">
        <v>310</v>
      </c>
      <c r="K3039" t="s">
        <v>311</v>
      </c>
      <c r="L3039" t="s">
        <v>312</v>
      </c>
      <c r="M3039" t="s">
        <v>57</v>
      </c>
    </row>
    <row r="3040" spans="1:13" x14ac:dyDescent="0.25">
      <c r="A3040" t="s">
        <v>23748</v>
      </c>
      <c r="B3040" t="s">
        <v>13</v>
      </c>
      <c r="C3040" t="s">
        <v>23749</v>
      </c>
      <c r="D3040" t="s">
        <v>23750</v>
      </c>
      <c r="E3040" t="s">
        <v>812</v>
      </c>
      <c r="F3040" t="s">
        <v>1129</v>
      </c>
      <c r="G3040" t="s">
        <v>23751</v>
      </c>
      <c r="H3040" t="s">
        <v>444</v>
      </c>
      <c r="I3040" t="s">
        <v>19</v>
      </c>
      <c r="J3040" s="3" t="s">
        <v>23752</v>
      </c>
      <c r="K3040" t="s">
        <v>23753</v>
      </c>
      <c r="L3040" t="s">
        <v>1193</v>
      </c>
      <c r="M3040" t="s">
        <v>224</v>
      </c>
    </row>
    <row r="3041" spans="1:13" x14ac:dyDescent="0.25">
      <c r="A3041" t="s">
        <v>2897</v>
      </c>
      <c r="B3041" t="s">
        <v>13</v>
      </c>
      <c r="C3041" t="s">
        <v>2898</v>
      </c>
      <c r="D3041" t="s">
        <v>2899</v>
      </c>
      <c r="E3041" t="s">
        <v>2056</v>
      </c>
      <c r="F3041" t="s">
        <v>160</v>
      </c>
      <c r="G3041" t="s">
        <v>2900</v>
      </c>
      <c r="H3041" t="s">
        <v>1486</v>
      </c>
      <c r="I3041" t="s">
        <v>19</v>
      </c>
      <c r="J3041" s="3" t="s">
        <v>2901</v>
      </c>
      <c r="K3041" t="s">
        <v>2902</v>
      </c>
      <c r="L3041" t="s">
        <v>1489</v>
      </c>
      <c r="M3041" t="s">
        <v>57</v>
      </c>
    </row>
    <row r="3042" spans="1:13" x14ac:dyDescent="0.25">
      <c r="A3042" t="s">
        <v>1964</v>
      </c>
      <c r="B3042" t="s">
        <v>13</v>
      </c>
      <c r="C3042" t="s">
        <v>1283</v>
      </c>
      <c r="D3042" t="s">
        <v>1965</v>
      </c>
      <c r="E3042" t="s">
        <v>157</v>
      </c>
      <c r="F3042" t="s">
        <v>160</v>
      </c>
      <c r="G3042" t="s">
        <v>1966</v>
      </c>
      <c r="H3042" t="s">
        <v>1967</v>
      </c>
      <c r="I3042" t="s">
        <v>19</v>
      </c>
      <c r="J3042" s="3" t="s">
        <v>1968</v>
      </c>
      <c r="K3042" t="s">
        <v>1969</v>
      </c>
      <c r="L3042" t="s">
        <v>1970</v>
      </c>
      <c r="M3042" t="s">
        <v>57</v>
      </c>
    </row>
    <row r="3043" spans="1:13" x14ac:dyDescent="0.25">
      <c r="A3043" t="s">
        <v>19225</v>
      </c>
      <c r="B3043" t="s">
        <v>13</v>
      </c>
      <c r="C3043" t="s">
        <v>19226</v>
      </c>
      <c r="D3043" t="s">
        <v>19227</v>
      </c>
      <c r="E3043" t="s">
        <v>812</v>
      </c>
      <c r="F3043" t="s">
        <v>1464</v>
      </c>
      <c r="G3043" t="s">
        <v>18936</v>
      </c>
      <c r="H3043" t="s">
        <v>18937</v>
      </c>
      <c r="I3043" t="s">
        <v>19</v>
      </c>
      <c r="J3043" s="3">
        <f>55-31-999158070</f>
        <v>-999158046</v>
      </c>
      <c r="K3043" t="s">
        <v>18938</v>
      </c>
      <c r="L3043" t="s">
        <v>18939</v>
      </c>
      <c r="M3043" t="s">
        <v>57</v>
      </c>
    </row>
    <row r="3044" spans="1:13" x14ac:dyDescent="0.25">
      <c r="A3044" t="s">
        <v>22875</v>
      </c>
      <c r="B3044" t="s">
        <v>13</v>
      </c>
      <c r="C3044" s="1">
        <v>42747</v>
      </c>
      <c r="D3044" t="s">
        <v>22876</v>
      </c>
      <c r="E3044" t="s">
        <v>812</v>
      </c>
      <c r="F3044" t="s">
        <v>1464</v>
      </c>
      <c r="G3044" t="s">
        <v>8276</v>
      </c>
      <c r="H3044" t="s">
        <v>503</v>
      </c>
      <c r="I3044" t="s">
        <v>19</v>
      </c>
      <c r="J3044" s="3" t="s">
        <v>22877</v>
      </c>
      <c r="K3044" t="s">
        <v>10151</v>
      </c>
      <c r="L3044" t="s">
        <v>412</v>
      </c>
      <c r="M3044" t="s">
        <v>57</v>
      </c>
    </row>
    <row r="3045" spans="1:13" x14ac:dyDescent="0.25">
      <c r="A3045" t="s">
        <v>23554</v>
      </c>
      <c r="B3045" t="s">
        <v>13</v>
      </c>
      <c r="C3045" t="s">
        <v>9648</v>
      </c>
      <c r="D3045" t="s">
        <v>23555</v>
      </c>
      <c r="E3045" t="s">
        <v>2056</v>
      </c>
      <c r="F3045" t="s">
        <v>1464</v>
      </c>
      <c r="G3045" t="s">
        <v>23556</v>
      </c>
      <c r="H3045" t="s">
        <v>36</v>
      </c>
      <c r="I3045" t="s">
        <v>19</v>
      </c>
      <c r="J3045" s="3" t="s">
        <v>23557</v>
      </c>
      <c r="K3045" t="s">
        <v>23558</v>
      </c>
      <c r="L3045" t="s">
        <v>23559</v>
      </c>
      <c r="M3045" t="s">
        <v>57</v>
      </c>
    </row>
    <row r="3046" spans="1:13" x14ac:dyDescent="0.25">
      <c r="A3046" t="s">
        <v>22203</v>
      </c>
      <c r="B3046" t="s">
        <v>13</v>
      </c>
      <c r="C3046" t="s">
        <v>22204</v>
      </c>
      <c r="D3046" t="s">
        <v>22205</v>
      </c>
      <c r="E3046" t="s">
        <v>157</v>
      </c>
      <c r="F3046" t="s">
        <v>1464</v>
      </c>
      <c r="G3046" t="s">
        <v>10859</v>
      </c>
      <c r="H3046" t="s">
        <v>1802</v>
      </c>
      <c r="I3046" t="s">
        <v>19</v>
      </c>
      <c r="J3046" s="3" t="s">
        <v>22206</v>
      </c>
      <c r="K3046" t="s">
        <v>10860</v>
      </c>
      <c r="L3046" t="s">
        <v>14212</v>
      </c>
      <c r="M3046" t="s">
        <v>57</v>
      </c>
    </row>
    <row r="3047" spans="1:13" x14ac:dyDescent="0.25">
      <c r="A3047" t="s">
        <v>23891</v>
      </c>
      <c r="B3047" t="s">
        <v>13</v>
      </c>
      <c r="C3047" s="1">
        <v>42774</v>
      </c>
      <c r="D3047" t="s">
        <v>23892</v>
      </c>
      <c r="E3047" t="s">
        <v>812</v>
      </c>
      <c r="F3047" t="s">
        <v>1464</v>
      </c>
      <c r="G3047" t="s">
        <v>11180</v>
      </c>
      <c r="H3047" t="s">
        <v>11181</v>
      </c>
      <c r="I3047" t="s">
        <v>19</v>
      </c>
      <c r="J3047" s="3">
        <v>5562982056471</v>
      </c>
      <c r="K3047" t="s">
        <v>11182</v>
      </c>
      <c r="L3047" t="s">
        <v>1767</v>
      </c>
      <c r="M3047" t="s">
        <v>57</v>
      </c>
    </row>
    <row r="3048" spans="1:13" x14ac:dyDescent="0.25">
      <c r="A3048" t="s">
        <v>20785</v>
      </c>
      <c r="B3048" t="s">
        <v>13</v>
      </c>
      <c r="C3048" s="1">
        <v>43166</v>
      </c>
      <c r="D3048" t="s">
        <v>20786</v>
      </c>
      <c r="E3048" t="s">
        <v>157</v>
      </c>
      <c r="F3048" t="s">
        <v>1464</v>
      </c>
      <c r="G3048" t="s">
        <v>2178</v>
      </c>
      <c r="H3048" t="s">
        <v>2112</v>
      </c>
      <c r="I3048" t="s">
        <v>19</v>
      </c>
      <c r="J3048" s="3">
        <f>55-45-32207344</f>
        <v>-32207334</v>
      </c>
      <c r="K3048" t="s">
        <v>14019</v>
      </c>
      <c r="L3048" t="s">
        <v>14020</v>
      </c>
      <c r="M3048" t="s">
        <v>57</v>
      </c>
    </row>
    <row r="3049" spans="1:13" x14ac:dyDescent="0.25">
      <c r="A3049" t="s">
        <v>20579</v>
      </c>
      <c r="B3049" t="s">
        <v>13</v>
      </c>
      <c r="C3049" s="1">
        <v>43441</v>
      </c>
      <c r="D3049" t="s">
        <v>20580</v>
      </c>
      <c r="E3049" t="s">
        <v>2056</v>
      </c>
      <c r="F3049" t="s">
        <v>1464</v>
      </c>
      <c r="G3049" t="s">
        <v>2178</v>
      </c>
      <c r="H3049" t="s">
        <v>2112</v>
      </c>
      <c r="I3049" t="s">
        <v>19</v>
      </c>
      <c r="J3049" s="3">
        <f>55-45-32207344</f>
        <v>-32207334</v>
      </c>
      <c r="K3049" t="s">
        <v>14019</v>
      </c>
      <c r="L3049" t="s">
        <v>14020</v>
      </c>
      <c r="M3049" t="s">
        <v>57</v>
      </c>
    </row>
    <row r="3050" spans="1:13" x14ac:dyDescent="0.25">
      <c r="A3050" t="s">
        <v>16833</v>
      </c>
      <c r="B3050" t="s">
        <v>13</v>
      </c>
      <c r="C3050" s="1">
        <v>43684</v>
      </c>
      <c r="D3050" t="s">
        <v>16834</v>
      </c>
      <c r="E3050" t="s">
        <v>157</v>
      </c>
      <c r="F3050" t="s">
        <v>1464</v>
      </c>
      <c r="G3050" t="s">
        <v>16835</v>
      </c>
      <c r="H3050" t="s">
        <v>36</v>
      </c>
      <c r="I3050" t="s">
        <v>19</v>
      </c>
      <c r="J3050" s="3" t="s">
        <v>16836</v>
      </c>
      <c r="K3050" t="s">
        <v>16837</v>
      </c>
      <c r="L3050" t="s">
        <v>439</v>
      </c>
      <c r="M3050" t="s">
        <v>57</v>
      </c>
    </row>
    <row r="3051" spans="1:13" x14ac:dyDescent="0.25">
      <c r="A3051" t="s">
        <v>13972</v>
      </c>
      <c r="B3051" t="s">
        <v>13</v>
      </c>
      <c r="C3051" t="s">
        <v>6128</v>
      </c>
      <c r="D3051" t="s">
        <v>13973</v>
      </c>
      <c r="E3051" t="s">
        <v>157</v>
      </c>
      <c r="F3051" t="s">
        <v>1464</v>
      </c>
      <c r="G3051" t="s">
        <v>13974</v>
      </c>
      <c r="H3051" t="s">
        <v>53</v>
      </c>
      <c r="I3051" t="s">
        <v>19</v>
      </c>
      <c r="J3051" s="3">
        <f>55-38-988287369</f>
        <v>-988287352</v>
      </c>
      <c r="K3051" t="s">
        <v>13975</v>
      </c>
      <c r="L3051" t="s">
        <v>56</v>
      </c>
      <c r="M3051" t="s">
        <v>57</v>
      </c>
    </row>
    <row r="3052" spans="1:13" x14ac:dyDescent="0.25">
      <c r="A3052" t="s">
        <v>15331</v>
      </c>
      <c r="B3052" t="s">
        <v>13</v>
      </c>
      <c r="C3052" t="s">
        <v>15332</v>
      </c>
      <c r="D3052" t="s">
        <v>15333</v>
      </c>
      <c r="E3052" t="s">
        <v>157</v>
      </c>
      <c r="F3052" t="s">
        <v>1464</v>
      </c>
      <c r="G3052" t="s">
        <v>12119</v>
      </c>
      <c r="H3052" t="s">
        <v>12120</v>
      </c>
      <c r="I3052" t="s">
        <v>19</v>
      </c>
      <c r="J3052" s="3">
        <f>55-24-992192494</f>
        <v>-992192463</v>
      </c>
      <c r="K3052" t="s">
        <v>12121</v>
      </c>
      <c r="L3052" t="s">
        <v>12122</v>
      </c>
      <c r="M3052" t="s">
        <v>57</v>
      </c>
    </row>
    <row r="3053" spans="1:13" x14ac:dyDescent="0.25">
      <c r="A3053" t="s">
        <v>11041</v>
      </c>
      <c r="B3053" t="s">
        <v>13</v>
      </c>
      <c r="C3053" t="s">
        <v>11014</v>
      </c>
      <c r="D3053" t="s">
        <v>11042</v>
      </c>
      <c r="E3053" t="s">
        <v>157</v>
      </c>
      <c r="F3053" t="s">
        <v>1464</v>
      </c>
      <c r="G3053" t="s">
        <v>11043</v>
      </c>
      <c r="H3053" t="s">
        <v>11044</v>
      </c>
      <c r="I3053" t="s">
        <v>19</v>
      </c>
      <c r="J3053" s="3">
        <f>55-42-99194653</f>
        <v>-99194640</v>
      </c>
      <c r="K3053" t="s">
        <v>11045</v>
      </c>
      <c r="L3053" t="s">
        <v>11046</v>
      </c>
      <c r="M3053" t="s">
        <v>57</v>
      </c>
    </row>
    <row r="3054" spans="1:13" x14ac:dyDescent="0.25">
      <c r="A3054" t="s">
        <v>11126</v>
      </c>
      <c r="B3054" t="s">
        <v>13</v>
      </c>
      <c r="C3054" s="1">
        <v>44050</v>
      </c>
      <c r="D3054" t="s">
        <v>11127</v>
      </c>
      <c r="E3054" t="s">
        <v>157</v>
      </c>
      <c r="F3054" t="s">
        <v>1464</v>
      </c>
      <c r="G3054" t="s">
        <v>11128</v>
      </c>
      <c r="H3054" t="s">
        <v>615</v>
      </c>
      <c r="I3054" t="s">
        <v>19</v>
      </c>
      <c r="J3054" s="3">
        <v>5534992028413</v>
      </c>
      <c r="K3054" t="s">
        <v>11129</v>
      </c>
      <c r="L3054" t="s">
        <v>11130</v>
      </c>
      <c r="M3054" t="s">
        <v>57</v>
      </c>
    </row>
    <row r="3055" spans="1:13" x14ac:dyDescent="0.25">
      <c r="A3055" t="s">
        <v>4062</v>
      </c>
      <c r="B3055" t="s">
        <v>13</v>
      </c>
      <c r="C3055" s="1">
        <v>44565</v>
      </c>
      <c r="D3055" t="s">
        <v>4063</v>
      </c>
      <c r="E3055" t="s">
        <v>157</v>
      </c>
      <c r="F3055" t="s">
        <v>4064</v>
      </c>
      <c r="G3055" t="s">
        <v>420</v>
      </c>
      <c r="H3055" t="s">
        <v>36</v>
      </c>
      <c r="I3055" t="s">
        <v>19</v>
      </c>
      <c r="J3055" s="3">
        <v>5511995444647</v>
      </c>
      <c r="K3055" t="s">
        <v>421</v>
      </c>
      <c r="L3055" t="s">
        <v>206</v>
      </c>
      <c r="M3055" t="s">
        <v>224</v>
      </c>
    </row>
    <row r="3056" spans="1:13" x14ac:dyDescent="0.25">
      <c r="A3056" t="s">
        <v>8023</v>
      </c>
      <c r="B3056" t="s">
        <v>13</v>
      </c>
      <c r="C3056" s="1">
        <v>44411</v>
      </c>
      <c r="D3056" t="s">
        <v>8024</v>
      </c>
      <c r="E3056" t="s">
        <v>812</v>
      </c>
      <c r="F3056" t="s">
        <v>8025</v>
      </c>
      <c r="G3056" t="s">
        <v>8026</v>
      </c>
      <c r="H3056" t="s">
        <v>6091</v>
      </c>
      <c r="I3056" t="s">
        <v>19</v>
      </c>
      <c r="J3056" s="3" t="s">
        <v>8027</v>
      </c>
      <c r="K3056" t="s">
        <v>8028</v>
      </c>
      <c r="L3056" t="s">
        <v>32135</v>
      </c>
      <c r="M3056" t="s">
        <v>57</v>
      </c>
    </row>
    <row r="3057" spans="1:13" x14ac:dyDescent="0.25">
      <c r="A3057" t="s">
        <v>9707</v>
      </c>
      <c r="B3057" t="s">
        <v>13</v>
      </c>
      <c r="C3057" t="s">
        <v>5087</v>
      </c>
      <c r="D3057" t="s">
        <v>9708</v>
      </c>
      <c r="E3057" t="s">
        <v>9709</v>
      </c>
      <c r="F3057" t="s">
        <v>1464</v>
      </c>
      <c r="G3057" t="s">
        <v>8281</v>
      </c>
      <c r="H3057" t="s">
        <v>131</v>
      </c>
      <c r="I3057" t="s">
        <v>19</v>
      </c>
      <c r="J3057" s="3">
        <v>5581997860507</v>
      </c>
      <c r="K3057" t="s">
        <v>8282</v>
      </c>
      <c r="L3057" t="s">
        <v>4689</v>
      </c>
      <c r="M3057" t="s">
        <v>32121</v>
      </c>
    </row>
    <row r="3058" spans="1:13" x14ac:dyDescent="0.25">
      <c r="A3058" t="s">
        <v>18409</v>
      </c>
      <c r="B3058" t="s">
        <v>13</v>
      </c>
      <c r="C3058" t="s">
        <v>18410</v>
      </c>
      <c r="D3058" t="s">
        <v>18411</v>
      </c>
      <c r="E3058" t="s">
        <v>18412</v>
      </c>
      <c r="F3058" t="s">
        <v>57</v>
      </c>
      <c r="G3058" t="s">
        <v>18413</v>
      </c>
      <c r="H3058" t="s">
        <v>18414</v>
      </c>
      <c r="I3058" t="s">
        <v>19</v>
      </c>
      <c r="J3058" s="3">
        <v>556681114777</v>
      </c>
      <c r="K3058" t="s">
        <v>18415</v>
      </c>
      <c r="L3058" t="s">
        <v>223</v>
      </c>
      <c r="M3058" t="s">
        <v>57</v>
      </c>
    </row>
    <row r="3059" spans="1:13" x14ac:dyDescent="0.25">
      <c r="A3059" t="s">
        <v>18028</v>
      </c>
      <c r="B3059" t="s">
        <v>13</v>
      </c>
      <c r="C3059" t="s">
        <v>14236</v>
      </c>
      <c r="D3059" t="s">
        <v>18029</v>
      </c>
      <c r="E3059" s="2" t="s">
        <v>31187</v>
      </c>
      <c r="F3059" t="s">
        <v>2036</v>
      </c>
      <c r="G3059" t="s">
        <v>18030</v>
      </c>
      <c r="H3059" t="s">
        <v>409</v>
      </c>
      <c r="I3059" t="s">
        <v>19</v>
      </c>
      <c r="J3059" s="3">
        <f>55-4836648677</f>
        <v>-4836648622</v>
      </c>
      <c r="K3059" t="s">
        <v>18031</v>
      </c>
      <c r="L3059" t="s">
        <v>1823</v>
      </c>
      <c r="M3059" t="s">
        <v>57</v>
      </c>
    </row>
    <row r="3060" spans="1:13" x14ac:dyDescent="0.25">
      <c r="A3060" t="s">
        <v>10073</v>
      </c>
      <c r="B3060" t="s">
        <v>13</v>
      </c>
      <c r="C3060" t="s">
        <v>10074</v>
      </c>
      <c r="D3060" t="s">
        <v>10075</v>
      </c>
      <c r="E3060" s="2" t="s">
        <v>30981</v>
      </c>
      <c r="F3060" t="s">
        <v>1464</v>
      </c>
      <c r="G3060" t="s">
        <v>10076</v>
      </c>
      <c r="H3060" t="s">
        <v>444</v>
      </c>
      <c r="I3060" t="s">
        <v>19</v>
      </c>
      <c r="J3060" s="3">
        <v>5581981442222</v>
      </c>
      <c r="K3060" t="s">
        <v>10077</v>
      </c>
      <c r="L3060" t="s">
        <v>10078</v>
      </c>
      <c r="M3060" t="s">
        <v>57</v>
      </c>
    </row>
    <row r="3061" spans="1:13" x14ac:dyDescent="0.25">
      <c r="A3061" t="s">
        <v>17414</v>
      </c>
      <c r="B3061" t="s">
        <v>13</v>
      </c>
      <c r="C3061" s="1">
        <v>43561</v>
      </c>
      <c r="D3061" t="s">
        <v>17415</v>
      </c>
      <c r="E3061" s="2" t="s">
        <v>31175</v>
      </c>
      <c r="F3061" t="s">
        <v>1464</v>
      </c>
      <c r="G3061" t="s">
        <v>17416</v>
      </c>
      <c r="H3061" t="s">
        <v>7612</v>
      </c>
      <c r="I3061" t="s">
        <v>19</v>
      </c>
      <c r="J3061" s="3">
        <f>55-3499166125</f>
        <v>-3499166070</v>
      </c>
      <c r="K3061" t="s">
        <v>17417</v>
      </c>
      <c r="L3061" t="s">
        <v>7614</v>
      </c>
      <c r="M3061" t="s">
        <v>57</v>
      </c>
    </row>
    <row r="3062" spans="1:13" x14ac:dyDescent="0.25">
      <c r="A3062" t="s">
        <v>19065</v>
      </c>
      <c r="B3062" t="s">
        <v>13</v>
      </c>
      <c r="C3062" s="1">
        <v>43323</v>
      </c>
      <c r="D3062" t="s">
        <v>19066</v>
      </c>
      <c r="E3062" s="2" t="s">
        <v>31218</v>
      </c>
      <c r="F3062" t="s">
        <v>2036</v>
      </c>
      <c r="G3062" t="s">
        <v>19067</v>
      </c>
      <c r="H3062" t="s">
        <v>409</v>
      </c>
      <c r="I3062" t="s">
        <v>19</v>
      </c>
      <c r="J3062" s="3">
        <v>5548999099363</v>
      </c>
      <c r="K3062" t="s">
        <v>19068</v>
      </c>
      <c r="L3062" t="s">
        <v>412</v>
      </c>
      <c r="M3062" t="s">
        <v>57</v>
      </c>
    </row>
    <row r="3063" spans="1:13" x14ac:dyDescent="0.25">
      <c r="A3063" t="s">
        <v>26693</v>
      </c>
      <c r="B3063" t="s">
        <v>13</v>
      </c>
      <c r="C3063" t="s">
        <v>14864</v>
      </c>
      <c r="D3063" t="s">
        <v>26694</v>
      </c>
      <c r="E3063" t="s">
        <v>26695</v>
      </c>
      <c r="F3063" t="s">
        <v>2036</v>
      </c>
      <c r="G3063" t="s">
        <v>26696</v>
      </c>
      <c r="H3063" t="s">
        <v>2678</v>
      </c>
      <c r="I3063" t="s">
        <v>19</v>
      </c>
      <c r="J3063" s="3" t="s">
        <v>26697</v>
      </c>
      <c r="K3063" t="s">
        <v>26698</v>
      </c>
      <c r="L3063" t="s">
        <v>4608</v>
      </c>
      <c r="M3063" t="s">
        <v>57</v>
      </c>
    </row>
    <row r="3064" spans="1:13" x14ac:dyDescent="0.25">
      <c r="A3064" t="s">
        <v>17391</v>
      </c>
      <c r="B3064" t="s">
        <v>13</v>
      </c>
      <c r="C3064" s="1">
        <v>43561</v>
      </c>
      <c r="D3064" t="s">
        <v>17392</v>
      </c>
      <c r="E3064" t="s">
        <v>17393</v>
      </c>
      <c r="F3064" t="s">
        <v>57</v>
      </c>
      <c r="G3064" t="s">
        <v>17394</v>
      </c>
      <c r="H3064" t="s">
        <v>17395</v>
      </c>
      <c r="I3064" t="s">
        <v>19</v>
      </c>
      <c r="J3064" s="3">
        <f>55-11-984218917</f>
        <v>-984218873</v>
      </c>
      <c r="K3064" t="s">
        <v>17396</v>
      </c>
      <c r="L3064" t="s">
        <v>2418</v>
      </c>
      <c r="M3064" t="s">
        <v>57</v>
      </c>
    </row>
    <row r="3065" spans="1:13" x14ac:dyDescent="0.25">
      <c r="A3065" t="s">
        <v>5205</v>
      </c>
      <c r="B3065" t="s">
        <v>13</v>
      </c>
      <c r="C3065" t="s">
        <v>5206</v>
      </c>
      <c r="D3065" t="s">
        <v>5207</v>
      </c>
      <c r="E3065" s="2" t="s">
        <v>31668</v>
      </c>
      <c r="F3065" t="s">
        <v>5208</v>
      </c>
      <c r="G3065" t="s">
        <v>5209</v>
      </c>
      <c r="H3065" t="s">
        <v>5210</v>
      </c>
      <c r="I3065" t="s">
        <v>19</v>
      </c>
      <c r="J3065" s="3" t="s">
        <v>5211</v>
      </c>
      <c r="K3065" t="s">
        <v>5212</v>
      </c>
      <c r="L3065" t="s">
        <v>32135</v>
      </c>
      <c r="M3065" t="s">
        <v>57</v>
      </c>
    </row>
    <row r="3066" spans="1:13" x14ac:dyDescent="0.25">
      <c r="A3066" t="s">
        <v>22232</v>
      </c>
      <c r="B3066" t="s">
        <v>13</v>
      </c>
      <c r="C3066" t="s">
        <v>12033</v>
      </c>
      <c r="D3066" t="s">
        <v>22233</v>
      </c>
      <c r="E3066" t="s">
        <v>22234</v>
      </c>
      <c r="F3066" t="s">
        <v>57</v>
      </c>
      <c r="G3066" t="s">
        <v>22235</v>
      </c>
      <c r="H3066" t="s">
        <v>71</v>
      </c>
      <c r="I3066" t="s">
        <v>19</v>
      </c>
      <c r="J3066" s="3" t="s">
        <v>22236</v>
      </c>
      <c r="K3066" t="s">
        <v>22237</v>
      </c>
      <c r="L3066" t="s">
        <v>22228</v>
      </c>
      <c r="M3066" t="s">
        <v>57</v>
      </c>
    </row>
    <row r="3067" spans="1:13" x14ac:dyDescent="0.25">
      <c r="A3067" t="s">
        <v>9485</v>
      </c>
      <c r="B3067" t="s">
        <v>13</v>
      </c>
      <c r="C3067" t="s">
        <v>9445</v>
      </c>
      <c r="D3067" t="s">
        <v>9486</v>
      </c>
      <c r="E3067" t="s">
        <v>9487</v>
      </c>
      <c r="F3067" t="s">
        <v>57</v>
      </c>
      <c r="G3067" t="s">
        <v>9488</v>
      </c>
      <c r="H3067" t="s">
        <v>18</v>
      </c>
      <c r="I3067" t="s">
        <v>19</v>
      </c>
      <c r="J3067" s="3">
        <f>55-19-997780204</f>
        <v>-997780168</v>
      </c>
      <c r="K3067" t="s">
        <v>9489</v>
      </c>
      <c r="L3067" t="s">
        <v>9490</v>
      </c>
      <c r="M3067" t="s">
        <v>57</v>
      </c>
    </row>
    <row r="3068" spans="1:13" x14ac:dyDescent="0.25">
      <c r="A3068" t="s">
        <v>29032</v>
      </c>
      <c r="B3068" t="s">
        <v>13</v>
      </c>
      <c r="C3068" s="1">
        <v>41858</v>
      </c>
      <c r="D3068" t="s">
        <v>29033</v>
      </c>
      <c r="E3068" t="s">
        <v>32420</v>
      </c>
      <c r="F3068" t="s">
        <v>57</v>
      </c>
      <c r="G3068" t="s">
        <v>2894</v>
      </c>
      <c r="H3068" t="s">
        <v>472</v>
      </c>
      <c r="I3068" t="s">
        <v>19</v>
      </c>
      <c r="J3068" s="3" t="s">
        <v>29034</v>
      </c>
      <c r="K3068" t="s">
        <v>2896</v>
      </c>
      <c r="L3068" t="s">
        <v>2101</v>
      </c>
      <c r="M3068" t="s">
        <v>57</v>
      </c>
    </row>
    <row r="3069" spans="1:13" x14ac:dyDescent="0.25">
      <c r="A3069" t="s">
        <v>7694</v>
      </c>
      <c r="B3069" t="s">
        <v>13</v>
      </c>
      <c r="C3069" s="1">
        <v>44474</v>
      </c>
      <c r="D3069" t="s">
        <v>7695</v>
      </c>
      <c r="E3069" s="2" t="s">
        <v>31786</v>
      </c>
      <c r="F3069" t="s">
        <v>7696</v>
      </c>
      <c r="G3069" t="s">
        <v>5044</v>
      </c>
      <c r="H3069" t="s">
        <v>1466</v>
      </c>
      <c r="I3069" t="s">
        <v>19</v>
      </c>
      <c r="J3069" s="3" t="s">
        <v>7697</v>
      </c>
      <c r="K3069" t="s">
        <v>7698</v>
      </c>
      <c r="L3069" t="s">
        <v>1469</v>
      </c>
      <c r="M3069" t="s">
        <v>57</v>
      </c>
    </row>
    <row r="3070" spans="1:13" x14ac:dyDescent="0.25">
      <c r="A3070" t="s">
        <v>8543</v>
      </c>
      <c r="B3070" t="s">
        <v>101</v>
      </c>
      <c r="C3070" t="s">
        <v>8544</v>
      </c>
      <c r="D3070" t="s">
        <v>8545</v>
      </c>
      <c r="E3070" s="2" t="s">
        <v>31612</v>
      </c>
      <c r="F3070" t="s">
        <v>812</v>
      </c>
      <c r="G3070" t="s">
        <v>8546</v>
      </c>
      <c r="H3070" t="s">
        <v>428</v>
      </c>
      <c r="I3070" t="s">
        <v>19</v>
      </c>
      <c r="J3070" s="3">
        <f>55-51-981517527</f>
        <v>-981517523</v>
      </c>
      <c r="K3070" t="s">
        <v>8547</v>
      </c>
      <c r="L3070" t="s">
        <v>32135</v>
      </c>
      <c r="M3070" t="s">
        <v>57</v>
      </c>
    </row>
    <row r="3071" spans="1:13" x14ac:dyDescent="0.25">
      <c r="A3071" t="s">
        <v>10380</v>
      </c>
      <c r="B3071" t="s">
        <v>13</v>
      </c>
      <c r="C3071" t="s">
        <v>9982</v>
      </c>
      <c r="D3071" t="s">
        <v>10381</v>
      </c>
      <c r="E3071" s="2" t="s">
        <v>31494</v>
      </c>
      <c r="F3071" t="s">
        <v>2036</v>
      </c>
      <c r="G3071" t="s">
        <v>9374</v>
      </c>
      <c r="H3071" t="s">
        <v>45</v>
      </c>
      <c r="I3071" t="s">
        <v>19</v>
      </c>
      <c r="J3071" s="3" t="s">
        <v>1907</v>
      </c>
      <c r="K3071" t="s">
        <v>9375</v>
      </c>
      <c r="L3071" t="s">
        <v>1909</v>
      </c>
      <c r="M3071" t="s">
        <v>57</v>
      </c>
    </row>
    <row r="3072" spans="1:13" x14ac:dyDescent="0.25">
      <c r="A3072" t="s">
        <v>596</v>
      </c>
      <c r="B3072" t="s">
        <v>13</v>
      </c>
      <c r="C3072" s="1">
        <v>45200</v>
      </c>
      <c r="D3072" t="s">
        <v>597</v>
      </c>
      <c r="E3072" t="s">
        <v>30686</v>
      </c>
      <c r="F3072" t="s">
        <v>288</v>
      </c>
      <c r="G3072" t="s">
        <v>598</v>
      </c>
      <c r="H3072" t="s">
        <v>372</v>
      </c>
      <c r="I3072" t="s">
        <v>19</v>
      </c>
      <c r="J3072" s="3" t="s">
        <v>599</v>
      </c>
      <c r="K3072" t="s">
        <v>600</v>
      </c>
      <c r="L3072" t="s">
        <v>601</v>
      </c>
      <c r="M3072" t="s">
        <v>57</v>
      </c>
    </row>
    <row r="3073" spans="1:13" x14ac:dyDescent="0.25">
      <c r="A3073" t="s">
        <v>7684</v>
      </c>
      <c r="B3073" t="s">
        <v>13</v>
      </c>
      <c r="C3073" s="1">
        <v>44474</v>
      </c>
      <c r="D3073" t="s">
        <v>7685</v>
      </c>
      <c r="E3073" s="2" t="s">
        <v>30935</v>
      </c>
      <c r="F3073" t="s">
        <v>288</v>
      </c>
      <c r="G3073" t="s">
        <v>7686</v>
      </c>
      <c r="H3073" t="s">
        <v>893</v>
      </c>
      <c r="I3073" t="s">
        <v>19</v>
      </c>
      <c r="J3073" s="3" t="s">
        <v>7687</v>
      </c>
      <c r="K3073" t="s">
        <v>7688</v>
      </c>
      <c r="L3073" t="s">
        <v>1727</v>
      </c>
      <c r="M3073" t="s">
        <v>57</v>
      </c>
    </row>
    <row r="3074" spans="1:13" x14ac:dyDescent="0.25">
      <c r="A3074" t="s">
        <v>7810</v>
      </c>
      <c r="B3074" t="s">
        <v>101</v>
      </c>
      <c r="C3074" s="1">
        <v>44320</v>
      </c>
      <c r="D3074" t="s">
        <v>7811</v>
      </c>
      <c r="E3074" t="s">
        <v>7812</v>
      </c>
      <c r="F3074" t="s">
        <v>2947</v>
      </c>
      <c r="G3074" t="s">
        <v>7813</v>
      </c>
      <c r="H3074" t="s">
        <v>18</v>
      </c>
      <c r="I3074" t="s">
        <v>19</v>
      </c>
      <c r="J3074" s="3" t="s">
        <v>7814</v>
      </c>
      <c r="K3074" t="s">
        <v>7815</v>
      </c>
      <c r="L3074" t="s">
        <v>7816</v>
      </c>
      <c r="M3074" t="s">
        <v>771</v>
      </c>
    </row>
    <row r="3075" spans="1:13" x14ac:dyDescent="0.25">
      <c r="A3075" t="s">
        <v>13144</v>
      </c>
      <c r="B3075" t="s">
        <v>13</v>
      </c>
      <c r="C3075" s="1">
        <v>43744</v>
      </c>
      <c r="D3075" t="s">
        <v>13145</v>
      </c>
      <c r="E3075" t="s">
        <v>13146</v>
      </c>
      <c r="F3075" t="s">
        <v>57</v>
      </c>
      <c r="G3075" t="s">
        <v>13147</v>
      </c>
      <c r="H3075" t="s">
        <v>472</v>
      </c>
      <c r="I3075" t="s">
        <v>19</v>
      </c>
      <c r="J3075" s="3">
        <v>558132710267</v>
      </c>
      <c r="K3075" t="s">
        <v>13148</v>
      </c>
      <c r="L3075" t="s">
        <v>13149</v>
      </c>
      <c r="M3075" t="s">
        <v>57</v>
      </c>
    </row>
    <row r="3076" spans="1:13" x14ac:dyDescent="0.25">
      <c r="A3076" t="s">
        <v>30018</v>
      </c>
      <c r="B3076" t="s">
        <v>13</v>
      </c>
      <c r="C3076" t="s">
        <v>14184</v>
      </c>
      <c r="D3076" t="s">
        <v>30019</v>
      </c>
      <c r="E3076" t="s">
        <v>30020</v>
      </c>
      <c r="F3076" t="s">
        <v>771</v>
      </c>
      <c r="G3076" t="s">
        <v>30021</v>
      </c>
      <c r="H3076" t="s">
        <v>36</v>
      </c>
      <c r="I3076" t="s">
        <v>19</v>
      </c>
      <c r="J3076" s="3" t="s">
        <v>30022</v>
      </c>
      <c r="K3076" t="s">
        <v>30023</v>
      </c>
      <c r="L3076" t="s">
        <v>2768</v>
      </c>
      <c r="M3076" t="s">
        <v>771</v>
      </c>
    </row>
    <row r="3077" spans="1:13" x14ac:dyDescent="0.25">
      <c r="A3077" t="s">
        <v>14341</v>
      </c>
      <c r="B3077" t="s">
        <v>13</v>
      </c>
      <c r="C3077" s="1">
        <v>43983</v>
      </c>
      <c r="D3077" t="s">
        <v>14342</v>
      </c>
      <c r="E3077" t="s">
        <v>14343</v>
      </c>
      <c r="F3077" t="s">
        <v>1464</v>
      </c>
      <c r="G3077" t="s">
        <v>14344</v>
      </c>
      <c r="H3077" t="s">
        <v>472</v>
      </c>
      <c r="I3077" t="s">
        <v>19</v>
      </c>
      <c r="J3077" s="3">
        <f>55-81-21268000</f>
        <v>-21268026</v>
      </c>
      <c r="K3077" t="s">
        <v>14345</v>
      </c>
      <c r="L3077" t="s">
        <v>9283</v>
      </c>
      <c r="M3077" t="s">
        <v>771</v>
      </c>
    </row>
    <row r="3078" spans="1:13" x14ac:dyDescent="0.25">
      <c r="A3078" t="s">
        <v>13408</v>
      </c>
      <c r="B3078" t="s">
        <v>13</v>
      </c>
      <c r="C3078" t="s">
        <v>12133</v>
      </c>
      <c r="D3078" t="s">
        <v>13409</v>
      </c>
      <c r="E3078" t="s">
        <v>13410</v>
      </c>
      <c r="F3078" t="s">
        <v>785</v>
      </c>
      <c r="G3078" t="s">
        <v>13411</v>
      </c>
      <c r="H3078" t="s">
        <v>36</v>
      </c>
      <c r="I3078" t="s">
        <v>19</v>
      </c>
      <c r="J3078" s="3">
        <f>55-11-2070-25</f>
        <v>-2051</v>
      </c>
      <c r="K3078" t="s">
        <v>13412</v>
      </c>
      <c r="L3078" t="s">
        <v>10861</v>
      </c>
      <c r="M3078" t="s">
        <v>32145</v>
      </c>
    </row>
    <row r="3079" spans="1:13" x14ac:dyDescent="0.25">
      <c r="A3079" t="s">
        <v>6861</v>
      </c>
      <c r="B3079" t="s">
        <v>13</v>
      </c>
      <c r="C3079" s="1">
        <v>44383</v>
      </c>
      <c r="D3079" t="s">
        <v>32135</v>
      </c>
      <c r="E3079" t="s">
        <v>6862</v>
      </c>
      <c r="F3079" t="s">
        <v>6863</v>
      </c>
      <c r="G3079" t="s">
        <v>6864</v>
      </c>
      <c r="H3079" t="s">
        <v>6865</v>
      </c>
      <c r="I3079" t="s">
        <v>19</v>
      </c>
      <c r="J3079" s="3">
        <v>5565999164598</v>
      </c>
      <c r="K3079" t="s">
        <v>6866</v>
      </c>
      <c r="L3079" t="s">
        <v>32135</v>
      </c>
      <c r="M3079" t="s">
        <v>771</v>
      </c>
    </row>
    <row r="3080" spans="1:13" x14ac:dyDescent="0.25">
      <c r="A3080" t="s">
        <v>5823</v>
      </c>
      <c r="B3080" t="s">
        <v>13</v>
      </c>
      <c r="C3080" t="s">
        <v>5818</v>
      </c>
      <c r="D3080" t="s">
        <v>5824</v>
      </c>
      <c r="E3080" s="2" t="s">
        <v>30860</v>
      </c>
      <c r="F3080" t="s">
        <v>5826</v>
      </c>
      <c r="G3080" t="s">
        <v>5827</v>
      </c>
      <c r="H3080" t="s">
        <v>32135</v>
      </c>
      <c r="I3080" t="s">
        <v>19</v>
      </c>
      <c r="J3080" s="3" t="s">
        <v>5828</v>
      </c>
      <c r="K3080" t="s">
        <v>5829</v>
      </c>
      <c r="L3080" t="s">
        <v>32135</v>
      </c>
      <c r="M3080" t="s">
        <v>32145</v>
      </c>
    </row>
    <row r="3081" spans="1:13" x14ac:dyDescent="0.25">
      <c r="A3081" t="s">
        <v>19484</v>
      </c>
      <c r="B3081" t="s">
        <v>13</v>
      </c>
      <c r="C3081" t="s">
        <v>19478</v>
      </c>
      <c r="D3081" t="s">
        <v>19485</v>
      </c>
      <c r="E3081" s="2" t="s">
        <v>31517</v>
      </c>
      <c r="F3081" t="s">
        <v>2758</v>
      </c>
      <c r="G3081" t="s">
        <v>19486</v>
      </c>
      <c r="H3081" t="s">
        <v>19487</v>
      </c>
      <c r="I3081" t="s">
        <v>19</v>
      </c>
      <c r="J3081" s="3">
        <v>5513981481116</v>
      </c>
      <c r="K3081" t="s">
        <v>19488</v>
      </c>
      <c r="L3081" t="s">
        <v>14212</v>
      </c>
      <c r="M3081" t="s">
        <v>32149</v>
      </c>
    </row>
    <row r="3082" spans="1:13" x14ac:dyDescent="0.25">
      <c r="A3082" t="s">
        <v>4575</v>
      </c>
      <c r="B3082" t="s">
        <v>13</v>
      </c>
      <c r="C3082" t="s">
        <v>4576</v>
      </c>
      <c r="D3082" t="s">
        <v>4577</v>
      </c>
      <c r="E3082" s="2" t="s">
        <v>30810</v>
      </c>
      <c r="F3082" t="s">
        <v>4578</v>
      </c>
      <c r="G3082" t="s">
        <v>4579</v>
      </c>
      <c r="H3082" t="s">
        <v>3660</v>
      </c>
      <c r="I3082" t="s">
        <v>19</v>
      </c>
      <c r="J3082" s="3">
        <v>5568992057646</v>
      </c>
      <c r="K3082" t="s">
        <v>4580</v>
      </c>
      <c r="L3082" t="s">
        <v>4581</v>
      </c>
      <c r="M3082" t="s">
        <v>32121</v>
      </c>
    </row>
    <row r="3083" spans="1:13" x14ac:dyDescent="0.25">
      <c r="A3083" t="s">
        <v>3121</v>
      </c>
      <c r="B3083" t="s">
        <v>13</v>
      </c>
      <c r="C3083" s="1">
        <v>44719</v>
      </c>
      <c r="D3083" t="s">
        <v>3122</v>
      </c>
      <c r="E3083" s="2" t="s">
        <v>30767</v>
      </c>
      <c r="F3083" t="s">
        <v>3123</v>
      </c>
      <c r="G3083" t="s">
        <v>3124</v>
      </c>
      <c r="H3083" t="s">
        <v>2934</v>
      </c>
      <c r="I3083" t="s">
        <v>19</v>
      </c>
      <c r="J3083" s="3">
        <v>5537999410499</v>
      </c>
      <c r="K3083" t="s">
        <v>3125</v>
      </c>
      <c r="L3083" t="s">
        <v>2936</v>
      </c>
      <c r="M3083" t="s">
        <v>32121</v>
      </c>
    </row>
    <row r="3084" spans="1:13" x14ac:dyDescent="0.25">
      <c r="A3084" t="s">
        <v>25375</v>
      </c>
      <c r="B3084" t="s">
        <v>101</v>
      </c>
      <c r="C3084" t="s">
        <v>25376</v>
      </c>
      <c r="D3084" t="s">
        <v>25377</v>
      </c>
      <c r="E3084" t="s">
        <v>25378</v>
      </c>
      <c r="F3084" t="s">
        <v>2036</v>
      </c>
      <c r="G3084" t="s">
        <v>3241</v>
      </c>
      <c r="H3084" t="s">
        <v>489</v>
      </c>
      <c r="I3084" t="s">
        <v>19</v>
      </c>
      <c r="J3084" s="3">
        <v>554199944080</v>
      </c>
      <c r="K3084" t="s">
        <v>7085</v>
      </c>
      <c r="L3084" t="s">
        <v>625</v>
      </c>
      <c r="M3084" t="s">
        <v>57</v>
      </c>
    </row>
    <row r="3085" spans="1:13" x14ac:dyDescent="0.25">
      <c r="A3085" t="s">
        <v>18423</v>
      </c>
      <c r="B3085" t="s">
        <v>13</v>
      </c>
      <c r="C3085" s="1">
        <v>43467</v>
      </c>
      <c r="D3085" t="s">
        <v>18424</v>
      </c>
      <c r="E3085" t="s">
        <v>18425</v>
      </c>
      <c r="F3085" t="s">
        <v>1464</v>
      </c>
      <c r="G3085" t="s">
        <v>18426</v>
      </c>
      <c r="H3085" t="s">
        <v>503</v>
      </c>
      <c r="I3085" t="s">
        <v>19</v>
      </c>
      <c r="J3085" s="3" t="s">
        <v>18427</v>
      </c>
      <c r="K3085" t="s">
        <v>18428</v>
      </c>
      <c r="L3085" t="s">
        <v>412</v>
      </c>
      <c r="M3085" t="s">
        <v>57</v>
      </c>
    </row>
    <row r="3086" spans="1:13" x14ac:dyDescent="0.25">
      <c r="A3086" t="s">
        <v>25703</v>
      </c>
      <c r="B3086" t="s">
        <v>13</v>
      </c>
      <c r="C3086" t="s">
        <v>25701</v>
      </c>
      <c r="D3086" t="s">
        <v>25704</v>
      </c>
      <c r="E3086" t="s">
        <v>25705</v>
      </c>
      <c r="F3086" t="s">
        <v>2036</v>
      </c>
      <c r="G3086" t="s">
        <v>25706</v>
      </c>
      <c r="H3086" t="s">
        <v>8003</v>
      </c>
      <c r="I3086" t="s">
        <v>19</v>
      </c>
      <c r="J3086" s="3" t="s">
        <v>25707</v>
      </c>
      <c r="K3086" t="s">
        <v>25708</v>
      </c>
      <c r="L3086" t="s">
        <v>25709</v>
      </c>
      <c r="M3086" t="s">
        <v>57</v>
      </c>
    </row>
    <row r="3087" spans="1:13" x14ac:dyDescent="0.25">
      <c r="A3087" t="s">
        <v>30617</v>
      </c>
      <c r="B3087" t="s">
        <v>13</v>
      </c>
      <c r="C3087" s="1">
        <v>40701</v>
      </c>
      <c r="D3087" t="s">
        <v>30618</v>
      </c>
      <c r="E3087" t="s">
        <v>30619</v>
      </c>
      <c r="F3087" t="s">
        <v>1349</v>
      </c>
      <c r="G3087" t="s">
        <v>30620</v>
      </c>
      <c r="H3087" t="s">
        <v>45</v>
      </c>
      <c r="I3087" t="s">
        <v>19</v>
      </c>
      <c r="J3087" s="3" t="s">
        <v>30621</v>
      </c>
      <c r="K3087" t="s">
        <v>30622</v>
      </c>
      <c r="L3087" t="s">
        <v>30623</v>
      </c>
      <c r="M3087" t="s">
        <v>1349</v>
      </c>
    </row>
    <row r="3088" spans="1:13" x14ac:dyDescent="0.25">
      <c r="A3088" t="s">
        <v>20111</v>
      </c>
      <c r="B3088" t="s">
        <v>13</v>
      </c>
      <c r="C3088" s="1">
        <v>43289</v>
      </c>
      <c r="D3088" t="s">
        <v>20112</v>
      </c>
      <c r="E3088" t="s">
        <v>5987</v>
      </c>
      <c r="F3088" t="s">
        <v>1190</v>
      </c>
      <c r="G3088" t="s">
        <v>20113</v>
      </c>
      <c r="H3088" t="s">
        <v>428</v>
      </c>
      <c r="I3088" t="s">
        <v>19</v>
      </c>
      <c r="J3088" s="3">
        <v>51996412212</v>
      </c>
      <c r="K3088" t="s">
        <v>9291</v>
      </c>
      <c r="L3088" t="s">
        <v>9145</v>
      </c>
      <c r="M3088" t="s">
        <v>432</v>
      </c>
    </row>
    <row r="3089" spans="1:13" x14ac:dyDescent="0.25">
      <c r="A3089" t="s">
        <v>9679</v>
      </c>
      <c r="B3089" t="s">
        <v>13</v>
      </c>
      <c r="C3089" t="s">
        <v>5087</v>
      </c>
      <c r="D3089" t="s">
        <v>9680</v>
      </c>
      <c r="E3089" t="s">
        <v>5987</v>
      </c>
      <c r="F3089" t="s">
        <v>1190</v>
      </c>
      <c r="G3089" t="s">
        <v>9290</v>
      </c>
      <c r="H3089" t="s">
        <v>428</v>
      </c>
      <c r="I3089" t="s">
        <v>19</v>
      </c>
      <c r="J3089" s="3">
        <f>55-51-996412212</f>
        <v>-996412208</v>
      </c>
      <c r="K3089" t="s">
        <v>9291</v>
      </c>
      <c r="L3089" t="s">
        <v>9145</v>
      </c>
      <c r="M3089" t="s">
        <v>432</v>
      </c>
    </row>
    <row r="3090" spans="1:13" x14ac:dyDescent="0.25">
      <c r="A3090" t="s">
        <v>5985</v>
      </c>
      <c r="B3090" t="s">
        <v>13</v>
      </c>
      <c r="C3090" s="1">
        <v>44540</v>
      </c>
      <c r="D3090" t="s">
        <v>32135</v>
      </c>
      <c r="E3090" t="s">
        <v>5986</v>
      </c>
      <c r="F3090" t="s">
        <v>5987</v>
      </c>
      <c r="G3090" t="s">
        <v>5988</v>
      </c>
      <c r="H3090" t="s">
        <v>428</v>
      </c>
      <c r="I3090" t="s">
        <v>19</v>
      </c>
      <c r="J3090" s="3" t="s">
        <v>5989</v>
      </c>
      <c r="K3090" t="s">
        <v>5990</v>
      </c>
      <c r="L3090" t="s">
        <v>32135</v>
      </c>
      <c r="M3090" t="s">
        <v>432</v>
      </c>
    </row>
    <row r="3091" spans="1:13" x14ac:dyDescent="0.25">
      <c r="A3091" t="s">
        <v>8119</v>
      </c>
      <c r="B3091" t="s">
        <v>13</v>
      </c>
      <c r="C3091" s="1">
        <v>44532</v>
      </c>
      <c r="D3091" t="s">
        <v>8120</v>
      </c>
      <c r="E3091" s="2" t="s">
        <v>32421</v>
      </c>
      <c r="F3091" t="s">
        <v>1349</v>
      </c>
      <c r="G3091" t="s">
        <v>8121</v>
      </c>
      <c r="H3091" t="s">
        <v>1215</v>
      </c>
      <c r="I3091" t="s">
        <v>19</v>
      </c>
      <c r="J3091" s="3" t="s">
        <v>8122</v>
      </c>
      <c r="K3091" t="s">
        <v>8123</v>
      </c>
      <c r="L3091" t="s">
        <v>32135</v>
      </c>
      <c r="M3091" t="s">
        <v>1349</v>
      </c>
    </row>
    <row r="3092" spans="1:13" x14ac:dyDescent="0.25">
      <c r="A3092" t="s">
        <v>30141</v>
      </c>
      <c r="B3092" t="s">
        <v>13</v>
      </c>
      <c r="C3092" t="s">
        <v>30142</v>
      </c>
      <c r="D3092" t="s">
        <v>30143</v>
      </c>
      <c r="E3092" t="s">
        <v>30144</v>
      </c>
      <c r="F3092" t="s">
        <v>1190</v>
      </c>
      <c r="G3092" t="s">
        <v>30145</v>
      </c>
      <c r="H3092" t="s">
        <v>36</v>
      </c>
      <c r="I3092" t="s">
        <v>19</v>
      </c>
      <c r="J3092" s="3" t="s">
        <v>30146</v>
      </c>
      <c r="K3092" t="s">
        <v>30147</v>
      </c>
      <c r="L3092" t="s">
        <v>30148</v>
      </c>
      <c r="M3092" t="s">
        <v>432</v>
      </c>
    </row>
    <row r="3093" spans="1:13" x14ac:dyDescent="0.25">
      <c r="A3093" t="s">
        <v>29906</v>
      </c>
      <c r="B3093" t="s">
        <v>13</v>
      </c>
      <c r="C3093" t="s">
        <v>14184</v>
      </c>
      <c r="D3093" t="s">
        <v>29907</v>
      </c>
      <c r="E3093" t="s">
        <v>29908</v>
      </c>
      <c r="F3093" t="s">
        <v>1190</v>
      </c>
      <c r="G3093" t="s">
        <v>29909</v>
      </c>
      <c r="H3093" t="s">
        <v>4705</v>
      </c>
      <c r="I3093" t="s">
        <v>19</v>
      </c>
      <c r="J3093" s="3" t="s">
        <v>29910</v>
      </c>
      <c r="K3093" t="s">
        <v>29911</v>
      </c>
      <c r="L3093" t="s">
        <v>344</v>
      </c>
      <c r="M3093" t="s">
        <v>432</v>
      </c>
    </row>
    <row r="3094" spans="1:13" x14ac:dyDescent="0.25">
      <c r="A3094" t="s">
        <v>27314</v>
      </c>
      <c r="B3094" t="s">
        <v>13</v>
      </c>
      <c r="C3094" t="s">
        <v>27315</v>
      </c>
      <c r="D3094" t="s">
        <v>27316</v>
      </c>
      <c r="E3094" t="s">
        <v>3461</v>
      </c>
      <c r="F3094" t="s">
        <v>2765</v>
      </c>
      <c r="G3094" t="s">
        <v>27317</v>
      </c>
      <c r="H3094" t="s">
        <v>472</v>
      </c>
      <c r="I3094" t="s">
        <v>19</v>
      </c>
      <c r="J3094" s="3" t="s">
        <v>27318</v>
      </c>
      <c r="K3094" t="s">
        <v>27319</v>
      </c>
      <c r="L3094" t="s">
        <v>27320</v>
      </c>
      <c r="M3094" t="s">
        <v>771</v>
      </c>
    </row>
    <row r="3095" spans="1:13" x14ac:dyDescent="0.25">
      <c r="A3095" t="s">
        <v>3459</v>
      </c>
      <c r="B3095" t="s">
        <v>13</v>
      </c>
      <c r="C3095" s="1">
        <v>44598</v>
      </c>
      <c r="D3095" t="s">
        <v>3460</v>
      </c>
      <c r="E3095" t="s">
        <v>3461</v>
      </c>
      <c r="F3095" t="s">
        <v>3462</v>
      </c>
      <c r="G3095" t="s">
        <v>3463</v>
      </c>
      <c r="H3095" t="s">
        <v>472</v>
      </c>
      <c r="I3095" t="s">
        <v>19</v>
      </c>
      <c r="J3095" s="3" t="s">
        <v>3464</v>
      </c>
      <c r="K3095" t="s">
        <v>3465</v>
      </c>
      <c r="L3095" t="s">
        <v>2101</v>
      </c>
      <c r="M3095" t="s">
        <v>771</v>
      </c>
    </row>
    <row r="3096" spans="1:13" x14ac:dyDescent="0.25">
      <c r="A3096" t="s">
        <v>29427</v>
      </c>
      <c r="B3096" t="s">
        <v>13</v>
      </c>
      <c r="C3096" t="s">
        <v>29425</v>
      </c>
      <c r="D3096" t="s">
        <v>29428</v>
      </c>
      <c r="E3096" t="s">
        <v>3461</v>
      </c>
      <c r="F3096" t="s">
        <v>1464</v>
      </c>
      <c r="G3096" t="s">
        <v>307</v>
      </c>
      <c r="H3096" t="s">
        <v>308</v>
      </c>
      <c r="I3096" t="s">
        <v>309</v>
      </c>
      <c r="J3096" s="3" t="s">
        <v>310</v>
      </c>
      <c r="K3096" t="s">
        <v>311</v>
      </c>
      <c r="L3096" t="s">
        <v>312</v>
      </c>
      <c r="M3096" t="s">
        <v>771</v>
      </c>
    </row>
    <row r="3097" spans="1:13" x14ac:dyDescent="0.25">
      <c r="A3097" t="s">
        <v>14168</v>
      </c>
      <c r="B3097" t="s">
        <v>13</v>
      </c>
      <c r="C3097" s="1">
        <v>41371</v>
      </c>
      <c r="D3097" t="s">
        <v>14169</v>
      </c>
      <c r="E3097" t="s">
        <v>14170</v>
      </c>
      <c r="F3097" t="s">
        <v>2765</v>
      </c>
      <c r="G3097" t="s">
        <v>14171</v>
      </c>
      <c r="H3097" t="s">
        <v>14172</v>
      </c>
      <c r="I3097" t="s">
        <v>19</v>
      </c>
      <c r="J3097" s="3" t="s">
        <v>14173</v>
      </c>
      <c r="K3097" t="s">
        <v>14174</v>
      </c>
      <c r="L3097" t="s">
        <v>14175</v>
      </c>
      <c r="M3097" t="s">
        <v>771</v>
      </c>
    </row>
    <row r="3098" spans="1:13" x14ac:dyDescent="0.25">
      <c r="A3098" t="s">
        <v>11908</v>
      </c>
      <c r="B3098" t="s">
        <v>13</v>
      </c>
      <c r="C3098" s="1">
        <v>44140</v>
      </c>
      <c r="D3098" t="s">
        <v>11909</v>
      </c>
      <c r="E3098" s="2" t="s">
        <v>31479</v>
      </c>
      <c r="F3098" t="s">
        <v>1349</v>
      </c>
      <c r="G3098" t="s">
        <v>9824</v>
      </c>
      <c r="H3098" t="s">
        <v>409</v>
      </c>
      <c r="I3098" t="s">
        <v>19</v>
      </c>
      <c r="J3098" s="3">
        <f>55-48-999811607</f>
        <v>-999811600</v>
      </c>
      <c r="K3098" t="s">
        <v>9825</v>
      </c>
      <c r="L3098" t="s">
        <v>1823</v>
      </c>
      <c r="M3098" t="s">
        <v>1349</v>
      </c>
    </row>
    <row r="3099" spans="1:13" x14ac:dyDescent="0.25">
      <c r="A3099" t="s">
        <v>9822</v>
      </c>
      <c r="B3099" t="s">
        <v>13</v>
      </c>
      <c r="C3099" s="1">
        <v>44083</v>
      </c>
      <c r="D3099" t="s">
        <v>9823</v>
      </c>
      <c r="E3099" s="2" t="s">
        <v>31479</v>
      </c>
      <c r="F3099" t="s">
        <v>1349</v>
      </c>
      <c r="G3099" t="s">
        <v>9824</v>
      </c>
      <c r="H3099" t="s">
        <v>409</v>
      </c>
      <c r="I3099" t="s">
        <v>19</v>
      </c>
      <c r="J3099" s="3">
        <f>55-48-999811607</f>
        <v>-999811600</v>
      </c>
      <c r="K3099" t="s">
        <v>9825</v>
      </c>
      <c r="L3099" t="s">
        <v>1823</v>
      </c>
      <c r="M3099" t="s">
        <v>1349</v>
      </c>
    </row>
    <row r="3100" spans="1:13" x14ac:dyDescent="0.25">
      <c r="A3100" t="s">
        <v>16275</v>
      </c>
      <c r="B3100" t="s">
        <v>13</v>
      </c>
      <c r="C3100" s="1">
        <v>43533</v>
      </c>
      <c r="D3100" t="s">
        <v>16276</v>
      </c>
      <c r="E3100" s="2" t="s">
        <v>31151</v>
      </c>
      <c r="F3100" t="s">
        <v>1349</v>
      </c>
      <c r="G3100" t="s">
        <v>16277</v>
      </c>
      <c r="H3100" t="s">
        <v>4092</v>
      </c>
      <c r="I3100" t="s">
        <v>19</v>
      </c>
      <c r="J3100" s="3" t="s">
        <v>16278</v>
      </c>
      <c r="K3100" t="s">
        <v>16279</v>
      </c>
      <c r="L3100" t="s">
        <v>4094</v>
      </c>
      <c r="M3100" t="s">
        <v>1349</v>
      </c>
    </row>
    <row r="3101" spans="1:13" x14ac:dyDescent="0.25">
      <c r="A3101" t="s">
        <v>2763</v>
      </c>
      <c r="B3101" t="s">
        <v>13</v>
      </c>
      <c r="C3101" t="s">
        <v>2748</v>
      </c>
      <c r="D3101" t="s">
        <v>2764</v>
      </c>
      <c r="E3101" t="s">
        <v>32422</v>
      </c>
      <c r="F3101" t="s">
        <v>2765</v>
      </c>
      <c r="G3101" t="s">
        <v>2766</v>
      </c>
      <c r="H3101" t="s">
        <v>36</v>
      </c>
      <c r="I3101" t="s">
        <v>19</v>
      </c>
      <c r="J3101" s="3">
        <f>55-11-2151-3452</f>
        <v>-5559</v>
      </c>
      <c r="K3101" t="s">
        <v>2767</v>
      </c>
      <c r="L3101" t="s">
        <v>2768</v>
      </c>
      <c r="M3101" t="s">
        <v>771</v>
      </c>
    </row>
    <row r="3102" spans="1:13" x14ac:dyDescent="0.25">
      <c r="A3102" t="s">
        <v>19829</v>
      </c>
      <c r="B3102" t="s">
        <v>13</v>
      </c>
      <c r="C3102" t="s">
        <v>19830</v>
      </c>
      <c r="D3102" t="s">
        <v>19831</v>
      </c>
      <c r="E3102" t="s">
        <v>32423</v>
      </c>
      <c r="F3102" t="s">
        <v>1432</v>
      </c>
      <c r="G3102" t="s">
        <v>19832</v>
      </c>
      <c r="H3102" t="s">
        <v>265</v>
      </c>
      <c r="I3102" t="s">
        <v>19</v>
      </c>
      <c r="J3102" s="3" t="s">
        <v>19833</v>
      </c>
      <c r="K3102" t="s">
        <v>19834</v>
      </c>
      <c r="L3102" t="s">
        <v>4334</v>
      </c>
      <c r="M3102" t="s">
        <v>1432</v>
      </c>
    </row>
    <row r="3103" spans="1:13" x14ac:dyDescent="0.25">
      <c r="A3103" t="s">
        <v>10913</v>
      </c>
      <c r="B3103" t="s">
        <v>13</v>
      </c>
      <c r="C3103" t="s">
        <v>10914</v>
      </c>
      <c r="D3103" t="s">
        <v>10915</v>
      </c>
      <c r="E3103" s="2" t="s">
        <v>32030</v>
      </c>
      <c r="F3103" t="s">
        <v>337</v>
      </c>
      <c r="G3103" t="s">
        <v>10917</v>
      </c>
      <c r="H3103" t="s">
        <v>265</v>
      </c>
      <c r="I3103" t="s">
        <v>19</v>
      </c>
      <c r="J3103" s="3">
        <f>55-16-3315-3992</f>
        <v>-7268</v>
      </c>
      <c r="K3103" t="s">
        <v>10918</v>
      </c>
      <c r="L3103" t="s">
        <v>10919</v>
      </c>
      <c r="M3103" t="s">
        <v>337</v>
      </c>
    </row>
    <row r="3104" spans="1:13" x14ac:dyDescent="0.25">
      <c r="A3104" t="s">
        <v>29067</v>
      </c>
      <c r="B3104" t="s">
        <v>13</v>
      </c>
      <c r="C3104" s="1">
        <v>41918</v>
      </c>
      <c r="D3104" t="s">
        <v>29068</v>
      </c>
      <c r="E3104" t="s">
        <v>29069</v>
      </c>
      <c r="F3104" t="s">
        <v>3084</v>
      </c>
      <c r="G3104" t="s">
        <v>29070</v>
      </c>
      <c r="H3104" t="s">
        <v>352</v>
      </c>
      <c r="I3104" t="s">
        <v>19</v>
      </c>
      <c r="J3104" s="3" t="s">
        <v>29071</v>
      </c>
      <c r="K3104" t="s">
        <v>29072</v>
      </c>
      <c r="L3104" t="s">
        <v>29073</v>
      </c>
      <c r="M3104" t="s">
        <v>32144</v>
      </c>
    </row>
    <row r="3105" spans="1:13" x14ac:dyDescent="0.25">
      <c r="A3105" t="s">
        <v>22955</v>
      </c>
      <c r="B3105" t="s">
        <v>13</v>
      </c>
      <c r="C3105" t="s">
        <v>8017</v>
      </c>
      <c r="D3105" t="s">
        <v>22956</v>
      </c>
      <c r="E3105" t="s">
        <v>1009</v>
      </c>
      <c r="F3105" t="s">
        <v>1129</v>
      </c>
      <c r="G3105" t="s">
        <v>22957</v>
      </c>
      <c r="H3105" t="s">
        <v>36</v>
      </c>
      <c r="I3105" t="s">
        <v>19</v>
      </c>
      <c r="J3105" s="3" t="s">
        <v>22958</v>
      </c>
      <c r="K3105" t="s">
        <v>22959</v>
      </c>
      <c r="L3105" t="s">
        <v>10959</v>
      </c>
      <c r="M3105" t="s">
        <v>224</v>
      </c>
    </row>
    <row r="3106" spans="1:13" x14ac:dyDescent="0.25">
      <c r="A3106" t="s">
        <v>25924</v>
      </c>
      <c r="B3106" t="s">
        <v>13</v>
      </c>
      <c r="C3106" s="1">
        <v>42681</v>
      </c>
      <c r="D3106" t="s">
        <v>25925</v>
      </c>
      <c r="E3106" t="s">
        <v>25926</v>
      </c>
      <c r="F3106" t="s">
        <v>1129</v>
      </c>
      <c r="G3106" t="s">
        <v>25927</v>
      </c>
      <c r="H3106" t="s">
        <v>18777</v>
      </c>
      <c r="I3106" t="s">
        <v>19</v>
      </c>
      <c r="J3106" s="3" t="s">
        <v>25928</v>
      </c>
      <c r="K3106" t="s">
        <v>18779</v>
      </c>
      <c r="L3106" t="s">
        <v>5562</v>
      </c>
      <c r="M3106" t="s">
        <v>224</v>
      </c>
    </row>
    <row r="3107" spans="1:13" x14ac:dyDescent="0.25">
      <c r="A3107" t="s">
        <v>1007</v>
      </c>
      <c r="B3107" t="s">
        <v>13</v>
      </c>
      <c r="C3107" s="1">
        <v>44573</v>
      </c>
      <c r="D3107" t="s">
        <v>1008</v>
      </c>
      <c r="E3107" s="2" t="s">
        <v>30696</v>
      </c>
      <c r="F3107" t="s">
        <v>396</v>
      </c>
      <c r="G3107" t="s">
        <v>1011</v>
      </c>
      <c r="H3107" t="s">
        <v>409</v>
      </c>
      <c r="I3107" t="s">
        <v>19</v>
      </c>
      <c r="J3107" s="3" t="s">
        <v>1012</v>
      </c>
      <c r="K3107" t="s">
        <v>1013</v>
      </c>
      <c r="L3107" t="s">
        <v>412</v>
      </c>
      <c r="M3107" t="s">
        <v>32144</v>
      </c>
    </row>
    <row r="3108" spans="1:13" x14ac:dyDescent="0.25">
      <c r="A3108" t="s">
        <v>17829</v>
      </c>
      <c r="B3108" t="s">
        <v>13</v>
      </c>
      <c r="C3108" s="1">
        <v>42653</v>
      </c>
      <c r="D3108" t="s">
        <v>17830</v>
      </c>
      <c r="E3108" t="s">
        <v>17831</v>
      </c>
      <c r="F3108" t="s">
        <v>3084</v>
      </c>
      <c r="G3108" t="s">
        <v>17832</v>
      </c>
      <c r="H3108" t="s">
        <v>352</v>
      </c>
      <c r="I3108" t="s">
        <v>19</v>
      </c>
      <c r="J3108" s="3" t="s">
        <v>17833</v>
      </c>
      <c r="K3108" t="s">
        <v>17834</v>
      </c>
      <c r="L3108" t="s">
        <v>17835</v>
      </c>
      <c r="M3108" t="s">
        <v>32144</v>
      </c>
    </row>
    <row r="3109" spans="1:13" x14ac:dyDescent="0.25">
      <c r="A3109" t="s">
        <v>5376</v>
      </c>
      <c r="B3109" t="s">
        <v>13</v>
      </c>
      <c r="C3109" s="1">
        <v>44451</v>
      </c>
      <c r="D3109" t="s">
        <v>5377</v>
      </c>
      <c r="E3109" t="s">
        <v>32424</v>
      </c>
      <c r="F3109" t="s">
        <v>5378</v>
      </c>
      <c r="G3109" t="s">
        <v>5379</v>
      </c>
      <c r="H3109" t="s">
        <v>150</v>
      </c>
      <c r="I3109" t="s">
        <v>19</v>
      </c>
      <c r="J3109" s="3" t="s">
        <v>5380</v>
      </c>
      <c r="K3109" t="s">
        <v>5381</v>
      </c>
      <c r="L3109" t="s">
        <v>5382</v>
      </c>
      <c r="M3109" t="s">
        <v>32147</v>
      </c>
    </row>
    <row r="3110" spans="1:13" x14ac:dyDescent="0.25">
      <c r="A3110" t="s">
        <v>16625</v>
      </c>
      <c r="B3110" t="s">
        <v>13</v>
      </c>
      <c r="C3110" t="s">
        <v>13606</v>
      </c>
      <c r="D3110" t="s">
        <v>16626</v>
      </c>
      <c r="E3110" s="2" t="s">
        <v>31159</v>
      </c>
      <c r="F3110" t="s">
        <v>2036</v>
      </c>
      <c r="G3110" t="s">
        <v>16627</v>
      </c>
      <c r="H3110" t="s">
        <v>2112</v>
      </c>
      <c r="I3110" t="s">
        <v>19</v>
      </c>
      <c r="J3110" s="3" t="s">
        <v>16628</v>
      </c>
      <c r="K3110" t="s">
        <v>16629</v>
      </c>
      <c r="L3110" t="s">
        <v>2115</v>
      </c>
      <c r="M3110" t="s">
        <v>57</v>
      </c>
    </row>
    <row r="3111" spans="1:13" x14ac:dyDescent="0.25">
      <c r="A3111" t="s">
        <v>25190</v>
      </c>
      <c r="B3111" t="s">
        <v>101</v>
      </c>
      <c r="C3111" t="s">
        <v>25191</v>
      </c>
      <c r="D3111" t="s">
        <v>25192</v>
      </c>
      <c r="E3111" t="s">
        <v>25193</v>
      </c>
      <c r="F3111" t="s">
        <v>741</v>
      </c>
      <c r="G3111" t="s">
        <v>25194</v>
      </c>
      <c r="H3111" t="s">
        <v>352</v>
      </c>
      <c r="I3111" t="s">
        <v>19</v>
      </c>
      <c r="J3111" s="3">
        <v>552138829239</v>
      </c>
      <c r="K3111" t="s">
        <v>14140</v>
      </c>
      <c r="L3111" t="s">
        <v>4617</v>
      </c>
      <c r="M3111" t="s">
        <v>741</v>
      </c>
    </row>
    <row r="3112" spans="1:13" x14ac:dyDescent="0.25">
      <c r="A3112" t="s">
        <v>29709</v>
      </c>
      <c r="B3112" t="s">
        <v>13</v>
      </c>
      <c r="C3112" s="1">
        <v>40822</v>
      </c>
      <c r="D3112" t="s">
        <v>29710</v>
      </c>
      <c r="E3112" t="s">
        <v>29711</v>
      </c>
      <c r="F3112" t="s">
        <v>741</v>
      </c>
      <c r="G3112" t="s">
        <v>29712</v>
      </c>
      <c r="H3112" t="s">
        <v>29713</v>
      </c>
      <c r="I3112" t="s">
        <v>19</v>
      </c>
      <c r="J3112" s="3" t="s">
        <v>29714</v>
      </c>
      <c r="K3112" t="s">
        <v>29715</v>
      </c>
      <c r="L3112" t="s">
        <v>29716</v>
      </c>
      <c r="M3112" t="s">
        <v>741</v>
      </c>
    </row>
    <row r="3113" spans="1:13" x14ac:dyDescent="0.25">
      <c r="A3113" t="s">
        <v>11649</v>
      </c>
      <c r="B3113" t="s">
        <v>13</v>
      </c>
      <c r="C3113" t="s">
        <v>11065</v>
      </c>
      <c r="D3113" t="s">
        <v>11650</v>
      </c>
      <c r="E3113" t="s">
        <v>11651</v>
      </c>
      <c r="F3113" t="s">
        <v>11031</v>
      </c>
      <c r="G3113" t="s">
        <v>7170</v>
      </c>
      <c r="H3113" t="s">
        <v>352</v>
      </c>
      <c r="I3113" t="s">
        <v>19</v>
      </c>
      <c r="J3113" s="3" t="s">
        <v>11652</v>
      </c>
      <c r="K3113" t="s">
        <v>7172</v>
      </c>
      <c r="L3113" t="s">
        <v>4617</v>
      </c>
      <c r="M3113" t="s">
        <v>741</v>
      </c>
    </row>
    <row r="3114" spans="1:13" x14ac:dyDescent="0.25">
      <c r="A3114" t="s">
        <v>13686</v>
      </c>
      <c r="B3114" t="s">
        <v>13</v>
      </c>
      <c r="C3114" s="1">
        <v>44076</v>
      </c>
      <c r="D3114" t="s">
        <v>13687</v>
      </c>
      <c r="E3114" t="s">
        <v>13688</v>
      </c>
      <c r="F3114" t="s">
        <v>4639</v>
      </c>
      <c r="G3114" t="s">
        <v>13689</v>
      </c>
      <c r="H3114" t="s">
        <v>1215</v>
      </c>
      <c r="I3114" t="s">
        <v>19</v>
      </c>
      <c r="J3114" s="3">
        <v>5514981416460</v>
      </c>
      <c r="K3114" t="s">
        <v>13690</v>
      </c>
      <c r="L3114" t="s">
        <v>13261</v>
      </c>
      <c r="M3114" t="s">
        <v>785</v>
      </c>
    </row>
    <row r="3115" spans="1:13" x14ac:dyDescent="0.25">
      <c r="A3115" t="s">
        <v>24904</v>
      </c>
      <c r="B3115" t="s">
        <v>13</v>
      </c>
      <c r="C3115" t="s">
        <v>17925</v>
      </c>
      <c r="D3115" t="s">
        <v>24905</v>
      </c>
      <c r="E3115" t="s">
        <v>24906</v>
      </c>
      <c r="F3115" t="s">
        <v>10546</v>
      </c>
      <c r="G3115" t="s">
        <v>24907</v>
      </c>
      <c r="H3115" t="s">
        <v>2934</v>
      </c>
      <c r="I3115" t="s">
        <v>19</v>
      </c>
      <c r="J3115" s="3">
        <v>5537991049459</v>
      </c>
      <c r="K3115" t="s">
        <v>24908</v>
      </c>
      <c r="L3115" t="s">
        <v>3289</v>
      </c>
      <c r="M3115" t="s">
        <v>129</v>
      </c>
    </row>
    <row r="3116" spans="1:13" x14ac:dyDescent="0.25">
      <c r="A3116" t="s">
        <v>15668</v>
      </c>
      <c r="B3116" t="s">
        <v>13</v>
      </c>
      <c r="C3116" t="s">
        <v>14157</v>
      </c>
      <c r="D3116" t="s">
        <v>15669</v>
      </c>
      <c r="E3116" s="2" t="s">
        <v>31136</v>
      </c>
      <c r="F3116" t="s">
        <v>1349</v>
      </c>
      <c r="G3116" t="s">
        <v>15670</v>
      </c>
      <c r="H3116" t="s">
        <v>706</v>
      </c>
      <c r="I3116" t="s">
        <v>19</v>
      </c>
      <c r="J3116" s="3">
        <f>55-31-999593979</f>
        <v>-999593955</v>
      </c>
      <c r="K3116" t="s">
        <v>15671</v>
      </c>
      <c r="L3116" t="s">
        <v>15672</v>
      </c>
      <c r="M3116" t="s">
        <v>1349</v>
      </c>
    </row>
    <row r="3117" spans="1:13" x14ac:dyDescent="0.25">
      <c r="A3117" t="s">
        <v>25433</v>
      </c>
      <c r="B3117" t="s">
        <v>13</v>
      </c>
      <c r="C3117" t="s">
        <v>25410</v>
      </c>
      <c r="D3117" t="s">
        <v>25434</v>
      </c>
      <c r="E3117" t="s">
        <v>25435</v>
      </c>
      <c r="F3117" t="s">
        <v>1349</v>
      </c>
      <c r="G3117" t="s">
        <v>25281</v>
      </c>
      <c r="H3117" t="s">
        <v>16411</v>
      </c>
      <c r="I3117" t="s">
        <v>19</v>
      </c>
      <c r="J3117" s="3" t="s">
        <v>25282</v>
      </c>
      <c r="K3117" t="s">
        <v>25283</v>
      </c>
      <c r="L3117" t="s">
        <v>25284</v>
      </c>
      <c r="M3117" t="s">
        <v>1349</v>
      </c>
    </row>
    <row r="3118" spans="1:13" x14ac:dyDescent="0.25">
      <c r="A3118" t="s">
        <v>20114</v>
      </c>
      <c r="B3118" t="s">
        <v>101</v>
      </c>
      <c r="C3118" s="1">
        <v>43289</v>
      </c>
      <c r="D3118" t="s">
        <v>20115</v>
      </c>
      <c r="E3118" t="s">
        <v>20116</v>
      </c>
      <c r="F3118" t="s">
        <v>1349</v>
      </c>
      <c r="G3118" t="s">
        <v>20117</v>
      </c>
      <c r="H3118" t="s">
        <v>489</v>
      </c>
      <c r="I3118" t="s">
        <v>19</v>
      </c>
      <c r="J3118" s="3" t="s">
        <v>20118</v>
      </c>
      <c r="K3118" t="s">
        <v>20119</v>
      </c>
      <c r="L3118" t="s">
        <v>20120</v>
      </c>
      <c r="M3118" t="s">
        <v>1349</v>
      </c>
    </row>
    <row r="3119" spans="1:13" x14ac:dyDescent="0.25">
      <c r="A3119" t="s">
        <v>8397</v>
      </c>
      <c r="B3119" t="s">
        <v>13</v>
      </c>
      <c r="C3119" s="1">
        <v>44229</v>
      </c>
      <c r="D3119" t="s">
        <v>8398</v>
      </c>
      <c r="E3119" t="s">
        <v>8399</v>
      </c>
      <c r="F3119" t="s">
        <v>129</v>
      </c>
      <c r="G3119" t="s">
        <v>8400</v>
      </c>
      <c r="H3119" t="s">
        <v>36</v>
      </c>
      <c r="I3119" t="s">
        <v>19</v>
      </c>
      <c r="J3119" s="3">
        <f>55-11-997923100</f>
        <v>-997923056</v>
      </c>
      <c r="K3119" t="s">
        <v>8401</v>
      </c>
      <c r="L3119" t="s">
        <v>8402</v>
      </c>
      <c r="M3119" t="s">
        <v>1349</v>
      </c>
    </row>
    <row r="3120" spans="1:13" x14ac:dyDescent="0.25">
      <c r="A3120" t="s">
        <v>2951</v>
      </c>
      <c r="B3120" t="s">
        <v>13</v>
      </c>
      <c r="C3120" t="s">
        <v>2952</v>
      </c>
      <c r="D3120" t="s">
        <v>2953</v>
      </c>
      <c r="E3120" t="s">
        <v>2954</v>
      </c>
      <c r="F3120" t="s">
        <v>2955</v>
      </c>
      <c r="G3120" t="s">
        <v>2956</v>
      </c>
      <c r="H3120" t="s">
        <v>2957</v>
      </c>
      <c r="I3120" t="s">
        <v>19</v>
      </c>
      <c r="J3120" s="3" t="s">
        <v>2958</v>
      </c>
      <c r="K3120" t="s">
        <v>2959</v>
      </c>
      <c r="L3120" t="s">
        <v>2960</v>
      </c>
      <c r="M3120" t="s">
        <v>1349</v>
      </c>
    </row>
    <row r="3121" spans="1:13" x14ac:dyDescent="0.25">
      <c r="A3121" t="s">
        <v>27186</v>
      </c>
      <c r="B3121" t="s">
        <v>13</v>
      </c>
      <c r="C3121" t="s">
        <v>26112</v>
      </c>
      <c r="D3121" t="s">
        <v>27187</v>
      </c>
      <c r="E3121" t="s">
        <v>2954</v>
      </c>
      <c r="F3121" t="s">
        <v>1349</v>
      </c>
      <c r="G3121" t="s">
        <v>27188</v>
      </c>
      <c r="H3121" t="s">
        <v>798</v>
      </c>
      <c r="I3121" t="s">
        <v>19</v>
      </c>
      <c r="J3121" s="3" t="s">
        <v>27189</v>
      </c>
      <c r="K3121" t="s">
        <v>27190</v>
      </c>
      <c r="L3121" t="s">
        <v>1767</v>
      </c>
      <c r="M3121" t="s">
        <v>1349</v>
      </c>
    </row>
    <row r="3122" spans="1:13" x14ac:dyDescent="0.25">
      <c r="A3122" t="s">
        <v>23922</v>
      </c>
      <c r="B3122" t="s">
        <v>13</v>
      </c>
      <c r="C3122" t="s">
        <v>23923</v>
      </c>
      <c r="D3122" t="s">
        <v>23924</v>
      </c>
      <c r="E3122" t="s">
        <v>2954</v>
      </c>
      <c r="F3122" t="s">
        <v>1349</v>
      </c>
      <c r="G3122" t="s">
        <v>8468</v>
      </c>
      <c r="H3122" t="s">
        <v>753</v>
      </c>
      <c r="I3122" t="s">
        <v>19</v>
      </c>
      <c r="J3122" s="3" t="s">
        <v>8469</v>
      </c>
      <c r="K3122" t="s">
        <v>8470</v>
      </c>
      <c r="L3122" t="s">
        <v>2762</v>
      </c>
      <c r="M3122" t="s">
        <v>1349</v>
      </c>
    </row>
    <row r="3123" spans="1:13" x14ac:dyDescent="0.25">
      <c r="A3123" t="s">
        <v>17153</v>
      </c>
      <c r="B3123" t="s">
        <v>101</v>
      </c>
      <c r="C3123" s="1">
        <v>43744</v>
      </c>
      <c r="D3123" t="s">
        <v>17154</v>
      </c>
      <c r="E3123" t="s">
        <v>2954</v>
      </c>
      <c r="F3123" t="s">
        <v>1349</v>
      </c>
      <c r="G3123" t="s">
        <v>17155</v>
      </c>
      <c r="H3123" t="s">
        <v>150</v>
      </c>
      <c r="I3123" t="s">
        <v>19</v>
      </c>
      <c r="J3123" s="3" t="s">
        <v>17156</v>
      </c>
      <c r="K3123" t="s">
        <v>17157</v>
      </c>
      <c r="L3123" t="s">
        <v>17158</v>
      </c>
      <c r="M3123" t="s">
        <v>1349</v>
      </c>
    </row>
    <row r="3124" spans="1:13" x14ac:dyDescent="0.25">
      <c r="A3124" t="s">
        <v>15286</v>
      </c>
      <c r="B3124" t="s">
        <v>13</v>
      </c>
      <c r="C3124" t="s">
        <v>9910</v>
      </c>
      <c r="D3124" t="s">
        <v>15287</v>
      </c>
      <c r="E3124" t="s">
        <v>2954</v>
      </c>
      <c r="F3124" t="s">
        <v>1349</v>
      </c>
      <c r="G3124" t="s">
        <v>15288</v>
      </c>
      <c r="H3124" t="s">
        <v>36</v>
      </c>
      <c r="I3124" t="s">
        <v>19</v>
      </c>
      <c r="J3124" s="3" t="s">
        <v>15289</v>
      </c>
      <c r="K3124" t="s">
        <v>15290</v>
      </c>
      <c r="L3124" t="s">
        <v>15291</v>
      </c>
      <c r="M3124" t="s">
        <v>1349</v>
      </c>
    </row>
    <row r="3125" spans="1:13" x14ac:dyDescent="0.25">
      <c r="A3125" t="s">
        <v>23239</v>
      </c>
      <c r="B3125" t="s">
        <v>13</v>
      </c>
      <c r="C3125" t="s">
        <v>8472</v>
      </c>
      <c r="D3125" t="s">
        <v>23240</v>
      </c>
      <c r="E3125" t="s">
        <v>32425</v>
      </c>
      <c r="F3125" t="s">
        <v>1349</v>
      </c>
      <c r="G3125" t="s">
        <v>23241</v>
      </c>
      <c r="H3125" t="s">
        <v>23242</v>
      </c>
      <c r="I3125" t="s">
        <v>19</v>
      </c>
      <c r="J3125" s="3" t="s">
        <v>23243</v>
      </c>
      <c r="K3125" t="s">
        <v>23244</v>
      </c>
      <c r="L3125" t="s">
        <v>23245</v>
      </c>
      <c r="M3125" t="s">
        <v>1349</v>
      </c>
    </row>
    <row r="3126" spans="1:13" x14ac:dyDescent="0.25">
      <c r="A3126" t="s">
        <v>16322</v>
      </c>
      <c r="B3126" t="s">
        <v>13</v>
      </c>
      <c r="C3126" t="s">
        <v>9393</v>
      </c>
      <c r="D3126" t="s">
        <v>16323</v>
      </c>
      <c r="E3126" t="s">
        <v>16324</v>
      </c>
      <c r="F3126" t="s">
        <v>1349</v>
      </c>
      <c r="G3126" t="s">
        <v>16325</v>
      </c>
      <c r="H3126" t="s">
        <v>428</v>
      </c>
      <c r="I3126" t="s">
        <v>19</v>
      </c>
      <c r="J3126" s="3" t="s">
        <v>16326</v>
      </c>
      <c r="K3126" t="s">
        <v>16327</v>
      </c>
      <c r="L3126" t="s">
        <v>16328</v>
      </c>
      <c r="M3126" t="s">
        <v>1349</v>
      </c>
    </row>
    <row r="3127" spans="1:13" x14ac:dyDescent="0.25">
      <c r="A3127" t="s">
        <v>1347</v>
      </c>
      <c r="B3127" t="s">
        <v>13</v>
      </c>
      <c r="C3127" s="1">
        <v>44815</v>
      </c>
      <c r="D3127" t="s">
        <v>1348</v>
      </c>
      <c r="E3127" s="2" t="s">
        <v>32057</v>
      </c>
      <c r="F3127" t="s">
        <v>1349</v>
      </c>
      <c r="G3127" t="s">
        <v>1350</v>
      </c>
      <c r="H3127" t="s">
        <v>540</v>
      </c>
      <c r="I3127" t="s">
        <v>19</v>
      </c>
      <c r="J3127" s="3" t="s">
        <v>1351</v>
      </c>
      <c r="K3127" t="s">
        <v>1352</v>
      </c>
      <c r="L3127" t="s">
        <v>1353</v>
      </c>
      <c r="M3127" t="s">
        <v>1349</v>
      </c>
    </row>
    <row r="3128" spans="1:13" x14ac:dyDescent="0.25">
      <c r="A3128" t="s">
        <v>23826</v>
      </c>
      <c r="B3128" t="s">
        <v>13</v>
      </c>
      <c r="C3128" s="1">
        <v>42955</v>
      </c>
      <c r="D3128" t="s">
        <v>23827</v>
      </c>
      <c r="E3128" t="s">
        <v>32426</v>
      </c>
      <c r="F3128" t="s">
        <v>1349</v>
      </c>
      <c r="G3128" t="s">
        <v>3913</v>
      </c>
      <c r="H3128" t="s">
        <v>36</v>
      </c>
      <c r="I3128" t="s">
        <v>19</v>
      </c>
      <c r="J3128" s="3" t="s">
        <v>23828</v>
      </c>
      <c r="K3128" t="s">
        <v>3915</v>
      </c>
      <c r="L3128" t="s">
        <v>10489</v>
      </c>
      <c r="M3128" t="s">
        <v>1349</v>
      </c>
    </row>
    <row r="3129" spans="1:13" x14ac:dyDescent="0.25">
      <c r="A3129" t="s">
        <v>14689</v>
      </c>
      <c r="B3129" t="s">
        <v>13</v>
      </c>
      <c r="C3129" s="1">
        <v>43628</v>
      </c>
      <c r="D3129" t="s">
        <v>14690</v>
      </c>
      <c r="E3129" t="s">
        <v>8522</v>
      </c>
      <c r="F3129" t="s">
        <v>1349</v>
      </c>
      <c r="G3129" t="s">
        <v>14691</v>
      </c>
      <c r="H3129" t="s">
        <v>36</v>
      </c>
      <c r="I3129" t="s">
        <v>19</v>
      </c>
      <c r="J3129" s="3" t="s">
        <v>14692</v>
      </c>
      <c r="K3129" t="s">
        <v>14693</v>
      </c>
      <c r="L3129" t="s">
        <v>14694</v>
      </c>
      <c r="M3129" t="s">
        <v>1349</v>
      </c>
    </row>
    <row r="3130" spans="1:13" x14ac:dyDescent="0.25">
      <c r="A3130" t="s">
        <v>22419</v>
      </c>
      <c r="B3130" t="s">
        <v>13</v>
      </c>
      <c r="C3130" t="s">
        <v>20045</v>
      </c>
      <c r="D3130" t="s">
        <v>22420</v>
      </c>
      <c r="E3130" t="s">
        <v>22421</v>
      </c>
      <c r="F3130" t="s">
        <v>1349</v>
      </c>
      <c r="G3130" t="s">
        <v>22422</v>
      </c>
      <c r="H3130" t="s">
        <v>36</v>
      </c>
      <c r="I3130" t="s">
        <v>19</v>
      </c>
      <c r="J3130" s="3">
        <f>55-11-55764848</f>
        <v>-55764804</v>
      </c>
      <c r="K3130" t="s">
        <v>22423</v>
      </c>
      <c r="L3130" t="s">
        <v>439</v>
      </c>
      <c r="M3130" t="s">
        <v>1349</v>
      </c>
    </row>
    <row r="3131" spans="1:13" x14ac:dyDescent="0.25">
      <c r="A3131" t="s">
        <v>26561</v>
      </c>
      <c r="B3131" t="s">
        <v>13</v>
      </c>
      <c r="C3131" s="1">
        <v>42678</v>
      </c>
      <c r="D3131" t="s">
        <v>26562</v>
      </c>
      <c r="E3131" t="s">
        <v>26563</v>
      </c>
      <c r="F3131" t="s">
        <v>1349</v>
      </c>
      <c r="G3131" t="s">
        <v>26340</v>
      </c>
      <c r="H3131" t="s">
        <v>150</v>
      </c>
      <c r="I3131" t="s">
        <v>19</v>
      </c>
      <c r="J3131" s="3" t="s">
        <v>26341</v>
      </c>
      <c r="K3131" t="s">
        <v>26342</v>
      </c>
      <c r="L3131" t="s">
        <v>26343</v>
      </c>
      <c r="M3131" t="s">
        <v>1349</v>
      </c>
    </row>
    <row r="3132" spans="1:13" x14ac:dyDescent="0.25">
      <c r="A3132" t="s">
        <v>12475</v>
      </c>
      <c r="B3132" t="s">
        <v>13</v>
      </c>
      <c r="C3132" s="1">
        <v>44016</v>
      </c>
      <c r="D3132" t="s">
        <v>12476</v>
      </c>
      <c r="E3132" t="s">
        <v>12477</v>
      </c>
      <c r="F3132" t="s">
        <v>785</v>
      </c>
      <c r="G3132" t="s">
        <v>12478</v>
      </c>
      <c r="H3132" t="s">
        <v>299</v>
      </c>
      <c r="I3132" t="s">
        <v>19</v>
      </c>
      <c r="J3132" s="3">
        <v>5514998684334</v>
      </c>
      <c r="K3132" t="s">
        <v>12479</v>
      </c>
      <c r="L3132" t="s">
        <v>2621</v>
      </c>
      <c r="M3132" t="s">
        <v>1349</v>
      </c>
    </row>
    <row r="3133" spans="1:13" x14ac:dyDescent="0.25">
      <c r="A3133" t="s">
        <v>17569</v>
      </c>
      <c r="B3133" t="s">
        <v>101</v>
      </c>
      <c r="C3133" s="1">
        <v>43501</v>
      </c>
      <c r="D3133" t="s">
        <v>17570</v>
      </c>
      <c r="E3133" s="2" t="s">
        <v>31181</v>
      </c>
      <c r="F3133" t="s">
        <v>6072</v>
      </c>
      <c r="G3133" t="s">
        <v>17571</v>
      </c>
      <c r="H3133" t="s">
        <v>265</v>
      </c>
      <c r="I3133" t="s">
        <v>19</v>
      </c>
      <c r="J3133" s="3">
        <f>55-16-3602-2228</f>
        <v>-5791</v>
      </c>
      <c r="K3133" t="s">
        <v>9799</v>
      </c>
      <c r="L3133" t="s">
        <v>17572</v>
      </c>
      <c r="M3133" t="s">
        <v>1349</v>
      </c>
    </row>
    <row r="3134" spans="1:13" x14ac:dyDescent="0.25">
      <c r="A3134" t="s">
        <v>20779</v>
      </c>
      <c r="B3134" t="s">
        <v>13</v>
      </c>
      <c r="C3134" s="1">
        <v>43166</v>
      </c>
      <c r="D3134" t="s">
        <v>20780</v>
      </c>
      <c r="E3134" s="2" t="s">
        <v>31932</v>
      </c>
      <c r="F3134" t="s">
        <v>1349</v>
      </c>
      <c r="G3134" t="s">
        <v>20781</v>
      </c>
      <c r="H3134" t="s">
        <v>20782</v>
      </c>
      <c r="I3134" t="s">
        <v>19</v>
      </c>
      <c r="J3134" s="3">
        <v>555532208000</v>
      </c>
      <c r="K3134" t="s">
        <v>20783</v>
      </c>
      <c r="L3134" t="s">
        <v>20784</v>
      </c>
      <c r="M3134" t="s">
        <v>1349</v>
      </c>
    </row>
    <row r="3135" spans="1:13" x14ac:dyDescent="0.25">
      <c r="A3135" t="s">
        <v>15784</v>
      </c>
      <c r="B3135" t="s">
        <v>13</v>
      </c>
      <c r="C3135" s="1">
        <v>43534</v>
      </c>
      <c r="D3135" t="s">
        <v>15785</v>
      </c>
      <c r="E3135" s="2" t="s">
        <v>31949</v>
      </c>
      <c r="F3135" t="s">
        <v>1349</v>
      </c>
      <c r="G3135" t="s">
        <v>7372</v>
      </c>
      <c r="H3135" t="s">
        <v>36</v>
      </c>
      <c r="I3135" t="s">
        <v>19</v>
      </c>
      <c r="J3135" s="3">
        <v>551130917883</v>
      </c>
      <c r="K3135" t="s">
        <v>7373</v>
      </c>
      <c r="L3135" t="s">
        <v>3512</v>
      </c>
      <c r="M3135" t="s">
        <v>1349</v>
      </c>
    </row>
    <row r="3136" spans="1:13" x14ac:dyDescent="0.25">
      <c r="A3136" t="s">
        <v>27028</v>
      </c>
      <c r="B3136" t="s">
        <v>13</v>
      </c>
      <c r="C3136" t="s">
        <v>26006</v>
      </c>
      <c r="D3136" t="s">
        <v>27029</v>
      </c>
      <c r="E3136" t="s">
        <v>32427</v>
      </c>
      <c r="F3136" t="s">
        <v>1349</v>
      </c>
      <c r="G3136" t="s">
        <v>27030</v>
      </c>
      <c r="H3136" t="s">
        <v>352</v>
      </c>
      <c r="I3136" t="s">
        <v>19</v>
      </c>
      <c r="J3136" s="3" t="s">
        <v>27031</v>
      </c>
      <c r="K3136" t="s">
        <v>27032</v>
      </c>
      <c r="L3136" t="s">
        <v>27033</v>
      </c>
      <c r="M3136" t="s">
        <v>1349</v>
      </c>
    </row>
    <row r="3137" spans="1:13" x14ac:dyDescent="0.25">
      <c r="A3137" t="s">
        <v>22812</v>
      </c>
      <c r="B3137" t="s">
        <v>13</v>
      </c>
      <c r="C3137" t="s">
        <v>22753</v>
      </c>
      <c r="D3137" t="s">
        <v>22813</v>
      </c>
      <c r="E3137" t="s">
        <v>22814</v>
      </c>
      <c r="F3137" t="s">
        <v>1349</v>
      </c>
      <c r="G3137" t="s">
        <v>22815</v>
      </c>
      <c r="H3137" t="s">
        <v>36</v>
      </c>
      <c r="I3137" t="s">
        <v>19</v>
      </c>
      <c r="J3137" s="3">
        <v>551121895000</v>
      </c>
      <c r="K3137" t="s">
        <v>22816</v>
      </c>
      <c r="L3137" t="s">
        <v>13583</v>
      </c>
      <c r="M3137" t="s">
        <v>1349</v>
      </c>
    </row>
    <row r="3138" spans="1:13" x14ac:dyDescent="0.25">
      <c r="A3138" t="s">
        <v>26514</v>
      </c>
      <c r="B3138" t="s">
        <v>13</v>
      </c>
      <c r="C3138" t="s">
        <v>26515</v>
      </c>
      <c r="D3138" t="s">
        <v>26516</v>
      </c>
      <c r="E3138" t="s">
        <v>26517</v>
      </c>
      <c r="F3138" t="s">
        <v>1349</v>
      </c>
      <c r="G3138" t="s">
        <v>26518</v>
      </c>
      <c r="H3138" t="s">
        <v>2957</v>
      </c>
      <c r="I3138" t="s">
        <v>19</v>
      </c>
      <c r="J3138" s="3" t="s">
        <v>26519</v>
      </c>
      <c r="K3138" t="s">
        <v>26520</v>
      </c>
      <c r="L3138" t="s">
        <v>7683</v>
      </c>
      <c r="M3138" t="s">
        <v>1349</v>
      </c>
    </row>
    <row r="3139" spans="1:13" x14ac:dyDescent="0.25">
      <c r="A3139" t="s">
        <v>22297</v>
      </c>
      <c r="B3139" t="s">
        <v>101</v>
      </c>
      <c r="C3139" s="1">
        <v>43222</v>
      </c>
      <c r="D3139" t="s">
        <v>22298</v>
      </c>
      <c r="E3139" t="s">
        <v>22299</v>
      </c>
      <c r="F3139" t="s">
        <v>1349</v>
      </c>
      <c r="G3139" t="s">
        <v>22300</v>
      </c>
      <c r="H3139" t="s">
        <v>18</v>
      </c>
      <c r="I3139" t="s">
        <v>19</v>
      </c>
      <c r="J3139" s="3">
        <v>551935218740</v>
      </c>
      <c r="K3139" t="s">
        <v>22301</v>
      </c>
      <c r="L3139" t="s">
        <v>22302</v>
      </c>
      <c r="M3139" t="s">
        <v>1349</v>
      </c>
    </row>
    <row r="3140" spans="1:13" x14ac:dyDescent="0.25">
      <c r="A3140" t="s">
        <v>3139</v>
      </c>
      <c r="B3140" t="s">
        <v>13</v>
      </c>
      <c r="C3140" s="1">
        <v>44658</v>
      </c>
      <c r="D3140" t="s">
        <v>3140</v>
      </c>
      <c r="E3140" t="s">
        <v>3141</v>
      </c>
      <c r="F3140" t="s">
        <v>1349</v>
      </c>
      <c r="G3140" t="s">
        <v>3142</v>
      </c>
      <c r="H3140" t="s">
        <v>299</v>
      </c>
      <c r="I3140" t="s">
        <v>19</v>
      </c>
      <c r="J3140" s="3">
        <f>55-14-38801663</f>
        <v>-38801622</v>
      </c>
      <c r="K3140" t="s">
        <v>3143</v>
      </c>
      <c r="L3140" t="s">
        <v>3144</v>
      </c>
      <c r="M3140" t="s">
        <v>1349</v>
      </c>
    </row>
    <row r="3141" spans="1:13" x14ac:dyDescent="0.25">
      <c r="A3141" t="s">
        <v>20854</v>
      </c>
      <c r="B3141" t="s">
        <v>13</v>
      </c>
      <c r="C3141" t="s">
        <v>20848</v>
      </c>
      <c r="D3141" t="s">
        <v>20855</v>
      </c>
      <c r="E3141" s="2" t="s">
        <v>31523</v>
      </c>
      <c r="F3141" t="s">
        <v>2036</v>
      </c>
      <c r="G3141" t="s">
        <v>20856</v>
      </c>
      <c r="H3141" t="s">
        <v>20857</v>
      </c>
      <c r="I3141" t="s">
        <v>19</v>
      </c>
      <c r="J3141" s="3">
        <f>55-79-999003057</f>
        <v>-999003081</v>
      </c>
      <c r="K3141" t="s">
        <v>20858</v>
      </c>
      <c r="L3141" t="s">
        <v>20859</v>
      </c>
      <c r="M3141" t="s">
        <v>57</v>
      </c>
    </row>
    <row r="3142" spans="1:13" x14ac:dyDescent="0.25">
      <c r="A3142" t="s">
        <v>14732</v>
      </c>
      <c r="B3142" t="s">
        <v>13</v>
      </c>
      <c r="C3142" s="1">
        <v>43567</v>
      </c>
      <c r="D3142" t="s">
        <v>14733</v>
      </c>
      <c r="E3142" s="2" t="s">
        <v>31653</v>
      </c>
      <c r="F3142" t="s">
        <v>1464</v>
      </c>
      <c r="G3142" t="s">
        <v>11821</v>
      </c>
      <c r="H3142" t="s">
        <v>265</v>
      </c>
      <c r="I3142" t="s">
        <v>19</v>
      </c>
      <c r="J3142" s="3">
        <v>5501633153995</v>
      </c>
      <c r="K3142" t="s">
        <v>11823</v>
      </c>
      <c r="L3142" t="s">
        <v>6557</v>
      </c>
      <c r="M3142" t="s">
        <v>57</v>
      </c>
    </row>
    <row r="3143" spans="1:13" x14ac:dyDescent="0.25">
      <c r="A3143" t="s">
        <v>757</v>
      </c>
      <c r="B3143" t="s">
        <v>13</v>
      </c>
      <c r="C3143" t="s">
        <v>758</v>
      </c>
      <c r="D3143" t="s">
        <v>759</v>
      </c>
      <c r="E3143" t="s">
        <v>760</v>
      </c>
      <c r="F3143" t="s">
        <v>122</v>
      </c>
      <c r="G3143" t="s">
        <v>761</v>
      </c>
      <c r="H3143" t="s">
        <v>88</v>
      </c>
      <c r="I3143" t="s">
        <v>19</v>
      </c>
      <c r="J3143" s="3" t="s">
        <v>762</v>
      </c>
      <c r="K3143" t="s">
        <v>763</v>
      </c>
      <c r="L3143" t="s">
        <v>764</v>
      </c>
      <c r="M3143" t="s">
        <v>32145</v>
      </c>
    </row>
    <row r="3144" spans="1:13" x14ac:dyDescent="0.25">
      <c r="A3144" t="s">
        <v>19679</v>
      </c>
      <c r="B3144" t="s">
        <v>101</v>
      </c>
      <c r="C3144" s="1">
        <v>43443</v>
      </c>
      <c r="D3144" t="s">
        <v>19680</v>
      </c>
      <c r="E3144" t="s">
        <v>760</v>
      </c>
      <c r="F3144" t="s">
        <v>337</v>
      </c>
      <c r="G3144" t="s">
        <v>19681</v>
      </c>
      <c r="H3144" t="s">
        <v>428</v>
      </c>
      <c r="I3144" t="s">
        <v>19</v>
      </c>
      <c r="J3144" s="3">
        <f>55-51-999545988</f>
        <v>-999545984</v>
      </c>
      <c r="K3144" t="s">
        <v>19682</v>
      </c>
      <c r="L3144" t="s">
        <v>19683</v>
      </c>
      <c r="M3144" t="s">
        <v>337</v>
      </c>
    </row>
    <row r="3145" spans="1:13" x14ac:dyDescent="0.25">
      <c r="A3145" t="s">
        <v>5162</v>
      </c>
      <c r="B3145" t="s">
        <v>101</v>
      </c>
      <c r="C3145" s="1">
        <v>44621</v>
      </c>
      <c r="D3145" t="s">
        <v>5163</v>
      </c>
      <c r="E3145" s="2" t="s">
        <v>32133</v>
      </c>
      <c r="F3145" t="s">
        <v>122</v>
      </c>
      <c r="G3145" t="s">
        <v>5165</v>
      </c>
      <c r="H3145" t="s">
        <v>5166</v>
      </c>
      <c r="I3145" t="s">
        <v>2059</v>
      </c>
      <c r="J3145" s="3" t="s">
        <v>5167</v>
      </c>
      <c r="K3145" t="s">
        <v>5168</v>
      </c>
      <c r="L3145" t="s">
        <v>32135</v>
      </c>
      <c r="M3145" t="s">
        <v>337</v>
      </c>
    </row>
    <row r="3146" spans="1:13" x14ac:dyDescent="0.25">
      <c r="A3146" t="s">
        <v>15246</v>
      </c>
      <c r="B3146" t="s">
        <v>13</v>
      </c>
      <c r="C3146" t="s">
        <v>15247</v>
      </c>
      <c r="D3146" t="s">
        <v>15248</v>
      </c>
      <c r="E3146" s="2" t="s">
        <v>32063</v>
      </c>
      <c r="F3146" t="s">
        <v>306</v>
      </c>
      <c r="G3146" t="s">
        <v>15249</v>
      </c>
      <c r="H3146" t="s">
        <v>18</v>
      </c>
      <c r="I3146" t="s">
        <v>19</v>
      </c>
      <c r="J3146" s="3" t="s">
        <v>15250</v>
      </c>
      <c r="K3146" t="s">
        <v>15251</v>
      </c>
      <c r="L3146" t="s">
        <v>285</v>
      </c>
      <c r="M3146" t="s">
        <v>32145</v>
      </c>
    </row>
    <row r="3147" spans="1:13" x14ac:dyDescent="0.25">
      <c r="A3147" t="s">
        <v>3104</v>
      </c>
      <c r="B3147" t="s">
        <v>13</v>
      </c>
      <c r="C3147" s="1">
        <v>44749</v>
      </c>
      <c r="D3147" t="s">
        <v>3105</v>
      </c>
      <c r="E3147" s="2" t="s">
        <v>30766</v>
      </c>
      <c r="F3147" t="s">
        <v>397</v>
      </c>
      <c r="G3147" t="s">
        <v>3106</v>
      </c>
      <c r="H3147" t="s">
        <v>45</v>
      </c>
      <c r="I3147" t="s">
        <v>19</v>
      </c>
      <c r="J3147" s="3">
        <f>55-85-31017078</f>
        <v>-31017108</v>
      </c>
      <c r="K3147" t="s">
        <v>3107</v>
      </c>
      <c r="L3147" t="s">
        <v>3108</v>
      </c>
      <c r="M3147" t="s">
        <v>32145</v>
      </c>
    </row>
    <row r="3148" spans="1:13" x14ac:dyDescent="0.25">
      <c r="A3148" t="s">
        <v>11914</v>
      </c>
      <c r="B3148" t="s">
        <v>13</v>
      </c>
      <c r="C3148" s="1">
        <v>44048</v>
      </c>
      <c r="D3148" t="s">
        <v>11915</v>
      </c>
      <c r="E3148" t="s">
        <v>460</v>
      </c>
      <c r="F3148" t="s">
        <v>337</v>
      </c>
      <c r="G3148" t="s">
        <v>11916</v>
      </c>
      <c r="H3148" t="s">
        <v>36</v>
      </c>
      <c r="I3148" t="s">
        <v>19</v>
      </c>
      <c r="J3148" s="3">
        <v>5511978050653</v>
      </c>
      <c r="K3148" t="s">
        <v>11917</v>
      </c>
      <c r="L3148" t="s">
        <v>3512</v>
      </c>
      <c r="M3148" t="s">
        <v>337</v>
      </c>
    </row>
    <row r="3149" spans="1:13" x14ac:dyDescent="0.25">
      <c r="A3149" t="s">
        <v>14518</v>
      </c>
      <c r="B3149" t="s">
        <v>13</v>
      </c>
      <c r="C3149" t="s">
        <v>7069</v>
      </c>
      <c r="D3149" t="s">
        <v>14519</v>
      </c>
      <c r="E3149" t="s">
        <v>460</v>
      </c>
      <c r="F3149" t="s">
        <v>1775</v>
      </c>
      <c r="G3149" t="s">
        <v>14520</v>
      </c>
      <c r="H3149" t="s">
        <v>409</v>
      </c>
      <c r="I3149" t="s">
        <v>19</v>
      </c>
      <c r="J3149" s="3" t="s">
        <v>14521</v>
      </c>
      <c r="K3149" t="s">
        <v>14522</v>
      </c>
      <c r="L3149" t="s">
        <v>412</v>
      </c>
      <c r="M3149" t="s">
        <v>337</v>
      </c>
    </row>
    <row r="3150" spans="1:13" x14ac:dyDescent="0.25">
      <c r="A3150" t="s">
        <v>7891</v>
      </c>
      <c r="B3150" t="s">
        <v>13</v>
      </c>
      <c r="C3150" t="s">
        <v>7892</v>
      </c>
      <c r="D3150" t="s">
        <v>32135</v>
      </c>
      <c r="E3150" t="s">
        <v>460</v>
      </c>
      <c r="F3150" t="s">
        <v>711</v>
      </c>
      <c r="G3150" t="s">
        <v>7893</v>
      </c>
      <c r="H3150" t="s">
        <v>4086</v>
      </c>
      <c r="I3150" t="s">
        <v>19</v>
      </c>
      <c r="J3150" s="3">
        <f>55-44-999911116</f>
        <v>-999911105</v>
      </c>
      <c r="K3150" t="s">
        <v>7894</v>
      </c>
      <c r="L3150" t="s">
        <v>32135</v>
      </c>
      <c r="M3150" t="s">
        <v>337</v>
      </c>
    </row>
    <row r="3151" spans="1:13" x14ac:dyDescent="0.25">
      <c r="A3151" t="s">
        <v>14763</v>
      </c>
      <c r="B3151" t="s">
        <v>13</v>
      </c>
      <c r="C3151" t="s">
        <v>9910</v>
      </c>
      <c r="D3151" t="s">
        <v>14764</v>
      </c>
      <c r="E3151" t="s">
        <v>14765</v>
      </c>
      <c r="F3151" t="s">
        <v>1464</v>
      </c>
      <c r="G3151" t="s">
        <v>14766</v>
      </c>
      <c r="H3151" t="s">
        <v>1335</v>
      </c>
      <c r="I3151" t="s">
        <v>19</v>
      </c>
      <c r="J3151" s="3">
        <f>55-43-33717991</f>
        <v>-33717979</v>
      </c>
      <c r="K3151" t="s">
        <v>14767</v>
      </c>
      <c r="L3151" t="s">
        <v>14768</v>
      </c>
      <c r="M3151" t="s">
        <v>337</v>
      </c>
    </row>
    <row r="3152" spans="1:13" x14ac:dyDescent="0.25">
      <c r="A3152" t="s">
        <v>19081</v>
      </c>
      <c r="B3152" t="s">
        <v>13</v>
      </c>
      <c r="C3152" s="1">
        <v>43292</v>
      </c>
      <c r="D3152" t="s">
        <v>19082</v>
      </c>
      <c r="E3152" t="s">
        <v>460</v>
      </c>
      <c r="F3152" t="s">
        <v>332</v>
      </c>
      <c r="G3152" t="s">
        <v>19083</v>
      </c>
      <c r="H3152" t="s">
        <v>19084</v>
      </c>
      <c r="I3152" t="s">
        <v>19</v>
      </c>
      <c r="J3152" s="3">
        <v>2161992653645</v>
      </c>
      <c r="K3152" t="s">
        <v>19085</v>
      </c>
      <c r="L3152" t="s">
        <v>7649</v>
      </c>
      <c r="M3152" t="s">
        <v>337</v>
      </c>
    </row>
    <row r="3153" spans="1:13" x14ac:dyDescent="0.25">
      <c r="A3153" t="s">
        <v>14339</v>
      </c>
      <c r="B3153" t="s">
        <v>13</v>
      </c>
      <c r="C3153" s="1">
        <v>43983</v>
      </c>
      <c r="D3153" t="s">
        <v>14340</v>
      </c>
      <c r="E3153" t="s">
        <v>460</v>
      </c>
      <c r="F3153" t="s">
        <v>332</v>
      </c>
      <c r="G3153" t="s">
        <v>1472</v>
      </c>
      <c r="H3153" t="s">
        <v>428</v>
      </c>
      <c r="I3153" t="s">
        <v>19</v>
      </c>
      <c r="J3153" s="3">
        <v>555133085176</v>
      </c>
      <c r="K3153" t="s">
        <v>1473</v>
      </c>
      <c r="L3153" t="s">
        <v>3299</v>
      </c>
      <c r="M3153" t="s">
        <v>337</v>
      </c>
    </row>
    <row r="3154" spans="1:13" x14ac:dyDescent="0.25">
      <c r="A3154" t="s">
        <v>2087</v>
      </c>
      <c r="B3154" t="s">
        <v>101</v>
      </c>
      <c r="C3154" t="s">
        <v>2081</v>
      </c>
      <c r="D3154" t="s">
        <v>2088</v>
      </c>
      <c r="E3154" t="s">
        <v>460</v>
      </c>
      <c r="F3154" t="s">
        <v>2089</v>
      </c>
      <c r="G3154" t="s">
        <v>2090</v>
      </c>
      <c r="H3154" t="s">
        <v>2091</v>
      </c>
      <c r="I3154" t="s">
        <v>19</v>
      </c>
      <c r="J3154" s="3" t="s">
        <v>2092</v>
      </c>
      <c r="K3154" t="s">
        <v>2093</v>
      </c>
      <c r="L3154" t="s">
        <v>2094</v>
      </c>
      <c r="M3154" t="s">
        <v>337</v>
      </c>
    </row>
    <row r="3155" spans="1:13" x14ac:dyDescent="0.25">
      <c r="A3155" t="s">
        <v>11505</v>
      </c>
      <c r="B3155" t="s">
        <v>13</v>
      </c>
      <c r="C3155" s="1">
        <v>43927</v>
      </c>
      <c r="D3155" t="s">
        <v>11506</v>
      </c>
      <c r="E3155" s="2" t="s">
        <v>31809</v>
      </c>
      <c r="F3155" t="s">
        <v>332</v>
      </c>
      <c r="G3155" t="s">
        <v>11507</v>
      </c>
      <c r="H3155" t="s">
        <v>798</v>
      </c>
      <c r="I3155" t="s">
        <v>19</v>
      </c>
      <c r="J3155" s="3">
        <f>55-61-999741956</f>
        <v>-999741962</v>
      </c>
      <c r="K3155" t="s">
        <v>11508</v>
      </c>
      <c r="L3155" t="s">
        <v>8706</v>
      </c>
      <c r="M3155" t="s">
        <v>337</v>
      </c>
    </row>
    <row r="3156" spans="1:13" x14ac:dyDescent="0.25">
      <c r="A3156" t="s">
        <v>11661</v>
      </c>
      <c r="B3156" t="s">
        <v>13</v>
      </c>
      <c r="C3156" t="s">
        <v>2611</v>
      </c>
      <c r="D3156" t="s">
        <v>11662</v>
      </c>
      <c r="E3156" s="2" t="s">
        <v>31480</v>
      </c>
      <c r="F3156" t="s">
        <v>1464</v>
      </c>
      <c r="G3156" t="s">
        <v>11663</v>
      </c>
      <c r="H3156" t="s">
        <v>409</v>
      </c>
      <c r="I3156" t="s">
        <v>19</v>
      </c>
      <c r="J3156" s="3">
        <f>55-48-32247795</f>
        <v>-32247788</v>
      </c>
      <c r="K3156" t="s">
        <v>11664</v>
      </c>
      <c r="L3156" t="s">
        <v>412</v>
      </c>
      <c r="M3156" t="s">
        <v>337</v>
      </c>
    </row>
    <row r="3157" spans="1:13" x14ac:dyDescent="0.25">
      <c r="A3157" t="s">
        <v>14635</v>
      </c>
      <c r="B3157" t="s">
        <v>13</v>
      </c>
      <c r="C3157" s="1">
        <v>43750</v>
      </c>
      <c r="D3157" t="s">
        <v>14636</v>
      </c>
      <c r="E3157" s="2" t="s">
        <v>31652</v>
      </c>
      <c r="F3157" t="s">
        <v>332</v>
      </c>
      <c r="G3157" t="s">
        <v>14637</v>
      </c>
      <c r="H3157" t="s">
        <v>265</v>
      </c>
      <c r="I3157" t="s">
        <v>19</v>
      </c>
      <c r="J3157" s="3">
        <v>5516988661879</v>
      </c>
      <c r="K3157" t="s">
        <v>14638</v>
      </c>
      <c r="L3157" t="s">
        <v>11138</v>
      </c>
      <c r="M3157" t="s">
        <v>337</v>
      </c>
    </row>
    <row r="3158" spans="1:13" x14ac:dyDescent="0.25">
      <c r="A3158" t="s">
        <v>18521</v>
      </c>
      <c r="B3158" t="s">
        <v>13</v>
      </c>
      <c r="C3158" s="1">
        <v>43770</v>
      </c>
      <c r="D3158" t="s">
        <v>18522</v>
      </c>
      <c r="E3158" s="2" t="s">
        <v>31658</v>
      </c>
      <c r="F3158" t="s">
        <v>332</v>
      </c>
      <c r="G3158" t="s">
        <v>14637</v>
      </c>
      <c r="H3158" t="s">
        <v>265</v>
      </c>
      <c r="I3158" t="s">
        <v>19</v>
      </c>
      <c r="J3158" s="3">
        <f>55-1633153953</f>
        <v>-1633153898</v>
      </c>
      <c r="K3158" t="s">
        <v>14638</v>
      </c>
      <c r="L3158" t="s">
        <v>4303</v>
      </c>
      <c r="M3158" t="s">
        <v>337</v>
      </c>
    </row>
    <row r="3159" spans="1:13" x14ac:dyDescent="0.25">
      <c r="A3159" t="s">
        <v>15867</v>
      </c>
      <c r="B3159" t="s">
        <v>13</v>
      </c>
      <c r="C3159" t="s">
        <v>15868</v>
      </c>
      <c r="D3159" t="s">
        <v>15869</v>
      </c>
      <c r="E3159" t="s">
        <v>15870</v>
      </c>
      <c r="F3159" t="s">
        <v>1464</v>
      </c>
      <c r="G3159" t="s">
        <v>15871</v>
      </c>
      <c r="H3159" t="s">
        <v>1335</v>
      </c>
      <c r="I3159" t="s">
        <v>19</v>
      </c>
      <c r="J3159" s="3" t="s">
        <v>15872</v>
      </c>
      <c r="K3159" t="s">
        <v>15873</v>
      </c>
      <c r="L3159" t="s">
        <v>15874</v>
      </c>
      <c r="M3159" t="s">
        <v>337</v>
      </c>
    </row>
    <row r="3160" spans="1:13" x14ac:dyDescent="0.25">
      <c r="A3160" t="s">
        <v>26174</v>
      </c>
      <c r="B3160" t="s">
        <v>13</v>
      </c>
      <c r="C3160" t="s">
        <v>16637</v>
      </c>
      <c r="D3160" t="s">
        <v>26175</v>
      </c>
      <c r="E3160" t="s">
        <v>26176</v>
      </c>
      <c r="F3160" t="s">
        <v>129</v>
      </c>
      <c r="G3160" t="s">
        <v>26177</v>
      </c>
      <c r="H3160" t="s">
        <v>5100</v>
      </c>
      <c r="I3160" t="s">
        <v>19</v>
      </c>
      <c r="J3160" s="3">
        <v>5581999727161</v>
      </c>
      <c r="K3160" t="s">
        <v>26178</v>
      </c>
      <c r="L3160" t="s">
        <v>26179</v>
      </c>
      <c r="M3160" t="s">
        <v>129</v>
      </c>
    </row>
    <row r="3161" spans="1:13" x14ac:dyDescent="0.25">
      <c r="A3161" t="s">
        <v>23733</v>
      </c>
      <c r="B3161" t="s">
        <v>13</v>
      </c>
      <c r="C3161" t="s">
        <v>8676</v>
      </c>
      <c r="D3161" t="s">
        <v>23734</v>
      </c>
      <c r="E3161" s="2" t="s">
        <v>31752</v>
      </c>
      <c r="F3161" t="s">
        <v>1349</v>
      </c>
      <c r="G3161" t="s">
        <v>23735</v>
      </c>
      <c r="H3161" t="s">
        <v>36</v>
      </c>
      <c r="I3161" t="s">
        <v>19</v>
      </c>
      <c r="J3161" s="3">
        <v>5511994053112</v>
      </c>
      <c r="K3161" t="s">
        <v>23736</v>
      </c>
      <c r="L3161" t="s">
        <v>439</v>
      </c>
      <c r="M3161" t="s">
        <v>1349</v>
      </c>
    </row>
    <row r="3162" spans="1:13" x14ac:dyDescent="0.25">
      <c r="A3162" t="s">
        <v>2581</v>
      </c>
      <c r="B3162" t="s">
        <v>13</v>
      </c>
      <c r="C3162" s="1">
        <v>44873</v>
      </c>
      <c r="D3162" t="s">
        <v>2582</v>
      </c>
      <c r="E3162" t="s">
        <v>2583</v>
      </c>
      <c r="F3162" t="s">
        <v>2584</v>
      </c>
      <c r="G3162" t="s">
        <v>2585</v>
      </c>
      <c r="H3162" t="s">
        <v>53</v>
      </c>
      <c r="I3162" t="s">
        <v>19</v>
      </c>
      <c r="J3162" s="3" t="s">
        <v>2586</v>
      </c>
      <c r="K3162" t="s">
        <v>2587</v>
      </c>
      <c r="L3162" t="s">
        <v>56</v>
      </c>
      <c r="M3162" t="s">
        <v>337</v>
      </c>
    </row>
    <row r="3163" spans="1:13" x14ac:dyDescent="0.25">
      <c r="A3163" t="s">
        <v>7940</v>
      </c>
      <c r="B3163" t="s">
        <v>13</v>
      </c>
      <c r="C3163" t="s">
        <v>7941</v>
      </c>
      <c r="D3163" t="s">
        <v>32135</v>
      </c>
      <c r="E3163" s="2" t="s">
        <v>31441</v>
      </c>
      <c r="F3163" t="s">
        <v>7942</v>
      </c>
      <c r="G3163" t="s">
        <v>7943</v>
      </c>
      <c r="H3163" t="s">
        <v>2112</v>
      </c>
      <c r="I3163" t="s">
        <v>19</v>
      </c>
      <c r="J3163" s="3">
        <v>5545999119100</v>
      </c>
      <c r="K3163" t="s">
        <v>7944</v>
      </c>
      <c r="L3163" t="s">
        <v>32135</v>
      </c>
      <c r="M3163" t="s">
        <v>337</v>
      </c>
    </row>
    <row r="3164" spans="1:13" x14ac:dyDescent="0.25">
      <c r="A3164" t="s">
        <v>22403</v>
      </c>
      <c r="B3164" t="s">
        <v>13</v>
      </c>
      <c r="C3164" t="s">
        <v>22396</v>
      </c>
      <c r="D3164" t="s">
        <v>22404</v>
      </c>
      <c r="E3164" t="s">
        <v>22405</v>
      </c>
      <c r="F3164" t="s">
        <v>1349</v>
      </c>
      <c r="G3164" t="s">
        <v>22406</v>
      </c>
      <c r="H3164" t="s">
        <v>936</v>
      </c>
      <c r="I3164" t="s">
        <v>19</v>
      </c>
      <c r="J3164" s="3" t="s">
        <v>22407</v>
      </c>
      <c r="K3164" t="s">
        <v>22408</v>
      </c>
      <c r="L3164" t="s">
        <v>22409</v>
      </c>
      <c r="M3164" t="s">
        <v>1349</v>
      </c>
    </row>
    <row r="3165" spans="1:13" x14ac:dyDescent="0.25">
      <c r="A3165" t="s">
        <v>23148</v>
      </c>
      <c r="B3165" t="s">
        <v>13</v>
      </c>
      <c r="C3165" t="s">
        <v>22833</v>
      </c>
      <c r="D3165" t="s">
        <v>23149</v>
      </c>
      <c r="E3165" t="s">
        <v>32784</v>
      </c>
      <c r="F3165" t="s">
        <v>332</v>
      </c>
      <c r="G3165" t="s">
        <v>10102</v>
      </c>
      <c r="H3165" t="s">
        <v>372</v>
      </c>
      <c r="I3165" t="s">
        <v>19</v>
      </c>
      <c r="J3165" s="3" t="s">
        <v>10983</v>
      </c>
      <c r="K3165" t="s">
        <v>10103</v>
      </c>
      <c r="L3165" t="s">
        <v>10984</v>
      </c>
      <c r="M3165" t="s">
        <v>337</v>
      </c>
    </row>
    <row r="3166" spans="1:13" x14ac:dyDescent="0.25">
      <c r="A3166" t="s">
        <v>8403</v>
      </c>
      <c r="B3166" t="s">
        <v>13</v>
      </c>
      <c r="C3166" s="1">
        <v>44198</v>
      </c>
      <c r="D3166" t="s">
        <v>8404</v>
      </c>
      <c r="E3166" s="2" t="s">
        <v>30953</v>
      </c>
      <c r="F3166" t="s">
        <v>4109</v>
      </c>
      <c r="G3166" t="s">
        <v>4110</v>
      </c>
      <c r="H3166" t="s">
        <v>3416</v>
      </c>
      <c r="I3166" t="s">
        <v>19</v>
      </c>
      <c r="J3166" s="3">
        <f>55-16-33016423</f>
        <v>-33016384</v>
      </c>
      <c r="K3166" t="s">
        <v>4111</v>
      </c>
      <c r="L3166" t="s">
        <v>32135</v>
      </c>
      <c r="M3166" t="s">
        <v>337</v>
      </c>
    </row>
    <row r="3167" spans="1:13" x14ac:dyDescent="0.25">
      <c r="A3167" t="s">
        <v>4107</v>
      </c>
      <c r="B3167" t="s">
        <v>101</v>
      </c>
      <c r="C3167" t="s">
        <v>3836</v>
      </c>
      <c r="D3167" t="s">
        <v>4108</v>
      </c>
      <c r="E3167" s="2" t="s">
        <v>30801</v>
      </c>
      <c r="F3167" t="s">
        <v>34</v>
      </c>
      <c r="G3167" t="s">
        <v>4110</v>
      </c>
      <c r="H3167" t="s">
        <v>3416</v>
      </c>
      <c r="I3167" t="s">
        <v>19</v>
      </c>
      <c r="J3167" s="3">
        <f>55-16-33016423</f>
        <v>-33016384</v>
      </c>
      <c r="K3167" t="s">
        <v>4111</v>
      </c>
      <c r="L3167" t="s">
        <v>2548</v>
      </c>
      <c r="M3167" t="s">
        <v>1775</v>
      </c>
    </row>
    <row r="3168" spans="1:13" x14ac:dyDescent="0.25">
      <c r="A3168" t="s">
        <v>26840</v>
      </c>
      <c r="B3168" t="s">
        <v>13</v>
      </c>
      <c r="C3168" s="1">
        <v>42403</v>
      </c>
      <c r="D3168" t="s">
        <v>26841</v>
      </c>
      <c r="E3168" t="s">
        <v>32428</v>
      </c>
      <c r="F3168" t="s">
        <v>1464</v>
      </c>
      <c r="G3168" t="s">
        <v>14154</v>
      </c>
      <c r="H3168" t="s">
        <v>3416</v>
      </c>
      <c r="I3168" t="s">
        <v>19</v>
      </c>
      <c r="J3168" s="3" t="s">
        <v>26842</v>
      </c>
      <c r="K3168" t="s">
        <v>14155</v>
      </c>
      <c r="L3168" t="s">
        <v>2548</v>
      </c>
      <c r="M3168" t="s">
        <v>337</v>
      </c>
    </row>
    <row r="3169" spans="1:13" x14ac:dyDescent="0.25">
      <c r="A3169" t="s">
        <v>492</v>
      </c>
      <c r="B3169" t="s">
        <v>13</v>
      </c>
      <c r="C3169" t="s">
        <v>484</v>
      </c>
      <c r="D3169" t="s">
        <v>493</v>
      </c>
      <c r="E3169" t="s">
        <v>30679</v>
      </c>
      <c r="F3169" t="s">
        <v>494</v>
      </c>
      <c r="G3169" t="s">
        <v>495</v>
      </c>
      <c r="H3169" t="s">
        <v>18</v>
      </c>
      <c r="I3169" t="s">
        <v>19</v>
      </c>
      <c r="J3169" s="3" t="s">
        <v>496</v>
      </c>
      <c r="K3169" t="s">
        <v>497</v>
      </c>
      <c r="L3169" t="s">
        <v>285</v>
      </c>
      <c r="M3169" t="s">
        <v>32121</v>
      </c>
    </row>
    <row r="3170" spans="1:13" x14ac:dyDescent="0.25">
      <c r="A3170" t="s">
        <v>1241</v>
      </c>
      <c r="B3170" t="s">
        <v>13</v>
      </c>
      <c r="C3170" t="s">
        <v>1220</v>
      </c>
      <c r="D3170" t="s">
        <v>1242</v>
      </c>
      <c r="E3170" s="2" t="s">
        <v>30702</v>
      </c>
      <c r="F3170" t="s">
        <v>160</v>
      </c>
      <c r="G3170" t="s">
        <v>1243</v>
      </c>
      <c r="H3170" t="s">
        <v>265</v>
      </c>
      <c r="I3170" t="s">
        <v>19</v>
      </c>
      <c r="J3170" s="3" t="s">
        <v>1244</v>
      </c>
      <c r="K3170" t="s">
        <v>1245</v>
      </c>
      <c r="L3170" t="s">
        <v>1246</v>
      </c>
      <c r="M3170" t="s">
        <v>32121</v>
      </c>
    </row>
    <row r="3171" spans="1:13" x14ac:dyDescent="0.25">
      <c r="A3171" t="s">
        <v>9934</v>
      </c>
      <c r="B3171" t="s">
        <v>13</v>
      </c>
      <c r="C3171" s="1">
        <v>43870</v>
      </c>
      <c r="D3171" t="s">
        <v>9935</v>
      </c>
      <c r="E3171" s="2" t="s">
        <v>31963</v>
      </c>
      <c r="F3171" t="s">
        <v>32121</v>
      </c>
      <c r="G3171" t="s">
        <v>9936</v>
      </c>
      <c r="H3171" t="s">
        <v>36</v>
      </c>
      <c r="I3171" t="s">
        <v>19</v>
      </c>
      <c r="J3171" s="3" t="s">
        <v>9937</v>
      </c>
      <c r="K3171" t="s">
        <v>9938</v>
      </c>
      <c r="L3171" t="s">
        <v>3083</v>
      </c>
      <c r="M3171" t="s">
        <v>32121</v>
      </c>
    </row>
    <row r="3172" spans="1:13" x14ac:dyDescent="0.25">
      <c r="A3172" t="s">
        <v>20964</v>
      </c>
      <c r="B3172" t="s">
        <v>13</v>
      </c>
      <c r="C3172" t="s">
        <v>5341</v>
      </c>
      <c r="D3172" t="s">
        <v>20965</v>
      </c>
      <c r="E3172" s="2" t="s">
        <v>31985</v>
      </c>
      <c r="F3172" t="s">
        <v>1464</v>
      </c>
      <c r="G3172" t="s">
        <v>20966</v>
      </c>
      <c r="H3172" t="s">
        <v>706</v>
      </c>
      <c r="I3172" t="s">
        <v>19</v>
      </c>
      <c r="J3172" s="3" t="s">
        <v>20967</v>
      </c>
      <c r="K3172" t="s">
        <v>20968</v>
      </c>
      <c r="L3172" t="s">
        <v>565</v>
      </c>
      <c r="M3172" t="s">
        <v>32144</v>
      </c>
    </row>
    <row r="3173" spans="1:13" x14ac:dyDescent="0.25">
      <c r="A3173" t="s">
        <v>10712</v>
      </c>
      <c r="B3173" t="s">
        <v>13</v>
      </c>
      <c r="C3173" t="s">
        <v>6843</v>
      </c>
      <c r="D3173" t="s">
        <v>10713</v>
      </c>
      <c r="E3173" t="s">
        <v>10714</v>
      </c>
      <c r="F3173" t="s">
        <v>32121</v>
      </c>
      <c r="G3173" t="s">
        <v>10715</v>
      </c>
      <c r="H3173" t="s">
        <v>36</v>
      </c>
      <c r="I3173" t="s">
        <v>19</v>
      </c>
      <c r="J3173" s="3" t="s">
        <v>10716</v>
      </c>
      <c r="K3173" t="s">
        <v>10717</v>
      </c>
      <c r="L3173" t="s">
        <v>8044</v>
      </c>
      <c r="M3173" t="s">
        <v>32121</v>
      </c>
    </row>
    <row r="3174" spans="1:13" x14ac:dyDescent="0.25">
      <c r="A3174" t="s">
        <v>19439</v>
      </c>
      <c r="B3174" t="s">
        <v>13</v>
      </c>
      <c r="C3174" t="s">
        <v>15388</v>
      </c>
      <c r="D3174" t="s">
        <v>19440</v>
      </c>
      <c r="E3174" t="s">
        <v>19441</v>
      </c>
      <c r="F3174" t="s">
        <v>332</v>
      </c>
      <c r="G3174" t="s">
        <v>19442</v>
      </c>
      <c r="H3174" t="s">
        <v>7109</v>
      </c>
      <c r="I3174" t="s">
        <v>19</v>
      </c>
      <c r="J3174" s="3" t="s">
        <v>19443</v>
      </c>
      <c r="K3174" t="s">
        <v>19444</v>
      </c>
      <c r="L3174" t="s">
        <v>19445</v>
      </c>
      <c r="M3174" t="s">
        <v>337</v>
      </c>
    </row>
    <row r="3175" spans="1:13" x14ac:dyDescent="0.25">
      <c r="A3175" t="s">
        <v>9320</v>
      </c>
      <c r="B3175" t="s">
        <v>13</v>
      </c>
      <c r="C3175" s="1">
        <v>44053</v>
      </c>
      <c r="D3175" t="s">
        <v>9321</v>
      </c>
      <c r="E3175" t="s">
        <v>32429</v>
      </c>
      <c r="F3175" t="s">
        <v>1464</v>
      </c>
      <c r="G3175" t="s">
        <v>9322</v>
      </c>
      <c r="H3175" t="s">
        <v>5523</v>
      </c>
      <c r="I3175" t="s">
        <v>19</v>
      </c>
      <c r="J3175" s="3" t="s">
        <v>9323</v>
      </c>
      <c r="K3175" t="s">
        <v>9324</v>
      </c>
      <c r="L3175" t="s">
        <v>91</v>
      </c>
      <c r="M3175" t="s">
        <v>337</v>
      </c>
    </row>
    <row r="3176" spans="1:13" x14ac:dyDescent="0.25">
      <c r="A3176" t="s">
        <v>6756</v>
      </c>
      <c r="B3176" t="s">
        <v>13</v>
      </c>
      <c r="C3176" s="1">
        <v>44355</v>
      </c>
      <c r="D3176" t="s">
        <v>32135</v>
      </c>
      <c r="E3176" s="2" t="s">
        <v>30906</v>
      </c>
      <c r="F3176" t="s">
        <v>6757</v>
      </c>
      <c r="G3176" t="s">
        <v>6758</v>
      </c>
      <c r="H3176" t="s">
        <v>1027</v>
      </c>
      <c r="I3176" t="s">
        <v>19</v>
      </c>
      <c r="J3176" s="3">
        <v>5504832791126</v>
      </c>
      <c r="K3176" t="s">
        <v>6759</v>
      </c>
      <c r="L3176" t="s">
        <v>32135</v>
      </c>
      <c r="M3176" t="s">
        <v>432</v>
      </c>
    </row>
    <row r="3177" spans="1:13" x14ac:dyDescent="0.25">
      <c r="A3177" t="s">
        <v>18743</v>
      </c>
      <c r="B3177" t="s">
        <v>13</v>
      </c>
      <c r="C3177" t="s">
        <v>8504</v>
      </c>
      <c r="D3177" t="s">
        <v>18744</v>
      </c>
      <c r="E3177" s="2" t="s">
        <v>32106</v>
      </c>
      <c r="F3177" t="s">
        <v>306</v>
      </c>
      <c r="G3177" t="s">
        <v>4716</v>
      </c>
      <c r="H3177" t="s">
        <v>352</v>
      </c>
      <c r="I3177" t="s">
        <v>19</v>
      </c>
      <c r="J3177" s="3" t="s">
        <v>18745</v>
      </c>
      <c r="K3177" t="s">
        <v>4718</v>
      </c>
      <c r="L3177" t="s">
        <v>1232</v>
      </c>
      <c r="M3177" t="s">
        <v>32145</v>
      </c>
    </row>
    <row r="3178" spans="1:13" x14ac:dyDescent="0.25">
      <c r="A3178" t="s">
        <v>25522</v>
      </c>
      <c r="B3178" t="s">
        <v>13</v>
      </c>
      <c r="C3178" s="1">
        <v>42713</v>
      </c>
      <c r="D3178" t="s">
        <v>25523</v>
      </c>
      <c r="E3178" t="s">
        <v>32430</v>
      </c>
      <c r="F3178" t="s">
        <v>432</v>
      </c>
      <c r="G3178" t="s">
        <v>25524</v>
      </c>
      <c r="H3178" t="s">
        <v>352</v>
      </c>
      <c r="I3178" t="s">
        <v>19</v>
      </c>
      <c r="J3178" s="3" t="s">
        <v>25525</v>
      </c>
      <c r="K3178" t="s">
        <v>25526</v>
      </c>
      <c r="L3178" t="s">
        <v>6181</v>
      </c>
      <c r="M3178" t="s">
        <v>432</v>
      </c>
    </row>
    <row r="3179" spans="1:13" x14ac:dyDescent="0.25">
      <c r="A3179" t="s">
        <v>30560</v>
      </c>
      <c r="B3179" t="s">
        <v>13</v>
      </c>
      <c r="C3179" s="1">
        <v>40733</v>
      </c>
      <c r="D3179" t="s">
        <v>30561</v>
      </c>
      <c r="E3179" t="s">
        <v>32431</v>
      </c>
      <c r="F3179" t="s">
        <v>4639</v>
      </c>
      <c r="G3179" t="s">
        <v>30562</v>
      </c>
      <c r="H3179" t="s">
        <v>28</v>
      </c>
      <c r="I3179" t="s">
        <v>19</v>
      </c>
      <c r="J3179" s="3" t="s">
        <v>30563</v>
      </c>
      <c r="K3179" t="s">
        <v>30564</v>
      </c>
      <c r="L3179" t="s">
        <v>30565</v>
      </c>
      <c r="M3179" t="s">
        <v>785</v>
      </c>
    </row>
    <row r="3180" spans="1:13" x14ac:dyDescent="0.25">
      <c r="A3180" t="s">
        <v>27603</v>
      </c>
      <c r="B3180" t="s">
        <v>13</v>
      </c>
      <c r="C3180" t="s">
        <v>27591</v>
      </c>
      <c r="D3180" t="s">
        <v>27604</v>
      </c>
      <c r="E3180" t="s">
        <v>27605</v>
      </c>
      <c r="F3180" t="s">
        <v>2036</v>
      </c>
      <c r="G3180" t="s">
        <v>22129</v>
      </c>
      <c r="H3180" t="s">
        <v>409</v>
      </c>
      <c r="I3180" t="s">
        <v>19</v>
      </c>
      <c r="J3180" s="3" t="s">
        <v>22130</v>
      </c>
      <c r="K3180" t="s">
        <v>22131</v>
      </c>
      <c r="L3180" t="s">
        <v>1823</v>
      </c>
      <c r="M3180" t="s">
        <v>57</v>
      </c>
    </row>
    <row r="3181" spans="1:13" x14ac:dyDescent="0.25">
      <c r="A3181" t="s">
        <v>13866</v>
      </c>
      <c r="B3181" t="s">
        <v>13</v>
      </c>
      <c r="C3181" t="s">
        <v>7230</v>
      </c>
      <c r="D3181" t="s">
        <v>13867</v>
      </c>
      <c r="E3181" s="2" t="s">
        <v>32432</v>
      </c>
      <c r="F3181" t="s">
        <v>2036</v>
      </c>
      <c r="G3181" t="s">
        <v>13868</v>
      </c>
      <c r="H3181" t="s">
        <v>753</v>
      </c>
      <c r="I3181" t="s">
        <v>19</v>
      </c>
      <c r="J3181" s="3">
        <f>55-67-981902100</f>
        <v>-981902112</v>
      </c>
      <c r="K3181" t="s">
        <v>13869</v>
      </c>
      <c r="L3181" t="s">
        <v>13870</v>
      </c>
      <c r="M3181" t="s">
        <v>57</v>
      </c>
    </row>
    <row r="3182" spans="1:13" x14ac:dyDescent="0.25">
      <c r="A3182" t="s">
        <v>3473</v>
      </c>
      <c r="B3182" t="s">
        <v>101</v>
      </c>
      <c r="C3182" s="1">
        <v>44567</v>
      </c>
      <c r="D3182" t="s">
        <v>3474</v>
      </c>
      <c r="E3182" s="2" t="s">
        <v>32081</v>
      </c>
      <c r="F3182" t="s">
        <v>2183</v>
      </c>
      <c r="G3182" t="s">
        <v>3475</v>
      </c>
      <c r="H3182" t="s">
        <v>36</v>
      </c>
      <c r="I3182" t="s">
        <v>19</v>
      </c>
      <c r="J3182" s="3" t="s">
        <v>3476</v>
      </c>
      <c r="K3182" t="s">
        <v>3477</v>
      </c>
      <c r="L3182" t="s">
        <v>3478</v>
      </c>
      <c r="M3182" t="s">
        <v>1775</v>
      </c>
    </row>
    <row r="3183" spans="1:13" x14ac:dyDescent="0.25">
      <c r="A3183" t="s">
        <v>19549</v>
      </c>
      <c r="B3183" t="s">
        <v>13</v>
      </c>
      <c r="C3183" t="s">
        <v>19543</v>
      </c>
      <c r="D3183" t="s">
        <v>19550</v>
      </c>
      <c r="E3183" t="s">
        <v>19551</v>
      </c>
      <c r="F3183" t="s">
        <v>1775</v>
      </c>
      <c r="G3183" t="s">
        <v>19552</v>
      </c>
      <c r="H3183" t="s">
        <v>3416</v>
      </c>
      <c r="I3183" t="s">
        <v>19</v>
      </c>
      <c r="J3183" s="3">
        <f>55-16-33016880</f>
        <v>-33016841</v>
      </c>
      <c r="K3183" t="s">
        <v>19553</v>
      </c>
      <c r="L3183" t="s">
        <v>13261</v>
      </c>
      <c r="M3183" t="s">
        <v>1775</v>
      </c>
    </row>
    <row r="3184" spans="1:13" x14ac:dyDescent="0.25">
      <c r="A3184" t="s">
        <v>1441</v>
      </c>
      <c r="B3184" t="s">
        <v>13</v>
      </c>
      <c r="C3184" s="1">
        <v>44662</v>
      </c>
      <c r="D3184" t="s">
        <v>1442</v>
      </c>
      <c r="E3184" t="s">
        <v>1443</v>
      </c>
      <c r="F3184" t="s">
        <v>1444</v>
      </c>
      <c r="G3184" t="s">
        <v>1445</v>
      </c>
      <c r="H3184" t="s">
        <v>36</v>
      </c>
      <c r="I3184" t="s">
        <v>19</v>
      </c>
      <c r="J3184" s="3">
        <v>5571999916697</v>
      </c>
      <c r="K3184" t="s">
        <v>1446</v>
      </c>
      <c r="L3184" t="s">
        <v>439</v>
      </c>
      <c r="M3184" t="s">
        <v>1775</v>
      </c>
    </row>
    <row r="3185" spans="1:13" x14ac:dyDescent="0.25">
      <c r="A3185" t="s">
        <v>9190</v>
      </c>
      <c r="B3185" t="s">
        <v>13</v>
      </c>
      <c r="C3185" t="s">
        <v>3351</v>
      </c>
      <c r="D3185" t="s">
        <v>9191</v>
      </c>
      <c r="E3185" s="2" t="s">
        <v>30972</v>
      </c>
      <c r="F3185" t="s">
        <v>6685</v>
      </c>
      <c r="G3185" t="s">
        <v>9192</v>
      </c>
      <c r="H3185" t="s">
        <v>706</v>
      </c>
      <c r="I3185" t="s">
        <v>19</v>
      </c>
      <c r="J3185" s="3" t="s">
        <v>9193</v>
      </c>
      <c r="K3185" t="s">
        <v>9194</v>
      </c>
      <c r="L3185" t="s">
        <v>1944</v>
      </c>
      <c r="M3185" t="s">
        <v>337</v>
      </c>
    </row>
    <row r="3186" spans="1:13" x14ac:dyDescent="0.25">
      <c r="A3186" t="s">
        <v>3284</v>
      </c>
      <c r="B3186" t="s">
        <v>13</v>
      </c>
      <c r="C3186" t="s">
        <v>3270</v>
      </c>
      <c r="D3186" t="s">
        <v>3285</v>
      </c>
      <c r="E3186" s="2" t="s">
        <v>30773</v>
      </c>
      <c r="F3186" t="s">
        <v>592</v>
      </c>
      <c r="G3186" t="s">
        <v>3286</v>
      </c>
      <c r="H3186" t="s">
        <v>2934</v>
      </c>
      <c r="I3186" t="s">
        <v>19</v>
      </c>
      <c r="J3186" s="3" t="s">
        <v>3287</v>
      </c>
      <c r="K3186" t="s">
        <v>3288</v>
      </c>
      <c r="L3186" t="s">
        <v>3289</v>
      </c>
      <c r="M3186" t="s">
        <v>32145</v>
      </c>
    </row>
    <row r="3187" spans="1:13" x14ac:dyDescent="0.25">
      <c r="A3187" t="s">
        <v>4146</v>
      </c>
      <c r="B3187" t="s">
        <v>101</v>
      </c>
      <c r="C3187" t="s">
        <v>4147</v>
      </c>
      <c r="D3187" t="s">
        <v>4148</v>
      </c>
      <c r="E3187" t="s">
        <v>4149</v>
      </c>
      <c r="F3187" t="s">
        <v>3280</v>
      </c>
      <c r="G3187" t="s">
        <v>1801</v>
      </c>
      <c r="H3187" t="s">
        <v>1802</v>
      </c>
      <c r="I3187" t="s">
        <v>19</v>
      </c>
      <c r="J3187" s="3">
        <f>55-14-32266113</f>
        <v>-32266072</v>
      </c>
      <c r="K3187" t="s">
        <v>2638</v>
      </c>
      <c r="L3187" t="s">
        <v>2639</v>
      </c>
      <c r="M3187" t="s">
        <v>57</v>
      </c>
    </row>
    <row r="3188" spans="1:13" x14ac:dyDescent="0.25">
      <c r="A3188" t="s">
        <v>5898</v>
      </c>
      <c r="B3188" t="s">
        <v>13</v>
      </c>
      <c r="C3188" t="s">
        <v>1660</v>
      </c>
      <c r="D3188" t="s">
        <v>32135</v>
      </c>
      <c r="E3188" t="s">
        <v>5899</v>
      </c>
      <c r="F3188" t="s">
        <v>1995</v>
      </c>
      <c r="G3188" t="s">
        <v>5900</v>
      </c>
      <c r="H3188" t="s">
        <v>706</v>
      </c>
      <c r="I3188" t="s">
        <v>19</v>
      </c>
      <c r="J3188" s="3">
        <f>55-31-987248070</f>
        <v>-987248046</v>
      </c>
      <c r="K3188" t="s">
        <v>5901</v>
      </c>
      <c r="L3188" t="s">
        <v>32135</v>
      </c>
      <c r="M3188" t="s">
        <v>785</v>
      </c>
    </row>
    <row r="3189" spans="1:13" x14ac:dyDescent="0.25">
      <c r="A3189" t="s">
        <v>6941</v>
      </c>
      <c r="B3189" t="s">
        <v>13</v>
      </c>
      <c r="C3189" s="1">
        <v>44084</v>
      </c>
      <c r="D3189" t="s">
        <v>6942</v>
      </c>
      <c r="E3189" t="s">
        <v>779</v>
      </c>
      <c r="F3189" t="s">
        <v>1464</v>
      </c>
      <c r="G3189" t="s">
        <v>4640</v>
      </c>
      <c r="H3189" t="s">
        <v>299</v>
      </c>
      <c r="I3189" t="s">
        <v>19</v>
      </c>
      <c r="J3189" s="3" t="s">
        <v>5770</v>
      </c>
      <c r="K3189" t="s">
        <v>783</v>
      </c>
      <c r="L3189" t="s">
        <v>32135</v>
      </c>
      <c r="M3189" t="s">
        <v>785</v>
      </c>
    </row>
    <row r="3190" spans="1:13" x14ac:dyDescent="0.25">
      <c r="A3190" t="s">
        <v>4637</v>
      </c>
      <c r="B3190" t="s">
        <v>13</v>
      </c>
      <c r="C3190" t="s">
        <v>4625</v>
      </c>
      <c r="D3190" t="s">
        <v>4638</v>
      </c>
      <c r="E3190" t="s">
        <v>779</v>
      </c>
      <c r="F3190" t="s">
        <v>4639</v>
      </c>
      <c r="G3190" t="s">
        <v>4640</v>
      </c>
      <c r="H3190" t="s">
        <v>299</v>
      </c>
      <c r="I3190" t="s">
        <v>19</v>
      </c>
      <c r="J3190" s="3">
        <f>55-14-99671-5656</f>
        <v>-105286</v>
      </c>
      <c r="K3190" t="s">
        <v>783</v>
      </c>
      <c r="L3190" t="s">
        <v>4641</v>
      </c>
      <c r="M3190" t="s">
        <v>785</v>
      </c>
    </row>
    <row r="3191" spans="1:13" x14ac:dyDescent="0.25">
      <c r="A3191" t="s">
        <v>5025</v>
      </c>
      <c r="B3191" t="s">
        <v>13</v>
      </c>
      <c r="C3191" t="s">
        <v>5026</v>
      </c>
      <c r="D3191" t="s">
        <v>5027</v>
      </c>
      <c r="E3191" t="s">
        <v>779</v>
      </c>
      <c r="F3191" t="s">
        <v>4639</v>
      </c>
      <c r="G3191" t="s">
        <v>5028</v>
      </c>
      <c r="H3191" t="s">
        <v>299</v>
      </c>
      <c r="I3191" t="s">
        <v>19</v>
      </c>
      <c r="J3191" s="3">
        <v>551438134727</v>
      </c>
      <c r="K3191" t="s">
        <v>783</v>
      </c>
      <c r="L3191" t="s">
        <v>32135</v>
      </c>
      <c r="M3191" t="s">
        <v>785</v>
      </c>
    </row>
    <row r="3192" spans="1:13" x14ac:dyDescent="0.25">
      <c r="A3192" t="s">
        <v>5769</v>
      </c>
      <c r="B3192" t="s">
        <v>13</v>
      </c>
      <c r="C3192" s="1">
        <v>44327</v>
      </c>
      <c r="D3192" t="s">
        <v>32135</v>
      </c>
      <c r="E3192" t="s">
        <v>779</v>
      </c>
      <c r="F3192" t="s">
        <v>4639</v>
      </c>
      <c r="G3192" t="s">
        <v>4640</v>
      </c>
      <c r="H3192" t="s">
        <v>299</v>
      </c>
      <c r="I3192" t="s">
        <v>19</v>
      </c>
      <c r="J3192" s="3" t="s">
        <v>5770</v>
      </c>
      <c r="K3192" t="s">
        <v>783</v>
      </c>
      <c r="L3192" t="s">
        <v>32135</v>
      </c>
      <c r="M3192" t="s">
        <v>785</v>
      </c>
    </row>
    <row r="3193" spans="1:13" x14ac:dyDescent="0.25">
      <c r="A3193" t="s">
        <v>776</v>
      </c>
      <c r="B3193" t="s">
        <v>13</v>
      </c>
      <c r="C3193" t="s">
        <v>777</v>
      </c>
      <c r="D3193" t="s">
        <v>778</v>
      </c>
      <c r="E3193" t="s">
        <v>779</v>
      </c>
      <c r="F3193" t="s">
        <v>780</v>
      </c>
      <c r="G3193" t="s">
        <v>781</v>
      </c>
      <c r="H3193" t="s">
        <v>299</v>
      </c>
      <c r="I3193" t="s">
        <v>19</v>
      </c>
      <c r="J3193" s="3" t="s">
        <v>782</v>
      </c>
      <c r="K3193" t="s">
        <v>783</v>
      </c>
      <c r="L3193" t="s">
        <v>784</v>
      </c>
      <c r="M3193" t="s">
        <v>785</v>
      </c>
    </row>
    <row r="3194" spans="1:13" x14ac:dyDescent="0.25">
      <c r="A3194" t="s">
        <v>28010</v>
      </c>
      <c r="B3194" t="s">
        <v>13</v>
      </c>
      <c r="C3194" s="1">
        <v>42253</v>
      </c>
      <c r="D3194" t="s">
        <v>28011</v>
      </c>
      <c r="E3194" t="s">
        <v>28012</v>
      </c>
      <c r="F3194" t="s">
        <v>785</v>
      </c>
      <c r="G3194" t="s">
        <v>19182</v>
      </c>
      <c r="H3194" t="s">
        <v>2305</v>
      </c>
      <c r="I3194" t="s">
        <v>19</v>
      </c>
      <c r="J3194" s="3" t="s">
        <v>28013</v>
      </c>
      <c r="K3194" t="s">
        <v>2790</v>
      </c>
      <c r="L3194" t="s">
        <v>28014</v>
      </c>
      <c r="M3194" t="s">
        <v>785</v>
      </c>
    </row>
    <row r="3195" spans="1:13" x14ac:dyDescent="0.25">
      <c r="A3195" t="s">
        <v>25173</v>
      </c>
      <c r="B3195" t="s">
        <v>13</v>
      </c>
      <c r="C3195" s="1">
        <v>42562</v>
      </c>
      <c r="D3195" t="s">
        <v>25174</v>
      </c>
      <c r="E3195" t="s">
        <v>25175</v>
      </c>
      <c r="F3195" t="s">
        <v>117</v>
      </c>
      <c r="G3195" t="s">
        <v>25176</v>
      </c>
      <c r="H3195" t="s">
        <v>428</v>
      </c>
      <c r="I3195" t="s">
        <v>19</v>
      </c>
      <c r="J3195" s="3">
        <v>555133597621</v>
      </c>
      <c r="K3195" t="s">
        <v>25177</v>
      </c>
      <c r="L3195" t="s">
        <v>1295</v>
      </c>
      <c r="M3195" t="s">
        <v>32145</v>
      </c>
    </row>
    <row r="3196" spans="1:13" x14ac:dyDescent="0.25">
      <c r="A3196" t="s">
        <v>8850</v>
      </c>
      <c r="B3196" t="s">
        <v>13</v>
      </c>
      <c r="C3196" t="s">
        <v>8834</v>
      </c>
      <c r="D3196" t="s">
        <v>8851</v>
      </c>
      <c r="E3196" s="2" t="s">
        <v>30961</v>
      </c>
      <c r="F3196" t="s">
        <v>8852</v>
      </c>
      <c r="G3196" t="s">
        <v>8853</v>
      </c>
      <c r="H3196" t="s">
        <v>7753</v>
      </c>
      <c r="I3196" t="s">
        <v>19</v>
      </c>
      <c r="J3196" s="3">
        <v>5554996455343</v>
      </c>
      <c r="K3196" t="s">
        <v>8854</v>
      </c>
      <c r="L3196" t="s">
        <v>8853</v>
      </c>
      <c r="M3196" t="s">
        <v>224</v>
      </c>
    </row>
    <row r="3197" spans="1:13" x14ac:dyDescent="0.25">
      <c r="A3197" t="s">
        <v>19989</v>
      </c>
      <c r="B3197" t="s">
        <v>13</v>
      </c>
      <c r="C3197" t="s">
        <v>5016</v>
      </c>
      <c r="D3197" t="s">
        <v>19990</v>
      </c>
      <c r="E3197" t="s">
        <v>32433</v>
      </c>
      <c r="F3197" t="s">
        <v>1775</v>
      </c>
      <c r="G3197" t="s">
        <v>19991</v>
      </c>
      <c r="H3197" t="s">
        <v>352</v>
      </c>
      <c r="I3197" t="s">
        <v>19</v>
      </c>
      <c r="J3197" s="3">
        <f>55-21-22707064</f>
        <v>-22707030</v>
      </c>
      <c r="K3197" t="s">
        <v>19992</v>
      </c>
      <c r="L3197" t="s">
        <v>19993</v>
      </c>
      <c r="M3197" t="s">
        <v>1775</v>
      </c>
    </row>
    <row r="3198" spans="1:13" x14ac:dyDescent="0.25">
      <c r="A3198" t="s">
        <v>15641</v>
      </c>
      <c r="B3198" t="s">
        <v>13</v>
      </c>
      <c r="C3198" s="1">
        <v>43718</v>
      </c>
      <c r="D3198" t="s">
        <v>15642</v>
      </c>
      <c r="E3198" s="2" t="s">
        <v>31135</v>
      </c>
      <c r="F3198" t="s">
        <v>2036</v>
      </c>
      <c r="G3198" t="s">
        <v>15643</v>
      </c>
      <c r="H3198" t="s">
        <v>352</v>
      </c>
      <c r="I3198" t="s">
        <v>19</v>
      </c>
      <c r="J3198" s="3" t="s">
        <v>15644</v>
      </c>
      <c r="K3198" t="s">
        <v>15645</v>
      </c>
      <c r="L3198" t="s">
        <v>15643</v>
      </c>
      <c r="M3198" t="s">
        <v>57</v>
      </c>
    </row>
    <row r="3199" spans="1:13" x14ac:dyDescent="0.25">
      <c r="A3199" t="s">
        <v>10543</v>
      </c>
      <c r="B3199" t="s">
        <v>13</v>
      </c>
      <c r="C3199" s="1">
        <v>44020</v>
      </c>
      <c r="D3199" t="s">
        <v>10544</v>
      </c>
      <c r="E3199" t="s">
        <v>10545</v>
      </c>
      <c r="F3199" t="s">
        <v>10546</v>
      </c>
      <c r="G3199" t="s">
        <v>10547</v>
      </c>
      <c r="H3199" t="s">
        <v>28</v>
      </c>
      <c r="I3199" t="s">
        <v>19</v>
      </c>
      <c r="J3199" s="3">
        <f>55-32-988551973</f>
        <v>-988551950</v>
      </c>
      <c r="K3199" t="s">
        <v>10548</v>
      </c>
      <c r="L3199" t="s">
        <v>10549</v>
      </c>
      <c r="M3199" t="s">
        <v>1775</v>
      </c>
    </row>
    <row r="3200" spans="1:13" x14ac:dyDescent="0.25">
      <c r="A3200" t="s">
        <v>23122</v>
      </c>
      <c r="B3200" t="s">
        <v>13</v>
      </c>
      <c r="C3200" t="s">
        <v>18410</v>
      </c>
      <c r="D3200" t="s">
        <v>23123</v>
      </c>
      <c r="E3200" s="2" t="s">
        <v>31324</v>
      </c>
      <c r="F3200" t="s">
        <v>11031</v>
      </c>
      <c r="G3200" t="s">
        <v>23124</v>
      </c>
      <c r="H3200" t="s">
        <v>1229</v>
      </c>
      <c r="I3200" t="s">
        <v>19</v>
      </c>
      <c r="J3200" s="3">
        <v>5522992168537</v>
      </c>
      <c r="K3200" t="s">
        <v>23125</v>
      </c>
      <c r="L3200" t="s">
        <v>23126</v>
      </c>
      <c r="M3200" t="s">
        <v>741</v>
      </c>
    </row>
    <row r="3201" spans="1:13" x14ac:dyDescent="0.25">
      <c r="A3201" t="s">
        <v>23228</v>
      </c>
      <c r="B3201" t="s">
        <v>13</v>
      </c>
      <c r="C3201" t="s">
        <v>12593</v>
      </c>
      <c r="D3201" t="s">
        <v>23229</v>
      </c>
      <c r="E3201" s="2" t="s">
        <v>31581</v>
      </c>
      <c r="F3201" t="s">
        <v>2947</v>
      </c>
      <c r="G3201" t="s">
        <v>23230</v>
      </c>
      <c r="H3201" t="s">
        <v>5279</v>
      </c>
      <c r="I3201" t="s">
        <v>19</v>
      </c>
      <c r="J3201" s="3" t="s">
        <v>23231</v>
      </c>
      <c r="K3201" t="s">
        <v>23232</v>
      </c>
      <c r="L3201" t="s">
        <v>23233</v>
      </c>
      <c r="M3201" t="s">
        <v>771</v>
      </c>
    </row>
    <row r="3202" spans="1:13" x14ac:dyDescent="0.25">
      <c r="A3202" t="s">
        <v>23135</v>
      </c>
      <c r="B3202" t="s">
        <v>101</v>
      </c>
      <c r="C3202" t="s">
        <v>22833</v>
      </c>
      <c r="D3202" t="s">
        <v>23136</v>
      </c>
      <c r="E3202" t="s">
        <v>23137</v>
      </c>
      <c r="F3202" t="s">
        <v>6485</v>
      </c>
      <c r="G3202" t="s">
        <v>14668</v>
      </c>
      <c r="H3202" t="s">
        <v>265</v>
      </c>
      <c r="I3202" t="s">
        <v>19</v>
      </c>
      <c r="J3202" s="3" t="s">
        <v>23138</v>
      </c>
      <c r="K3202" t="s">
        <v>14670</v>
      </c>
      <c r="L3202" t="s">
        <v>3558</v>
      </c>
      <c r="M3202" t="s">
        <v>741</v>
      </c>
    </row>
    <row r="3203" spans="1:13" x14ac:dyDescent="0.25">
      <c r="A3203" t="s">
        <v>13891</v>
      </c>
      <c r="B3203" t="s">
        <v>13</v>
      </c>
      <c r="C3203" t="s">
        <v>7230</v>
      </c>
      <c r="D3203" t="s">
        <v>13892</v>
      </c>
      <c r="E3203" t="s">
        <v>13893</v>
      </c>
      <c r="F3203" t="s">
        <v>792</v>
      </c>
      <c r="G3203" t="s">
        <v>13894</v>
      </c>
      <c r="H3203" t="s">
        <v>1781</v>
      </c>
      <c r="I3203" t="s">
        <v>19</v>
      </c>
      <c r="J3203" s="3">
        <v>5541991982888</v>
      </c>
      <c r="K3203" t="s">
        <v>13895</v>
      </c>
      <c r="L3203" t="s">
        <v>12552</v>
      </c>
      <c r="M3203" t="s">
        <v>792</v>
      </c>
    </row>
    <row r="3204" spans="1:13" x14ac:dyDescent="0.25">
      <c r="A3204" t="s">
        <v>27175</v>
      </c>
      <c r="B3204" t="s">
        <v>13</v>
      </c>
      <c r="C3204" s="1">
        <v>41861</v>
      </c>
      <c r="D3204" t="s">
        <v>27176</v>
      </c>
      <c r="E3204" t="s">
        <v>27177</v>
      </c>
      <c r="F3204" t="s">
        <v>1464</v>
      </c>
      <c r="G3204" t="s">
        <v>13008</v>
      </c>
      <c r="H3204" t="s">
        <v>265</v>
      </c>
      <c r="I3204" t="s">
        <v>19</v>
      </c>
      <c r="J3204" s="3" t="s">
        <v>27178</v>
      </c>
      <c r="K3204" t="s">
        <v>13010</v>
      </c>
      <c r="L3204" t="s">
        <v>27179</v>
      </c>
      <c r="M3204" t="s">
        <v>792</v>
      </c>
    </row>
    <row r="3205" spans="1:13" x14ac:dyDescent="0.25">
      <c r="A3205" t="s">
        <v>5349</v>
      </c>
      <c r="B3205" t="s">
        <v>13</v>
      </c>
      <c r="C3205" s="1">
        <v>44481</v>
      </c>
      <c r="D3205" t="s">
        <v>5350</v>
      </c>
      <c r="E3205" s="2" t="s">
        <v>30844</v>
      </c>
      <c r="F3205" t="s">
        <v>5351</v>
      </c>
      <c r="G3205" t="s">
        <v>5352</v>
      </c>
      <c r="H3205" t="s">
        <v>45</v>
      </c>
      <c r="I3205" t="s">
        <v>19</v>
      </c>
      <c r="J3205" s="3" t="s">
        <v>5353</v>
      </c>
      <c r="K3205" t="s">
        <v>5354</v>
      </c>
      <c r="L3205" t="s">
        <v>32135</v>
      </c>
      <c r="M3205" t="s">
        <v>129</v>
      </c>
    </row>
    <row r="3206" spans="1:13" x14ac:dyDescent="0.25">
      <c r="A3206" t="s">
        <v>20770</v>
      </c>
      <c r="B3206" t="s">
        <v>13</v>
      </c>
      <c r="C3206" s="1">
        <v>43166</v>
      </c>
      <c r="D3206" t="s">
        <v>20771</v>
      </c>
      <c r="E3206" t="s">
        <v>20772</v>
      </c>
      <c r="F3206" t="s">
        <v>1464</v>
      </c>
      <c r="G3206" t="s">
        <v>18426</v>
      </c>
      <c r="H3206" t="s">
        <v>503</v>
      </c>
      <c r="I3206" t="s">
        <v>19</v>
      </c>
      <c r="J3206" s="3" t="s">
        <v>9848</v>
      </c>
      <c r="K3206" t="s">
        <v>18428</v>
      </c>
      <c r="L3206" t="s">
        <v>412</v>
      </c>
      <c r="M3206" t="s">
        <v>57</v>
      </c>
    </row>
    <row r="3207" spans="1:13" x14ac:dyDescent="0.25">
      <c r="A3207" t="s">
        <v>14465</v>
      </c>
      <c r="B3207" t="s">
        <v>13</v>
      </c>
      <c r="C3207" t="s">
        <v>14435</v>
      </c>
      <c r="D3207" t="s">
        <v>14466</v>
      </c>
      <c r="E3207" t="s">
        <v>32434</v>
      </c>
      <c r="F3207" t="s">
        <v>1775</v>
      </c>
      <c r="G3207" t="s">
        <v>14467</v>
      </c>
      <c r="H3207" t="s">
        <v>36</v>
      </c>
      <c r="I3207" t="s">
        <v>19</v>
      </c>
      <c r="J3207" s="3" t="s">
        <v>14468</v>
      </c>
      <c r="K3207" t="s">
        <v>14469</v>
      </c>
      <c r="L3207" t="s">
        <v>439</v>
      </c>
      <c r="M3207" t="s">
        <v>224</v>
      </c>
    </row>
    <row r="3208" spans="1:13" x14ac:dyDescent="0.25">
      <c r="A3208" t="s">
        <v>28967</v>
      </c>
      <c r="B3208" t="s">
        <v>13</v>
      </c>
      <c r="C3208" t="s">
        <v>28968</v>
      </c>
      <c r="D3208" t="s">
        <v>28969</v>
      </c>
      <c r="E3208" t="s">
        <v>28970</v>
      </c>
      <c r="F3208" t="s">
        <v>14873</v>
      </c>
      <c r="G3208" t="s">
        <v>22762</v>
      </c>
      <c r="H3208" t="s">
        <v>1215</v>
      </c>
      <c r="I3208" t="s">
        <v>19</v>
      </c>
      <c r="J3208" s="3" t="s">
        <v>28971</v>
      </c>
      <c r="K3208" t="s">
        <v>22763</v>
      </c>
      <c r="L3208" t="s">
        <v>3441</v>
      </c>
      <c r="M3208" t="s">
        <v>129</v>
      </c>
    </row>
    <row r="3209" spans="1:13" x14ac:dyDescent="0.25">
      <c r="A3209" t="s">
        <v>14870</v>
      </c>
      <c r="B3209" t="s">
        <v>13</v>
      </c>
      <c r="C3209" s="1">
        <v>42464</v>
      </c>
      <c r="D3209" t="s">
        <v>14871</v>
      </c>
      <c r="E3209" t="s">
        <v>14872</v>
      </c>
      <c r="F3209" t="s">
        <v>14873</v>
      </c>
      <c r="G3209" t="s">
        <v>14874</v>
      </c>
      <c r="H3209" t="s">
        <v>36</v>
      </c>
      <c r="I3209" t="s">
        <v>19</v>
      </c>
      <c r="J3209" s="3" t="s">
        <v>14875</v>
      </c>
      <c r="K3209" t="s">
        <v>10052</v>
      </c>
      <c r="L3209" t="s">
        <v>14876</v>
      </c>
      <c r="M3209" t="s">
        <v>129</v>
      </c>
    </row>
    <row r="3210" spans="1:13" x14ac:dyDescent="0.25">
      <c r="A3210" t="s">
        <v>13491</v>
      </c>
      <c r="B3210" t="s">
        <v>13</v>
      </c>
      <c r="C3210" t="s">
        <v>13492</v>
      </c>
      <c r="D3210" t="s">
        <v>13493</v>
      </c>
      <c r="E3210" s="2" t="s">
        <v>31816</v>
      </c>
      <c r="F3210" t="s">
        <v>129</v>
      </c>
      <c r="G3210" t="s">
        <v>13494</v>
      </c>
      <c r="H3210" t="s">
        <v>18</v>
      </c>
      <c r="I3210" t="s">
        <v>19</v>
      </c>
      <c r="J3210" s="3" t="s">
        <v>13495</v>
      </c>
      <c r="K3210" t="s">
        <v>13496</v>
      </c>
      <c r="L3210" t="s">
        <v>13497</v>
      </c>
      <c r="M3210" t="s">
        <v>129</v>
      </c>
    </row>
    <row r="3211" spans="1:13" x14ac:dyDescent="0.25">
      <c r="A3211" t="s">
        <v>25320</v>
      </c>
      <c r="B3211" t="s">
        <v>13</v>
      </c>
      <c r="C3211" t="s">
        <v>25318</v>
      </c>
      <c r="D3211" t="s">
        <v>25321</v>
      </c>
      <c r="E3211" t="s">
        <v>25322</v>
      </c>
      <c r="F3211" t="s">
        <v>9519</v>
      </c>
      <c r="G3211" t="s">
        <v>25323</v>
      </c>
      <c r="H3211" t="s">
        <v>18</v>
      </c>
      <c r="I3211" t="s">
        <v>19</v>
      </c>
      <c r="J3211" s="3" t="s">
        <v>25324</v>
      </c>
      <c r="K3211" t="s">
        <v>25325</v>
      </c>
      <c r="L3211" t="s">
        <v>285</v>
      </c>
      <c r="M3211" t="s">
        <v>32145</v>
      </c>
    </row>
    <row r="3212" spans="1:13" x14ac:dyDescent="0.25">
      <c r="A3212" t="s">
        <v>24112</v>
      </c>
      <c r="B3212" t="s">
        <v>13</v>
      </c>
      <c r="C3212" t="s">
        <v>24102</v>
      </c>
      <c r="D3212" t="s">
        <v>24113</v>
      </c>
      <c r="E3212" t="s">
        <v>24114</v>
      </c>
      <c r="F3212" t="s">
        <v>1464</v>
      </c>
      <c r="G3212" t="s">
        <v>24115</v>
      </c>
      <c r="H3212" t="s">
        <v>927</v>
      </c>
      <c r="I3212" t="s">
        <v>19</v>
      </c>
      <c r="J3212" s="3" t="s">
        <v>24116</v>
      </c>
      <c r="K3212" t="s">
        <v>24117</v>
      </c>
      <c r="L3212" t="s">
        <v>439</v>
      </c>
      <c r="M3212" t="s">
        <v>57</v>
      </c>
    </row>
    <row r="3213" spans="1:13" x14ac:dyDescent="0.25">
      <c r="A3213" t="s">
        <v>8465</v>
      </c>
      <c r="B3213" t="s">
        <v>13</v>
      </c>
      <c r="C3213" s="1">
        <v>43103</v>
      </c>
      <c r="D3213" t="s">
        <v>8466</v>
      </c>
      <c r="E3213" t="s">
        <v>8467</v>
      </c>
      <c r="F3213" t="s">
        <v>129</v>
      </c>
      <c r="G3213" t="s">
        <v>8468</v>
      </c>
      <c r="H3213" t="s">
        <v>753</v>
      </c>
      <c r="I3213" t="s">
        <v>19</v>
      </c>
      <c r="J3213" s="3" t="s">
        <v>8469</v>
      </c>
      <c r="K3213" t="s">
        <v>8470</v>
      </c>
      <c r="L3213" t="s">
        <v>2762</v>
      </c>
      <c r="M3213" t="s">
        <v>129</v>
      </c>
    </row>
    <row r="3214" spans="1:13" x14ac:dyDescent="0.25">
      <c r="A3214" t="s">
        <v>5788</v>
      </c>
      <c r="B3214" t="s">
        <v>13</v>
      </c>
      <c r="C3214" s="1">
        <v>44266</v>
      </c>
      <c r="D3214" t="s">
        <v>32135</v>
      </c>
      <c r="E3214" t="s">
        <v>5789</v>
      </c>
      <c r="F3214" t="s">
        <v>5790</v>
      </c>
      <c r="G3214" t="s">
        <v>5791</v>
      </c>
      <c r="H3214" t="s">
        <v>18</v>
      </c>
      <c r="I3214" t="s">
        <v>19</v>
      </c>
      <c r="J3214" s="3">
        <f>55-19-971140236</f>
        <v>-971140200</v>
      </c>
      <c r="K3214" t="s">
        <v>5792</v>
      </c>
      <c r="L3214" t="s">
        <v>32135</v>
      </c>
      <c r="M3214" t="s">
        <v>129</v>
      </c>
    </row>
    <row r="3215" spans="1:13" x14ac:dyDescent="0.25">
      <c r="A3215" t="s">
        <v>1987</v>
      </c>
      <c r="B3215" t="s">
        <v>13</v>
      </c>
      <c r="C3215" t="s">
        <v>1980</v>
      </c>
      <c r="D3215" t="s">
        <v>32135</v>
      </c>
      <c r="E3215" t="s">
        <v>1988</v>
      </c>
      <c r="F3215" t="s">
        <v>1988</v>
      </c>
      <c r="G3215" t="s">
        <v>1989</v>
      </c>
      <c r="H3215" t="s">
        <v>195</v>
      </c>
      <c r="I3215" t="s">
        <v>19</v>
      </c>
      <c r="J3215" t="s">
        <v>1990</v>
      </c>
      <c r="K3215" s="3" t="s">
        <v>1991</v>
      </c>
      <c r="L3215" t="s">
        <v>197</v>
      </c>
      <c r="M3215" t="s">
        <v>57</v>
      </c>
    </row>
    <row r="3216" spans="1:13" x14ac:dyDescent="0.25">
      <c r="A3216" t="s">
        <v>18063</v>
      </c>
      <c r="B3216" t="s">
        <v>13</v>
      </c>
      <c r="C3216" t="s">
        <v>18064</v>
      </c>
      <c r="D3216" t="s">
        <v>18065</v>
      </c>
      <c r="E3216" t="s">
        <v>18066</v>
      </c>
      <c r="F3216" t="s">
        <v>1464</v>
      </c>
      <c r="G3216" t="s">
        <v>18067</v>
      </c>
      <c r="H3216" t="s">
        <v>195</v>
      </c>
      <c r="I3216" t="s">
        <v>19</v>
      </c>
      <c r="J3216" s="3">
        <f>55-163351-8301</f>
        <v>-171597</v>
      </c>
      <c r="K3216" t="s">
        <v>18068</v>
      </c>
      <c r="L3216" t="s">
        <v>4363</v>
      </c>
      <c r="M3216" t="s">
        <v>129</v>
      </c>
    </row>
    <row r="3217" spans="1:13" x14ac:dyDescent="0.25">
      <c r="A3217" t="s">
        <v>21443</v>
      </c>
      <c r="B3217" t="s">
        <v>13</v>
      </c>
      <c r="C3217" t="s">
        <v>9807</v>
      </c>
      <c r="D3217" t="s">
        <v>21444</v>
      </c>
      <c r="E3217" t="s">
        <v>21445</v>
      </c>
      <c r="F3217" t="s">
        <v>8193</v>
      </c>
      <c r="G3217" t="s">
        <v>21446</v>
      </c>
      <c r="H3217" t="s">
        <v>36</v>
      </c>
      <c r="I3217" t="s">
        <v>19</v>
      </c>
      <c r="J3217" s="3">
        <v>55011999651084</v>
      </c>
      <c r="K3217" t="s">
        <v>205</v>
      </c>
      <c r="L3217" t="s">
        <v>18295</v>
      </c>
      <c r="M3217" t="s">
        <v>129</v>
      </c>
    </row>
    <row r="3218" spans="1:13" x14ac:dyDescent="0.25">
      <c r="A3218" t="s">
        <v>17319</v>
      </c>
      <c r="B3218" t="s">
        <v>13</v>
      </c>
      <c r="C3218" s="1">
        <v>43591</v>
      </c>
      <c r="D3218" t="s">
        <v>17320</v>
      </c>
      <c r="E3218" t="s">
        <v>17321</v>
      </c>
      <c r="F3218" t="s">
        <v>1464</v>
      </c>
      <c r="G3218" t="s">
        <v>17322</v>
      </c>
      <c r="H3218" t="s">
        <v>17323</v>
      </c>
      <c r="I3218" t="s">
        <v>19</v>
      </c>
      <c r="J3218" s="3">
        <f>55-86-998013962</f>
        <v>-998013993</v>
      </c>
      <c r="K3218" t="s">
        <v>17324</v>
      </c>
      <c r="L3218" t="s">
        <v>17325</v>
      </c>
      <c r="M3218" t="s">
        <v>129</v>
      </c>
    </row>
    <row r="3219" spans="1:13" x14ac:dyDescent="0.25">
      <c r="A3219" t="s">
        <v>7837</v>
      </c>
      <c r="B3219" t="s">
        <v>13</v>
      </c>
      <c r="C3219" t="s">
        <v>7838</v>
      </c>
      <c r="D3219" t="s">
        <v>7839</v>
      </c>
      <c r="E3219" t="s">
        <v>32435</v>
      </c>
      <c r="F3219" t="s">
        <v>3084</v>
      </c>
      <c r="G3219" t="s">
        <v>7840</v>
      </c>
      <c r="H3219" t="s">
        <v>36</v>
      </c>
      <c r="I3219" t="s">
        <v>19</v>
      </c>
      <c r="J3219" s="3" t="s">
        <v>7841</v>
      </c>
      <c r="K3219" t="s">
        <v>7842</v>
      </c>
      <c r="L3219" t="s">
        <v>7843</v>
      </c>
      <c r="M3219" t="s">
        <v>32144</v>
      </c>
    </row>
    <row r="3220" spans="1:13" x14ac:dyDescent="0.25">
      <c r="A3220" t="s">
        <v>3079</v>
      </c>
      <c r="B3220" t="s">
        <v>13</v>
      </c>
      <c r="C3220" s="1">
        <v>44780</v>
      </c>
      <c r="D3220" t="s">
        <v>32135</v>
      </c>
      <c r="E3220" t="s">
        <v>32436</v>
      </c>
      <c r="F3220" t="s">
        <v>3084</v>
      </c>
      <c r="G3220" t="s">
        <v>3080</v>
      </c>
      <c r="H3220" t="s">
        <v>36</v>
      </c>
      <c r="I3220" t="s">
        <v>19</v>
      </c>
      <c r="J3220" s="3" t="s">
        <v>3081</v>
      </c>
      <c r="K3220" t="s">
        <v>3082</v>
      </c>
      <c r="L3220" t="s">
        <v>3083</v>
      </c>
      <c r="M3220" t="s">
        <v>32144</v>
      </c>
    </row>
    <row r="3221" spans="1:13" x14ac:dyDescent="0.25">
      <c r="A3221" t="s">
        <v>22852</v>
      </c>
      <c r="B3221" t="s">
        <v>13</v>
      </c>
      <c r="C3221" s="1">
        <v>43051</v>
      </c>
      <c r="D3221" t="s">
        <v>22853</v>
      </c>
      <c r="E3221" t="s">
        <v>32437</v>
      </c>
      <c r="F3221" t="s">
        <v>6072</v>
      </c>
      <c r="G3221" t="s">
        <v>22854</v>
      </c>
      <c r="H3221" t="s">
        <v>7504</v>
      </c>
      <c r="I3221" t="s">
        <v>19</v>
      </c>
      <c r="J3221" s="3">
        <v>55014996597350</v>
      </c>
      <c r="K3221" t="s">
        <v>22855</v>
      </c>
      <c r="L3221" t="s">
        <v>22856</v>
      </c>
      <c r="M3221" t="s">
        <v>32144</v>
      </c>
    </row>
    <row r="3222" spans="1:13" x14ac:dyDescent="0.25">
      <c r="A3222" t="s">
        <v>19035</v>
      </c>
      <c r="B3222" t="s">
        <v>13</v>
      </c>
      <c r="C3222" s="1">
        <v>43354</v>
      </c>
      <c r="D3222" t="s">
        <v>19036</v>
      </c>
      <c r="E3222" s="2" t="s">
        <v>32438</v>
      </c>
      <c r="F3222" t="s">
        <v>2242</v>
      </c>
      <c r="G3222" t="s">
        <v>19037</v>
      </c>
      <c r="H3222" t="s">
        <v>372</v>
      </c>
      <c r="I3222" t="s">
        <v>19</v>
      </c>
      <c r="J3222" s="3">
        <f>55 - 11 - 945159859</f>
        <v>-945159815</v>
      </c>
      <c r="K3222" t="s">
        <v>19038</v>
      </c>
      <c r="L3222" t="s">
        <v>2052</v>
      </c>
      <c r="M3222" t="s">
        <v>337</v>
      </c>
    </row>
    <row r="3223" spans="1:13" x14ac:dyDescent="0.25">
      <c r="A3223" t="s">
        <v>7127</v>
      </c>
      <c r="B3223" t="s">
        <v>13</v>
      </c>
      <c r="C3223" s="1">
        <v>43652</v>
      </c>
      <c r="D3223" t="s">
        <v>7128</v>
      </c>
      <c r="E3223" t="s">
        <v>32439</v>
      </c>
      <c r="F3223" t="s">
        <v>3084</v>
      </c>
      <c r="G3223" t="s">
        <v>7129</v>
      </c>
      <c r="H3223" t="s">
        <v>798</v>
      </c>
      <c r="I3223" t="s">
        <v>19</v>
      </c>
      <c r="J3223" s="3">
        <v>5561981892484</v>
      </c>
      <c r="K3223" t="s">
        <v>7130</v>
      </c>
      <c r="L3223" t="s">
        <v>7131</v>
      </c>
      <c r="M3223" t="s">
        <v>32144</v>
      </c>
    </row>
    <row r="3224" spans="1:13" x14ac:dyDescent="0.25">
      <c r="A3224" t="s">
        <v>20147</v>
      </c>
      <c r="B3224" t="s">
        <v>13</v>
      </c>
      <c r="C3224" s="1">
        <v>43259</v>
      </c>
      <c r="D3224" t="s">
        <v>20148</v>
      </c>
      <c r="E3224" t="s">
        <v>32440</v>
      </c>
      <c r="F3224" t="s">
        <v>3084</v>
      </c>
      <c r="G3224" t="s">
        <v>20149</v>
      </c>
      <c r="H3224" t="s">
        <v>936</v>
      </c>
      <c r="I3224" t="s">
        <v>19</v>
      </c>
      <c r="J3224" s="3">
        <f>55-7133745962</f>
        <v>-7133745907</v>
      </c>
      <c r="K3224" t="s">
        <v>20150</v>
      </c>
      <c r="L3224" t="s">
        <v>20151</v>
      </c>
      <c r="M3224" t="s">
        <v>32144</v>
      </c>
    </row>
    <row r="3225" spans="1:13" x14ac:dyDescent="0.25">
      <c r="A3225" t="s">
        <v>26075</v>
      </c>
      <c r="B3225" t="s">
        <v>13</v>
      </c>
      <c r="C3225" t="s">
        <v>25376</v>
      </c>
      <c r="D3225" t="s">
        <v>26076</v>
      </c>
      <c r="E3225" t="s">
        <v>32441</v>
      </c>
      <c r="F3225" t="s">
        <v>6072</v>
      </c>
      <c r="G3225" t="s">
        <v>21507</v>
      </c>
      <c r="H3225" t="s">
        <v>28</v>
      </c>
      <c r="I3225" t="s">
        <v>19</v>
      </c>
      <c r="J3225" s="3" t="s">
        <v>26077</v>
      </c>
      <c r="K3225" t="s">
        <v>21509</v>
      </c>
      <c r="L3225" t="s">
        <v>26078</v>
      </c>
      <c r="M3225" t="s">
        <v>32144</v>
      </c>
    </row>
    <row r="3226" spans="1:13" x14ac:dyDescent="0.25">
      <c r="A3226" t="s">
        <v>28633</v>
      </c>
      <c r="B3226" t="s">
        <v>13</v>
      </c>
      <c r="C3226" s="1">
        <v>42157</v>
      </c>
      <c r="D3226" t="s">
        <v>28634</v>
      </c>
      <c r="E3226" t="s">
        <v>32442</v>
      </c>
      <c r="F3226" t="s">
        <v>3084</v>
      </c>
      <c r="G3226" t="s">
        <v>3080</v>
      </c>
      <c r="H3226" t="s">
        <v>36</v>
      </c>
      <c r="I3226" t="s">
        <v>19</v>
      </c>
      <c r="J3226" s="3" t="s">
        <v>17518</v>
      </c>
      <c r="K3226" t="s">
        <v>3082</v>
      </c>
      <c r="L3226" t="s">
        <v>3083</v>
      </c>
      <c r="M3226" t="s">
        <v>32144</v>
      </c>
    </row>
    <row r="3227" spans="1:13" x14ac:dyDescent="0.25">
      <c r="A3227" t="s">
        <v>28635</v>
      </c>
      <c r="B3227" t="s">
        <v>13</v>
      </c>
      <c r="C3227" s="1">
        <v>42157</v>
      </c>
      <c r="D3227" t="s">
        <v>28636</v>
      </c>
      <c r="E3227" t="s">
        <v>32442</v>
      </c>
      <c r="F3227" t="s">
        <v>3084</v>
      </c>
      <c r="G3227" t="s">
        <v>3080</v>
      </c>
      <c r="H3227" t="s">
        <v>36</v>
      </c>
      <c r="I3227" t="s">
        <v>19</v>
      </c>
      <c r="J3227" s="3" t="s">
        <v>17518</v>
      </c>
      <c r="K3227" t="s">
        <v>3082</v>
      </c>
      <c r="L3227" t="s">
        <v>3083</v>
      </c>
      <c r="M3227" t="s">
        <v>32144</v>
      </c>
    </row>
    <row r="3228" spans="1:13" x14ac:dyDescent="0.25">
      <c r="A3228" t="s">
        <v>19773</v>
      </c>
      <c r="B3228" t="s">
        <v>13</v>
      </c>
      <c r="C3228" s="1">
        <v>43229</v>
      </c>
      <c r="D3228" t="s">
        <v>19774</v>
      </c>
      <c r="E3228" t="s">
        <v>32443</v>
      </c>
      <c r="F3228" t="s">
        <v>3084</v>
      </c>
      <c r="G3228" t="s">
        <v>3080</v>
      </c>
      <c r="H3228" t="s">
        <v>36</v>
      </c>
      <c r="I3228" t="s">
        <v>19</v>
      </c>
      <c r="J3228" s="3" t="s">
        <v>17518</v>
      </c>
      <c r="K3228" t="s">
        <v>3082</v>
      </c>
      <c r="L3228" t="s">
        <v>3083</v>
      </c>
      <c r="M3228" t="s">
        <v>32144</v>
      </c>
    </row>
    <row r="3229" spans="1:13" x14ac:dyDescent="0.25">
      <c r="A3229" t="s">
        <v>13825</v>
      </c>
      <c r="B3229" t="s">
        <v>13</v>
      </c>
      <c r="C3229" t="s">
        <v>13789</v>
      </c>
      <c r="D3229" t="s">
        <v>13826</v>
      </c>
      <c r="E3229" s="2" t="s">
        <v>32444</v>
      </c>
      <c r="F3229" t="s">
        <v>3084</v>
      </c>
      <c r="G3229" t="s">
        <v>13827</v>
      </c>
      <c r="H3229" t="s">
        <v>13828</v>
      </c>
      <c r="I3229" t="s">
        <v>19</v>
      </c>
      <c r="J3229" s="3" t="s">
        <v>13829</v>
      </c>
      <c r="K3229" t="s">
        <v>13830</v>
      </c>
      <c r="L3229" t="s">
        <v>13831</v>
      </c>
      <c r="M3229" t="s">
        <v>32144</v>
      </c>
    </row>
    <row r="3230" spans="1:13" x14ac:dyDescent="0.25">
      <c r="A3230" t="s">
        <v>18170</v>
      </c>
      <c r="B3230" t="s">
        <v>13</v>
      </c>
      <c r="C3230" s="1">
        <v>43772</v>
      </c>
      <c r="D3230" t="s">
        <v>18171</v>
      </c>
      <c r="E3230" t="s">
        <v>32445</v>
      </c>
      <c r="F3230" t="s">
        <v>1464</v>
      </c>
      <c r="G3230" t="s">
        <v>18172</v>
      </c>
      <c r="H3230" t="s">
        <v>18173</v>
      </c>
      <c r="I3230" t="s">
        <v>19</v>
      </c>
      <c r="J3230" s="3">
        <f>55-11-975727740</f>
        <v>-975727696</v>
      </c>
      <c r="K3230" t="s">
        <v>18174</v>
      </c>
      <c r="L3230" t="s">
        <v>3083</v>
      </c>
      <c r="M3230" t="s">
        <v>32144</v>
      </c>
    </row>
    <row r="3231" spans="1:13" x14ac:dyDescent="0.25">
      <c r="A3231" t="s">
        <v>8059</v>
      </c>
      <c r="B3231" t="s">
        <v>13</v>
      </c>
      <c r="C3231" s="1">
        <v>44077</v>
      </c>
      <c r="D3231" t="s">
        <v>8060</v>
      </c>
      <c r="E3231" t="s">
        <v>32446</v>
      </c>
      <c r="F3231" t="s">
        <v>3084</v>
      </c>
      <c r="G3231" t="s">
        <v>8061</v>
      </c>
      <c r="H3231" t="s">
        <v>8062</v>
      </c>
      <c r="I3231" t="s">
        <v>19</v>
      </c>
      <c r="J3231" s="3" t="s">
        <v>8063</v>
      </c>
      <c r="K3231" t="s">
        <v>8064</v>
      </c>
      <c r="L3231" t="s">
        <v>439</v>
      </c>
      <c r="M3231" t="s">
        <v>32144</v>
      </c>
    </row>
    <row r="3232" spans="1:13" x14ac:dyDescent="0.25">
      <c r="A3232" t="s">
        <v>15120</v>
      </c>
      <c r="B3232" t="s">
        <v>13</v>
      </c>
      <c r="C3232" s="1">
        <v>43627</v>
      </c>
      <c r="D3232" t="s">
        <v>15121</v>
      </c>
      <c r="E3232" t="s">
        <v>32447</v>
      </c>
      <c r="F3232" t="s">
        <v>3084</v>
      </c>
      <c r="G3232" t="s">
        <v>15122</v>
      </c>
      <c r="H3232" t="s">
        <v>195</v>
      </c>
      <c r="I3232" t="s">
        <v>19</v>
      </c>
      <c r="J3232" s="3" t="s">
        <v>15123</v>
      </c>
      <c r="K3232" t="s">
        <v>15124</v>
      </c>
      <c r="L3232" t="s">
        <v>15125</v>
      </c>
      <c r="M3232" t="s">
        <v>32144</v>
      </c>
    </row>
    <row r="3233" spans="1:13" x14ac:dyDescent="0.25">
      <c r="A3233" t="s">
        <v>15086</v>
      </c>
      <c r="B3233" t="s">
        <v>13</v>
      </c>
      <c r="C3233" s="1">
        <v>43657</v>
      </c>
      <c r="D3233" t="s">
        <v>15087</v>
      </c>
      <c r="E3233" t="s">
        <v>32447</v>
      </c>
      <c r="F3233" t="s">
        <v>3084</v>
      </c>
      <c r="G3233" t="s">
        <v>15088</v>
      </c>
      <c r="H3233" t="s">
        <v>428</v>
      </c>
      <c r="I3233" t="s">
        <v>19</v>
      </c>
      <c r="J3233" s="3" t="s">
        <v>15089</v>
      </c>
      <c r="K3233" t="s">
        <v>15090</v>
      </c>
      <c r="L3233" t="s">
        <v>5709</v>
      </c>
      <c r="M3233" t="s">
        <v>32144</v>
      </c>
    </row>
    <row r="3234" spans="1:13" x14ac:dyDescent="0.25">
      <c r="A3234" t="s">
        <v>22520</v>
      </c>
      <c r="B3234" t="s">
        <v>13</v>
      </c>
      <c r="C3234" t="s">
        <v>22521</v>
      </c>
      <c r="D3234" t="s">
        <v>22522</v>
      </c>
      <c r="E3234" t="s">
        <v>32448</v>
      </c>
      <c r="F3234" t="s">
        <v>3084</v>
      </c>
      <c r="G3234" t="s">
        <v>22523</v>
      </c>
      <c r="H3234" t="s">
        <v>1090</v>
      </c>
      <c r="I3234" t="s">
        <v>19</v>
      </c>
      <c r="J3234" s="3" t="s">
        <v>22524</v>
      </c>
      <c r="K3234" t="s">
        <v>22525</v>
      </c>
      <c r="L3234" t="s">
        <v>1092</v>
      </c>
      <c r="M3234" t="s">
        <v>32144</v>
      </c>
    </row>
    <row r="3235" spans="1:13" x14ac:dyDescent="0.25">
      <c r="A3235" t="s">
        <v>16502</v>
      </c>
      <c r="B3235" t="s">
        <v>101</v>
      </c>
      <c r="C3235" t="s">
        <v>16500</v>
      </c>
      <c r="D3235" t="s">
        <v>16503</v>
      </c>
      <c r="E3235" s="2" t="s">
        <v>32785</v>
      </c>
      <c r="F3235" t="s">
        <v>3084</v>
      </c>
      <c r="G3235" t="s">
        <v>16504</v>
      </c>
      <c r="H3235" t="s">
        <v>36</v>
      </c>
      <c r="I3235" t="s">
        <v>19</v>
      </c>
      <c r="J3235" s="3" t="s">
        <v>16505</v>
      </c>
      <c r="K3235" t="s">
        <v>16506</v>
      </c>
      <c r="L3235" t="s">
        <v>321</v>
      </c>
      <c r="M3235" t="s">
        <v>32144</v>
      </c>
    </row>
    <row r="3236" spans="1:13" x14ac:dyDescent="0.25">
      <c r="A3236" t="s">
        <v>21505</v>
      </c>
      <c r="B3236" t="s">
        <v>13</v>
      </c>
      <c r="C3236" t="s">
        <v>16205</v>
      </c>
      <c r="D3236" t="s">
        <v>21506</v>
      </c>
      <c r="E3236" t="s">
        <v>32449</v>
      </c>
      <c r="F3236" t="s">
        <v>3084</v>
      </c>
      <c r="G3236" t="s">
        <v>21507</v>
      </c>
      <c r="H3236" t="s">
        <v>28</v>
      </c>
      <c r="I3236" t="s">
        <v>19</v>
      </c>
      <c r="J3236" s="3" t="s">
        <v>21508</v>
      </c>
      <c r="K3236" t="s">
        <v>21509</v>
      </c>
      <c r="L3236" t="s">
        <v>923</v>
      </c>
      <c r="M3236" t="s">
        <v>32144</v>
      </c>
    </row>
    <row r="3237" spans="1:13" x14ac:dyDescent="0.25">
      <c r="A3237" t="s">
        <v>15377</v>
      </c>
      <c r="B3237" t="s">
        <v>13</v>
      </c>
      <c r="C3237" t="s">
        <v>9966</v>
      </c>
      <c r="D3237" t="s">
        <v>15378</v>
      </c>
      <c r="E3237" s="2" t="s">
        <v>31126</v>
      </c>
      <c r="F3237" t="s">
        <v>3084</v>
      </c>
      <c r="G3237" t="s">
        <v>15379</v>
      </c>
      <c r="H3237" t="s">
        <v>265</v>
      </c>
      <c r="I3237" t="s">
        <v>19</v>
      </c>
      <c r="J3237" s="3">
        <v>5516981166303</v>
      </c>
      <c r="K3237" t="s">
        <v>15380</v>
      </c>
      <c r="L3237" t="s">
        <v>1569</v>
      </c>
      <c r="M3237" t="s">
        <v>32144</v>
      </c>
    </row>
    <row r="3238" spans="1:13" x14ac:dyDescent="0.25">
      <c r="A3238" t="s">
        <v>7525</v>
      </c>
      <c r="B3238" t="s">
        <v>13</v>
      </c>
      <c r="C3238" t="s">
        <v>7520</v>
      </c>
      <c r="D3238" t="s">
        <v>32135</v>
      </c>
      <c r="E3238" s="2" t="s">
        <v>31975</v>
      </c>
      <c r="F3238" t="s">
        <v>5554</v>
      </c>
      <c r="G3238" t="s">
        <v>7526</v>
      </c>
      <c r="H3238" t="s">
        <v>615</v>
      </c>
      <c r="I3238" t="s">
        <v>19</v>
      </c>
      <c r="J3238" s="3" t="s">
        <v>7527</v>
      </c>
      <c r="K3238" t="s">
        <v>7528</v>
      </c>
      <c r="L3238" t="s">
        <v>32135</v>
      </c>
      <c r="M3238" t="s">
        <v>32144</v>
      </c>
    </row>
    <row r="3239" spans="1:13" x14ac:dyDescent="0.25">
      <c r="A3239" t="s">
        <v>1889</v>
      </c>
      <c r="B3239" t="s">
        <v>13</v>
      </c>
      <c r="C3239" t="s">
        <v>1890</v>
      </c>
      <c r="D3239" t="s">
        <v>1891</v>
      </c>
      <c r="E3239" t="s">
        <v>1892</v>
      </c>
      <c r="F3239" t="s">
        <v>1893</v>
      </c>
      <c r="G3239" t="s">
        <v>1894</v>
      </c>
      <c r="H3239" t="s">
        <v>18</v>
      </c>
      <c r="I3239" t="s">
        <v>19</v>
      </c>
      <c r="J3239" s="3" t="s">
        <v>1895</v>
      </c>
      <c r="K3239" t="s">
        <v>1896</v>
      </c>
      <c r="L3239" t="s">
        <v>1897</v>
      </c>
      <c r="M3239" t="s">
        <v>32144</v>
      </c>
    </row>
    <row r="3240" spans="1:13" x14ac:dyDescent="0.25">
      <c r="A3240" t="s">
        <v>11930</v>
      </c>
      <c r="B3240" t="s">
        <v>13</v>
      </c>
      <c r="C3240" s="1">
        <v>44048</v>
      </c>
      <c r="D3240" t="s">
        <v>11931</v>
      </c>
      <c r="E3240" t="s">
        <v>5474</v>
      </c>
      <c r="F3240" t="s">
        <v>1464</v>
      </c>
      <c r="G3240" t="s">
        <v>11932</v>
      </c>
      <c r="H3240" t="s">
        <v>2829</v>
      </c>
      <c r="I3240" t="s">
        <v>19</v>
      </c>
      <c r="J3240" s="3">
        <f>55-33-33011518</f>
        <v>-33011496</v>
      </c>
      <c r="K3240" t="s">
        <v>11933</v>
      </c>
      <c r="L3240" t="s">
        <v>11934</v>
      </c>
      <c r="M3240" t="s">
        <v>32144</v>
      </c>
    </row>
    <row r="3241" spans="1:13" x14ac:dyDescent="0.25">
      <c r="A3241" t="s">
        <v>10475</v>
      </c>
      <c r="B3241" t="s">
        <v>13</v>
      </c>
      <c r="C3241" s="1">
        <v>44143</v>
      </c>
      <c r="D3241" t="s">
        <v>10476</v>
      </c>
      <c r="E3241" t="s">
        <v>8916</v>
      </c>
      <c r="F3241" t="s">
        <v>1464</v>
      </c>
      <c r="G3241" t="s">
        <v>10477</v>
      </c>
      <c r="H3241" t="s">
        <v>608</v>
      </c>
      <c r="I3241" t="s">
        <v>19</v>
      </c>
      <c r="J3241" s="3">
        <f>55-54-91763784</f>
        <v>-91763783</v>
      </c>
      <c r="K3241" t="s">
        <v>10478</v>
      </c>
      <c r="L3241" t="s">
        <v>610</v>
      </c>
      <c r="M3241" t="s">
        <v>32144</v>
      </c>
    </row>
    <row r="3242" spans="1:13" x14ac:dyDescent="0.25">
      <c r="A3242" t="s">
        <v>8914</v>
      </c>
      <c r="B3242" t="s">
        <v>13</v>
      </c>
      <c r="C3242" s="1">
        <v>43683</v>
      </c>
      <c r="D3242" t="s">
        <v>8915</v>
      </c>
      <c r="E3242" s="2" t="s">
        <v>30962</v>
      </c>
      <c r="F3242" t="s">
        <v>3084</v>
      </c>
      <c r="G3242" t="s">
        <v>8917</v>
      </c>
      <c r="H3242" t="s">
        <v>36</v>
      </c>
      <c r="I3242" t="s">
        <v>19</v>
      </c>
      <c r="J3242" s="3">
        <f>55-11-21015902</f>
        <v>-21015858</v>
      </c>
      <c r="K3242" t="s">
        <v>8918</v>
      </c>
      <c r="L3242" t="s">
        <v>8919</v>
      </c>
      <c r="M3242" t="s">
        <v>32144</v>
      </c>
    </row>
    <row r="3243" spans="1:13" x14ac:dyDescent="0.25">
      <c r="A3243" t="s">
        <v>7315</v>
      </c>
      <c r="B3243" t="s">
        <v>101</v>
      </c>
      <c r="C3243" t="s">
        <v>7075</v>
      </c>
      <c r="D3243" t="s">
        <v>7316</v>
      </c>
      <c r="E3243" s="2" t="s">
        <v>31793</v>
      </c>
      <c r="F3243" t="s">
        <v>1457</v>
      </c>
      <c r="G3243" t="s">
        <v>7317</v>
      </c>
      <c r="H3243" t="s">
        <v>1802</v>
      </c>
      <c r="I3243" t="s">
        <v>19</v>
      </c>
      <c r="J3243" s="3">
        <f>55-1431039400</f>
        <v>-1431039345</v>
      </c>
      <c r="K3243" t="s">
        <v>32135</v>
      </c>
      <c r="L3243" t="s">
        <v>32135</v>
      </c>
      <c r="M3243" t="s">
        <v>32144</v>
      </c>
    </row>
    <row r="3244" spans="1:13" x14ac:dyDescent="0.25">
      <c r="A3244" t="s">
        <v>7164</v>
      </c>
      <c r="B3244" t="s">
        <v>13</v>
      </c>
      <c r="C3244" s="1">
        <v>44229</v>
      </c>
      <c r="D3244" t="s">
        <v>32135</v>
      </c>
      <c r="E3244" s="2" t="s">
        <v>31455</v>
      </c>
      <c r="F3244" t="s">
        <v>148</v>
      </c>
      <c r="G3244" t="s">
        <v>7165</v>
      </c>
      <c r="H3244" t="s">
        <v>489</v>
      </c>
      <c r="I3244" t="s">
        <v>19</v>
      </c>
      <c r="J3244" s="3">
        <v>5541988239121</v>
      </c>
      <c r="K3244" t="s">
        <v>7166</v>
      </c>
      <c r="L3244" t="s">
        <v>32135</v>
      </c>
      <c r="M3244" t="s">
        <v>32166</v>
      </c>
    </row>
    <row r="3245" spans="1:13" x14ac:dyDescent="0.25">
      <c r="A3245" t="s">
        <v>17519</v>
      </c>
      <c r="B3245" t="s">
        <v>13</v>
      </c>
      <c r="C3245" s="1">
        <v>43621</v>
      </c>
      <c r="D3245" t="s">
        <v>17520</v>
      </c>
      <c r="E3245" s="2" t="s">
        <v>31179</v>
      </c>
      <c r="F3245" t="s">
        <v>3084</v>
      </c>
      <c r="G3245" t="s">
        <v>17521</v>
      </c>
      <c r="H3245" t="s">
        <v>352</v>
      </c>
      <c r="I3245" t="s">
        <v>19</v>
      </c>
      <c r="J3245" s="3" t="s">
        <v>17522</v>
      </c>
      <c r="K3245" t="s">
        <v>17523</v>
      </c>
      <c r="L3245" t="s">
        <v>17524</v>
      </c>
      <c r="M3245" t="s">
        <v>32144</v>
      </c>
    </row>
    <row r="3246" spans="1:13" x14ac:dyDescent="0.25">
      <c r="A3246" t="s">
        <v>25906</v>
      </c>
      <c r="B3246" t="s">
        <v>13</v>
      </c>
      <c r="C3246" s="1">
        <v>42522</v>
      </c>
      <c r="D3246" t="s">
        <v>25907</v>
      </c>
      <c r="E3246" t="s">
        <v>3084</v>
      </c>
      <c r="F3246" t="s">
        <v>3084</v>
      </c>
      <c r="G3246" t="s">
        <v>25908</v>
      </c>
      <c r="H3246" t="s">
        <v>265</v>
      </c>
      <c r="I3246" t="s">
        <v>19</v>
      </c>
      <c r="J3246" s="3" t="s">
        <v>25909</v>
      </c>
      <c r="K3246" t="s">
        <v>25910</v>
      </c>
      <c r="L3246" t="s">
        <v>6584</v>
      </c>
      <c r="M3246" t="s">
        <v>32144</v>
      </c>
    </row>
    <row r="3247" spans="1:13" x14ac:dyDescent="0.25">
      <c r="A3247" t="s">
        <v>22589</v>
      </c>
      <c r="B3247" t="s">
        <v>101</v>
      </c>
      <c r="C3247" s="1">
        <v>43435</v>
      </c>
      <c r="D3247" t="s">
        <v>22590</v>
      </c>
      <c r="E3247" t="s">
        <v>3084</v>
      </c>
      <c r="F3247" t="s">
        <v>3084</v>
      </c>
      <c r="G3247" t="s">
        <v>22591</v>
      </c>
      <c r="H3247" t="s">
        <v>4948</v>
      </c>
      <c r="I3247" t="s">
        <v>19</v>
      </c>
      <c r="J3247" s="3">
        <f>55015099785-5618</f>
        <v>55015094167</v>
      </c>
      <c r="K3247" t="s">
        <v>22592</v>
      </c>
      <c r="L3247" t="s">
        <v>22593</v>
      </c>
      <c r="M3247" t="s">
        <v>32144</v>
      </c>
    </row>
    <row r="3248" spans="1:13" x14ac:dyDescent="0.25">
      <c r="A3248" t="s">
        <v>28688</v>
      </c>
      <c r="B3248" t="s">
        <v>13</v>
      </c>
      <c r="C3248" t="s">
        <v>28682</v>
      </c>
      <c r="D3248" t="s">
        <v>28689</v>
      </c>
      <c r="E3248" t="s">
        <v>28690</v>
      </c>
      <c r="F3248" t="s">
        <v>3084</v>
      </c>
      <c r="G3248" t="s">
        <v>28691</v>
      </c>
      <c r="H3248" t="s">
        <v>36</v>
      </c>
      <c r="I3248" t="s">
        <v>19</v>
      </c>
      <c r="J3248" s="3" t="s">
        <v>28692</v>
      </c>
      <c r="K3248" t="s">
        <v>28693</v>
      </c>
      <c r="L3248" t="s">
        <v>10959</v>
      </c>
      <c r="M3248" t="s">
        <v>32144</v>
      </c>
    </row>
    <row r="3249" spans="1:13" x14ac:dyDescent="0.25">
      <c r="A3249" t="s">
        <v>24843</v>
      </c>
      <c r="B3249" t="s">
        <v>13</v>
      </c>
      <c r="C3249" t="s">
        <v>23427</v>
      </c>
      <c r="D3249" t="s">
        <v>24844</v>
      </c>
      <c r="E3249" t="s">
        <v>24845</v>
      </c>
      <c r="F3249" t="s">
        <v>3084</v>
      </c>
      <c r="G3249" t="s">
        <v>24846</v>
      </c>
      <c r="H3249" t="s">
        <v>472</v>
      </c>
      <c r="I3249" t="s">
        <v>19</v>
      </c>
      <c r="J3249" s="3" t="s">
        <v>24847</v>
      </c>
      <c r="K3249" t="s">
        <v>24848</v>
      </c>
      <c r="L3249" t="s">
        <v>2101</v>
      </c>
      <c r="M3249" t="s">
        <v>32144</v>
      </c>
    </row>
    <row r="3250" spans="1:13" x14ac:dyDescent="0.25">
      <c r="A3250" t="s">
        <v>14301</v>
      </c>
      <c r="B3250" t="s">
        <v>13</v>
      </c>
      <c r="C3250" s="1">
        <v>44013</v>
      </c>
      <c r="D3250" t="s">
        <v>14302</v>
      </c>
      <c r="E3250" s="2" t="s">
        <v>31740</v>
      </c>
      <c r="F3250" t="s">
        <v>117</v>
      </c>
      <c r="G3250" t="s">
        <v>14303</v>
      </c>
      <c r="H3250" t="s">
        <v>36</v>
      </c>
      <c r="I3250" t="s">
        <v>19</v>
      </c>
      <c r="J3250" s="3">
        <f>55-11-3385-9241</f>
        <v>-12582</v>
      </c>
      <c r="K3250" t="s">
        <v>14304</v>
      </c>
      <c r="L3250" t="s">
        <v>14305</v>
      </c>
      <c r="M3250" t="s">
        <v>32145</v>
      </c>
    </row>
    <row r="3251" spans="1:13" x14ac:dyDescent="0.25">
      <c r="A3251" t="s">
        <v>15699</v>
      </c>
      <c r="B3251" t="s">
        <v>13</v>
      </c>
      <c r="C3251" s="1">
        <v>43687</v>
      </c>
      <c r="D3251" t="s">
        <v>15700</v>
      </c>
      <c r="E3251" t="s">
        <v>15701</v>
      </c>
      <c r="F3251" t="s">
        <v>2947</v>
      </c>
      <c r="G3251" t="s">
        <v>15702</v>
      </c>
      <c r="H3251" t="s">
        <v>540</v>
      </c>
      <c r="I3251" t="s">
        <v>19</v>
      </c>
      <c r="J3251" s="3" t="s">
        <v>15703</v>
      </c>
      <c r="K3251" t="s">
        <v>15704</v>
      </c>
      <c r="L3251" t="s">
        <v>1531</v>
      </c>
      <c r="M3251" t="s">
        <v>771</v>
      </c>
    </row>
    <row r="3252" spans="1:13" x14ac:dyDescent="0.25">
      <c r="A3252" t="s">
        <v>26917</v>
      </c>
      <c r="B3252" t="s">
        <v>13</v>
      </c>
      <c r="C3252" t="s">
        <v>25886</v>
      </c>
      <c r="D3252" t="s">
        <v>26918</v>
      </c>
      <c r="E3252" t="s">
        <v>15701</v>
      </c>
      <c r="F3252" t="s">
        <v>306</v>
      </c>
      <c r="G3252" t="s">
        <v>26919</v>
      </c>
      <c r="H3252" t="s">
        <v>26920</v>
      </c>
      <c r="I3252" t="s">
        <v>19</v>
      </c>
      <c r="J3252" s="3" t="s">
        <v>26921</v>
      </c>
      <c r="K3252" t="s">
        <v>26922</v>
      </c>
      <c r="L3252" t="s">
        <v>26923</v>
      </c>
      <c r="M3252" t="s">
        <v>32145</v>
      </c>
    </row>
    <row r="3253" spans="1:13" x14ac:dyDescent="0.25">
      <c r="A3253" t="s">
        <v>302</v>
      </c>
      <c r="B3253" t="s">
        <v>13</v>
      </c>
      <c r="C3253" t="s">
        <v>303</v>
      </c>
      <c r="D3253" t="s">
        <v>304</v>
      </c>
      <c r="E3253" t="s">
        <v>305</v>
      </c>
      <c r="F3253" t="s">
        <v>306</v>
      </c>
      <c r="G3253" t="s">
        <v>307</v>
      </c>
      <c r="H3253" t="s">
        <v>308</v>
      </c>
      <c r="I3253" t="s">
        <v>309</v>
      </c>
      <c r="J3253" s="3" t="s">
        <v>310</v>
      </c>
      <c r="K3253" t="s">
        <v>311</v>
      </c>
      <c r="L3253" t="s">
        <v>312</v>
      </c>
      <c r="M3253" t="s">
        <v>32145</v>
      </c>
    </row>
    <row r="3254" spans="1:13" x14ac:dyDescent="0.25">
      <c r="A3254" t="s">
        <v>1370</v>
      </c>
      <c r="B3254" t="s">
        <v>13</v>
      </c>
      <c r="C3254" s="1">
        <v>44784</v>
      </c>
      <c r="D3254" t="s">
        <v>1371</v>
      </c>
      <c r="E3254" t="s">
        <v>1372</v>
      </c>
      <c r="F3254" t="s">
        <v>1373</v>
      </c>
      <c r="G3254" t="s">
        <v>1374</v>
      </c>
      <c r="H3254" t="s">
        <v>352</v>
      </c>
      <c r="I3254" t="s">
        <v>19</v>
      </c>
      <c r="J3254" s="3" t="s">
        <v>1375</v>
      </c>
      <c r="K3254" t="s">
        <v>1376</v>
      </c>
      <c r="L3254" t="s">
        <v>550</v>
      </c>
      <c r="M3254" t="s">
        <v>32145</v>
      </c>
    </row>
    <row r="3255" spans="1:13" x14ac:dyDescent="0.25">
      <c r="A3255" t="s">
        <v>11843</v>
      </c>
      <c r="B3255" t="s">
        <v>13</v>
      </c>
      <c r="C3255" t="s">
        <v>11834</v>
      </c>
      <c r="D3255" t="s">
        <v>11844</v>
      </c>
      <c r="E3255" t="s">
        <v>1372</v>
      </c>
      <c r="F3255" t="s">
        <v>1464</v>
      </c>
      <c r="G3255" t="s">
        <v>11529</v>
      </c>
      <c r="H3255" t="s">
        <v>372</v>
      </c>
      <c r="I3255" t="s">
        <v>19</v>
      </c>
      <c r="J3255" s="3" t="s">
        <v>11530</v>
      </c>
      <c r="K3255" t="s">
        <v>11531</v>
      </c>
      <c r="L3255" t="s">
        <v>11426</v>
      </c>
      <c r="M3255" t="s">
        <v>32145</v>
      </c>
    </row>
    <row r="3256" spans="1:13" x14ac:dyDescent="0.25">
      <c r="A3256" t="s">
        <v>20928</v>
      </c>
      <c r="B3256" t="s">
        <v>13</v>
      </c>
      <c r="C3256" t="s">
        <v>20921</v>
      </c>
      <c r="D3256" t="s">
        <v>20929</v>
      </c>
      <c r="E3256" t="s">
        <v>32450</v>
      </c>
      <c r="F3256" t="s">
        <v>306</v>
      </c>
      <c r="G3256" t="s">
        <v>20930</v>
      </c>
      <c r="H3256" t="s">
        <v>265</v>
      </c>
      <c r="I3256" t="s">
        <v>19</v>
      </c>
      <c r="J3256" s="3" t="s">
        <v>20931</v>
      </c>
      <c r="K3256" t="s">
        <v>20932</v>
      </c>
      <c r="L3256" t="s">
        <v>20933</v>
      </c>
      <c r="M3256" t="s">
        <v>32145</v>
      </c>
    </row>
    <row r="3257" spans="1:13" x14ac:dyDescent="0.25">
      <c r="A3257" t="s">
        <v>25567</v>
      </c>
      <c r="B3257" t="s">
        <v>13</v>
      </c>
      <c r="C3257" s="1">
        <v>42591</v>
      </c>
      <c r="D3257" t="s">
        <v>25568</v>
      </c>
      <c r="E3257" t="s">
        <v>25569</v>
      </c>
      <c r="F3257" t="s">
        <v>306</v>
      </c>
      <c r="G3257" t="s">
        <v>20716</v>
      </c>
      <c r="H3257" t="s">
        <v>255</v>
      </c>
      <c r="I3257" t="s">
        <v>19</v>
      </c>
      <c r="J3257" s="3" t="s">
        <v>25570</v>
      </c>
      <c r="K3257" t="s">
        <v>20717</v>
      </c>
      <c r="L3257" t="s">
        <v>2467</v>
      </c>
      <c r="M3257" t="s">
        <v>32145</v>
      </c>
    </row>
    <row r="3258" spans="1:13" x14ac:dyDescent="0.25">
      <c r="A3258" t="s">
        <v>14398</v>
      </c>
      <c r="B3258" t="s">
        <v>13</v>
      </c>
      <c r="C3258" s="1">
        <v>42590</v>
      </c>
      <c r="D3258" t="s">
        <v>14399</v>
      </c>
      <c r="E3258" s="2" t="s">
        <v>32451</v>
      </c>
      <c r="F3258" t="s">
        <v>306</v>
      </c>
      <c r="G3258" t="s">
        <v>307</v>
      </c>
      <c r="H3258" t="s">
        <v>308</v>
      </c>
      <c r="I3258" t="s">
        <v>309</v>
      </c>
      <c r="J3258" s="3" t="s">
        <v>310</v>
      </c>
      <c r="K3258" t="s">
        <v>311</v>
      </c>
      <c r="L3258" t="s">
        <v>312</v>
      </c>
      <c r="M3258" t="s">
        <v>32145</v>
      </c>
    </row>
    <row r="3259" spans="1:13" x14ac:dyDescent="0.25">
      <c r="A3259" t="s">
        <v>29331</v>
      </c>
      <c r="B3259" t="s">
        <v>13</v>
      </c>
      <c r="C3259" s="1">
        <v>41374</v>
      </c>
      <c r="D3259" t="s">
        <v>29332</v>
      </c>
      <c r="E3259" t="s">
        <v>29333</v>
      </c>
      <c r="F3259" t="s">
        <v>306</v>
      </c>
      <c r="G3259" t="s">
        <v>29334</v>
      </c>
      <c r="H3259" t="s">
        <v>299</v>
      </c>
      <c r="I3259" t="s">
        <v>19</v>
      </c>
      <c r="J3259" s="3" t="s">
        <v>18447</v>
      </c>
      <c r="K3259" t="s">
        <v>29220</v>
      </c>
      <c r="L3259" t="s">
        <v>29335</v>
      </c>
      <c r="M3259" t="s">
        <v>32145</v>
      </c>
    </row>
    <row r="3260" spans="1:13" x14ac:dyDescent="0.25">
      <c r="A3260" t="s">
        <v>28556</v>
      </c>
      <c r="B3260" t="s">
        <v>13</v>
      </c>
      <c r="C3260" t="s">
        <v>28544</v>
      </c>
      <c r="D3260" t="s">
        <v>28557</v>
      </c>
      <c r="E3260" t="s">
        <v>28558</v>
      </c>
      <c r="F3260" t="s">
        <v>306</v>
      </c>
      <c r="G3260" t="s">
        <v>28559</v>
      </c>
      <c r="H3260" t="s">
        <v>1215</v>
      </c>
      <c r="I3260" t="s">
        <v>19</v>
      </c>
      <c r="J3260" s="3" t="s">
        <v>28333</v>
      </c>
      <c r="K3260" t="s">
        <v>28560</v>
      </c>
      <c r="L3260" t="s">
        <v>2548</v>
      </c>
      <c r="M3260" t="s">
        <v>32145</v>
      </c>
    </row>
    <row r="3261" spans="1:13" x14ac:dyDescent="0.25">
      <c r="A3261" t="s">
        <v>27123</v>
      </c>
      <c r="B3261" t="s">
        <v>13</v>
      </c>
      <c r="C3261" s="1">
        <v>42705</v>
      </c>
      <c r="D3261" t="s">
        <v>27124</v>
      </c>
      <c r="E3261" t="s">
        <v>27125</v>
      </c>
      <c r="F3261" t="s">
        <v>2947</v>
      </c>
      <c r="G3261" t="s">
        <v>27126</v>
      </c>
      <c r="H3261" t="s">
        <v>1215</v>
      </c>
      <c r="I3261" t="s">
        <v>19</v>
      </c>
      <c r="J3261" s="3">
        <v>551996298553</v>
      </c>
      <c r="K3261" t="s">
        <v>27127</v>
      </c>
      <c r="L3261" t="s">
        <v>2548</v>
      </c>
      <c r="M3261" t="s">
        <v>32145</v>
      </c>
    </row>
    <row r="3262" spans="1:13" x14ac:dyDescent="0.25">
      <c r="A3262" t="s">
        <v>26873</v>
      </c>
      <c r="B3262" t="s">
        <v>13</v>
      </c>
      <c r="C3262" s="1">
        <v>42372</v>
      </c>
      <c r="D3262" t="s">
        <v>26874</v>
      </c>
      <c r="E3262" t="s">
        <v>32452</v>
      </c>
      <c r="F3262" t="s">
        <v>2947</v>
      </c>
      <c r="G3262" t="s">
        <v>26875</v>
      </c>
      <c r="H3262" t="s">
        <v>1215</v>
      </c>
      <c r="I3262" t="s">
        <v>19</v>
      </c>
      <c r="J3262" s="3" t="s">
        <v>26876</v>
      </c>
      <c r="K3262" t="s">
        <v>26877</v>
      </c>
      <c r="L3262" t="s">
        <v>5877</v>
      </c>
      <c r="M3262" t="s">
        <v>32145</v>
      </c>
    </row>
    <row r="3263" spans="1:13" x14ac:dyDescent="0.25">
      <c r="A3263" t="s">
        <v>21312</v>
      </c>
      <c r="B3263" t="s">
        <v>13</v>
      </c>
      <c r="C3263" t="s">
        <v>21296</v>
      </c>
      <c r="D3263" t="s">
        <v>21313</v>
      </c>
      <c r="E3263" s="2" t="s">
        <v>31687</v>
      </c>
      <c r="F3263" t="s">
        <v>306</v>
      </c>
      <c r="G3263" t="s">
        <v>21314</v>
      </c>
      <c r="H3263" t="s">
        <v>352</v>
      </c>
      <c r="I3263" t="s">
        <v>19</v>
      </c>
      <c r="J3263" s="3">
        <v>55021972741867</v>
      </c>
      <c r="K3263" t="s">
        <v>21315</v>
      </c>
      <c r="L3263" t="s">
        <v>4835</v>
      </c>
      <c r="M3263" t="s">
        <v>32145</v>
      </c>
    </row>
    <row r="3264" spans="1:13" x14ac:dyDescent="0.25">
      <c r="A3264" t="s">
        <v>30186</v>
      </c>
      <c r="B3264" t="s">
        <v>13</v>
      </c>
      <c r="C3264" t="s">
        <v>30187</v>
      </c>
      <c r="D3264" t="s">
        <v>30188</v>
      </c>
      <c r="E3264" t="s">
        <v>30189</v>
      </c>
      <c r="F3264" t="s">
        <v>1349</v>
      </c>
      <c r="G3264" t="s">
        <v>307</v>
      </c>
      <c r="H3264" t="s">
        <v>308</v>
      </c>
      <c r="I3264" t="s">
        <v>309</v>
      </c>
      <c r="J3264" s="3" t="s">
        <v>310</v>
      </c>
      <c r="K3264" t="s">
        <v>311</v>
      </c>
      <c r="L3264" t="s">
        <v>312</v>
      </c>
      <c r="M3264" t="s">
        <v>1349</v>
      </c>
    </row>
    <row r="3265" spans="1:13" x14ac:dyDescent="0.25">
      <c r="A3265" t="s">
        <v>25501</v>
      </c>
      <c r="B3265" t="s">
        <v>13</v>
      </c>
      <c r="C3265" s="1">
        <v>42713</v>
      </c>
      <c r="D3265" t="s">
        <v>25502</v>
      </c>
      <c r="E3265" t="s">
        <v>25503</v>
      </c>
      <c r="F3265" t="s">
        <v>1349</v>
      </c>
      <c r="G3265" t="s">
        <v>25504</v>
      </c>
      <c r="H3265" t="s">
        <v>36</v>
      </c>
      <c r="I3265" t="s">
        <v>19</v>
      </c>
      <c r="J3265" s="3" t="s">
        <v>25505</v>
      </c>
      <c r="K3265" t="s">
        <v>25506</v>
      </c>
      <c r="L3265" t="s">
        <v>17715</v>
      </c>
      <c r="M3265" t="s">
        <v>1349</v>
      </c>
    </row>
    <row r="3266" spans="1:13" x14ac:dyDescent="0.25">
      <c r="A3266" t="s">
        <v>13157</v>
      </c>
      <c r="B3266" t="s">
        <v>13</v>
      </c>
      <c r="C3266" s="1">
        <v>43985</v>
      </c>
      <c r="D3266" t="s">
        <v>13158</v>
      </c>
      <c r="E3266" s="2" t="s">
        <v>31738</v>
      </c>
      <c r="F3266" t="s">
        <v>306</v>
      </c>
      <c r="G3266" t="s">
        <v>13159</v>
      </c>
      <c r="H3266" t="s">
        <v>36</v>
      </c>
      <c r="I3266" t="s">
        <v>19</v>
      </c>
      <c r="J3266" s="3">
        <f>55-11-3091-2378</f>
        <v>-5425</v>
      </c>
      <c r="K3266" t="s">
        <v>13160</v>
      </c>
      <c r="L3266" t="s">
        <v>321</v>
      </c>
      <c r="M3266" t="s">
        <v>32145</v>
      </c>
    </row>
    <row r="3267" spans="1:13" x14ac:dyDescent="0.25">
      <c r="A3267" t="s">
        <v>4379</v>
      </c>
      <c r="B3267" t="s">
        <v>13</v>
      </c>
      <c r="C3267" t="s">
        <v>4372</v>
      </c>
      <c r="D3267" t="s">
        <v>4380</v>
      </c>
      <c r="E3267" t="s">
        <v>4381</v>
      </c>
      <c r="F3267" t="s">
        <v>1760</v>
      </c>
      <c r="G3267" t="s">
        <v>4382</v>
      </c>
      <c r="H3267" t="s">
        <v>71</v>
      </c>
      <c r="I3267" t="s">
        <v>19</v>
      </c>
      <c r="J3267" s="3" t="s">
        <v>4383</v>
      </c>
      <c r="K3267" t="s">
        <v>4384</v>
      </c>
      <c r="L3267" t="s">
        <v>4385</v>
      </c>
      <c r="M3267" t="s">
        <v>224</v>
      </c>
    </row>
    <row r="3268" spans="1:13" x14ac:dyDescent="0.25">
      <c r="A3268" t="s">
        <v>29183</v>
      </c>
      <c r="B3268" t="s">
        <v>13</v>
      </c>
      <c r="C3268" t="s">
        <v>29184</v>
      </c>
      <c r="D3268" t="s">
        <v>29185</v>
      </c>
      <c r="E3268" t="s">
        <v>4381</v>
      </c>
      <c r="F3268" t="s">
        <v>1129</v>
      </c>
      <c r="G3268" t="s">
        <v>29186</v>
      </c>
      <c r="H3268" t="s">
        <v>265</v>
      </c>
      <c r="I3268" t="s">
        <v>19</v>
      </c>
      <c r="J3268" s="3" t="s">
        <v>29187</v>
      </c>
      <c r="K3268" t="s">
        <v>29188</v>
      </c>
      <c r="L3268" t="s">
        <v>3558</v>
      </c>
      <c r="M3268" t="s">
        <v>224</v>
      </c>
    </row>
    <row r="3269" spans="1:13" x14ac:dyDescent="0.25">
      <c r="A3269" t="s">
        <v>13944</v>
      </c>
      <c r="B3269" t="s">
        <v>13</v>
      </c>
      <c r="C3269" t="s">
        <v>12548</v>
      </c>
      <c r="D3269" t="s">
        <v>13945</v>
      </c>
      <c r="E3269" t="s">
        <v>13946</v>
      </c>
      <c r="F3269" t="s">
        <v>1129</v>
      </c>
      <c r="G3269" t="s">
        <v>13947</v>
      </c>
      <c r="H3269" t="s">
        <v>12945</v>
      </c>
      <c r="I3269" t="s">
        <v>19</v>
      </c>
      <c r="J3269" s="3" t="s">
        <v>13948</v>
      </c>
      <c r="K3269" t="s">
        <v>13949</v>
      </c>
      <c r="L3269" t="s">
        <v>82</v>
      </c>
      <c r="M3269" t="s">
        <v>224</v>
      </c>
    </row>
    <row r="3270" spans="1:13" x14ac:dyDescent="0.25">
      <c r="A3270" t="s">
        <v>6838</v>
      </c>
      <c r="B3270" t="s">
        <v>13</v>
      </c>
      <c r="C3270" t="s">
        <v>6839</v>
      </c>
      <c r="D3270" t="s">
        <v>6840</v>
      </c>
      <c r="E3270" t="s">
        <v>6841</v>
      </c>
      <c r="F3270" t="s">
        <v>1464</v>
      </c>
      <c r="G3270" t="s">
        <v>6465</v>
      </c>
      <c r="H3270" t="s">
        <v>265</v>
      </c>
      <c r="I3270" t="s">
        <v>19</v>
      </c>
      <c r="J3270" s="3">
        <v>5516982241000</v>
      </c>
      <c r="K3270" t="s">
        <v>6467</v>
      </c>
      <c r="L3270" t="s">
        <v>321</v>
      </c>
      <c r="M3270" t="s">
        <v>224</v>
      </c>
    </row>
    <row r="3271" spans="1:13" x14ac:dyDescent="0.25">
      <c r="A3271" t="s">
        <v>18035</v>
      </c>
      <c r="B3271" t="s">
        <v>13</v>
      </c>
      <c r="C3271" s="1">
        <v>43195</v>
      </c>
      <c r="D3271" t="s">
        <v>18036</v>
      </c>
      <c r="E3271" t="s">
        <v>32453</v>
      </c>
      <c r="F3271" t="s">
        <v>224</v>
      </c>
      <c r="G3271" t="s">
        <v>18037</v>
      </c>
      <c r="H3271" t="s">
        <v>299</v>
      </c>
      <c r="I3271" t="s">
        <v>19</v>
      </c>
      <c r="J3271" s="3" t="s">
        <v>18038</v>
      </c>
      <c r="K3271" t="s">
        <v>18039</v>
      </c>
      <c r="L3271" t="s">
        <v>18040</v>
      </c>
      <c r="M3271" t="s">
        <v>224</v>
      </c>
    </row>
    <row r="3272" spans="1:13" x14ac:dyDescent="0.25">
      <c r="A3272" t="s">
        <v>12971</v>
      </c>
      <c r="B3272" t="s">
        <v>13</v>
      </c>
      <c r="C3272" s="1">
        <v>44138</v>
      </c>
      <c r="D3272" t="s">
        <v>12972</v>
      </c>
      <c r="E3272" s="2" t="s">
        <v>31718</v>
      </c>
      <c r="F3272" t="s">
        <v>224</v>
      </c>
      <c r="G3272" t="s">
        <v>12973</v>
      </c>
      <c r="H3272" t="s">
        <v>12974</v>
      </c>
      <c r="I3272" t="s">
        <v>19</v>
      </c>
      <c r="J3272" s="3">
        <v>5541999719567</v>
      </c>
      <c r="K3272" t="s">
        <v>12975</v>
      </c>
      <c r="L3272" t="s">
        <v>12976</v>
      </c>
      <c r="M3272" t="s">
        <v>224</v>
      </c>
    </row>
    <row r="3273" spans="1:13" x14ac:dyDescent="0.25">
      <c r="A3273" t="s">
        <v>29966</v>
      </c>
      <c r="B3273" t="s">
        <v>101</v>
      </c>
      <c r="C3273" t="s">
        <v>14184</v>
      </c>
      <c r="D3273" t="s">
        <v>29967</v>
      </c>
      <c r="E3273" t="s">
        <v>29968</v>
      </c>
      <c r="F3273" t="s">
        <v>1129</v>
      </c>
      <c r="G3273" t="s">
        <v>29186</v>
      </c>
      <c r="H3273" t="s">
        <v>265</v>
      </c>
      <c r="I3273" t="s">
        <v>19</v>
      </c>
      <c r="J3273" s="3" t="s">
        <v>29969</v>
      </c>
      <c r="K3273" t="s">
        <v>29188</v>
      </c>
      <c r="L3273" t="s">
        <v>29970</v>
      </c>
      <c r="M3273" t="s">
        <v>224</v>
      </c>
    </row>
    <row r="3274" spans="1:13" x14ac:dyDescent="0.25">
      <c r="A3274" t="s">
        <v>18377</v>
      </c>
      <c r="B3274" t="s">
        <v>13</v>
      </c>
      <c r="C3274" s="1">
        <v>43618</v>
      </c>
      <c r="D3274" t="s">
        <v>18378</v>
      </c>
      <c r="E3274" t="s">
        <v>18379</v>
      </c>
      <c r="F3274" t="s">
        <v>1464</v>
      </c>
      <c r="G3274" t="s">
        <v>1089</v>
      </c>
      <c r="H3274" t="s">
        <v>18380</v>
      </c>
      <c r="I3274" t="s">
        <v>19</v>
      </c>
      <c r="J3274" s="3">
        <f>55-83-999313145</f>
        <v>-999313173</v>
      </c>
      <c r="K3274" t="s">
        <v>18381</v>
      </c>
      <c r="L3274" t="s">
        <v>1092</v>
      </c>
      <c r="M3274" t="s">
        <v>224</v>
      </c>
    </row>
    <row r="3275" spans="1:13" x14ac:dyDescent="0.25">
      <c r="A3275" t="s">
        <v>17787</v>
      </c>
      <c r="B3275" t="s">
        <v>13</v>
      </c>
      <c r="C3275" t="s">
        <v>17785</v>
      </c>
      <c r="D3275" t="s">
        <v>17788</v>
      </c>
      <c r="E3275" t="s">
        <v>17789</v>
      </c>
      <c r="F3275" t="s">
        <v>1129</v>
      </c>
      <c r="G3275" t="s">
        <v>11256</v>
      </c>
      <c r="H3275" t="s">
        <v>1206</v>
      </c>
      <c r="I3275" t="s">
        <v>19</v>
      </c>
      <c r="J3275" s="3">
        <f>55-83-987061522</f>
        <v>-987061550</v>
      </c>
      <c r="K3275" t="s">
        <v>11257</v>
      </c>
      <c r="L3275" t="s">
        <v>2101</v>
      </c>
      <c r="M3275" t="s">
        <v>224</v>
      </c>
    </row>
    <row r="3276" spans="1:13" x14ac:dyDescent="0.25">
      <c r="A3276" t="s">
        <v>4877</v>
      </c>
      <c r="B3276" t="s">
        <v>13</v>
      </c>
      <c r="C3276" t="s">
        <v>4866</v>
      </c>
      <c r="D3276" t="s">
        <v>4878</v>
      </c>
      <c r="E3276" t="s">
        <v>4879</v>
      </c>
      <c r="F3276" t="s">
        <v>4879</v>
      </c>
      <c r="G3276" t="s">
        <v>4880</v>
      </c>
      <c r="H3276" t="s">
        <v>428</v>
      </c>
      <c r="I3276" t="s">
        <v>19</v>
      </c>
      <c r="J3276" s="3" t="s">
        <v>4881</v>
      </c>
      <c r="K3276" t="s">
        <v>4882</v>
      </c>
      <c r="L3276" t="s">
        <v>32135</v>
      </c>
      <c r="M3276" t="s">
        <v>224</v>
      </c>
    </row>
    <row r="3277" spans="1:13" x14ac:dyDescent="0.25">
      <c r="A3277" t="s">
        <v>27253</v>
      </c>
      <c r="B3277" t="s">
        <v>13</v>
      </c>
      <c r="C3277" t="s">
        <v>27254</v>
      </c>
      <c r="D3277" t="s">
        <v>27255</v>
      </c>
      <c r="E3277" t="s">
        <v>5329</v>
      </c>
      <c r="F3277" t="s">
        <v>1464</v>
      </c>
      <c r="G3277" t="s">
        <v>27256</v>
      </c>
      <c r="H3277" t="s">
        <v>18872</v>
      </c>
      <c r="I3277" t="s">
        <v>19</v>
      </c>
      <c r="J3277" s="3" t="s">
        <v>27257</v>
      </c>
      <c r="K3277" t="s">
        <v>27258</v>
      </c>
      <c r="L3277" t="s">
        <v>27259</v>
      </c>
      <c r="M3277" t="s">
        <v>32144</v>
      </c>
    </row>
    <row r="3278" spans="1:13" x14ac:dyDescent="0.25">
      <c r="A3278" t="s">
        <v>24818</v>
      </c>
      <c r="B3278" t="s">
        <v>13</v>
      </c>
      <c r="C3278" s="1">
        <v>42767</v>
      </c>
      <c r="D3278" t="s">
        <v>24819</v>
      </c>
      <c r="E3278" t="s">
        <v>24820</v>
      </c>
      <c r="F3278" t="s">
        <v>1464</v>
      </c>
      <c r="G3278" t="s">
        <v>24821</v>
      </c>
      <c r="H3278" t="s">
        <v>24822</v>
      </c>
      <c r="I3278" t="s">
        <v>19</v>
      </c>
      <c r="J3278" s="3">
        <v>553835321239</v>
      </c>
      <c r="K3278" t="s">
        <v>24823</v>
      </c>
      <c r="L3278" t="s">
        <v>56</v>
      </c>
      <c r="M3278" t="s">
        <v>32144</v>
      </c>
    </row>
    <row r="3279" spans="1:13" x14ac:dyDescent="0.25">
      <c r="A3279" t="s">
        <v>13651</v>
      </c>
      <c r="B3279" t="s">
        <v>13</v>
      </c>
      <c r="C3279" s="1">
        <v>44106</v>
      </c>
      <c r="D3279" t="s">
        <v>13652</v>
      </c>
      <c r="E3279" s="2" t="s">
        <v>31461</v>
      </c>
      <c r="F3279" t="s">
        <v>1464</v>
      </c>
      <c r="G3279" t="s">
        <v>13653</v>
      </c>
      <c r="H3279" t="s">
        <v>489</v>
      </c>
      <c r="I3279" t="s">
        <v>19</v>
      </c>
      <c r="J3279" s="3">
        <f>55-41-33102644</f>
        <v>-33102630</v>
      </c>
      <c r="K3279" t="s">
        <v>13654</v>
      </c>
      <c r="L3279" t="s">
        <v>625</v>
      </c>
      <c r="M3279" t="s">
        <v>224</v>
      </c>
    </row>
    <row r="3280" spans="1:13" x14ac:dyDescent="0.25">
      <c r="A3280" t="s">
        <v>28493</v>
      </c>
      <c r="B3280" t="s">
        <v>13</v>
      </c>
      <c r="C3280" s="1">
        <v>42097</v>
      </c>
      <c r="D3280" t="s">
        <v>28494</v>
      </c>
      <c r="E3280" t="s">
        <v>28495</v>
      </c>
      <c r="F3280" t="s">
        <v>3084</v>
      </c>
      <c r="G3280" t="s">
        <v>28496</v>
      </c>
      <c r="H3280" t="s">
        <v>36</v>
      </c>
      <c r="I3280" t="s">
        <v>19</v>
      </c>
      <c r="J3280" s="3" t="s">
        <v>28497</v>
      </c>
      <c r="K3280" t="s">
        <v>28498</v>
      </c>
      <c r="L3280" t="s">
        <v>321</v>
      </c>
      <c r="M3280" t="s">
        <v>32144</v>
      </c>
    </row>
    <row r="3281" spans="1:13" x14ac:dyDescent="0.25">
      <c r="A3281" t="s">
        <v>27397</v>
      </c>
      <c r="B3281" t="s">
        <v>13</v>
      </c>
      <c r="C3281" t="s">
        <v>27398</v>
      </c>
      <c r="D3281" t="s">
        <v>27399</v>
      </c>
      <c r="E3281" t="s">
        <v>27400</v>
      </c>
      <c r="F3281" t="s">
        <v>1464</v>
      </c>
      <c r="G3281" t="s">
        <v>27401</v>
      </c>
      <c r="H3281" t="s">
        <v>428</v>
      </c>
      <c r="I3281" t="s">
        <v>19</v>
      </c>
      <c r="J3281" s="3" t="s">
        <v>27402</v>
      </c>
      <c r="K3281" t="s">
        <v>27403</v>
      </c>
      <c r="L3281" t="s">
        <v>27404</v>
      </c>
      <c r="M3281" t="s">
        <v>32144</v>
      </c>
    </row>
    <row r="3282" spans="1:13" x14ac:dyDescent="0.25">
      <c r="A3282" t="s">
        <v>28656</v>
      </c>
      <c r="B3282" t="s">
        <v>13</v>
      </c>
      <c r="C3282" t="s">
        <v>28657</v>
      </c>
      <c r="D3282" t="s">
        <v>28658</v>
      </c>
      <c r="E3282" t="s">
        <v>28659</v>
      </c>
      <c r="F3282" t="s">
        <v>432</v>
      </c>
      <c r="G3282" t="s">
        <v>28660</v>
      </c>
      <c r="H3282" t="s">
        <v>706</v>
      </c>
      <c r="I3282" t="s">
        <v>19</v>
      </c>
      <c r="J3282" s="3" t="s">
        <v>28661</v>
      </c>
      <c r="K3282" t="s">
        <v>28662</v>
      </c>
      <c r="L3282" t="s">
        <v>28663</v>
      </c>
      <c r="M3282" t="s">
        <v>432</v>
      </c>
    </row>
    <row r="3283" spans="1:13" x14ac:dyDescent="0.25">
      <c r="A3283" t="s">
        <v>17994</v>
      </c>
      <c r="B3283" t="s">
        <v>13</v>
      </c>
      <c r="C3283" t="s">
        <v>16588</v>
      </c>
      <c r="D3283" t="s">
        <v>17995</v>
      </c>
      <c r="E3283" s="2" t="s">
        <v>31976</v>
      </c>
      <c r="F3283" t="s">
        <v>306</v>
      </c>
      <c r="G3283" t="s">
        <v>17996</v>
      </c>
      <c r="H3283" t="s">
        <v>1037</v>
      </c>
      <c r="I3283" t="s">
        <v>19</v>
      </c>
      <c r="J3283" s="3">
        <f>55-31-999651758</f>
        <v>-999651734</v>
      </c>
      <c r="K3283" t="s">
        <v>17997</v>
      </c>
      <c r="L3283" t="s">
        <v>17998</v>
      </c>
      <c r="M3283" t="s">
        <v>32145</v>
      </c>
    </row>
    <row r="3284" spans="1:13" x14ac:dyDescent="0.25">
      <c r="A3284" t="s">
        <v>20366</v>
      </c>
      <c r="B3284" t="s">
        <v>13</v>
      </c>
      <c r="C3284" t="s">
        <v>12154</v>
      </c>
      <c r="D3284" t="s">
        <v>20367</v>
      </c>
      <c r="E3284" t="s">
        <v>32454</v>
      </c>
      <c r="F3284" t="s">
        <v>1464</v>
      </c>
      <c r="G3284" t="s">
        <v>20368</v>
      </c>
      <c r="H3284" t="s">
        <v>36</v>
      </c>
      <c r="I3284" t="s">
        <v>19</v>
      </c>
      <c r="J3284" s="3" t="s">
        <v>20369</v>
      </c>
      <c r="K3284" t="s">
        <v>20370</v>
      </c>
      <c r="L3284" t="s">
        <v>20371</v>
      </c>
      <c r="M3284" t="s">
        <v>129</v>
      </c>
    </row>
    <row r="3285" spans="1:13" x14ac:dyDescent="0.25">
      <c r="A3285" t="s">
        <v>14100</v>
      </c>
      <c r="B3285" t="s">
        <v>13</v>
      </c>
      <c r="C3285" t="s">
        <v>7928</v>
      </c>
      <c r="D3285" t="s">
        <v>14101</v>
      </c>
      <c r="E3285" t="s">
        <v>14102</v>
      </c>
      <c r="F3285" t="s">
        <v>2947</v>
      </c>
      <c r="G3285" t="s">
        <v>14103</v>
      </c>
      <c r="H3285" t="s">
        <v>8003</v>
      </c>
      <c r="I3285" t="s">
        <v>19</v>
      </c>
      <c r="J3285" s="3">
        <v>5130268287</v>
      </c>
      <c r="K3285" t="s">
        <v>14104</v>
      </c>
      <c r="L3285" t="s">
        <v>14105</v>
      </c>
      <c r="M3285" t="s">
        <v>771</v>
      </c>
    </row>
    <row r="3286" spans="1:13" x14ac:dyDescent="0.25">
      <c r="A3286" t="s">
        <v>6665</v>
      </c>
      <c r="B3286" t="s">
        <v>101</v>
      </c>
      <c r="C3286" t="s">
        <v>6666</v>
      </c>
      <c r="D3286" t="s">
        <v>6667</v>
      </c>
      <c r="E3286" s="2" t="s">
        <v>31911</v>
      </c>
      <c r="F3286" t="s">
        <v>6668</v>
      </c>
      <c r="G3286" t="s">
        <v>6669</v>
      </c>
      <c r="H3286" t="s">
        <v>265</v>
      </c>
      <c r="I3286" t="s">
        <v>19</v>
      </c>
      <c r="J3286" s="3" t="s">
        <v>6670</v>
      </c>
      <c r="K3286" t="s">
        <v>6671</v>
      </c>
      <c r="L3286" t="s">
        <v>32135</v>
      </c>
      <c r="M3286" t="s">
        <v>32121</v>
      </c>
    </row>
    <row r="3287" spans="1:13" x14ac:dyDescent="0.25">
      <c r="A3287" t="s">
        <v>11029</v>
      </c>
      <c r="B3287" t="s">
        <v>13</v>
      </c>
      <c r="C3287" s="1">
        <v>44111</v>
      </c>
      <c r="D3287" t="s">
        <v>11030</v>
      </c>
      <c r="E3287" s="2" t="s">
        <v>31534</v>
      </c>
      <c r="F3287" t="s">
        <v>11031</v>
      </c>
      <c r="G3287" t="s">
        <v>11032</v>
      </c>
      <c r="H3287" t="s">
        <v>1090</v>
      </c>
      <c r="I3287" t="s">
        <v>19</v>
      </c>
      <c r="J3287" s="3">
        <v>8332167431</v>
      </c>
      <c r="K3287" t="s">
        <v>11033</v>
      </c>
      <c r="L3287" t="s">
        <v>11034</v>
      </c>
      <c r="M3287" t="s">
        <v>741</v>
      </c>
    </row>
    <row r="3288" spans="1:13" x14ac:dyDescent="0.25">
      <c r="A3288" t="s">
        <v>15009</v>
      </c>
      <c r="B3288" t="s">
        <v>13</v>
      </c>
      <c r="C3288" t="s">
        <v>15010</v>
      </c>
      <c r="D3288" t="s">
        <v>15011</v>
      </c>
      <c r="E3288" t="s">
        <v>15012</v>
      </c>
      <c r="F3288" t="s">
        <v>8193</v>
      </c>
      <c r="G3288" t="s">
        <v>1309</v>
      </c>
      <c r="H3288" t="s">
        <v>88</v>
      </c>
      <c r="I3288" t="s">
        <v>19</v>
      </c>
      <c r="J3288" s="3" t="s">
        <v>15013</v>
      </c>
      <c r="K3288" t="s">
        <v>15014</v>
      </c>
      <c r="L3288" t="s">
        <v>91</v>
      </c>
      <c r="M3288" t="s">
        <v>129</v>
      </c>
    </row>
    <row r="3289" spans="1:13" x14ac:dyDescent="0.25">
      <c r="A3289" t="s">
        <v>17513</v>
      </c>
      <c r="B3289" t="s">
        <v>13</v>
      </c>
      <c r="C3289" s="1">
        <v>43621</v>
      </c>
      <c r="D3289" t="s">
        <v>17514</v>
      </c>
      <c r="E3289" t="s">
        <v>15012</v>
      </c>
      <c r="F3289" t="s">
        <v>1464</v>
      </c>
      <c r="G3289" t="s">
        <v>17515</v>
      </c>
      <c r="H3289" t="s">
        <v>88</v>
      </c>
      <c r="I3289" t="s">
        <v>19</v>
      </c>
      <c r="J3289" s="3">
        <v>33422001</v>
      </c>
      <c r="K3289" t="s">
        <v>1310</v>
      </c>
      <c r="L3289" t="s">
        <v>91</v>
      </c>
      <c r="M3289" t="s">
        <v>57</v>
      </c>
    </row>
    <row r="3290" spans="1:13" x14ac:dyDescent="0.25">
      <c r="A3290" t="s">
        <v>6058</v>
      </c>
      <c r="B3290" t="s">
        <v>13</v>
      </c>
      <c r="C3290" s="1">
        <v>43930</v>
      </c>
      <c r="D3290" t="s">
        <v>6059</v>
      </c>
      <c r="E3290" t="s">
        <v>5992</v>
      </c>
      <c r="F3290" t="s">
        <v>2036</v>
      </c>
      <c r="G3290" t="s">
        <v>6060</v>
      </c>
      <c r="H3290" t="s">
        <v>615</v>
      </c>
      <c r="I3290" t="s">
        <v>19</v>
      </c>
      <c r="J3290" s="3" t="s">
        <v>6061</v>
      </c>
      <c r="K3290" t="s">
        <v>6062</v>
      </c>
      <c r="L3290" t="s">
        <v>6063</v>
      </c>
      <c r="M3290" t="s">
        <v>57</v>
      </c>
    </row>
    <row r="3291" spans="1:13" x14ac:dyDescent="0.25">
      <c r="A3291" t="s">
        <v>5991</v>
      </c>
      <c r="B3291" t="s">
        <v>13</v>
      </c>
      <c r="C3291" s="1">
        <v>44540</v>
      </c>
      <c r="D3291" t="s">
        <v>32135</v>
      </c>
      <c r="E3291" s="2" t="s">
        <v>31930</v>
      </c>
      <c r="F3291" t="s">
        <v>659</v>
      </c>
      <c r="G3291" t="s">
        <v>5993</v>
      </c>
      <c r="H3291" t="s">
        <v>936</v>
      </c>
      <c r="I3291" t="s">
        <v>19</v>
      </c>
      <c r="J3291" s="3">
        <v>55071999002039</v>
      </c>
      <c r="K3291" t="s">
        <v>5994</v>
      </c>
      <c r="L3291" t="s">
        <v>32135</v>
      </c>
      <c r="M3291" t="s">
        <v>32144</v>
      </c>
    </row>
    <row r="3292" spans="1:13" x14ac:dyDescent="0.25">
      <c r="A3292" t="s">
        <v>2203</v>
      </c>
      <c r="B3292" t="s">
        <v>13</v>
      </c>
      <c r="C3292" s="1">
        <v>44782</v>
      </c>
      <c r="D3292" t="s">
        <v>2204</v>
      </c>
      <c r="E3292" s="2" t="s">
        <v>30728</v>
      </c>
      <c r="F3292" t="s">
        <v>387</v>
      </c>
      <c r="G3292" t="s">
        <v>2205</v>
      </c>
      <c r="H3292" t="s">
        <v>2206</v>
      </c>
      <c r="I3292" t="s">
        <v>19</v>
      </c>
      <c r="J3292" s="3" t="s">
        <v>2207</v>
      </c>
      <c r="K3292" t="s">
        <v>2208</v>
      </c>
      <c r="L3292" t="s">
        <v>1092</v>
      </c>
      <c r="M3292" t="s">
        <v>57</v>
      </c>
    </row>
    <row r="3293" spans="1:13" x14ac:dyDescent="0.25">
      <c r="A3293" t="s">
        <v>15151</v>
      </c>
      <c r="B3293" t="s">
        <v>13</v>
      </c>
      <c r="C3293" s="1">
        <v>43476</v>
      </c>
      <c r="D3293" t="s">
        <v>15152</v>
      </c>
      <c r="E3293" s="2" t="s">
        <v>31616</v>
      </c>
      <c r="F3293" t="s">
        <v>1464</v>
      </c>
      <c r="G3293" t="s">
        <v>15153</v>
      </c>
      <c r="H3293" t="s">
        <v>8003</v>
      </c>
      <c r="I3293" t="s">
        <v>19</v>
      </c>
      <c r="J3293" s="3" t="s">
        <v>15154</v>
      </c>
      <c r="K3293" t="s">
        <v>15155</v>
      </c>
      <c r="L3293" t="s">
        <v>5709</v>
      </c>
      <c r="M3293" t="s">
        <v>337</v>
      </c>
    </row>
    <row r="3294" spans="1:13" x14ac:dyDescent="0.25">
      <c r="A3294" t="s">
        <v>18069</v>
      </c>
      <c r="B3294" t="s">
        <v>13</v>
      </c>
      <c r="C3294" t="s">
        <v>18064</v>
      </c>
      <c r="D3294" t="s">
        <v>18070</v>
      </c>
      <c r="E3294" s="2" t="s">
        <v>31188</v>
      </c>
      <c r="F3294" t="s">
        <v>1464</v>
      </c>
      <c r="G3294" t="s">
        <v>12869</v>
      </c>
      <c r="H3294" t="s">
        <v>489</v>
      </c>
      <c r="I3294" t="s">
        <v>19</v>
      </c>
      <c r="J3294" s="3" t="s">
        <v>15164</v>
      </c>
      <c r="K3294" t="s">
        <v>15165</v>
      </c>
      <c r="L3294" t="s">
        <v>625</v>
      </c>
      <c r="M3294" t="s">
        <v>337</v>
      </c>
    </row>
    <row r="3295" spans="1:13" x14ac:dyDescent="0.25">
      <c r="A3295" t="s">
        <v>4394</v>
      </c>
      <c r="B3295" t="s">
        <v>13</v>
      </c>
      <c r="C3295" s="1">
        <v>44837</v>
      </c>
      <c r="D3295" t="s">
        <v>32135</v>
      </c>
      <c r="E3295" s="2" t="s">
        <v>31832</v>
      </c>
      <c r="F3295" t="s">
        <v>1611</v>
      </c>
      <c r="G3295" t="s">
        <v>625</v>
      </c>
      <c r="H3295" t="s">
        <v>489</v>
      </c>
      <c r="I3295" t="s">
        <v>19</v>
      </c>
      <c r="J3295" s="3" t="s">
        <v>4395</v>
      </c>
      <c r="K3295" t="s">
        <v>4396</v>
      </c>
      <c r="L3295" t="s">
        <v>625</v>
      </c>
      <c r="M3295" t="s">
        <v>337</v>
      </c>
    </row>
    <row r="3296" spans="1:13" x14ac:dyDescent="0.25">
      <c r="A3296" t="s">
        <v>6182</v>
      </c>
      <c r="B3296" t="s">
        <v>13</v>
      </c>
      <c r="C3296" s="1">
        <v>44206</v>
      </c>
      <c r="D3296" t="s">
        <v>6183</v>
      </c>
      <c r="E3296" s="2" t="s">
        <v>31941</v>
      </c>
      <c r="F3296" t="s">
        <v>6184</v>
      </c>
      <c r="G3296" t="s">
        <v>6185</v>
      </c>
      <c r="H3296" t="s">
        <v>893</v>
      </c>
      <c r="I3296" t="s">
        <v>19</v>
      </c>
      <c r="J3296" s="3">
        <f>55-98-988955888</f>
        <v>-988955931</v>
      </c>
      <c r="K3296" t="s">
        <v>6186</v>
      </c>
      <c r="L3296" t="s">
        <v>32135</v>
      </c>
      <c r="M3296" t="s">
        <v>337</v>
      </c>
    </row>
    <row r="3297" spans="1:13" x14ac:dyDescent="0.25">
      <c r="A3297" t="s">
        <v>18149</v>
      </c>
      <c r="B3297" t="s">
        <v>13</v>
      </c>
      <c r="C3297" t="s">
        <v>18150</v>
      </c>
      <c r="D3297" t="s">
        <v>18151</v>
      </c>
      <c r="E3297" t="s">
        <v>18152</v>
      </c>
      <c r="F3297" t="s">
        <v>1464</v>
      </c>
      <c r="G3297" t="s">
        <v>18153</v>
      </c>
      <c r="H3297" t="s">
        <v>71</v>
      </c>
      <c r="I3297" t="s">
        <v>19</v>
      </c>
      <c r="J3297" s="3">
        <v>558632371517</v>
      </c>
      <c r="K3297" t="s">
        <v>18154</v>
      </c>
      <c r="L3297" t="s">
        <v>18155</v>
      </c>
      <c r="M3297" t="s">
        <v>337</v>
      </c>
    </row>
    <row r="3298" spans="1:13" x14ac:dyDescent="0.25">
      <c r="A3298" t="s">
        <v>5053</v>
      </c>
      <c r="B3298" t="s">
        <v>13</v>
      </c>
      <c r="C3298" t="s">
        <v>5054</v>
      </c>
      <c r="D3298" t="s">
        <v>5055</v>
      </c>
      <c r="E3298" t="s">
        <v>5056</v>
      </c>
      <c r="F3298" t="s">
        <v>5057</v>
      </c>
      <c r="G3298" t="s">
        <v>565</v>
      </c>
      <c r="H3298" t="s">
        <v>706</v>
      </c>
      <c r="I3298" t="s">
        <v>19</v>
      </c>
      <c r="J3298" s="3" t="s">
        <v>5058</v>
      </c>
      <c r="K3298" t="s">
        <v>5059</v>
      </c>
      <c r="L3298" t="s">
        <v>32135</v>
      </c>
      <c r="M3298" t="s">
        <v>32144</v>
      </c>
    </row>
    <row r="3299" spans="1:13" x14ac:dyDescent="0.25">
      <c r="A3299" t="s">
        <v>2246</v>
      </c>
      <c r="B3299" t="s">
        <v>101</v>
      </c>
      <c r="C3299" s="1">
        <v>44690</v>
      </c>
      <c r="D3299" t="s">
        <v>2247</v>
      </c>
      <c r="E3299" t="s">
        <v>2248</v>
      </c>
      <c r="F3299" t="s">
        <v>86</v>
      </c>
      <c r="G3299" t="s">
        <v>2249</v>
      </c>
      <c r="H3299" t="s">
        <v>1047</v>
      </c>
      <c r="I3299" t="s">
        <v>19</v>
      </c>
      <c r="J3299" s="3">
        <v>552733357260</v>
      </c>
      <c r="K3299" t="s">
        <v>2250</v>
      </c>
      <c r="L3299" t="s">
        <v>1050</v>
      </c>
      <c r="M3299" t="s">
        <v>32145</v>
      </c>
    </row>
    <row r="3300" spans="1:13" x14ac:dyDescent="0.25">
      <c r="A3300" t="s">
        <v>2738</v>
      </c>
      <c r="B3300" t="s">
        <v>13</v>
      </c>
      <c r="C3300" s="1">
        <v>44569</v>
      </c>
      <c r="D3300" t="s">
        <v>2739</v>
      </c>
      <c r="E3300" t="s">
        <v>2248</v>
      </c>
      <c r="F3300" t="s">
        <v>396</v>
      </c>
      <c r="G3300" t="s">
        <v>307</v>
      </c>
      <c r="H3300" t="s">
        <v>308</v>
      </c>
      <c r="I3300" t="s">
        <v>309</v>
      </c>
      <c r="J3300" s="3" t="s">
        <v>310</v>
      </c>
      <c r="K3300" t="s">
        <v>311</v>
      </c>
      <c r="L3300" t="s">
        <v>312</v>
      </c>
      <c r="M3300" t="s">
        <v>32145</v>
      </c>
    </row>
    <row r="3301" spans="1:13" x14ac:dyDescent="0.25">
      <c r="A3301" t="s">
        <v>6630</v>
      </c>
      <c r="B3301" t="s">
        <v>13</v>
      </c>
      <c r="C3301" t="s">
        <v>6625</v>
      </c>
      <c r="D3301" t="s">
        <v>32135</v>
      </c>
      <c r="E3301" t="s">
        <v>2248</v>
      </c>
      <c r="F3301" t="s">
        <v>396</v>
      </c>
      <c r="G3301" t="s">
        <v>6631</v>
      </c>
      <c r="H3301" t="s">
        <v>706</v>
      </c>
      <c r="I3301" t="s">
        <v>19</v>
      </c>
      <c r="J3301" s="3">
        <f>55-31-34099179</f>
        <v>-34099155</v>
      </c>
      <c r="K3301" t="s">
        <v>6632</v>
      </c>
      <c r="L3301" t="s">
        <v>32135</v>
      </c>
      <c r="M3301" t="s">
        <v>32145</v>
      </c>
    </row>
    <row r="3302" spans="1:13" x14ac:dyDescent="0.25">
      <c r="A3302" t="s">
        <v>25717</v>
      </c>
      <c r="B3302" t="s">
        <v>13</v>
      </c>
      <c r="C3302" s="1">
        <v>42712</v>
      </c>
      <c r="D3302" t="s">
        <v>25718</v>
      </c>
      <c r="E3302" t="s">
        <v>25719</v>
      </c>
      <c r="F3302" t="s">
        <v>306</v>
      </c>
      <c r="G3302" t="s">
        <v>9666</v>
      </c>
      <c r="H3302" t="s">
        <v>195</v>
      </c>
      <c r="I3302" t="s">
        <v>19</v>
      </c>
      <c r="J3302" s="3" t="s">
        <v>8299</v>
      </c>
      <c r="K3302" t="s">
        <v>8300</v>
      </c>
      <c r="L3302" t="s">
        <v>25720</v>
      </c>
      <c r="M3302" t="s">
        <v>32145</v>
      </c>
    </row>
    <row r="3303" spans="1:13" x14ac:dyDescent="0.25">
      <c r="A3303" t="s">
        <v>7074</v>
      </c>
      <c r="B3303" t="s">
        <v>13</v>
      </c>
      <c r="C3303" t="s">
        <v>7075</v>
      </c>
      <c r="D3303" t="s">
        <v>32135</v>
      </c>
      <c r="E3303" t="s">
        <v>7076</v>
      </c>
      <c r="F3303" t="s">
        <v>7077</v>
      </c>
      <c r="G3303" t="s">
        <v>7078</v>
      </c>
      <c r="H3303" t="s">
        <v>36</v>
      </c>
      <c r="I3303" t="s">
        <v>19</v>
      </c>
      <c r="J3303" s="3">
        <v>5511976951237</v>
      </c>
      <c r="K3303" t="s">
        <v>7079</v>
      </c>
      <c r="L3303" t="s">
        <v>32135</v>
      </c>
      <c r="M3303" t="s">
        <v>224</v>
      </c>
    </row>
    <row r="3304" spans="1:13" x14ac:dyDescent="0.25">
      <c r="A3304" t="s">
        <v>21562</v>
      </c>
      <c r="B3304" t="s">
        <v>13</v>
      </c>
      <c r="C3304" s="1">
        <v>43409</v>
      </c>
      <c r="D3304" t="s">
        <v>21563</v>
      </c>
      <c r="E3304" t="s">
        <v>21564</v>
      </c>
      <c r="F3304" t="s">
        <v>1129</v>
      </c>
      <c r="G3304" t="s">
        <v>21565</v>
      </c>
      <c r="H3304" t="s">
        <v>21566</v>
      </c>
      <c r="I3304" t="s">
        <v>19</v>
      </c>
      <c r="J3304" s="3" t="s">
        <v>21567</v>
      </c>
      <c r="K3304" t="s">
        <v>21568</v>
      </c>
      <c r="L3304" t="s">
        <v>21569</v>
      </c>
      <c r="M3304" t="s">
        <v>224</v>
      </c>
    </row>
    <row r="3305" spans="1:13" x14ac:dyDescent="0.25">
      <c r="A3305" t="s">
        <v>12898</v>
      </c>
      <c r="B3305" t="s">
        <v>13</v>
      </c>
      <c r="C3305" t="s">
        <v>6569</v>
      </c>
      <c r="D3305" t="s">
        <v>12899</v>
      </c>
      <c r="E3305" s="2" t="s">
        <v>31056</v>
      </c>
      <c r="F3305" t="s">
        <v>1464</v>
      </c>
      <c r="G3305" t="s">
        <v>12900</v>
      </c>
      <c r="H3305" t="s">
        <v>409</v>
      </c>
      <c r="I3305" t="s">
        <v>19</v>
      </c>
      <c r="J3305" s="3" t="s">
        <v>12901</v>
      </c>
      <c r="K3305" t="s">
        <v>12902</v>
      </c>
      <c r="L3305" t="s">
        <v>12903</v>
      </c>
      <c r="M3305" s="4" t="s">
        <v>57</v>
      </c>
    </row>
    <row r="3306" spans="1:13" x14ac:dyDescent="0.25">
      <c r="A3306" t="s">
        <v>24618</v>
      </c>
      <c r="B3306" t="s">
        <v>13</v>
      </c>
      <c r="C3306" t="s">
        <v>24546</v>
      </c>
      <c r="D3306" t="s">
        <v>24619</v>
      </c>
      <c r="E3306" t="s">
        <v>24620</v>
      </c>
      <c r="F3306" t="s">
        <v>1464</v>
      </c>
      <c r="G3306" t="s">
        <v>9792</v>
      </c>
      <c r="H3306" t="s">
        <v>489</v>
      </c>
      <c r="I3306" t="s">
        <v>19</v>
      </c>
      <c r="J3306" s="3">
        <f>55- 41-3361-1699</f>
        <v>-5046</v>
      </c>
      <c r="K3306" t="s">
        <v>10845</v>
      </c>
      <c r="L3306" t="s">
        <v>625</v>
      </c>
      <c r="M3306" t="s">
        <v>32144</v>
      </c>
    </row>
    <row r="3307" spans="1:13" x14ac:dyDescent="0.25">
      <c r="A3307" t="s">
        <v>21781</v>
      </c>
      <c r="B3307" t="s">
        <v>13</v>
      </c>
      <c r="C3307" t="s">
        <v>21782</v>
      </c>
      <c r="D3307" t="s">
        <v>21783</v>
      </c>
      <c r="E3307" t="s">
        <v>21784</v>
      </c>
      <c r="F3307" t="s">
        <v>3084</v>
      </c>
      <c r="G3307" t="s">
        <v>21785</v>
      </c>
      <c r="H3307" t="s">
        <v>472</v>
      </c>
      <c r="I3307" t="s">
        <v>19</v>
      </c>
      <c r="J3307" s="3" t="s">
        <v>21786</v>
      </c>
      <c r="K3307" t="s">
        <v>21787</v>
      </c>
      <c r="L3307" t="s">
        <v>2101</v>
      </c>
      <c r="M3307" t="s">
        <v>32144</v>
      </c>
    </row>
    <row r="3308" spans="1:13" x14ac:dyDescent="0.25">
      <c r="A3308" t="s">
        <v>18929</v>
      </c>
      <c r="B3308" t="s">
        <v>13</v>
      </c>
      <c r="C3308" t="s">
        <v>14393</v>
      </c>
      <c r="D3308" t="s">
        <v>18930</v>
      </c>
      <c r="E3308" t="s">
        <v>18931</v>
      </c>
      <c r="F3308" t="s">
        <v>224</v>
      </c>
      <c r="G3308" t="s">
        <v>10595</v>
      </c>
      <c r="H3308" t="s">
        <v>36</v>
      </c>
      <c r="I3308" t="s">
        <v>19</v>
      </c>
      <c r="J3308" s="3">
        <v>5511999530716</v>
      </c>
      <c r="K3308" t="s">
        <v>18932</v>
      </c>
      <c r="L3308" t="s">
        <v>5007</v>
      </c>
      <c r="M3308" t="s">
        <v>224</v>
      </c>
    </row>
    <row r="3309" spans="1:13" x14ac:dyDescent="0.25">
      <c r="A3309" t="s">
        <v>5124</v>
      </c>
      <c r="B3309" t="s">
        <v>13</v>
      </c>
      <c r="C3309" s="1">
        <v>44835</v>
      </c>
      <c r="D3309" t="s">
        <v>5125</v>
      </c>
      <c r="E3309" s="2" t="s">
        <v>31608</v>
      </c>
      <c r="F3309" t="s">
        <v>5126</v>
      </c>
      <c r="G3309" t="s">
        <v>5127</v>
      </c>
      <c r="H3309" t="s">
        <v>428</v>
      </c>
      <c r="I3309" t="s">
        <v>19</v>
      </c>
      <c r="J3309" s="3">
        <f>55-54-33085817</f>
        <v>-33085816</v>
      </c>
      <c r="K3309" t="s">
        <v>5128</v>
      </c>
      <c r="L3309" t="s">
        <v>32135</v>
      </c>
      <c r="M3309" t="s">
        <v>32145</v>
      </c>
    </row>
    <row r="3310" spans="1:13" x14ac:dyDescent="0.25">
      <c r="A3310" t="s">
        <v>1865</v>
      </c>
      <c r="B3310" t="s">
        <v>101</v>
      </c>
      <c r="C3310" s="1">
        <v>44630</v>
      </c>
      <c r="D3310" t="s">
        <v>1866</v>
      </c>
      <c r="E3310" t="s">
        <v>1867</v>
      </c>
      <c r="F3310" t="s">
        <v>1069</v>
      </c>
      <c r="G3310" t="s">
        <v>1868</v>
      </c>
      <c r="H3310" t="s">
        <v>195</v>
      </c>
      <c r="I3310" t="s">
        <v>19</v>
      </c>
      <c r="J3310" s="3" t="s">
        <v>1869</v>
      </c>
      <c r="K3310" t="s">
        <v>1870</v>
      </c>
      <c r="L3310" t="s">
        <v>197</v>
      </c>
      <c r="M3310" t="s">
        <v>224</v>
      </c>
    </row>
    <row r="3311" spans="1:13" x14ac:dyDescent="0.25">
      <c r="A3311" t="s">
        <v>20287</v>
      </c>
      <c r="B3311" t="s">
        <v>13</v>
      </c>
      <c r="C3311" t="s">
        <v>20288</v>
      </c>
      <c r="D3311" t="s">
        <v>20289</v>
      </c>
      <c r="E3311" t="s">
        <v>7717</v>
      </c>
      <c r="F3311" t="s">
        <v>337</v>
      </c>
      <c r="G3311" t="s">
        <v>20290</v>
      </c>
      <c r="H3311" t="s">
        <v>6566</v>
      </c>
      <c r="I3311" t="s">
        <v>19</v>
      </c>
      <c r="J3311" s="3" t="s">
        <v>20291</v>
      </c>
      <c r="K3311" t="s">
        <v>20292</v>
      </c>
      <c r="L3311" t="s">
        <v>2073</v>
      </c>
      <c r="M3311" t="s">
        <v>337</v>
      </c>
    </row>
    <row r="3312" spans="1:13" x14ac:dyDescent="0.25">
      <c r="A3312" t="s">
        <v>8675</v>
      </c>
      <c r="B3312" t="s">
        <v>13</v>
      </c>
      <c r="C3312" t="s">
        <v>8676</v>
      </c>
      <c r="D3312" t="s">
        <v>8677</v>
      </c>
      <c r="E3312" t="s">
        <v>8678</v>
      </c>
      <c r="F3312" t="s">
        <v>337</v>
      </c>
      <c r="G3312" t="s">
        <v>8671</v>
      </c>
      <c r="H3312" t="s">
        <v>3416</v>
      </c>
      <c r="I3312" t="s">
        <v>19</v>
      </c>
      <c r="J3312" s="3" t="s">
        <v>8672</v>
      </c>
      <c r="K3312" t="s">
        <v>8673</v>
      </c>
      <c r="L3312" t="s">
        <v>8674</v>
      </c>
      <c r="M3312" t="s">
        <v>337</v>
      </c>
    </row>
    <row r="3313" spans="1:13" x14ac:dyDescent="0.25">
      <c r="A3313" t="s">
        <v>7714</v>
      </c>
      <c r="B3313" t="s">
        <v>13</v>
      </c>
      <c r="C3313" t="s">
        <v>7715</v>
      </c>
      <c r="D3313" t="s">
        <v>7716</v>
      </c>
      <c r="E3313" t="s">
        <v>7717</v>
      </c>
      <c r="F3313" t="s">
        <v>1775</v>
      </c>
      <c r="G3313" t="s">
        <v>7718</v>
      </c>
      <c r="H3313" t="s">
        <v>170</v>
      </c>
      <c r="I3313" t="s">
        <v>19</v>
      </c>
      <c r="J3313" s="3" t="s">
        <v>7719</v>
      </c>
      <c r="K3313" t="s">
        <v>7720</v>
      </c>
      <c r="L3313" t="s">
        <v>7721</v>
      </c>
      <c r="M3313" t="s">
        <v>1775</v>
      </c>
    </row>
    <row r="3314" spans="1:13" x14ac:dyDescent="0.25">
      <c r="A3314" t="s">
        <v>15880</v>
      </c>
      <c r="B3314" t="s">
        <v>13</v>
      </c>
      <c r="C3314" t="s">
        <v>15876</v>
      </c>
      <c r="D3314" t="s">
        <v>15881</v>
      </c>
      <c r="E3314" t="s">
        <v>7717</v>
      </c>
      <c r="F3314" t="s">
        <v>1464</v>
      </c>
      <c r="G3314" t="s">
        <v>15882</v>
      </c>
      <c r="H3314" t="s">
        <v>1802</v>
      </c>
      <c r="I3314" t="s">
        <v>19</v>
      </c>
      <c r="J3314" s="3" t="s">
        <v>15883</v>
      </c>
      <c r="K3314" t="s">
        <v>15884</v>
      </c>
      <c r="L3314" t="s">
        <v>1805</v>
      </c>
      <c r="M3314" t="s">
        <v>337</v>
      </c>
    </row>
    <row r="3315" spans="1:13" x14ac:dyDescent="0.25">
      <c r="A3315" t="s">
        <v>18005</v>
      </c>
      <c r="B3315" t="s">
        <v>13</v>
      </c>
      <c r="C3315" t="s">
        <v>16588</v>
      </c>
      <c r="D3315" t="s">
        <v>18006</v>
      </c>
      <c r="E3315" t="s">
        <v>7717</v>
      </c>
      <c r="F3315" t="s">
        <v>32147</v>
      </c>
      <c r="G3315" t="s">
        <v>18007</v>
      </c>
      <c r="H3315" t="s">
        <v>6985</v>
      </c>
      <c r="I3315" t="s">
        <v>19</v>
      </c>
      <c r="J3315" s="3">
        <v>5511999551914</v>
      </c>
      <c r="K3315" t="s">
        <v>18008</v>
      </c>
      <c r="L3315" t="s">
        <v>3398</v>
      </c>
      <c r="M3315" t="s">
        <v>32147</v>
      </c>
    </row>
    <row r="3316" spans="1:13" x14ac:dyDescent="0.25">
      <c r="A3316" t="s">
        <v>19638</v>
      </c>
      <c r="B3316" t="s">
        <v>13</v>
      </c>
      <c r="C3316" t="s">
        <v>6734</v>
      </c>
      <c r="D3316" t="s">
        <v>19639</v>
      </c>
      <c r="E3316" t="s">
        <v>7717</v>
      </c>
      <c r="G3316" t="s">
        <v>19640</v>
      </c>
      <c r="H3316" t="s">
        <v>17552</v>
      </c>
      <c r="I3316" t="s">
        <v>19</v>
      </c>
      <c r="J3316" s="3" t="s">
        <v>19641</v>
      </c>
      <c r="K3316" t="s">
        <v>19642</v>
      </c>
      <c r="L3316" t="s">
        <v>2101</v>
      </c>
      <c r="M3316" t="s">
        <v>337</v>
      </c>
    </row>
    <row r="3317" spans="1:13" x14ac:dyDescent="0.25">
      <c r="A3317" t="s">
        <v>23980</v>
      </c>
      <c r="B3317" t="s">
        <v>13</v>
      </c>
      <c r="C3317" t="s">
        <v>19877</v>
      </c>
      <c r="D3317" t="s">
        <v>23981</v>
      </c>
      <c r="E3317" s="2" t="s">
        <v>31336</v>
      </c>
      <c r="F3317" t="s">
        <v>1464</v>
      </c>
      <c r="G3317" t="s">
        <v>23982</v>
      </c>
      <c r="H3317" t="s">
        <v>2215</v>
      </c>
      <c r="I3317" t="s">
        <v>19</v>
      </c>
      <c r="J3317" s="3" t="s">
        <v>23983</v>
      </c>
      <c r="K3317" t="s">
        <v>23984</v>
      </c>
      <c r="L3317" t="s">
        <v>23985</v>
      </c>
      <c r="M3317" t="s">
        <v>337</v>
      </c>
    </row>
    <row r="3318" spans="1:13" x14ac:dyDescent="0.25">
      <c r="A3318" t="s">
        <v>11131</v>
      </c>
      <c r="B3318" t="s">
        <v>13</v>
      </c>
      <c r="C3318" t="s">
        <v>11132</v>
      </c>
      <c r="D3318" t="s">
        <v>11133</v>
      </c>
      <c r="E3318" t="s">
        <v>11134</v>
      </c>
      <c r="F3318" t="s">
        <v>1464</v>
      </c>
      <c r="G3318" t="s">
        <v>11135</v>
      </c>
      <c r="H3318" t="s">
        <v>265</v>
      </c>
      <c r="I3318" t="s">
        <v>19</v>
      </c>
      <c r="J3318" s="3" t="s">
        <v>11136</v>
      </c>
      <c r="K3318" t="s">
        <v>11137</v>
      </c>
      <c r="L3318" t="s">
        <v>11138</v>
      </c>
      <c r="M3318" t="s">
        <v>337</v>
      </c>
    </row>
    <row r="3319" spans="1:13" x14ac:dyDescent="0.25">
      <c r="A3319" t="s">
        <v>22764</v>
      </c>
      <c r="B3319" t="s">
        <v>13</v>
      </c>
      <c r="C3319" t="s">
        <v>22765</v>
      </c>
      <c r="D3319" t="s">
        <v>22766</v>
      </c>
      <c r="E3319" s="2" t="s">
        <v>31698</v>
      </c>
      <c r="F3319" t="s">
        <v>934</v>
      </c>
      <c r="G3319" t="s">
        <v>21915</v>
      </c>
      <c r="H3319" t="s">
        <v>1656</v>
      </c>
      <c r="I3319" t="s">
        <v>19</v>
      </c>
      <c r="J3319" s="3" t="s">
        <v>21916</v>
      </c>
      <c r="K3319" t="s">
        <v>21917</v>
      </c>
      <c r="L3319" t="s">
        <v>1658</v>
      </c>
      <c r="M3319" t="s">
        <v>57</v>
      </c>
    </row>
    <row r="3320" spans="1:13" x14ac:dyDescent="0.25">
      <c r="A3320" t="s">
        <v>27606</v>
      </c>
      <c r="B3320" t="s">
        <v>13</v>
      </c>
      <c r="C3320" t="s">
        <v>27591</v>
      </c>
      <c r="D3320" t="s">
        <v>27607</v>
      </c>
      <c r="E3320" t="s">
        <v>27608</v>
      </c>
      <c r="F3320" t="s">
        <v>332</v>
      </c>
      <c r="G3320" t="s">
        <v>14166</v>
      </c>
      <c r="H3320" t="s">
        <v>3416</v>
      </c>
      <c r="I3320" t="s">
        <v>19</v>
      </c>
      <c r="J3320" s="3">
        <v>551633016411</v>
      </c>
      <c r="K3320" t="s">
        <v>14167</v>
      </c>
      <c r="L3320" t="s">
        <v>3441</v>
      </c>
      <c r="M3320" t="s">
        <v>337</v>
      </c>
    </row>
    <row r="3321" spans="1:13" x14ac:dyDescent="0.25">
      <c r="A3321" t="s">
        <v>5281</v>
      </c>
      <c r="B3321" t="s">
        <v>13</v>
      </c>
      <c r="C3321" t="s">
        <v>5220</v>
      </c>
      <c r="D3321" t="s">
        <v>5282</v>
      </c>
      <c r="E3321" t="s">
        <v>5283</v>
      </c>
      <c r="F3321" t="s">
        <v>711</v>
      </c>
      <c r="G3321" t="s">
        <v>5284</v>
      </c>
      <c r="H3321" t="s">
        <v>5285</v>
      </c>
      <c r="I3321" t="s">
        <v>19</v>
      </c>
      <c r="J3321" s="3">
        <v>5516992715146</v>
      </c>
      <c r="K3321" t="s">
        <v>5286</v>
      </c>
      <c r="L3321" t="s">
        <v>32135</v>
      </c>
      <c r="M3321" t="s">
        <v>337</v>
      </c>
    </row>
    <row r="3322" spans="1:13" x14ac:dyDescent="0.25">
      <c r="A3322" t="s">
        <v>6245</v>
      </c>
      <c r="B3322" t="s">
        <v>13</v>
      </c>
      <c r="C3322" t="s">
        <v>6246</v>
      </c>
      <c r="D3322" t="s">
        <v>6247</v>
      </c>
      <c r="E3322" s="2" t="s">
        <v>31365</v>
      </c>
      <c r="F3322" t="s">
        <v>2242</v>
      </c>
      <c r="G3322" t="s">
        <v>6250</v>
      </c>
      <c r="H3322" t="s">
        <v>1466</v>
      </c>
      <c r="I3322" t="s">
        <v>19</v>
      </c>
      <c r="J3322" s="3">
        <f>55-35-992100616</f>
        <v>-992100596</v>
      </c>
      <c r="K3322" t="s">
        <v>6251</v>
      </c>
      <c r="L3322" t="s">
        <v>32135</v>
      </c>
      <c r="M3322" t="s">
        <v>337</v>
      </c>
    </row>
    <row r="3323" spans="1:13" x14ac:dyDescent="0.25">
      <c r="A3323" t="s">
        <v>14290</v>
      </c>
      <c r="B3323" t="s">
        <v>13</v>
      </c>
      <c r="C3323" s="1">
        <v>42801</v>
      </c>
      <c r="D3323" t="s">
        <v>14291</v>
      </c>
      <c r="E3323" s="2" t="s">
        <v>31860</v>
      </c>
      <c r="F3323" t="s">
        <v>1775</v>
      </c>
      <c r="G3323" t="s">
        <v>14292</v>
      </c>
      <c r="H3323" t="s">
        <v>1335</v>
      </c>
      <c r="I3323" t="s">
        <v>19</v>
      </c>
      <c r="J3323" s="3" t="s">
        <v>14293</v>
      </c>
      <c r="K3323" t="s">
        <v>14294</v>
      </c>
      <c r="L3323" t="s">
        <v>1461</v>
      </c>
      <c r="M3323" t="s">
        <v>1775</v>
      </c>
    </row>
    <row r="3324" spans="1:13" x14ac:dyDescent="0.25">
      <c r="A3324" t="s">
        <v>8655</v>
      </c>
      <c r="B3324" t="s">
        <v>13</v>
      </c>
      <c r="C3324" t="s">
        <v>8656</v>
      </c>
      <c r="D3324" t="s">
        <v>8657</v>
      </c>
      <c r="E3324" s="2" t="s">
        <v>31638</v>
      </c>
      <c r="F3324" t="s">
        <v>8658</v>
      </c>
      <c r="G3324" t="s">
        <v>8659</v>
      </c>
      <c r="H3324" t="s">
        <v>472</v>
      </c>
      <c r="I3324" t="s">
        <v>19</v>
      </c>
      <c r="J3324" s="3">
        <f>55-81-2126-8818</f>
        <v>-10970</v>
      </c>
      <c r="K3324" t="s">
        <v>8660</v>
      </c>
      <c r="L3324" t="s">
        <v>8661</v>
      </c>
      <c r="M3324" t="s">
        <v>337</v>
      </c>
    </row>
    <row r="3325" spans="1:13" x14ac:dyDescent="0.25">
      <c r="A3325" t="s">
        <v>16338</v>
      </c>
      <c r="B3325" t="s">
        <v>13</v>
      </c>
      <c r="C3325" t="s">
        <v>8213</v>
      </c>
      <c r="D3325" t="s">
        <v>16339</v>
      </c>
      <c r="E3325" s="2" t="s">
        <v>31640</v>
      </c>
      <c r="F3325" t="s">
        <v>1190</v>
      </c>
      <c r="G3325" t="s">
        <v>16340</v>
      </c>
      <c r="H3325" t="s">
        <v>472</v>
      </c>
      <c r="I3325" t="s">
        <v>19</v>
      </c>
      <c r="J3325" s="3">
        <v>5508121268492</v>
      </c>
      <c r="K3325" t="s">
        <v>16341</v>
      </c>
      <c r="L3325" t="s">
        <v>2101</v>
      </c>
      <c r="M3325" t="s">
        <v>432</v>
      </c>
    </row>
    <row r="3326" spans="1:13" x14ac:dyDescent="0.25">
      <c r="A3326" t="s">
        <v>20903</v>
      </c>
      <c r="B3326" t="s">
        <v>13</v>
      </c>
      <c r="C3326" t="s">
        <v>2033</v>
      </c>
      <c r="D3326" t="s">
        <v>20904</v>
      </c>
      <c r="E3326" t="s">
        <v>20905</v>
      </c>
      <c r="F3326" t="s">
        <v>12383</v>
      </c>
      <c r="G3326" t="s">
        <v>20906</v>
      </c>
      <c r="H3326" t="s">
        <v>428</v>
      </c>
      <c r="I3326" t="s">
        <v>19</v>
      </c>
      <c r="J3326" s="3" t="s">
        <v>20907</v>
      </c>
      <c r="K3326" t="s">
        <v>20908</v>
      </c>
      <c r="L3326" t="s">
        <v>20909</v>
      </c>
      <c r="M3326" t="s">
        <v>32155</v>
      </c>
    </row>
    <row r="3327" spans="1:13" x14ac:dyDescent="0.25">
      <c r="A3327" t="s">
        <v>27183</v>
      </c>
      <c r="B3327" t="s">
        <v>101</v>
      </c>
      <c r="C3327" s="1">
        <v>42162</v>
      </c>
      <c r="D3327" t="s">
        <v>27184</v>
      </c>
      <c r="E3327" t="s">
        <v>27185</v>
      </c>
      <c r="F3327" t="s">
        <v>117</v>
      </c>
      <c r="G3327" t="s">
        <v>23482</v>
      </c>
      <c r="H3327" t="s">
        <v>352</v>
      </c>
      <c r="I3327" t="s">
        <v>19</v>
      </c>
      <c r="J3327" s="3" t="s">
        <v>23483</v>
      </c>
      <c r="K3327" t="s">
        <v>23484</v>
      </c>
      <c r="L3327" t="s">
        <v>23485</v>
      </c>
      <c r="M3327" t="s">
        <v>32145</v>
      </c>
    </row>
    <row r="3328" spans="1:13" x14ac:dyDescent="0.25">
      <c r="A3328" t="s">
        <v>4412</v>
      </c>
      <c r="B3328" t="s">
        <v>13</v>
      </c>
      <c r="C3328" t="s">
        <v>4413</v>
      </c>
      <c r="D3328" t="s">
        <v>32135</v>
      </c>
      <c r="E3328" s="2" t="s">
        <v>30807</v>
      </c>
      <c r="F3328" t="s">
        <v>4414</v>
      </c>
      <c r="G3328" t="s">
        <v>4415</v>
      </c>
      <c r="H3328" t="s">
        <v>36</v>
      </c>
      <c r="I3328" t="s">
        <v>19</v>
      </c>
      <c r="J3328" s="3" t="s">
        <v>4416</v>
      </c>
      <c r="K3328" t="s">
        <v>4417</v>
      </c>
      <c r="L3328" t="s">
        <v>4418</v>
      </c>
      <c r="M3328" t="s">
        <v>32155</v>
      </c>
    </row>
    <row r="3329" spans="1:13" x14ac:dyDescent="0.25">
      <c r="A3329" t="s">
        <v>7382</v>
      </c>
      <c r="B3329" t="s">
        <v>13</v>
      </c>
      <c r="C3329" t="s">
        <v>7363</v>
      </c>
      <c r="D3329" t="s">
        <v>32135</v>
      </c>
      <c r="E3329" t="s">
        <v>1919</v>
      </c>
      <c r="F3329" t="s">
        <v>1122</v>
      </c>
      <c r="G3329" t="s">
        <v>7383</v>
      </c>
      <c r="H3329" t="s">
        <v>45</v>
      </c>
      <c r="I3329" t="s">
        <v>19</v>
      </c>
      <c r="J3329" s="3">
        <f>55-85-3228-4653</f>
        <v>-7911</v>
      </c>
      <c r="K3329" t="s">
        <v>7384</v>
      </c>
      <c r="L3329" t="s">
        <v>32135</v>
      </c>
      <c r="M3329" t="s">
        <v>1349</v>
      </c>
    </row>
    <row r="3330" spans="1:13" x14ac:dyDescent="0.25">
      <c r="A3330" t="s">
        <v>23399</v>
      </c>
      <c r="B3330" t="s">
        <v>13</v>
      </c>
      <c r="C3330" t="s">
        <v>7290</v>
      </c>
      <c r="D3330" t="s">
        <v>23400</v>
      </c>
      <c r="E3330" t="s">
        <v>1919</v>
      </c>
      <c r="F3330" t="s">
        <v>1349</v>
      </c>
      <c r="G3330" t="s">
        <v>17048</v>
      </c>
      <c r="H3330" t="s">
        <v>45</v>
      </c>
      <c r="I3330" t="s">
        <v>19</v>
      </c>
      <c r="J3330" s="3">
        <v>558533668454</v>
      </c>
      <c r="K3330" t="s">
        <v>17049</v>
      </c>
      <c r="L3330" t="s">
        <v>1909</v>
      </c>
      <c r="M3330" t="s">
        <v>1349</v>
      </c>
    </row>
    <row r="3331" spans="1:13" x14ac:dyDescent="0.25">
      <c r="A3331" t="s">
        <v>7927</v>
      </c>
      <c r="B3331" t="s">
        <v>13</v>
      </c>
      <c r="C3331" t="s">
        <v>7928</v>
      </c>
      <c r="D3331" t="s">
        <v>7929</v>
      </c>
      <c r="E3331" t="s">
        <v>1919</v>
      </c>
      <c r="F3331" t="s">
        <v>1464</v>
      </c>
      <c r="G3331" t="s">
        <v>7930</v>
      </c>
      <c r="H3331" t="s">
        <v>36</v>
      </c>
      <c r="I3331" t="s">
        <v>19</v>
      </c>
      <c r="J3331" s="3">
        <f>55-11-3893-2000</f>
        <v>-5849</v>
      </c>
      <c r="K3331" t="s">
        <v>7931</v>
      </c>
      <c r="L3331" t="s">
        <v>7932</v>
      </c>
      <c r="M3331" t="s">
        <v>337</v>
      </c>
    </row>
    <row r="3332" spans="1:13" x14ac:dyDescent="0.25">
      <c r="A3332" t="s">
        <v>12831</v>
      </c>
      <c r="B3332" t="s">
        <v>101</v>
      </c>
      <c r="C3332" t="s">
        <v>12816</v>
      </c>
      <c r="D3332" t="s">
        <v>12832</v>
      </c>
      <c r="E3332" t="s">
        <v>1919</v>
      </c>
      <c r="F3332" t="s">
        <v>1464</v>
      </c>
      <c r="G3332" t="s">
        <v>12833</v>
      </c>
      <c r="H3332" t="s">
        <v>36</v>
      </c>
      <c r="I3332" t="s">
        <v>19</v>
      </c>
      <c r="J3332" s="3" t="s">
        <v>12834</v>
      </c>
      <c r="K3332" t="s">
        <v>12835</v>
      </c>
      <c r="L3332" t="s">
        <v>7932</v>
      </c>
      <c r="M3332" t="s">
        <v>337</v>
      </c>
    </row>
    <row r="3333" spans="1:13" x14ac:dyDescent="0.25">
      <c r="A3333" t="s">
        <v>7068</v>
      </c>
      <c r="B3333" t="s">
        <v>13</v>
      </c>
      <c r="C3333" t="s">
        <v>7069</v>
      </c>
      <c r="D3333" t="s">
        <v>7070</v>
      </c>
      <c r="E3333" t="s">
        <v>1919</v>
      </c>
      <c r="F3333" t="s">
        <v>1464</v>
      </c>
      <c r="G3333" t="s">
        <v>7071</v>
      </c>
      <c r="H3333" t="s">
        <v>36</v>
      </c>
      <c r="I3333" t="s">
        <v>19</v>
      </c>
      <c r="J3333" s="3">
        <v>5501121895129</v>
      </c>
      <c r="K3333" t="s">
        <v>7072</v>
      </c>
      <c r="L3333" t="s">
        <v>7073</v>
      </c>
      <c r="M3333" t="s">
        <v>337</v>
      </c>
    </row>
    <row r="3334" spans="1:13" x14ac:dyDescent="0.25">
      <c r="A3334" t="s">
        <v>19594</v>
      </c>
      <c r="B3334" t="s">
        <v>13</v>
      </c>
      <c r="C3334" t="s">
        <v>19584</v>
      </c>
      <c r="D3334" t="s">
        <v>19595</v>
      </c>
      <c r="E3334" t="s">
        <v>19596</v>
      </c>
      <c r="F3334" t="s">
        <v>332</v>
      </c>
      <c r="G3334" t="s">
        <v>7903</v>
      </c>
      <c r="H3334" t="s">
        <v>7904</v>
      </c>
      <c r="I3334" t="s">
        <v>19</v>
      </c>
      <c r="J3334" s="3">
        <f>55-38-9-8831-3705</f>
        <v>-12528</v>
      </c>
      <c r="K3334" t="s">
        <v>7905</v>
      </c>
      <c r="L3334" t="s">
        <v>7906</v>
      </c>
      <c r="M3334" t="s">
        <v>337</v>
      </c>
    </row>
    <row r="3335" spans="1:13" x14ac:dyDescent="0.25">
      <c r="A3335" t="s">
        <v>20947</v>
      </c>
      <c r="B3335" t="s">
        <v>13</v>
      </c>
      <c r="C3335" s="1">
        <v>42955</v>
      </c>
      <c r="D3335" t="s">
        <v>20948</v>
      </c>
      <c r="E3335" s="2" t="s">
        <v>32455</v>
      </c>
      <c r="F3335" t="s">
        <v>1349</v>
      </c>
      <c r="G3335" t="s">
        <v>20949</v>
      </c>
      <c r="H3335" t="s">
        <v>255</v>
      </c>
      <c r="I3335" t="s">
        <v>19</v>
      </c>
      <c r="J3335" s="3" t="s">
        <v>20950</v>
      </c>
      <c r="K3335" t="s">
        <v>20951</v>
      </c>
      <c r="L3335" t="s">
        <v>20952</v>
      </c>
      <c r="M3335" t="s">
        <v>1349</v>
      </c>
    </row>
    <row r="3336" spans="1:13" x14ac:dyDescent="0.25">
      <c r="A3336" t="s">
        <v>6014</v>
      </c>
      <c r="B3336" t="s">
        <v>13</v>
      </c>
      <c r="C3336" s="1">
        <v>44510</v>
      </c>
      <c r="D3336" t="s">
        <v>32135</v>
      </c>
      <c r="E3336" s="2" t="s">
        <v>31772</v>
      </c>
      <c r="F3336" t="s">
        <v>1919</v>
      </c>
      <c r="G3336" t="s">
        <v>1237</v>
      </c>
      <c r="H3336" t="s">
        <v>1238</v>
      </c>
      <c r="I3336" t="s">
        <v>19</v>
      </c>
      <c r="J3336" s="3" t="s">
        <v>4933</v>
      </c>
      <c r="K3336" t="s">
        <v>1240</v>
      </c>
      <c r="L3336" t="s">
        <v>32135</v>
      </c>
      <c r="M3336" t="s">
        <v>337</v>
      </c>
    </row>
    <row r="3337" spans="1:13" x14ac:dyDescent="0.25">
      <c r="A3337" t="s">
        <v>32188</v>
      </c>
      <c r="B3337" t="s">
        <v>13</v>
      </c>
      <c r="C3337" t="s">
        <v>6734</v>
      </c>
      <c r="D3337" t="s">
        <v>19620</v>
      </c>
      <c r="E3337" s="2" t="s">
        <v>31231</v>
      </c>
      <c r="F3337" t="s">
        <v>2758</v>
      </c>
      <c r="G3337" t="s">
        <v>19621</v>
      </c>
      <c r="H3337" t="s">
        <v>5550</v>
      </c>
      <c r="I3337" t="s">
        <v>19</v>
      </c>
      <c r="J3337" s="3" t="s">
        <v>19622</v>
      </c>
      <c r="K3337" t="s">
        <v>19623</v>
      </c>
      <c r="L3337" t="s">
        <v>1531</v>
      </c>
      <c r="M3337" t="s">
        <v>32149</v>
      </c>
    </row>
    <row r="3338" spans="1:13" x14ac:dyDescent="0.25">
      <c r="A3338" t="s">
        <v>1917</v>
      </c>
      <c r="B3338" t="s">
        <v>13</v>
      </c>
      <c r="C3338" t="s">
        <v>1911</v>
      </c>
      <c r="D3338" t="s">
        <v>1918</v>
      </c>
      <c r="E3338" s="2" t="s">
        <v>30718</v>
      </c>
      <c r="F3338" t="s">
        <v>1920</v>
      </c>
      <c r="G3338" t="s">
        <v>904</v>
      </c>
      <c r="H3338" t="s">
        <v>462</v>
      </c>
      <c r="I3338" t="s">
        <v>19</v>
      </c>
      <c r="J3338" s="3" t="s">
        <v>1921</v>
      </c>
      <c r="K3338" t="s">
        <v>1922</v>
      </c>
      <c r="L3338" t="s">
        <v>904</v>
      </c>
      <c r="M3338" t="s">
        <v>337</v>
      </c>
    </row>
    <row r="3339" spans="1:13" x14ac:dyDescent="0.25">
      <c r="A3339" t="s">
        <v>27169</v>
      </c>
      <c r="B3339" t="s">
        <v>13</v>
      </c>
      <c r="C3339" s="1">
        <v>42461</v>
      </c>
      <c r="D3339" t="s">
        <v>27170</v>
      </c>
      <c r="E3339" t="s">
        <v>27171</v>
      </c>
      <c r="F3339" t="s">
        <v>1464</v>
      </c>
      <c r="G3339" t="s">
        <v>27172</v>
      </c>
      <c r="H3339" t="s">
        <v>88</v>
      </c>
      <c r="I3339" t="s">
        <v>19</v>
      </c>
      <c r="J3339" s="3" t="s">
        <v>27173</v>
      </c>
      <c r="K3339" t="s">
        <v>27174</v>
      </c>
      <c r="L3339" t="s">
        <v>91</v>
      </c>
      <c r="M3339" t="s">
        <v>337</v>
      </c>
    </row>
    <row r="3340" spans="1:13" x14ac:dyDescent="0.25">
      <c r="A3340" t="s">
        <v>23024</v>
      </c>
      <c r="B3340" t="s">
        <v>13</v>
      </c>
      <c r="C3340" t="s">
        <v>12029</v>
      </c>
      <c r="D3340" t="s">
        <v>23025</v>
      </c>
      <c r="E3340" s="2" t="s">
        <v>32456</v>
      </c>
      <c r="F3340" t="s">
        <v>1349</v>
      </c>
      <c r="G3340" t="s">
        <v>23026</v>
      </c>
      <c r="H3340" t="s">
        <v>18</v>
      </c>
      <c r="I3340" t="s">
        <v>19</v>
      </c>
      <c r="J3340" s="3">
        <f>55193521-7067</f>
        <v>55186454</v>
      </c>
      <c r="K3340" t="s">
        <v>23027</v>
      </c>
      <c r="L3340" t="s">
        <v>23028</v>
      </c>
      <c r="M3340" t="s">
        <v>1349</v>
      </c>
    </row>
    <row r="3341" spans="1:13" x14ac:dyDescent="0.25">
      <c r="A3341" t="s">
        <v>25686</v>
      </c>
      <c r="B3341" t="s">
        <v>13</v>
      </c>
      <c r="C3341" t="s">
        <v>25680</v>
      </c>
      <c r="D3341" t="s">
        <v>25687</v>
      </c>
      <c r="E3341" t="s">
        <v>25688</v>
      </c>
      <c r="F3341" t="s">
        <v>332</v>
      </c>
      <c r="G3341" t="s">
        <v>25689</v>
      </c>
      <c r="H3341" t="s">
        <v>1503</v>
      </c>
      <c r="I3341" t="s">
        <v>19</v>
      </c>
      <c r="J3341" s="3" t="s">
        <v>25690</v>
      </c>
      <c r="K3341" t="s">
        <v>25691</v>
      </c>
      <c r="L3341" t="s">
        <v>12745</v>
      </c>
      <c r="M3341" t="s">
        <v>337</v>
      </c>
    </row>
    <row r="3342" spans="1:13" x14ac:dyDescent="0.25">
      <c r="A3342" t="s">
        <v>12492</v>
      </c>
      <c r="B3342" t="s">
        <v>13</v>
      </c>
      <c r="C3342" s="1">
        <v>43986</v>
      </c>
      <c r="D3342" t="s">
        <v>12493</v>
      </c>
      <c r="E3342" t="s">
        <v>12494</v>
      </c>
      <c r="F3342" t="s">
        <v>1349</v>
      </c>
      <c r="G3342" t="s">
        <v>12495</v>
      </c>
      <c r="H3342" t="s">
        <v>265</v>
      </c>
      <c r="I3342" t="s">
        <v>19</v>
      </c>
      <c r="J3342" s="3">
        <f>55-16-991481137</f>
        <v>-991481098</v>
      </c>
      <c r="K3342" t="s">
        <v>12496</v>
      </c>
      <c r="L3342" t="s">
        <v>12497</v>
      </c>
      <c r="M3342" t="s">
        <v>1349</v>
      </c>
    </row>
    <row r="3343" spans="1:13" x14ac:dyDescent="0.25">
      <c r="A3343" t="s">
        <v>4247</v>
      </c>
      <c r="B3343" t="s">
        <v>13</v>
      </c>
      <c r="C3343" t="s">
        <v>4240</v>
      </c>
      <c r="D3343" t="s">
        <v>4248</v>
      </c>
      <c r="E3343" s="2" t="s">
        <v>31566</v>
      </c>
      <c r="F3343" t="s">
        <v>4249</v>
      </c>
      <c r="G3343" t="s">
        <v>4250</v>
      </c>
      <c r="H3343" t="s">
        <v>88</v>
      </c>
      <c r="I3343" t="s">
        <v>19</v>
      </c>
      <c r="J3343" s="3">
        <v>5581999367260</v>
      </c>
      <c r="K3343" t="s">
        <v>4251</v>
      </c>
      <c r="L3343" t="s">
        <v>91</v>
      </c>
      <c r="M3343" t="s">
        <v>1349</v>
      </c>
    </row>
    <row r="3344" spans="1:13" x14ac:dyDescent="0.25">
      <c r="A3344" t="s">
        <v>7239</v>
      </c>
      <c r="B3344" t="s">
        <v>13</v>
      </c>
      <c r="C3344" t="s">
        <v>7240</v>
      </c>
      <c r="D3344" t="s">
        <v>7241</v>
      </c>
      <c r="E3344" s="2" t="s">
        <v>32457</v>
      </c>
      <c r="F3344" t="s">
        <v>2758</v>
      </c>
      <c r="G3344" t="s">
        <v>7243</v>
      </c>
      <c r="H3344" t="s">
        <v>615</v>
      </c>
      <c r="I3344" t="s">
        <v>19</v>
      </c>
      <c r="J3344" s="3">
        <f>55-34-32330531</f>
        <v>-32330510</v>
      </c>
      <c r="K3344" t="s">
        <v>7244</v>
      </c>
      <c r="L3344" t="s">
        <v>7245</v>
      </c>
      <c r="M3344" t="s">
        <v>32149</v>
      </c>
    </row>
    <row r="3345" spans="1:13" x14ac:dyDescent="0.25">
      <c r="A3345" t="s">
        <v>16964</v>
      </c>
      <c r="B3345" t="s">
        <v>13</v>
      </c>
      <c r="C3345" t="s">
        <v>16959</v>
      </c>
      <c r="D3345" t="s">
        <v>16965</v>
      </c>
      <c r="E3345" t="s">
        <v>16966</v>
      </c>
      <c r="F3345" t="s">
        <v>1464</v>
      </c>
      <c r="G3345" t="s">
        <v>16967</v>
      </c>
      <c r="H3345" t="s">
        <v>16968</v>
      </c>
      <c r="I3345" t="s">
        <v>19</v>
      </c>
      <c r="J3345" s="3">
        <v>5541999763364</v>
      </c>
      <c r="K3345" t="s">
        <v>16969</v>
      </c>
      <c r="L3345" t="s">
        <v>16970</v>
      </c>
      <c r="M3345" t="s">
        <v>1349</v>
      </c>
    </row>
    <row r="3346" spans="1:13" x14ac:dyDescent="0.25">
      <c r="A3346" t="s">
        <v>4371</v>
      </c>
      <c r="B3346" t="s">
        <v>13</v>
      </c>
      <c r="C3346" t="s">
        <v>4372</v>
      </c>
      <c r="D3346" t="s">
        <v>4373</v>
      </c>
      <c r="E3346" t="s">
        <v>3743</v>
      </c>
      <c r="F3346" t="s">
        <v>4374</v>
      </c>
      <c r="G3346" t="s">
        <v>4375</v>
      </c>
      <c r="H3346" t="s">
        <v>4376</v>
      </c>
      <c r="I3346" t="s">
        <v>19</v>
      </c>
      <c r="J3346" s="3">
        <f>55-61-994338888</f>
        <v>-994338894</v>
      </c>
      <c r="K3346" t="s">
        <v>4377</v>
      </c>
      <c r="L3346" t="s">
        <v>4378</v>
      </c>
      <c r="M3346" t="s">
        <v>1304</v>
      </c>
    </row>
    <row r="3347" spans="1:13" x14ac:dyDescent="0.25">
      <c r="A3347" t="s">
        <v>20752</v>
      </c>
      <c r="B3347" t="s">
        <v>13</v>
      </c>
      <c r="C3347" s="1">
        <v>43227</v>
      </c>
      <c r="D3347" t="s">
        <v>20753</v>
      </c>
      <c r="E3347" t="s">
        <v>3743</v>
      </c>
      <c r="F3347" t="s">
        <v>224</v>
      </c>
      <c r="G3347" t="s">
        <v>19910</v>
      </c>
      <c r="H3347" t="s">
        <v>36</v>
      </c>
      <c r="I3347" t="s">
        <v>19</v>
      </c>
      <c r="J3347" s="3">
        <v>55011983221272</v>
      </c>
      <c r="K3347" t="s">
        <v>19911</v>
      </c>
      <c r="L3347" t="s">
        <v>20754</v>
      </c>
      <c r="M3347" t="s">
        <v>224</v>
      </c>
    </row>
    <row r="3348" spans="1:13" x14ac:dyDescent="0.25">
      <c r="A3348" t="s">
        <v>12582</v>
      </c>
      <c r="B3348" t="s">
        <v>13</v>
      </c>
      <c r="C3348" t="s">
        <v>12556</v>
      </c>
      <c r="D3348" t="s">
        <v>12583</v>
      </c>
      <c r="E3348" t="s">
        <v>3743</v>
      </c>
      <c r="F3348" t="s">
        <v>224</v>
      </c>
      <c r="G3348" t="s">
        <v>12584</v>
      </c>
      <c r="H3348" t="s">
        <v>255</v>
      </c>
      <c r="I3348" t="s">
        <v>19</v>
      </c>
      <c r="J3348" s="3">
        <f>55-62-981326497</f>
        <v>-981326504</v>
      </c>
      <c r="K3348" t="s">
        <v>12585</v>
      </c>
      <c r="L3348" t="s">
        <v>12586</v>
      </c>
      <c r="M3348" t="s">
        <v>224</v>
      </c>
    </row>
    <row r="3349" spans="1:13" x14ac:dyDescent="0.25">
      <c r="A3349" t="s">
        <v>14994</v>
      </c>
      <c r="B3349" t="s">
        <v>101</v>
      </c>
      <c r="C3349" t="s">
        <v>14967</v>
      </c>
      <c r="D3349" t="s">
        <v>14995</v>
      </c>
      <c r="E3349" t="s">
        <v>3743</v>
      </c>
      <c r="F3349" t="s">
        <v>224</v>
      </c>
      <c r="G3349" t="s">
        <v>944</v>
      </c>
      <c r="H3349" t="s">
        <v>36</v>
      </c>
      <c r="I3349" t="s">
        <v>19</v>
      </c>
      <c r="J3349" s="3">
        <v>5511999530716</v>
      </c>
      <c r="K3349" t="s">
        <v>946</v>
      </c>
      <c r="L3349" t="s">
        <v>321</v>
      </c>
      <c r="M3349" t="s">
        <v>224</v>
      </c>
    </row>
    <row r="3350" spans="1:13" x14ac:dyDescent="0.25">
      <c r="A3350" t="s">
        <v>20837</v>
      </c>
      <c r="B3350" t="s">
        <v>13</v>
      </c>
      <c r="C3350" t="s">
        <v>14026</v>
      </c>
      <c r="D3350" t="s">
        <v>20838</v>
      </c>
      <c r="E3350" t="s">
        <v>3743</v>
      </c>
      <c r="F3350" t="s">
        <v>1129</v>
      </c>
      <c r="G3350" t="s">
        <v>944</v>
      </c>
      <c r="H3350" t="s">
        <v>36</v>
      </c>
      <c r="I3350" t="s">
        <v>19</v>
      </c>
      <c r="J3350" s="3" t="s">
        <v>20839</v>
      </c>
      <c r="K3350" t="s">
        <v>20840</v>
      </c>
      <c r="L3350" t="s">
        <v>321</v>
      </c>
      <c r="M3350" t="s">
        <v>224</v>
      </c>
    </row>
    <row r="3351" spans="1:13" x14ac:dyDescent="0.25">
      <c r="A3351" t="s">
        <v>26288</v>
      </c>
      <c r="B3351" t="s">
        <v>13</v>
      </c>
      <c r="C3351" t="s">
        <v>26021</v>
      </c>
      <c r="D3351" t="s">
        <v>26289</v>
      </c>
      <c r="E3351" t="s">
        <v>3743</v>
      </c>
      <c r="F3351" t="s">
        <v>1129</v>
      </c>
      <c r="G3351" t="s">
        <v>17964</v>
      </c>
      <c r="H3351" t="s">
        <v>753</v>
      </c>
      <c r="I3351" t="s">
        <v>19</v>
      </c>
      <c r="J3351" s="3" t="s">
        <v>26290</v>
      </c>
      <c r="K3351" t="s">
        <v>26291</v>
      </c>
      <c r="L3351" t="s">
        <v>2762</v>
      </c>
      <c r="M3351" t="s">
        <v>224</v>
      </c>
    </row>
    <row r="3352" spans="1:13" x14ac:dyDescent="0.25">
      <c r="A3352" t="s">
        <v>29166</v>
      </c>
      <c r="B3352" t="s">
        <v>13</v>
      </c>
      <c r="C3352" s="1">
        <v>41855</v>
      </c>
      <c r="D3352" t="s">
        <v>29167</v>
      </c>
      <c r="E3352" t="s">
        <v>3743</v>
      </c>
      <c r="F3352" t="s">
        <v>1129</v>
      </c>
      <c r="G3352" t="s">
        <v>2981</v>
      </c>
      <c r="H3352" t="s">
        <v>753</v>
      </c>
      <c r="I3352" t="s">
        <v>19</v>
      </c>
      <c r="J3352" s="3" t="s">
        <v>14855</v>
      </c>
      <c r="K3352" t="s">
        <v>2983</v>
      </c>
      <c r="L3352" t="s">
        <v>2762</v>
      </c>
      <c r="M3352" t="s">
        <v>224</v>
      </c>
    </row>
    <row r="3353" spans="1:13" x14ac:dyDescent="0.25">
      <c r="A3353" t="s">
        <v>27678</v>
      </c>
      <c r="B3353" t="s">
        <v>13</v>
      </c>
      <c r="C3353" t="s">
        <v>27679</v>
      </c>
      <c r="D3353" t="s">
        <v>27680</v>
      </c>
      <c r="E3353" t="s">
        <v>3743</v>
      </c>
      <c r="F3353" t="s">
        <v>1129</v>
      </c>
      <c r="G3353" t="s">
        <v>2981</v>
      </c>
      <c r="H3353" t="s">
        <v>753</v>
      </c>
      <c r="I3353" t="s">
        <v>19</v>
      </c>
      <c r="J3353" s="3" t="s">
        <v>14855</v>
      </c>
      <c r="K3353" t="s">
        <v>2983</v>
      </c>
      <c r="L3353" t="s">
        <v>2762</v>
      </c>
      <c r="M3353" t="s">
        <v>224</v>
      </c>
    </row>
    <row r="3354" spans="1:13" x14ac:dyDescent="0.25">
      <c r="A3354" t="s">
        <v>10593</v>
      </c>
      <c r="B3354" t="s">
        <v>13</v>
      </c>
      <c r="C3354" s="1">
        <v>43959</v>
      </c>
      <c r="D3354" t="s">
        <v>10594</v>
      </c>
      <c r="E3354" t="s">
        <v>5184</v>
      </c>
      <c r="F3354" t="s">
        <v>1464</v>
      </c>
      <c r="G3354" t="s">
        <v>10595</v>
      </c>
      <c r="H3354" t="s">
        <v>36</v>
      </c>
      <c r="I3354" t="s">
        <v>19</v>
      </c>
      <c r="J3354" s="3">
        <v>5511999530716</v>
      </c>
      <c r="K3354" t="s">
        <v>946</v>
      </c>
      <c r="L3354" t="s">
        <v>10596</v>
      </c>
      <c r="M3354" t="s">
        <v>57</v>
      </c>
    </row>
    <row r="3355" spans="1:13" x14ac:dyDescent="0.25">
      <c r="A3355" t="s">
        <v>23955</v>
      </c>
      <c r="B3355" t="s">
        <v>13</v>
      </c>
      <c r="C3355" t="s">
        <v>21815</v>
      </c>
      <c r="D3355" t="s">
        <v>23956</v>
      </c>
      <c r="E3355" t="s">
        <v>32458</v>
      </c>
      <c r="F3355" t="s">
        <v>1129</v>
      </c>
      <c r="G3355" t="s">
        <v>8468</v>
      </c>
      <c r="H3355" t="s">
        <v>753</v>
      </c>
      <c r="I3355" t="s">
        <v>19</v>
      </c>
      <c r="J3355" s="3" t="s">
        <v>8469</v>
      </c>
      <c r="K3355" t="s">
        <v>8470</v>
      </c>
      <c r="L3355" t="s">
        <v>2762</v>
      </c>
      <c r="M3355" t="s">
        <v>224</v>
      </c>
    </row>
    <row r="3356" spans="1:13" x14ac:dyDescent="0.25">
      <c r="A3356" t="s">
        <v>5181</v>
      </c>
      <c r="B3356" t="s">
        <v>101</v>
      </c>
      <c r="C3356" t="s">
        <v>5182</v>
      </c>
      <c r="D3356" t="s">
        <v>32135</v>
      </c>
      <c r="E3356" t="s">
        <v>5183</v>
      </c>
      <c r="F3356" t="s">
        <v>5184</v>
      </c>
      <c r="G3356" t="s">
        <v>5185</v>
      </c>
      <c r="H3356" t="s">
        <v>753</v>
      </c>
      <c r="I3356" t="s">
        <v>19</v>
      </c>
      <c r="J3356" s="3">
        <f>55-67-33457781</f>
        <v>-33457793</v>
      </c>
      <c r="K3356" t="s">
        <v>5186</v>
      </c>
      <c r="L3356" t="s">
        <v>32135</v>
      </c>
      <c r="M3356" t="s">
        <v>224</v>
      </c>
    </row>
    <row r="3357" spans="1:13" x14ac:dyDescent="0.25">
      <c r="A3357" t="s">
        <v>27053</v>
      </c>
      <c r="B3357" t="s">
        <v>13</v>
      </c>
      <c r="C3357" t="s">
        <v>27049</v>
      </c>
      <c r="D3357" t="s">
        <v>27054</v>
      </c>
      <c r="E3357" t="s">
        <v>27055</v>
      </c>
      <c r="F3357" t="s">
        <v>1129</v>
      </c>
      <c r="G3357" t="s">
        <v>27056</v>
      </c>
      <c r="H3357" t="s">
        <v>1047</v>
      </c>
      <c r="I3357" t="s">
        <v>19</v>
      </c>
      <c r="J3357" s="3" t="s">
        <v>27057</v>
      </c>
      <c r="K3357" t="s">
        <v>27058</v>
      </c>
      <c r="L3357" t="s">
        <v>1050</v>
      </c>
      <c r="M3357" t="s">
        <v>224</v>
      </c>
    </row>
    <row r="3358" spans="1:13" x14ac:dyDescent="0.25">
      <c r="A3358" t="s">
        <v>18563</v>
      </c>
      <c r="B3358" t="s">
        <v>13</v>
      </c>
      <c r="C3358" s="1">
        <v>43678</v>
      </c>
      <c r="D3358" t="s">
        <v>18564</v>
      </c>
      <c r="E3358" s="2" t="s">
        <v>31463</v>
      </c>
      <c r="F3358" t="s">
        <v>1129</v>
      </c>
      <c r="G3358" t="s">
        <v>18565</v>
      </c>
      <c r="H3358" t="s">
        <v>489</v>
      </c>
      <c r="I3358" t="s">
        <v>19</v>
      </c>
      <c r="J3358" s="3">
        <f>55-41-33601800</f>
        <v>-33601786</v>
      </c>
      <c r="K3358" t="s">
        <v>18566</v>
      </c>
      <c r="L3358" t="s">
        <v>3207</v>
      </c>
      <c r="M3358" t="s">
        <v>224</v>
      </c>
    </row>
    <row r="3359" spans="1:13" x14ac:dyDescent="0.25">
      <c r="A3359" t="s">
        <v>16042</v>
      </c>
      <c r="B3359" t="s">
        <v>13</v>
      </c>
      <c r="C3359" t="s">
        <v>10388</v>
      </c>
      <c r="D3359" t="s">
        <v>16043</v>
      </c>
      <c r="E3359" s="2" t="s">
        <v>31145</v>
      </c>
      <c r="F3359" t="s">
        <v>1129</v>
      </c>
      <c r="G3359" t="s">
        <v>16044</v>
      </c>
      <c r="H3359" t="s">
        <v>1335</v>
      </c>
      <c r="I3359" t="s">
        <v>19</v>
      </c>
      <c r="J3359" s="3" t="s">
        <v>16045</v>
      </c>
      <c r="K3359" t="s">
        <v>16046</v>
      </c>
      <c r="L3359" t="s">
        <v>16047</v>
      </c>
      <c r="M3359" t="s">
        <v>224</v>
      </c>
    </row>
    <row r="3360" spans="1:13" x14ac:dyDescent="0.25">
      <c r="A3360" t="s">
        <v>25655</v>
      </c>
      <c r="B3360" t="s">
        <v>13</v>
      </c>
      <c r="C3360" t="s">
        <v>19011</v>
      </c>
      <c r="D3360" t="s">
        <v>25656</v>
      </c>
      <c r="E3360" t="s">
        <v>25657</v>
      </c>
      <c r="F3360" t="s">
        <v>2036</v>
      </c>
      <c r="G3360" t="s">
        <v>25658</v>
      </c>
      <c r="H3360" t="s">
        <v>7504</v>
      </c>
      <c r="I3360" t="s">
        <v>19</v>
      </c>
      <c r="J3360" s="3" t="s">
        <v>25659</v>
      </c>
      <c r="K3360" t="s">
        <v>25660</v>
      </c>
      <c r="L3360" t="s">
        <v>25661</v>
      </c>
      <c r="M3360" t="s">
        <v>57</v>
      </c>
    </row>
    <row r="3361" spans="1:13" x14ac:dyDescent="0.25">
      <c r="A3361" t="s">
        <v>21637</v>
      </c>
      <c r="B3361" t="s">
        <v>13</v>
      </c>
      <c r="C3361" s="1">
        <v>43195</v>
      </c>
      <c r="D3361" t="s">
        <v>21638</v>
      </c>
      <c r="E3361" t="s">
        <v>21639</v>
      </c>
      <c r="F3361" t="s">
        <v>1464</v>
      </c>
      <c r="G3361" t="s">
        <v>14383</v>
      </c>
      <c r="H3361" t="s">
        <v>14384</v>
      </c>
      <c r="I3361" t="s">
        <v>19</v>
      </c>
      <c r="J3361" s="3" t="s">
        <v>21640</v>
      </c>
      <c r="K3361" t="s">
        <v>14386</v>
      </c>
      <c r="L3361" t="s">
        <v>1531</v>
      </c>
      <c r="M3361" t="s">
        <v>57</v>
      </c>
    </row>
    <row r="3362" spans="1:13" x14ac:dyDescent="0.25">
      <c r="A3362" t="s">
        <v>12948</v>
      </c>
      <c r="B3362" t="s">
        <v>13</v>
      </c>
      <c r="C3362" t="s">
        <v>13040</v>
      </c>
      <c r="D3362" t="s">
        <v>13041</v>
      </c>
      <c r="E3362" t="s">
        <v>12950</v>
      </c>
      <c r="F3362" t="s">
        <v>1464</v>
      </c>
      <c r="G3362" t="s">
        <v>12951</v>
      </c>
      <c r="H3362" t="s">
        <v>540</v>
      </c>
      <c r="I3362" t="s">
        <v>19</v>
      </c>
      <c r="J3362" s="3" t="s">
        <v>12952</v>
      </c>
      <c r="K3362" t="s">
        <v>12953</v>
      </c>
      <c r="L3362" t="s">
        <v>2467</v>
      </c>
      <c r="M3362" t="s">
        <v>57</v>
      </c>
    </row>
    <row r="3363" spans="1:13" x14ac:dyDescent="0.25">
      <c r="A3363" t="s">
        <v>12948</v>
      </c>
      <c r="B3363" t="s">
        <v>13</v>
      </c>
      <c r="C3363" t="s">
        <v>12942</v>
      </c>
      <c r="D3363" t="s">
        <v>12949</v>
      </c>
      <c r="E3363" t="s">
        <v>12950</v>
      </c>
      <c r="F3363" t="s">
        <v>1464</v>
      </c>
      <c r="G3363" t="s">
        <v>12951</v>
      </c>
      <c r="H3363" t="s">
        <v>540</v>
      </c>
      <c r="I3363" t="s">
        <v>19</v>
      </c>
      <c r="J3363" s="3" t="s">
        <v>12952</v>
      </c>
      <c r="K3363" t="s">
        <v>12953</v>
      </c>
      <c r="L3363" t="s">
        <v>2467</v>
      </c>
      <c r="M3363" s="4" t="s">
        <v>57</v>
      </c>
    </row>
    <row r="3364" spans="1:13" x14ac:dyDescent="0.25">
      <c r="A3364" t="s">
        <v>12948</v>
      </c>
      <c r="B3364" t="s">
        <v>13</v>
      </c>
      <c r="C3364" s="1">
        <v>44107</v>
      </c>
      <c r="D3364" t="s">
        <v>13019</v>
      </c>
      <c r="E3364" t="s">
        <v>13020</v>
      </c>
      <c r="F3364" t="s">
        <v>1464</v>
      </c>
      <c r="G3364" t="s">
        <v>12951</v>
      </c>
      <c r="H3364" t="s">
        <v>540</v>
      </c>
      <c r="I3364" t="s">
        <v>19</v>
      </c>
      <c r="J3364" s="3" t="s">
        <v>12952</v>
      </c>
      <c r="K3364" t="s">
        <v>12953</v>
      </c>
      <c r="L3364" t="s">
        <v>2467</v>
      </c>
      <c r="M3364" s="4" t="s">
        <v>57</v>
      </c>
    </row>
    <row r="3365" spans="1:13" x14ac:dyDescent="0.25">
      <c r="A3365" t="s">
        <v>1225</v>
      </c>
      <c r="B3365" t="s">
        <v>13</v>
      </c>
      <c r="C3365" t="s">
        <v>1220</v>
      </c>
      <c r="D3365" t="s">
        <v>1226</v>
      </c>
      <c r="E3365" t="s">
        <v>1227</v>
      </c>
      <c r="F3365" t="s">
        <v>997</v>
      </c>
      <c r="G3365" t="s">
        <v>1228</v>
      </c>
      <c r="H3365" t="s">
        <v>1229</v>
      </c>
      <c r="I3365" t="s">
        <v>19</v>
      </c>
      <c r="J3365" s="3" t="s">
        <v>1230</v>
      </c>
      <c r="K3365" t="s">
        <v>1231</v>
      </c>
      <c r="L3365" t="s">
        <v>1232</v>
      </c>
      <c r="M3365" s="4" t="s">
        <v>57</v>
      </c>
    </row>
    <row r="3366" spans="1:13" x14ac:dyDescent="0.25">
      <c r="A3366" t="s">
        <v>20104</v>
      </c>
      <c r="B3366" t="s">
        <v>13</v>
      </c>
      <c r="C3366" s="1">
        <v>43351</v>
      </c>
      <c r="D3366" t="s">
        <v>20105</v>
      </c>
      <c r="E3366" t="s">
        <v>20106</v>
      </c>
      <c r="F3366" t="s">
        <v>2758</v>
      </c>
      <c r="G3366" t="s">
        <v>20107</v>
      </c>
      <c r="H3366" t="s">
        <v>20108</v>
      </c>
      <c r="I3366" t="s">
        <v>19</v>
      </c>
      <c r="J3366" s="3" t="s">
        <v>20109</v>
      </c>
      <c r="K3366" t="s">
        <v>20110</v>
      </c>
      <c r="L3366" t="s">
        <v>18766</v>
      </c>
      <c r="M3366" t="s">
        <v>32149</v>
      </c>
    </row>
    <row r="3367" spans="1:13" x14ac:dyDescent="0.25">
      <c r="A3367" t="s">
        <v>15168</v>
      </c>
      <c r="B3367" t="s">
        <v>13</v>
      </c>
      <c r="C3367" t="s">
        <v>9417</v>
      </c>
      <c r="D3367" t="s">
        <v>15169</v>
      </c>
      <c r="E3367" s="2" t="s">
        <v>31617</v>
      </c>
      <c r="F3367" t="s">
        <v>306</v>
      </c>
      <c r="G3367" t="s">
        <v>4955</v>
      </c>
      <c r="H3367" t="s">
        <v>8003</v>
      </c>
      <c r="I3367" t="s">
        <v>19</v>
      </c>
      <c r="J3367" s="3" t="s">
        <v>12473</v>
      </c>
      <c r="K3367" t="s">
        <v>4957</v>
      </c>
      <c r="L3367" t="s">
        <v>12474</v>
      </c>
      <c r="M3367" s="4" t="s">
        <v>57</v>
      </c>
    </row>
    <row r="3368" spans="1:13" x14ac:dyDescent="0.25">
      <c r="A3368" t="s">
        <v>28550</v>
      </c>
      <c r="B3368" t="s">
        <v>13</v>
      </c>
      <c r="C3368" t="s">
        <v>28544</v>
      </c>
      <c r="D3368" t="s">
        <v>28551</v>
      </c>
      <c r="E3368" t="s">
        <v>28552</v>
      </c>
      <c r="F3368" t="s">
        <v>2758</v>
      </c>
      <c r="G3368" t="s">
        <v>28553</v>
      </c>
      <c r="H3368" t="s">
        <v>409</v>
      </c>
      <c r="I3368" t="s">
        <v>19</v>
      </c>
      <c r="J3368" s="3" t="s">
        <v>28554</v>
      </c>
      <c r="K3368" t="s">
        <v>28555</v>
      </c>
      <c r="L3368" t="s">
        <v>412</v>
      </c>
      <c r="M3368" t="s">
        <v>32149</v>
      </c>
    </row>
    <row r="3369" spans="1:13" x14ac:dyDescent="0.25">
      <c r="A3369" t="s">
        <v>11962</v>
      </c>
      <c r="B3369" t="s">
        <v>13</v>
      </c>
      <c r="C3369" s="1">
        <v>43987</v>
      </c>
      <c r="D3369" t="s">
        <v>11963</v>
      </c>
      <c r="E3369" t="s">
        <v>11964</v>
      </c>
      <c r="F3369" t="s">
        <v>1464</v>
      </c>
      <c r="G3369" t="s">
        <v>11965</v>
      </c>
      <c r="H3369" t="s">
        <v>472</v>
      </c>
      <c r="I3369" t="s">
        <v>19</v>
      </c>
      <c r="J3369" s="3">
        <f>55-81-94073460</f>
        <v>-94073486</v>
      </c>
      <c r="K3369" t="s">
        <v>11966</v>
      </c>
      <c r="L3369" t="s">
        <v>2101</v>
      </c>
      <c r="M3369" t="s">
        <v>57</v>
      </c>
    </row>
    <row r="3370" spans="1:13" x14ac:dyDescent="0.25">
      <c r="A3370" t="s">
        <v>6359</v>
      </c>
      <c r="B3370" t="s">
        <v>13</v>
      </c>
      <c r="C3370" t="s">
        <v>6347</v>
      </c>
      <c r="D3370" t="s">
        <v>32135</v>
      </c>
      <c r="E3370" s="2" t="s">
        <v>30889</v>
      </c>
      <c r="F3370" t="s">
        <v>2516</v>
      </c>
      <c r="G3370" t="s">
        <v>6360</v>
      </c>
      <c r="H3370" t="s">
        <v>352</v>
      </c>
      <c r="I3370" t="s">
        <v>19</v>
      </c>
      <c r="J3370" s="3" t="s">
        <v>6361</v>
      </c>
      <c r="K3370" t="s">
        <v>6362</v>
      </c>
      <c r="L3370" t="s">
        <v>32135</v>
      </c>
      <c r="M3370" t="s">
        <v>57</v>
      </c>
    </row>
    <row r="3371" spans="1:13" x14ac:dyDescent="0.25">
      <c r="A3371" t="s">
        <v>3835</v>
      </c>
      <c r="B3371" t="s">
        <v>13</v>
      </c>
      <c r="C3371" t="s">
        <v>3836</v>
      </c>
      <c r="D3371" t="s">
        <v>3837</v>
      </c>
      <c r="E3371" t="s">
        <v>3838</v>
      </c>
      <c r="F3371" t="s">
        <v>2445</v>
      </c>
      <c r="G3371" t="s">
        <v>3839</v>
      </c>
      <c r="H3371" t="s">
        <v>3840</v>
      </c>
      <c r="I3371" t="s">
        <v>3017</v>
      </c>
      <c r="J3371" s="3" t="s">
        <v>3841</v>
      </c>
      <c r="K3371" t="s">
        <v>3842</v>
      </c>
      <c r="L3371" t="s">
        <v>3843</v>
      </c>
      <c r="M3371" t="s">
        <v>57</v>
      </c>
    </row>
    <row r="3372" spans="1:13" x14ac:dyDescent="0.25">
      <c r="A3372" t="s">
        <v>17806</v>
      </c>
      <c r="B3372" t="s">
        <v>13</v>
      </c>
      <c r="C3372" s="1">
        <v>43803</v>
      </c>
      <c r="D3372" t="s">
        <v>17807</v>
      </c>
      <c r="E3372" t="s">
        <v>2750</v>
      </c>
      <c r="F3372" t="s">
        <v>2036</v>
      </c>
      <c r="G3372" t="s">
        <v>17808</v>
      </c>
      <c r="H3372" t="s">
        <v>1229</v>
      </c>
      <c r="I3372" t="s">
        <v>19</v>
      </c>
      <c r="J3372" s="3">
        <v>5522997087600</v>
      </c>
      <c r="K3372" t="s">
        <v>17809</v>
      </c>
      <c r="L3372" t="s">
        <v>17810</v>
      </c>
      <c r="M3372" t="s">
        <v>57</v>
      </c>
    </row>
    <row r="3373" spans="1:13" x14ac:dyDescent="0.25">
      <c r="A3373" t="s">
        <v>26438</v>
      </c>
      <c r="B3373" t="s">
        <v>13</v>
      </c>
      <c r="C3373" t="s">
        <v>26431</v>
      </c>
      <c r="D3373" t="s">
        <v>26439</v>
      </c>
      <c r="E3373" t="s">
        <v>3838</v>
      </c>
      <c r="F3373" t="s">
        <v>1464</v>
      </c>
      <c r="G3373" t="s">
        <v>11554</v>
      </c>
      <c r="H3373" t="s">
        <v>927</v>
      </c>
      <c r="I3373" t="s">
        <v>19</v>
      </c>
      <c r="J3373" s="3" t="s">
        <v>14891</v>
      </c>
      <c r="K3373" t="s">
        <v>14892</v>
      </c>
      <c r="L3373" t="s">
        <v>439</v>
      </c>
      <c r="M3373" t="s">
        <v>57</v>
      </c>
    </row>
    <row r="3374" spans="1:13" x14ac:dyDescent="0.25">
      <c r="A3374" t="s">
        <v>25379</v>
      </c>
      <c r="B3374" t="s">
        <v>13</v>
      </c>
      <c r="C3374" t="s">
        <v>25380</v>
      </c>
      <c r="D3374" t="s">
        <v>25381</v>
      </c>
      <c r="E3374" t="s">
        <v>3838</v>
      </c>
      <c r="F3374" t="s">
        <v>1464</v>
      </c>
      <c r="G3374" t="s">
        <v>23796</v>
      </c>
      <c r="H3374" t="s">
        <v>753</v>
      </c>
      <c r="I3374" t="s">
        <v>19</v>
      </c>
      <c r="J3374" s="3" t="s">
        <v>23797</v>
      </c>
      <c r="K3374" t="s">
        <v>23798</v>
      </c>
      <c r="L3374" t="s">
        <v>2762</v>
      </c>
      <c r="M3374" t="s">
        <v>57</v>
      </c>
    </row>
    <row r="3375" spans="1:13" x14ac:dyDescent="0.25">
      <c r="A3375" t="s">
        <v>23464</v>
      </c>
      <c r="B3375" t="s">
        <v>13</v>
      </c>
      <c r="C3375" t="s">
        <v>8668</v>
      </c>
      <c r="D3375" t="s">
        <v>23465</v>
      </c>
      <c r="E3375" t="s">
        <v>3838</v>
      </c>
      <c r="F3375" t="s">
        <v>1464</v>
      </c>
      <c r="G3375" t="s">
        <v>23466</v>
      </c>
      <c r="H3375" t="s">
        <v>927</v>
      </c>
      <c r="I3375" t="s">
        <v>19</v>
      </c>
      <c r="J3375" s="3" t="s">
        <v>23467</v>
      </c>
      <c r="K3375" t="s">
        <v>23468</v>
      </c>
      <c r="L3375" t="s">
        <v>439</v>
      </c>
      <c r="M3375" t="s">
        <v>57</v>
      </c>
    </row>
    <row r="3376" spans="1:13" x14ac:dyDescent="0.25">
      <c r="A3376" t="s">
        <v>8536</v>
      </c>
      <c r="B3376" t="s">
        <v>13</v>
      </c>
      <c r="C3376" t="s">
        <v>8537</v>
      </c>
      <c r="D3376" t="s">
        <v>32135</v>
      </c>
      <c r="E3376" t="s">
        <v>3838</v>
      </c>
      <c r="F3376" t="s">
        <v>8538</v>
      </c>
      <c r="G3376" t="s">
        <v>4078</v>
      </c>
      <c r="H3376" t="s">
        <v>2112</v>
      </c>
      <c r="I3376" t="s">
        <v>19</v>
      </c>
      <c r="J3376" s="3">
        <v>554532203000</v>
      </c>
      <c r="K3376" t="s">
        <v>4080</v>
      </c>
      <c r="L3376" t="s">
        <v>32135</v>
      </c>
      <c r="M3376" t="s">
        <v>57</v>
      </c>
    </row>
    <row r="3377" spans="1:13" x14ac:dyDescent="0.25">
      <c r="A3377" t="s">
        <v>11572</v>
      </c>
      <c r="B3377" t="s">
        <v>13</v>
      </c>
      <c r="C3377" s="1">
        <v>43867</v>
      </c>
      <c r="D3377" t="s">
        <v>11573</v>
      </c>
      <c r="E3377" t="s">
        <v>3838</v>
      </c>
      <c r="F3377" t="s">
        <v>332</v>
      </c>
      <c r="G3377" t="s">
        <v>1941</v>
      </c>
      <c r="H3377" t="s">
        <v>706</v>
      </c>
      <c r="I3377" t="s">
        <v>19</v>
      </c>
      <c r="J3377" s="3">
        <v>5531984739272</v>
      </c>
      <c r="K3377" t="s">
        <v>10818</v>
      </c>
      <c r="L3377" t="s">
        <v>1944</v>
      </c>
      <c r="M3377" t="s">
        <v>337</v>
      </c>
    </row>
    <row r="3378" spans="1:13" x14ac:dyDescent="0.25">
      <c r="A3378" t="s">
        <v>10816</v>
      </c>
      <c r="B3378" t="s">
        <v>13</v>
      </c>
      <c r="C3378" t="s">
        <v>7057</v>
      </c>
      <c r="D3378" t="s">
        <v>10817</v>
      </c>
      <c r="E3378" t="s">
        <v>2750</v>
      </c>
      <c r="F3378" t="s">
        <v>332</v>
      </c>
      <c r="G3378" t="s">
        <v>1941</v>
      </c>
      <c r="H3378" t="s">
        <v>706</v>
      </c>
      <c r="I3378" t="s">
        <v>19</v>
      </c>
      <c r="J3378" s="3">
        <v>5531984739272</v>
      </c>
      <c r="K3378" t="s">
        <v>10818</v>
      </c>
      <c r="L3378" t="s">
        <v>1944</v>
      </c>
      <c r="M3378" t="s">
        <v>337</v>
      </c>
    </row>
    <row r="3379" spans="1:13" x14ac:dyDescent="0.25">
      <c r="A3379" t="s">
        <v>22127</v>
      </c>
      <c r="B3379" t="s">
        <v>13</v>
      </c>
      <c r="C3379" t="s">
        <v>9618</v>
      </c>
      <c r="D3379" t="s">
        <v>22128</v>
      </c>
      <c r="E3379" t="s">
        <v>32459</v>
      </c>
      <c r="F3379" t="s">
        <v>2036</v>
      </c>
      <c r="G3379" t="s">
        <v>22129</v>
      </c>
      <c r="H3379" t="s">
        <v>409</v>
      </c>
      <c r="I3379" t="s">
        <v>19</v>
      </c>
      <c r="J3379" s="3" t="s">
        <v>22130</v>
      </c>
      <c r="K3379" t="s">
        <v>22131</v>
      </c>
      <c r="L3379" t="s">
        <v>1823</v>
      </c>
      <c r="M3379" t="s">
        <v>57</v>
      </c>
    </row>
    <row r="3380" spans="1:13" x14ac:dyDescent="0.25">
      <c r="A3380" t="s">
        <v>28452</v>
      </c>
      <c r="B3380" t="s">
        <v>13</v>
      </c>
      <c r="C3380" s="1">
        <v>42311</v>
      </c>
      <c r="D3380" t="s">
        <v>28453</v>
      </c>
      <c r="E3380" t="s">
        <v>32786</v>
      </c>
      <c r="F3380" t="s">
        <v>1464</v>
      </c>
      <c r="G3380" t="s">
        <v>4125</v>
      </c>
      <c r="H3380" t="s">
        <v>927</v>
      </c>
      <c r="I3380" t="s">
        <v>19</v>
      </c>
      <c r="J3380" s="3" t="s">
        <v>4126</v>
      </c>
      <c r="K3380" t="s">
        <v>4127</v>
      </c>
      <c r="L3380" t="s">
        <v>17650</v>
      </c>
      <c r="M3380" t="s">
        <v>57</v>
      </c>
    </row>
    <row r="3381" spans="1:13" x14ac:dyDescent="0.25">
      <c r="A3381" t="s">
        <v>5797</v>
      </c>
      <c r="B3381" t="s">
        <v>13</v>
      </c>
      <c r="C3381" s="1">
        <v>44266</v>
      </c>
      <c r="D3381" t="s">
        <v>5798</v>
      </c>
      <c r="E3381" s="2" t="s">
        <v>31558</v>
      </c>
      <c r="F3381" t="s">
        <v>1464</v>
      </c>
      <c r="G3381" t="s">
        <v>4091</v>
      </c>
      <c r="H3381" t="s">
        <v>4092</v>
      </c>
      <c r="I3381" t="s">
        <v>19</v>
      </c>
      <c r="J3381" s="3">
        <f>55-14-34021300</f>
        <v>-34021259</v>
      </c>
      <c r="K3381" t="s">
        <v>4093</v>
      </c>
      <c r="L3381" t="s">
        <v>4094</v>
      </c>
      <c r="M3381" s="4" t="s">
        <v>57</v>
      </c>
    </row>
    <row r="3382" spans="1:13" x14ac:dyDescent="0.25">
      <c r="A3382" t="s">
        <v>23367</v>
      </c>
      <c r="B3382" t="s">
        <v>13</v>
      </c>
      <c r="C3382" s="1">
        <v>42926</v>
      </c>
      <c r="D3382" t="s">
        <v>23368</v>
      </c>
      <c r="E3382" t="s">
        <v>23369</v>
      </c>
      <c r="F3382" t="s">
        <v>2036</v>
      </c>
      <c r="G3382" t="s">
        <v>11554</v>
      </c>
      <c r="H3382" t="s">
        <v>927</v>
      </c>
      <c r="I3382" t="s">
        <v>19</v>
      </c>
      <c r="J3382" s="3">
        <v>551332290100</v>
      </c>
      <c r="K3382" t="s">
        <v>23370</v>
      </c>
      <c r="L3382" t="s">
        <v>4230</v>
      </c>
      <c r="M3382" t="s">
        <v>57</v>
      </c>
    </row>
    <row r="3383" spans="1:13" x14ac:dyDescent="0.25">
      <c r="A3383" t="s">
        <v>24868</v>
      </c>
      <c r="B3383" t="s">
        <v>13</v>
      </c>
      <c r="C3383" t="s">
        <v>17925</v>
      </c>
      <c r="D3383" t="s">
        <v>24869</v>
      </c>
      <c r="E3383" t="s">
        <v>24870</v>
      </c>
      <c r="F3383" t="s">
        <v>2036</v>
      </c>
      <c r="G3383" t="s">
        <v>24871</v>
      </c>
      <c r="H3383" t="s">
        <v>36</v>
      </c>
      <c r="I3383" t="s">
        <v>19</v>
      </c>
      <c r="J3383" s="3">
        <v>5511948682831</v>
      </c>
      <c r="K3383" t="s">
        <v>24872</v>
      </c>
      <c r="L3383" t="s">
        <v>39</v>
      </c>
      <c r="M3383" t="s">
        <v>57</v>
      </c>
    </row>
    <row r="3384" spans="1:13" x14ac:dyDescent="0.25">
      <c r="A3384" t="s">
        <v>26508</v>
      </c>
      <c r="B3384" t="s">
        <v>13</v>
      </c>
      <c r="C3384" t="s">
        <v>13644</v>
      </c>
      <c r="D3384" t="s">
        <v>26509</v>
      </c>
      <c r="E3384" s="2" t="s">
        <v>31346</v>
      </c>
      <c r="F3384" t="s">
        <v>2036</v>
      </c>
      <c r="G3384" t="s">
        <v>11554</v>
      </c>
      <c r="H3384" t="s">
        <v>927</v>
      </c>
      <c r="I3384" t="s">
        <v>19</v>
      </c>
      <c r="J3384" s="3" t="s">
        <v>14891</v>
      </c>
      <c r="K3384" t="s">
        <v>14892</v>
      </c>
      <c r="L3384" t="s">
        <v>439</v>
      </c>
      <c r="M3384" t="s">
        <v>57</v>
      </c>
    </row>
    <row r="3385" spans="1:13" x14ac:dyDescent="0.25">
      <c r="A3385" t="s">
        <v>3466</v>
      </c>
      <c r="B3385" t="s">
        <v>13</v>
      </c>
      <c r="C3385" t="s">
        <v>3467</v>
      </c>
      <c r="D3385" t="s">
        <v>3468</v>
      </c>
      <c r="E3385" s="2" t="s">
        <v>31696</v>
      </c>
      <c r="F3385" t="s">
        <v>3469</v>
      </c>
      <c r="G3385" t="s">
        <v>3470</v>
      </c>
      <c r="H3385" t="s">
        <v>1072</v>
      </c>
      <c r="I3385" t="s">
        <v>19</v>
      </c>
      <c r="J3385" s="3">
        <f>55-84-996810444</f>
        <v>-996810473</v>
      </c>
      <c r="K3385" t="s">
        <v>3471</v>
      </c>
      <c r="L3385" t="s">
        <v>3472</v>
      </c>
      <c r="M3385" t="s">
        <v>57</v>
      </c>
    </row>
    <row r="3386" spans="1:13" x14ac:dyDescent="0.25">
      <c r="A3386" t="s">
        <v>12863</v>
      </c>
      <c r="B3386" t="s">
        <v>13</v>
      </c>
      <c r="C3386" t="s">
        <v>12842</v>
      </c>
      <c r="D3386" t="s">
        <v>12864</v>
      </c>
      <c r="E3386" s="2" t="s">
        <v>31952</v>
      </c>
      <c r="F3386" t="s">
        <v>1464</v>
      </c>
      <c r="G3386" t="s">
        <v>10859</v>
      </c>
      <c r="H3386" t="s">
        <v>36</v>
      </c>
      <c r="I3386" t="s">
        <v>19</v>
      </c>
      <c r="J3386" s="3">
        <f>55-11-2070-62</f>
        <v>-2088</v>
      </c>
      <c r="K3386" t="s">
        <v>12865</v>
      </c>
      <c r="L3386" t="s">
        <v>10861</v>
      </c>
      <c r="M3386" s="4" t="s">
        <v>57</v>
      </c>
    </row>
    <row r="3387" spans="1:13" x14ac:dyDescent="0.25">
      <c r="A3387" t="s">
        <v>12338</v>
      </c>
      <c r="B3387" t="s">
        <v>13</v>
      </c>
      <c r="C3387" t="s">
        <v>12316</v>
      </c>
      <c r="D3387" t="s">
        <v>12339</v>
      </c>
      <c r="E3387" t="s">
        <v>32460</v>
      </c>
      <c r="F3387" t="s">
        <v>2036</v>
      </c>
      <c r="G3387" t="s">
        <v>12340</v>
      </c>
      <c r="H3387" t="s">
        <v>991</v>
      </c>
      <c r="I3387" t="s">
        <v>19</v>
      </c>
      <c r="J3387" s="3">
        <f>55-51-983062900</f>
        <v>-983062896</v>
      </c>
      <c r="K3387" t="s">
        <v>12341</v>
      </c>
      <c r="L3387" t="s">
        <v>11375</v>
      </c>
      <c r="M3387" t="s">
        <v>57</v>
      </c>
    </row>
    <row r="3388" spans="1:13" x14ac:dyDescent="0.25">
      <c r="A3388" t="s">
        <v>12502</v>
      </c>
      <c r="B3388" t="s">
        <v>13</v>
      </c>
      <c r="C3388" s="1">
        <v>43894</v>
      </c>
      <c r="D3388" t="s">
        <v>12503</v>
      </c>
      <c r="E3388" t="s">
        <v>32461</v>
      </c>
      <c r="F3388" t="s">
        <v>1464</v>
      </c>
      <c r="G3388" t="s">
        <v>12504</v>
      </c>
      <c r="H3388" t="s">
        <v>444</v>
      </c>
      <c r="I3388" t="s">
        <v>19</v>
      </c>
      <c r="J3388" s="3">
        <f>55-87-21016856</f>
        <v>-21016888</v>
      </c>
      <c r="K3388" t="s">
        <v>12505</v>
      </c>
      <c r="L3388" t="s">
        <v>447</v>
      </c>
      <c r="M3388" s="4" t="s">
        <v>57</v>
      </c>
    </row>
    <row r="3389" spans="1:13" x14ac:dyDescent="0.25">
      <c r="A3389" t="s">
        <v>14016</v>
      </c>
      <c r="B3389" t="s">
        <v>13</v>
      </c>
      <c r="C3389" t="s">
        <v>10506</v>
      </c>
      <c r="D3389" t="s">
        <v>14017</v>
      </c>
      <c r="E3389" t="s">
        <v>14018</v>
      </c>
      <c r="F3389" t="s">
        <v>1464</v>
      </c>
      <c r="G3389" t="s">
        <v>2178</v>
      </c>
      <c r="H3389" t="s">
        <v>2112</v>
      </c>
      <c r="I3389" t="s">
        <v>19</v>
      </c>
      <c r="J3389" s="3">
        <f>55-45-32207344</f>
        <v>-32207334</v>
      </c>
      <c r="K3389" t="s">
        <v>14019</v>
      </c>
      <c r="L3389" t="s">
        <v>14020</v>
      </c>
      <c r="M3389" s="4" t="s">
        <v>57</v>
      </c>
    </row>
    <row r="3390" spans="1:13" x14ac:dyDescent="0.25">
      <c r="A3390" t="s">
        <v>619</v>
      </c>
      <c r="B3390" t="s">
        <v>13</v>
      </c>
      <c r="C3390" s="1">
        <v>45170</v>
      </c>
      <c r="D3390" t="s">
        <v>620</v>
      </c>
      <c r="E3390" t="s">
        <v>317</v>
      </c>
      <c r="F3390" t="s">
        <v>621</v>
      </c>
      <c r="G3390" t="s">
        <v>622</v>
      </c>
      <c r="H3390" t="s">
        <v>489</v>
      </c>
      <c r="I3390" t="s">
        <v>19</v>
      </c>
      <c r="J3390" s="3" t="s">
        <v>623</v>
      </c>
      <c r="K3390" t="s">
        <v>624</v>
      </c>
      <c r="L3390" t="s">
        <v>625</v>
      </c>
      <c r="M3390" t="s">
        <v>57</v>
      </c>
    </row>
    <row r="3391" spans="1:13" x14ac:dyDescent="0.25">
      <c r="A3391" t="s">
        <v>15020</v>
      </c>
      <c r="B3391" t="s">
        <v>13</v>
      </c>
      <c r="C3391" t="s">
        <v>15016</v>
      </c>
      <c r="D3391" t="s">
        <v>15021</v>
      </c>
      <c r="E3391" t="s">
        <v>1313</v>
      </c>
      <c r="F3391" t="s">
        <v>1775</v>
      </c>
      <c r="G3391" t="s">
        <v>15022</v>
      </c>
      <c r="H3391" t="s">
        <v>352</v>
      </c>
      <c r="I3391" t="s">
        <v>19</v>
      </c>
      <c r="J3391" s="3" t="s">
        <v>15023</v>
      </c>
      <c r="K3391" t="s">
        <v>15024</v>
      </c>
      <c r="L3391" t="s">
        <v>15025</v>
      </c>
      <c r="M3391" s="4" t="s">
        <v>57</v>
      </c>
    </row>
    <row r="3392" spans="1:13" x14ac:dyDescent="0.25">
      <c r="A3392" t="s">
        <v>979</v>
      </c>
      <c r="B3392" t="s">
        <v>13</v>
      </c>
      <c r="C3392" s="1">
        <v>44693</v>
      </c>
      <c r="D3392" t="s">
        <v>980</v>
      </c>
      <c r="E3392" t="s">
        <v>317</v>
      </c>
      <c r="F3392" t="s">
        <v>981</v>
      </c>
      <c r="G3392" t="s">
        <v>982</v>
      </c>
      <c r="H3392" t="s">
        <v>983</v>
      </c>
      <c r="I3392" t="s">
        <v>19</v>
      </c>
      <c r="J3392" s="3" t="s">
        <v>984</v>
      </c>
      <c r="K3392" t="s">
        <v>985</v>
      </c>
      <c r="L3392" t="s">
        <v>285</v>
      </c>
      <c r="M3392" t="s">
        <v>57</v>
      </c>
    </row>
    <row r="3393" spans="1:13" x14ac:dyDescent="0.25">
      <c r="A3393" t="s">
        <v>4075</v>
      </c>
      <c r="B3393" t="s">
        <v>13</v>
      </c>
      <c r="C3393" t="s">
        <v>4066</v>
      </c>
      <c r="D3393" t="s">
        <v>4076</v>
      </c>
      <c r="E3393" t="s">
        <v>317</v>
      </c>
      <c r="F3393" t="s">
        <v>4077</v>
      </c>
      <c r="G3393" t="s">
        <v>4078</v>
      </c>
      <c r="H3393" t="s">
        <v>2112</v>
      </c>
      <c r="I3393" t="s">
        <v>19</v>
      </c>
      <c r="J3393" s="3" t="s">
        <v>4079</v>
      </c>
      <c r="K3393" t="s">
        <v>4080</v>
      </c>
      <c r="L3393" t="s">
        <v>2115</v>
      </c>
      <c r="M3393" t="s">
        <v>57</v>
      </c>
    </row>
    <row r="3394" spans="1:13" x14ac:dyDescent="0.25">
      <c r="A3394" t="s">
        <v>29325</v>
      </c>
      <c r="B3394" t="s">
        <v>13</v>
      </c>
      <c r="C3394" s="1">
        <v>41496</v>
      </c>
      <c r="D3394" t="s">
        <v>29326</v>
      </c>
      <c r="E3394" t="s">
        <v>1313</v>
      </c>
      <c r="F3394" t="s">
        <v>1314</v>
      </c>
      <c r="G3394" t="s">
        <v>29327</v>
      </c>
      <c r="H3394" t="s">
        <v>29328</v>
      </c>
      <c r="I3394" t="s">
        <v>19</v>
      </c>
      <c r="J3394" s="3" t="s">
        <v>29329</v>
      </c>
      <c r="K3394" t="s">
        <v>29330</v>
      </c>
      <c r="L3394" t="s">
        <v>678</v>
      </c>
      <c r="M3394" t="s">
        <v>57</v>
      </c>
    </row>
    <row r="3395" spans="1:13" x14ac:dyDescent="0.25">
      <c r="A3395" t="s">
        <v>12954</v>
      </c>
      <c r="B3395" t="s">
        <v>13</v>
      </c>
      <c r="C3395" s="1">
        <v>44168</v>
      </c>
      <c r="D3395" t="s">
        <v>12955</v>
      </c>
      <c r="E3395" t="s">
        <v>317</v>
      </c>
      <c r="F3395" t="s">
        <v>1464</v>
      </c>
      <c r="G3395" t="s">
        <v>12956</v>
      </c>
      <c r="H3395" t="s">
        <v>936</v>
      </c>
      <c r="I3395" t="s">
        <v>19</v>
      </c>
      <c r="J3395" s="3" t="s">
        <v>12957</v>
      </c>
      <c r="K3395" t="s">
        <v>12958</v>
      </c>
      <c r="L3395" t="s">
        <v>12959</v>
      </c>
      <c r="M3395" s="4" t="s">
        <v>57</v>
      </c>
    </row>
    <row r="3396" spans="1:13" x14ac:dyDescent="0.25">
      <c r="A3396" t="s">
        <v>11645</v>
      </c>
      <c r="B3396" t="s">
        <v>13</v>
      </c>
      <c r="C3396" t="s">
        <v>11065</v>
      </c>
      <c r="D3396" t="s">
        <v>11646</v>
      </c>
      <c r="E3396" t="s">
        <v>317</v>
      </c>
      <c r="F3396" t="s">
        <v>332</v>
      </c>
      <c r="G3396" t="s">
        <v>11647</v>
      </c>
      <c r="H3396" t="s">
        <v>706</v>
      </c>
      <c r="I3396" t="s">
        <v>19</v>
      </c>
      <c r="J3396" s="3">
        <v>553134099300</v>
      </c>
      <c r="K3396" t="s">
        <v>11648</v>
      </c>
      <c r="L3396" t="s">
        <v>1944</v>
      </c>
      <c r="M3396" t="s">
        <v>337</v>
      </c>
    </row>
    <row r="3397" spans="1:13" x14ac:dyDescent="0.25">
      <c r="A3397" t="s">
        <v>17443</v>
      </c>
      <c r="B3397" t="s">
        <v>13</v>
      </c>
      <c r="C3397" s="1">
        <v>43561</v>
      </c>
      <c r="D3397">
        <v>111112315625</v>
      </c>
      <c r="E3397" t="s">
        <v>9367</v>
      </c>
      <c r="F3397" t="s">
        <v>1190</v>
      </c>
      <c r="G3397" t="s">
        <v>17444</v>
      </c>
      <c r="H3397" t="s">
        <v>17445</v>
      </c>
      <c r="I3397" t="s">
        <v>19</v>
      </c>
      <c r="J3397" s="3">
        <v>62996050075</v>
      </c>
      <c r="K3397" t="s">
        <v>17446</v>
      </c>
      <c r="L3397" t="s">
        <v>17447</v>
      </c>
      <c r="M3397" t="s">
        <v>432</v>
      </c>
    </row>
    <row r="3398" spans="1:13" x14ac:dyDescent="0.25">
      <c r="A3398" t="s">
        <v>6137</v>
      </c>
      <c r="B3398" t="s">
        <v>13</v>
      </c>
      <c r="C3398" s="1">
        <v>44296</v>
      </c>
      <c r="D3398" t="s">
        <v>6138</v>
      </c>
      <c r="E3398" s="2" t="s">
        <v>32787</v>
      </c>
      <c r="F3398" t="s">
        <v>34</v>
      </c>
      <c r="G3398" t="s">
        <v>3896</v>
      </c>
      <c r="H3398" t="s">
        <v>141</v>
      </c>
      <c r="I3398" t="s">
        <v>19</v>
      </c>
      <c r="J3398" s="3">
        <f>55-82-32156809</f>
        <v>-32156836</v>
      </c>
      <c r="K3398" t="s">
        <v>3897</v>
      </c>
      <c r="L3398" t="s">
        <v>3898</v>
      </c>
      <c r="M3398" t="s">
        <v>1775</v>
      </c>
    </row>
    <row r="3399" spans="1:13" x14ac:dyDescent="0.25">
      <c r="A3399" t="s">
        <v>15091</v>
      </c>
      <c r="B3399" t="s">
        <v>13</v>
      </c>
      <c r="C3399" s="1">
        <v>43657</v>
      </c>
      <c r="D3399" t="s">
        <v>15092</v>
      </c>
      <c r="E3399" s="2" t="s">
        <v>31506</v>
      </c>
      <c r="F3399" t="s">
        <v>306</v>
      </c>
      <c r="G3399" t="s">
        <v>15093</v>
      </c>
      <c r="H3399" t="s">
        <v>255</v>
      </c>
      <c r="I3399" t="s">
        <v>19</v>
      </c>
      <c r="J3399" s="3">
        <f>55-62- 999692512</f>
        <v>-999692519</v>
      </c>
      <c r="K3399" t="s">
        <v>15094</v>
      </c>
      <c r="L3399" t="s">
        <v>2852</v>
      </c>
      <c r="M3399" s="4" t="s">
        <v>57</v>
      </c>
    </row>
    <row r="3400" spans="1:13" x14ac:dyDescent="0.25">
      <c r="A3400" t="s">
        <v>14907</v>
      </c>
      <c r="B3400" t="s">
        <v>13</v>
      </c>
      <c r="C3400" t="s">
        <v>14908</v>
      </c>
      <c r="D3400" t="s">
        <v>14909</v>
      </c>
      <c r="E3400" s="2" t="s">
        <v>31112</v>
      </c>
      <c r="F3400" t="s">
        <v>2036</v>
      </c>
      <c r="G3400" t="s">
        <v>14742</v>
      </c>
      <c r="H3400" t="s">
        <v>105</v>
      </c>
      <c r="I3400" t="s">
        <v>19</v>
      </c>
      <c r="J3400" s="3">
        <f>55-21-2629-9464</f>
        <v>-12059</v>
      </c>
      <c r="K3400" t="s">
        <v>14743</v>
      </c>
      <c r="L3400" t="s">
        <v>108</v>
      </c>
      <c r="M3400" t="s">
        <v>57</v>
      </c>
    </row>
    <row r="3401" spans="1:13" x14ac:dyDescent="0.25">
      <c r="A3401" t="s">
        <v>3817</v>
      </c>
      <c r="B3401" t="s">
        <v>13</v>
      </c>
      <c r="C3401" t="s">
        <v>3780</v>
      </c>
      <c r="D3401" t="s">
        <v>3818</v>
      </c>
      <c r="E3401" s="2" t="s">
        <v>31606</v>
      </c>
      <c r="F3401" t="s">
        <v>1815</v>
      </c>
      <c r="G3401" t="s">
        <v>3819</v>
      </c>
      <c r="H3401" t="s">
        <v>428</v>
      </c>
      <c r="I3401" t="s">
        <v>19</v>
      </c>
      <c r="J3401" s="3">
        <v>555198448440</v>
      </c>
      <c r="K3401" t="s">
        <v>3820</v>
      </c>
      <c r="L3401" t="s">
        <v>3821</v>
      </c>
      <c r="M3401" t="s">
        <v>771</v>
      </c>
    </row>
    <row r="3402" spans="1:13" x14ac:dyDescent="0.25">
      <c r="A3402" t="s">
        <v>20608</v>
      </c>
      <c r="B3402" t="s">
        <v>13</v>
      </c>
      <c r="C3402" s="1">
        <v>43411</v>
      </c>
      <c r="D3402" t="s">
        <v>20609</v>
      </c>
      <c r="E3402" s="2" t="s">
        <v>32788</v>
      </c>
      <c r="F3402" t="s">
        <v>2036</v>
      </c>
      <c r="G3402" t="s">
        <v>20610</v>
      </c>
      <c r="H3402" t="s">
        <v>10967</v>
      </c>
      <c r="I3402" t="s">
        <v>19</v>
      </c>
      <c r="J3402" s="3" t="s">
        <v>20611</v>
      </c>
      <c r="K3402" t="s">
        <v>20612</v>
      </c>
      <c r="L3402" t="s">
        <v>10969</v>
      </c>
      <c r="M3402" t="s">
        <v>57</v>
      </c>
    </row>
    <row r="3403" spans="1:13" x14ac:dyDescent="0.25">
      <c r="A3403" t="s">
        <v>16786</v>
      </c>
      <c r="B3403" t="s">
        <v>13</v>
      </c>
      <c r="C3403" s="1">
        <v>43806</v>
      </c>
      <c r="D3403" t="s">
        <v>16787</v>
      </c>
      <c r="E3403" s="2" t="s">
        <v>32462</v>
      </c>
      <c r="F3403" t="s">
        <v>2036</v>
      </c>
      <c r="G3403" t="s">
        <v>5993</v>
      </c>
      <c r="H3403" t="s">
        <v>936</v>
      </c>
      <c r="I3403" t="s">
        <v>19</v>
      </c>
      <c r="J3403" s="3">
        <v>71999002039</v>
      </c>
      <c r="K3403" t="s">
        <v>5994</v>
      </c>
      <c r="L3403" t="s">
        <v>1578</v>
      </c>
      <c r="M3403" t="s">
        <v>57</v>
      </c>
    </row>
    <row r="3404" spans="1:13" x14ac:dyDescent="0.25">
      <c r="A3404" t="s">
        <v>13253</v>
      </c>
      <c r="B3404" t="s">
        <v>13</v>
      </c>
      <c r="C3404" s="1">
        <v>43893</v>
      </c>
      <c r="D3404" t="s">
        <v>13254</v>
      </c>
      <c r="E3404" t="s">
        <v>13255</v>
      </c>
      <c r="F3404" t="s">
        <v>1464</v>
      </c>
      <c r="G3404" t="s">
        <v>821</v>
      </c>
      <c r="H3404" t="s">
        <v>472</v>
      </c>
      <c r="I3404" t="s">
        <v>19</v>
      </c>
      <c r="J3404" s="3">
        <v>558133205445</v>
      </c>
      <c r="K3404" t="s">
        <v>823</v>
      </c>
      <c r="L3404" t="s">
        <v>824</v>
      </c>
      <c r="M3404" s="4" t="s">
        <v>57</v>
      </c>
    </row>
    <row r="3405" spans="1:13" x14ac:dyDescent="0.25">
      <c r="A3405" t="s">
        <v>5454</v>
      </c>
      <c r="B3405" t="s">
        <v>13</v>
      </c>
      <c r="C3405" s="1">
        <v>44359</v>
      </c>
      <c r="D3405" t="s">
        <v>5455</v>
      </c>
      <c r="E3405" s="2" t="s">
        <v>31386</v>
      </c>
      <c r="F3405" t="s">
        <v>317</v>
      </c>
      <c r="G3405" t="s">
        <v>5456</v>
      </c>
      <c r="H3405" t="s">
        <v>5457</v>
      </c>
      <c r="I3405" t="s">
        <v>19</v>
      </c>
      <c r="J3405" s="3">
        <v>5535991934356</v>
      </c>
      <c r="K3405" t="s">
        <v>5458</v>
      </c>
      <c r="L3405" t="s">
        <v>32135</v>
      </c>
      <c r="M3405" t="s">
        <v>57</v>
      </c>
    </row>
    <row r="3406" spans="1:13" x14ac:dyDescent="0.25">
      <c r="A3406" t="s">
        <v>22162</v>
      </c>
      <c r="B3406" t="s">
        <v>13</v>
      </c>
      <c r="C3406" t="s">
        <v>22153</v>
      </c>
      <c r="D3406" t="s">
        <v>22163</v>
      </c>
      <c r="E3406" s="2" t="s">
        <v>31306</v>
      </c>
      <c r="F3406" t="s">
        <v>2036</v>
      </c>
      <c r="G3406" t="s">
        <v>22164</v>
      </c>
      <c r="H3406" t="s">
        <v>428</v>
      </c>
      <c r="I3406" t="s">
        <v>19</v>
      </c>
      <c r="J3406" s="3" t="s">
        <v>22165</v>
      </c>
      <c r="K3406" t="s">
        <v>22166</v>
      </c>
      <c r="L3406" t="s">
        <v>22167</v>
      </c>
      <c r="M3406" t="s">
        <v>57</v>
      </c>
    </row>
    <row r="3407" spans="1:13" x14ac:dyDescent="0.25">
      <c r="A3407" t="s">
        <v>1570</v>
      </c>
      <c r="B3407" t="s">
        <v>13</v>
      </c>
      <c r="C3407" t="s">
        <v>1571</v>
      </c>
      <c r="D3407" t="s">
        <v>1572</v>
      </c>
      <c r="E3407" t="s">
        <v>1573</v>
      </c>
      <c r="F3407" t="s">
        <v>1574</v>
      </c>
      <c r="G3407" t="s">
        <v>1575</v>
      </c>
      <c r="H3407" t="s">
        <v>936</v>
      </c>
      <c r="I3407" t="s">
        <v>19</v>
      </c>
      <c r="J3407" s="3" t="s">
        <v>1576</v>
      </c>
      <c r="K3407" t="s">
        <v>1577</v>
      </c>
      <c r="L3407" t="s">
        <v>1578</v>
      </c>
      <c r="M3407" t="s">
        <v>57</v>
      </c>
    </row>
    <row r="3408" spans="1:13" x14ac:dyDescent="0.25">
      <c r="A3408" t="s">
        <v>15875</v>
      </c>
      <c r="B3408" t="s">
        <v>13</v>
      </c>
      <c r="C3408" t="s">
        <v>15876</v>
      </c>
      <c r="D3408" t="s">
        <v>15877</v>
      </c>
      <c r="E3408" s="2" t="s">
        <v>32463</v>
      </c>
      <c r="F3408" t="s">
        <v>1349</v>
      </c>
      <c r="G3408" t="s">
        <v>15878</v>
      </c>
      <c r="H3408" t="s">
        <v>2957</v>
      </c>
      <c r="I3408" t="s">
        <v>19</v>
      </c>
      <c r="J3408" s="3">
        <f>55-17-33216600</f>
        <v>-33216562</v>
      </c>
      <c r="K3408" t="s">
        <v>15879</v>
      </c>
      <c r="L3408" t="s">
        <v>2960</v>
      </c>
      <c r="M3408" t="s">
        <v>1349</v>
      </c>
    </row>
    <row r="3409" spans="1:13" x14ac:dyDescent="0.25">
      <c r="A3409" t="s">
        <v>4013</v>
      </c>
      <c r="B3409" t="s">
        <v>101</v>
      </c>
      <c r="C3409" s="1">
        <v>44716</v>
      </c>
      <c r="D3409" t="s">
        <v>4014</v>
      </c>
      <c r="E3409" t="s">
        <v>2881</v>
      </c>
      <c r="F3409" t="s">
        <v>4015</v>
      </c>
      <c r="G3409" t="s">
        <v>4016</v>
      </c>
      <c r="H3409" t="s">
        <v>4017</v>
      </c>
      <c r="I3409" t="s">
        <v>19</v>
      </c>
      <c r="J3409" s="3" t="s">
        <v>4018</v>
      </c>
      <c r="K3409" t="s">
        <v>4019</v>
      </c>
      <c r="L3409" t="s">
        <v>4020</v>
      </c>
      <c r="M3409" s="4" t="s">
        <v>57</v>
      </c>
    </row>
    <row r="3410" spans="1:13" x14ac:dyDescent="0.25">
      <c r="A3410" t="s">
        <v>9543</v>
      </c>
      <c r="B3410" t="s">
        <v>13</v>
      </c>
      <c r="C3410" t="s">
        <v>6204</v>
      </c>
      <c r="D3410" t="s">
        <v>9544</v>
      </c>
      <c r="E3410" t="s">
        <v>2881</v>
      </c>
      <c r="F3410" t="s">
        <v>57</v>
      </c>
      <c r="G3410" t="s">
        <v>1438</v>
      </c>
      <c r="H3410" t="s">
        <v>1090</v>
      </c>
      <c r="I3410" t="s">
        <v>19</v>
      </c>
      <c r="J3410" s="3" t="s">
        <v>9545</v>
      </c>
      <c r="K3410" t="s">
        <v>1440</v>
      </c>
      <c r="L3410" t="s">
        <v>1092</v>
      </c>
      <c r="M3410" s="4" t="s">
        <v>57</v>
      </c>
    </row>
    <row r="3411" spans="1:13" x14ac:dyDescent="0.25">
      <c r="A3411" t="s">
        <v>26782</v>
      </c>
      <c r="B3411" t="s">
        <v>13</v>
      </c>
      <c r="C3411" s="1">
        <v>42677</v>
      </c>
      <c r="D3411" t="s">
        <v>26783</v>
      </c>
      <c r="E3411" t="s">
        <v>2881</v>
      </c>
      <c r="F3411" t="s">
        <v>2036</v>
      </c>
      <c r="G3411" t="s">
        <v>26784</v>
      </c>
      <c r="H3411" t="s">
        <v>36</v>
      </c>
      <c r="I3411" t="s">
        <v>19</v>
      </c>
      <c r="J3411" s="3" t="s">
        <v>26785</v>
      </c>
      <c r="K3411" t="s">
        <v>26786</v>
      </c>
      <c r="L3411" t="s">
        <v>439</v>
      </c>
      <c r="M3411" t="s">
        <v>57</v>
      </c>
    </row>
    <row r="3412" spans="1:13" x14ac:dyDescent="0.25">
      <c r="A3412" t="s">
        <v>11636</v>
      </c>
      <c r="B3412" t="s">
        <v>13</v>
      </c>
      <c r="C3412" t="s">
        <v>11065</v>
      </c>
      <c r="D3412" t="s">
        <v>11637</v>
      </c>
      <c r="E3412" t="s">
        <v>2881</v>
      </c>
      <c r="F3412" t="s">
        <v>2036</v>
      </c>
      <c r="G3412" t="s">
        <v>11638</v>
      </c>
      <c r="H3412" t="s">
        <v>53</v>
      </c>
      <c r="I3412" t="s">
        <v>19</v>
      </c>
      <c r="J3412" s="3">
        <f>55-38-988455742</f>
        <v>-988455725</v>
      </c>
      <c r="K3412" t="s">
        <v>11639</v>
      </c>
      <c r="L3412" t="s">
        <v>56</v>
      </c>
      <c r="M3412" t="s">
        <v>57</v>
      </c>
    </row>
    <row r="3413" spans="1:13" x14ac:dyDescent="0.25">
      <c r="A3413" t="s">
        <v>15363</v>
      </c>
      <c r="B3413" t="s">
        <v>13</v>
      </c>
      <c r="C3413" t="s">
        <v>7240</v>
      </c>
      <c r="D3413" t="s">
        <v>15364</v>
      </c>
      <c r="E3413" t="s">
        <v>2881</v>
      </c>
      <c r="F3413" t="s">
        <v>2036</v>
      </c>
      <c r="G3413" t="s">
        <v>15365</v>
      </c>
      <c r="H3413" t="s">
        <v>503</v>
      </c>
      <c r="I3413" t="s">
        <v>19</v>
      </c>
      <c r="J3413" s="3">
        <f>55-54-991552261</f>
        <v>-991552260</v>
      </c>
      <c r="K3413" t="s">
        <v>15366</v>
      </c>
      <c r="L3413" t="s">
        <v>15367</v>
      </c>
      <c r="M3413" t="s">
        <v>57</v>
      </c>
    </row>
    <row r="3414" spans="1:13" x14ac:dyDescent="0.25">
      <c r="A3414" t="s">
        <v>16662</v>
      </c>
      <c r="B3414" t="s">
        <v>13</v>
      </c>
      <c r="C3414" t="s">
        <v>16644</v>
      </c>
      <c r="D3414" t="s">
        <v>16663</v>
      </c>
      <c r="E3414" t="s">
        <v>16664</v>
      </c>
      <c r="F3414" t="s">
        <v>1190</v>
      </c>
      <c r="G3414" t="s">
        <v>16665</v>
      </c>
      <c r="H3414" t="s">
        <v>2545</v>
      </c>
      <c r="I3414" t="s">
        <v>19</v>
      </c>
      <c r="J3414" s="3">
        <f>55-19-3526-9600</f>
        <v>-13090</v>
      </c>
      <c r="K3414" t="s">
        <v>16666</v>
      </c>
      <c r="L3414" t="s">
        <v>16667</v>
      </c>
      <c r="M3414" t="s">
        <v>432</v>
      </c>
    </row>
    <row r="3415" spans="1:13" x14ac:dyDescent="0.25">
      <c r="A3415" t="s">
        <v>21762</v>
      </c>
      <c r="B3415" t="s">
        <v>13</v>
      </c>
      <c r="C3415" t="s">
        <v>15951</v>
      </c>
      <c r="D3415" t="s">
        <v>21763</v>
      </c>
      <c r="E3415" t="s">
        <v>32464</v>
      </c>
      <c r="F3415" t="s">
        <v>5940</v>
      </c>
      <c r="G3415" t="s">
        <v>21764</v>
      </c>
      <c r="H3415" t="s">
        <v>2564</v>
      </c>
      <c r="I3415" t="s">
        <v>19</v>
      </c>
      <c r="J3415" s="3" t="s">
        <v>21765</v>
      </c>
      <c r="K3415" t="s">
        <v>21766</v>
      </c>
      <c r="L3415" t="s">
        <v>2026</v>
      </c>
      <c r="M3415" t="s">
        <v>224</v>
      </c>
    </row>
    <row r="3416" spans="1:13" x14ac:dyDescent="0.25">
      <c r="A3416" t="s">
        <v>17836</v>
      </c>
      <c r="B3416" t="s">
        <v>13</v>
      </c>
      <c r="C3416" s="1">
        <v>43773</v>
      </c>
      <c r="D3416" t="s">
        <v>17837</v>
      </c>
      <c r="E3416" t="s">
        <v>17838</v>
      </c>
      <c r="F3416" t="s">
        <v>2036</v>
      </c>
      <c r="G3416" t="s">
        <v>1966</v>
      </c>
      <c r="H3416" t="s">
        <v>1967</v>
      </c>
      <c r="I3416" t="s">
        <v>19</v>
      </c>
      <c r="J3416" s="3">
        <f>55-51-35911265</f>
        <v>-35911261</v>
      </c>
      <c r="K3416" t="s">
        <v>1969</v>
      </c>
      <c r="L3416" t="s">
        <v>1970</v>
      </c>
      <c r="M3416" t="s">
        <v>57</v>
      </c>
    </row>
    <row r="3417" spans="1:13" x14ac:dyDescent="0.25">
      <c r="A3417" t="s">
        <v>6924</v>
      </c>
      <c r="B3417" t="s">
        <v>13</v>
      </c>
      <c r="C3417" s="1">
        <v>44537</v>
      </c>
      <c r="D3417" t="s">
        <v>32135</v>
      </c>
      <c r="E3417" s="2" t="s">
        <v>30915</v>
      </c>
      <c r="F3417" t="s">
        <v>6925</v>
      </c>
      <c r="G3417" t="s">
        <v>6926</v>
      </c>
      <c r="H3417" t="s">
        <v>2305</v>
      </c>
      <c r="I3417" t="s">
        <v>19</v>
      </c>
      <c r="J3417" s="3" t="s">
        <v>6927</v>
      </c>
      <c r="K3417" t="s">
        <v>6928</v>
      </c>
      <c r="L3417" t="s">
        <v>32135</v>
      </c>
      <c r="M3417" t="s">
        <v>32167</v>
      </c>
    </row>
    <row r="3418" spans="1:13" x14ac:dyDescent="0.25">
      <c r="A3418" t="s">
        <v>2444</v>
      </c>
      <c r="B3418" t="s">
        <v>13</v>
      </c>
      <c r="C3418" s="1">
        <v>44354</v>
      </c>
      <c r="D3418" t="s">
        <v>32135</v>
      </c>
      <c r="E3418" s="2" t="s">
        <v>30737</v>
      </c>
      <c r="F3418" t="s">
        <v>2446</v>
      </c>
      <c r="G3418" t="s">
        <v>2447</v>
      </c>
      <c r="H3418" t="s">
        <v>706</v>
      </c>
      <c r="I3418" t="s">
        <v>19</v>
      </c>
      <c r="J3418" s="3">
        <f>55-19-991562113</f>
        <v>-991562077</v>
      </c>
      <c r="K3418" t="s">
        <v>2448</v>
      </c>
      <c r="L3418" t="s">
        <v>565</v>
      </c>
      <c r="M3418" s="4" t="s">
        <v>57</v>
      </c>
    </row>
    <row r="3419" spans="1:13" x14ac:dyDescent="0.25">
      <c r="A3419" t="s">
        <v>7857</v>
      </c>
      <c r="B3419" t="s">
        <v>13</v>
      </c>
      <c r="C3419" s="1">
        <v>44231</v>
      </c>
      <c r="D3419" t="s">
        <v>32135</v>
      </c>
      <c r="E3419" s="2" t="s">
        <v>31719</v>
      </c>
      <c r="F3419" t="s">
        <v>148</v>
      </c>
      <c r="G3419" t="s">
        <v>7858</v>
      </c>
      <c r="H3419" t="s">
        <v>1967</v>
      </c>
      <c r="I3419" t="s">
        <v>19</v>
      </c>
      <c r="J3419" s="3" t="s">
        <v>7859</v>
      </c>
      <c r="K3419" t="s">
        <v>7860</v>
      </c>
      <c r="L3419" t="s">
        <v>32135</v>
      </c>
      <c r="M3419" t="s">
        <v>32167</v>
      </c>
    </row>
    <row r="3420" spans="1:13" x14ac:dyDescent="0.25">
      <c r="A3420" t="s">
        <v>9106</v>
      </c>
      <c r="B3420" t="s">
        <v>13</v>
      </c>
      <c r="C3420" s="1">
        <v>44146</v>
      </c>
      <c r="D3420" t="s">
        <v>9107</v>
      </c>
      <c r="E3420" s="2" t="s">
        <v>30970</v>
      </c>
      <c r="F3420" t="s">
        <v>1464</v>
      </c>
      <c r="G3420" t="s">
        <v>2964</v>
      </c>
      <c r="H3420" t="s">
        <v>28</v>
      </c>
      <c r="I3420" t="s">
        <v>19</v>
      </c>
      <c r="J3420" s="3" t="s">
        <v>9108</v>
      </c>
      <c r="K3420" t="s">
        <v>2965</v>
      </c>
      <c r="L3420" t="s">
        <v>2012</v>
      </c>
      <c r="M3420" s="4" t="s">
        <v>57</v>
      </c>
    </row>
    <row r="3421" spans="1:13" x14ac:dyDescent="0.25">
      <c r="A3421" t="s">
        <v>2879</v>
      </c>
      <c r="B3421" t="s">
        <v>13</v>
      </c>
      <c r="C3421" t="s">
        <v>2871</v>
      </c>
      <c r="D3421" t="s">
        <v>2880</v>
      </c>
      <c r="E3421" s="2" t="s">
        <v>30754</v>
      </c>
      <c r="F3421" t="s">
        <v>147</v>
      </c>
      <c r="G3421" t="s">
        <v>2883</v>
      </c>
      <c r="H3421" t="s">
        <v>927</v>
      </c>
      <c r="I3421" t="s">
        <v>19</v>
      </c>
      <c r="J3421" s="3" t="s">
        <v>2884</v>
      </c>
      <c r="K3421" t="s">
        <v>2885</v>
      </c>
      <c r="L3421" t="s">
        <v>439</v>
      </c>
      <c r="M3421" t="s">
        <v>741</v>
      </c>
    </row>
    <row r="3422" spans="1:13" x14ac:dyDescent="0.25">
      <c r="A3422" t="s">
        <v>10456</v>
      </c>
      <c r="B3422" t="s">
        <v>13</v>
      </c>
      <c r="C3422" s="1">
        <v>44173</v>
      </c>
      <c r="D3422" t="s">
        <v>10457</v>
      </c>
      <c r="E3422" s="2" t="s">
        <v>30994</v>
      </c>
      <c r="F3422" t="s">
        <v>2036</v>
      </c>
      <c r="G3422" t="s">
        <v>10458</v>
      </c>
      <c r="H3422" t="s">
        <v>798</v>
      </c>
      <c r="I3422" t="s">
        <v>19</v>
      </c>
      <c r="J3422" s="3" t="s">
        <v>10459</v>
      </c>
      <c r="K3422" t="s">
        <v>10460</v>
      </c>
      <c r="L3422" t="s">
        <v>10458</v>
      </c>
      <c r="M3422" t="s">
        <v>57</v>
      </c>
    </row>
    <row r="3423" spans="1:13" x14ac:dyDescent="0.25">
      <c r="A3423" t="s">
        <v>12070</v>
      </c>
      <c r="B3423" t="s">
        <v>101</v>
      </c>
      <c r="C3423" t="s">
        <v>12053</v>
      </c>
      <c r="D3423" t="s">
        <v>12071</v>
      </c>
      <c r="E3423" s="2" t="s">
        <v>31033</v>
      </c>
      <c r="F3423" t="s">
        <v>1190</v>
      </c>
      <c r="G3423" t="s">
        <v>12072</v>
      </c>
      <c r="H3423" t="s">
        <v>927</v>
      </c>
      <c r="I3423" t="s">
        <v>19</v>
      </c>
      <c r="J3423" s="3">
        <v>13981280973</v>
      </c>
      <c r="K3423" t="s">
        <v>12073</v>
      </c>
      <c r="L3423" t="s">
        <v>12074</v>
      </c>
      <c r="M3423" t="s">
        <v>432</v>
      </c>
    </row>
    <row r="3424" spans="1:13" x14ac:dyDescent="0.25">
      <c r="A3424" t="s">
        <v>7723</v>
      </c>
      <c r="B3424" t="s">
        <v>13</v>
      </c>
      <c r="C3424" s="1">
        <v>44382</v>
      </c>
      <c r="D3424" t="s">
        <v>7724</v>
      </c>
      <c r="E3424" s="2" t="s">
        <v>30936</v>
      </c>
      <c r="F3424" t="s">
        <v>2036</v>
      </c>
      <c r="G3424" t="s">
        <v>1175</v>
      </c>
      <c r="H3424" t="s">
        <v>927</v>
      </c>
      <c r="I3424" t="s">
        <v>19</v>
      </c>
      <c r="J3424" s="3">
        <f>55-11-996745133</f>
        <v>-996745089</v>
      </c>
      <c r="K3424" t="s">
        <v>7725</v>
      </c>
      <c r="L3424" t="s">
        <v>7726</v>
      </c>
      <c r="M3424" t="s">
        <v>57</v>
      </c>
    </row>
    <row r="3425" spans="1:13" x14ac:dyDescent="0.25">
      <c r="A3425" t="s">
        <v>29460</v>
      </c>
      <c r="B3425" t="s">
        <v>13</v>
      </c>
      <c r="C3425" t="s">
        <v>29453</v>
      </c>
      <c r="D3425" t="s">
        <v>29461</v>
      </c>
      <c r="E3425" t="s">
        <v>29462</v>
      </c>
      <c r="F3425" t="s">
        <v>224</v>
      </c>
      <c r="G3425" t="s">
        <v>29463</v>
      </c>
      <c r="H3425" t="s">
        <v>36</v>
      </c>
      <c r="I3425" t="s">
        <v>19</v>
      </c>
      <c r="J3425" s="3" t="s">
        <v>29464</v>
      </c>
      <c r="K3425" t="s">
        <v>29465</v>
      </c>
      <c r="L3425" t="s">
        <v>223</v>
      </c>
      <c r="M3425" t="s">
        <v>224</v>
      </c>
    </row>
    <row r="3426" spans="1:13" x14ac:dyDescent="0.25">
      <c r="A3426" t="s">
        <v>21039</v>
      </c>
      <c r="B3426" t="s">
        <v>13</v>
      </c>
      <c r="C3426" t="s">
        <v>21028</v>
      </c>
      <c r="D3426" t="s">
        <v>21040</v>
      </c>
      <c r="E3426" s="2" t="s">
        <v>31272</v>
      </c>
      <c r="F3426" t="s">
        <v>1464</v>
      </c>
      <c r="G3426" t="s">
        <v>21041</v>
      </c>
      <c r="H3426" t="s">
        <v>88</v>
      </c>
      <c r="I3426" t="s">
        <v>19</v>
      </c>
      <c r="J3426" s="3" t="s">
        <v>21042</v>
      </c>
      <c r="K3426" t="s">
        <v>21043</v>
      </c>
      <c r="L3426" t="s">
        <v>91</v>
      </c>
      <c r="M3426" s="4" t="s">
        <v>57</v>
      </c>
    </row>
    <row r="3427" spans="1:13" x14ac:dyDescent="0.25">
      <c r="A3427" t="s">
        <v>12103</v>
      </c>
      <c r="B3427" t="s">
        <v>13</v>
      </c>
      <c r="C3427" t="s">
        <v>9668</v>
      </c>
      <c r="D3427" t="s">
        <v>12104</v>
      </c>
      <c r="E3427" t="s">
        <v>12105</v>
      </c>
      <c r="F3427" t="s">
        <v>2036</v>
      </c>
      <c r="G3427" t="s">
        <v>12106</v>
      </c>
      <c r="H3427" t="s">
        <v>36</v>
      </c>
      <c r="I3427" t="s">
        <v>19</v>
      </c>
      <c r="J3427" s="3">
        <v>5511973440380</v>
      </c>
      <c r="K3427" t="s">
        <v>7216</v>
      </c>
      <c r="L3427" t="s">
        <v>223</v>
      </c>
      <c r="M3427" t="s">
        <v>57</v>
      </c>
    </row>
    <row r="3428" spans="1:13" x14ac:dyDescent="0.25">
      <c r="A3428" t="s">
        <v>9242</v>
      </c>
      <c r="B3428" t="s">
        <v>13</v>
      </c>
      <c r="C3428" t="s">
        <v>9243</v>
      </c>
      <c r="D3428" t="s">
        <v>9244</v>
      </c>
      <c r="E3428" t="s">
        <v>9245</v>
      </c>
      <c r="F3428" t="s">
        <v>2036</v>
      </c>
      <c r="G3428" t="s">
        <v>9246</v>
      </c>
      <c r="H3428" t="s">
        <v>472</v>
      </c>
      <c r="I3428" t="s">
        <v>2850</v>
      </c>
      <c r="J3428" s="3">
        <v>558121263743</v>
      </c>
      <c r="K3428" t="s">
        <v>9247</v>
      </c>
      <c r="L3428" t="s">
        <v>4370</v>
      </c>
      <c r="M3428" t="s">
        <v>57</v>
      </c>
    </row>
    <row r="3429" spans="1:13" x14ac:dyDescent="0.25">
      <c r="A3429" t="s">
        <v>10416</v>
      </c>
      <c r="B3429" t="s">
        <v>13</v>
      </c>
      <c r="C3429" t="s">
        <v>9982</v>
      </c>
      <c r="D3429" t="s">
        <v>10417</v>
      </c>
      <c r="E3429" s="2" t="s">
        <v>32465</v>
      </c>
      <c r="F3429" t="s">
        <v>2036</v>
      </c>
      <c r="G3429" t="s">
        <v>1175</v>
      </c>
      <c r="H3429" t="s">
        <v>927</v>
      </c>
      <c r="I3429" t="s">
        <v>19</v>
      </c>
      <c r="J3429" s="3">
        <f>55-11-996745133</f>
        <v>-996745089</v>
      </c>
      <c r="K3429" t="s">
        <v>7725</v>
      </c>
      <c r="L3429" t="s">
        <v>7726</v>
      </c>
      <c r="M3429" t="s">
        <v>57</v>
      </c>
    </row>
    <row r="3430" spans="1:13" x14ac:dyDescent="0.25">
      <c r="A3430" t="s">
        <v>26457</v>
      </c>
      <c r="B3430" t="s">
        <v>13</v>
      </c>
      <c r="C3430" t="s">
        <v>26446</v>
      </c>
      <c r="D3430" t="s">
        <v>26458</v>
      </c>
      <c r="E3430" t="s">
        <v>26459</v>
      </c>
      <c r="F3430" t="s">
        <v>2036</v>
      </c>
      <c r="G3430" t="s">
        <v>26460</v>
      </c>
      <c r="H3430" t="s">
        <v>798</v>
      </c>
      <c r="I3430" t="s">
        <v>19</v>
      </c>
      <c r="J3430" s="3" t="s">
        <v>26461</v>
      </c>
      <c r="K3430" t="s">
        <v>26462</v>
      </c>
      <c r="L3430" t="s">
        <v>18766</v>
      </c>
      <c r="M3430" t="s">
        <v>57</v>
      </c>
    </row>
    <row r="3431" spans="1:13" x14ac:dyDescent="0.25">
      <c r="A3431" t="s">
        <v>23338</v>
      </c>
      <c r="B3431" t="s">
        <v>13</v>
      </c>
      <c r="C3431" s="1">
        <v>42403</v>
      </c>
      <c r="D3431" t="s">
        <v>23339</v>
      </c>
      <c r="E3431" t="s">
        <v>23340</v>
      </c>
      <c r="F3431" t="s">
        <v>117</v>
      </c>
      <c r="G3431" t="s">
        <v>23341</v>
      </c>
      <c r="H3431" t="s">
        <v>18280</v>
      </c>
      <c r="I3431" t="s">
        <v>19</v>
      </c>
      <c r="J3431" s="3" t="s">
        <v>23342</v>
      </c>
      <c r="K3431" t="s">
        <v>23343</v>
      </c>
      <c r="L3431" t="s">
        <v>197</v>
      </c>
      <c r="M3431" t="s">
        <v>32145</v>
      </c>
    </row>
    <row r="3432" spans="1:13" x14ac:dyDescent="0.25">
      <c r="A3432" t="s">
        <v>7621</v>
      </c>
      <c r="B3432" t="s">
        <v>13</v>
      </c>
      <c r="C3432" t="s">
        <v>7622</v>
      </c>
      <c r="D3432" t="s">
        <v>7623</v>
      </c>
      <c r="E3432" t="s">
        <v>2036</v>
      </c>
      <c r="F3432" t="s">
        <v>2036</v>
      </c>
      <c r="G3432" t="s">
        <v>2461</v>
      </c>
      <c r="H3432" t="s">
        <v>669</v>
      </c>
      <c r="I3432" t="s">
        <v>670</v>
      </c>
      <c r="J3432" s="3">
        <v>5697122483</v>
      </c>
      <c r="K3432" t="s">
        <v>671</v>
      </c>
      <c r="L3432" t="s">
        <v>672</v>
      </c>
      <c r="M3432" t="s">
        <v>57</v>
      </c>
    </row>
    <row r="3433" spans="1:13" x14ac:dyDescent="0.25">
      <c r="A3433" t="s">
        <v>16778</v>
      </c>
      <c r="B3433" t="s">
        <v>13</v>
      </c>
      <c r="C3433" t="s">
        <v>16779</v>
      </c>
      <c r="D3433" t="s">
        <v>16780</v>
      </c>
      <c r="E3433" t="s">
        <v>2036</v>
      </c>
      <c r="F3433" t="s">
        <v>2036</v>
      </c>
      <c r="G3433" t="s">
        <v>16781</v>
      </c>
      <c r="H3433" t="s">
        <v>53</v>
      </c>
      <c r="I3433" t="s">
        <v>19</v>
      </c>
      <c r="J3433" s="3">
        <f>55-31-88882945</f>
        <v>-88882921</v>
      </c>
      <c r="K3433" t="s">
        <v>16782</v>
      </c>
      <c r="L3433" t="s">
        <v>56</v>
      </c>
      <c r="M3433" t="s">
        <v>57</v>
      </c>
    </row>
    <row r="3434" spans="1:13" x14ac:dyDescent="0.25">
      <c r="A3434" t="s">
        <v>11552</v>
      </c>
      <c r="B3434" t="s">
        <v>101</v>
      </c>
      <c r="C3434" s="1">
        <v>43896</v>
      </c>
      <c r="D3434" t="s">
        <v>11553</v>
      </c>
      <c r="E3434" t="s">
        <v>2036</v>
      </c>
      <c r="F3434" t="s">
        <v>2036</v>
      </c>
      <c r="G3434" t="s">
        <v>11554</v>
      </c>
      <c r="H3434" t="s">
        <v>927</v>
      </c>
      <c r="I3434" t="s">
        <v>19</v>
      </c>
      <c r="J3434" s="3">
        <f>55-1332290130</f>
        <v>-1332290075</v>
      </c>
      <c r="K3434" t="s">
        <v>11555</v>
      </c>
      <c r="L3434" t="s">
        <v>439</v>
      </c>
      <c r="M3434" t="s">
        <v>57</v>
      </c>
    </row>
    <row r="3435" spans="1:13" x14ac:dyDescent="0.25">
      <c r="A3435" t="s">
        <v>13923</v>
      </c>
      <c r="B3435" t="s">
        <v>13</v>
      </c>
      <c r="C3435" t="s">
        <v>12548</v>
      </c>
      <c r="D3435" t="s">
        <v>13924</v>
      </c>
      <c r="E3435" t="s">
        <v>3919</v>
      </c>
      <c r="F3435" t="s">
        <v>2036</v>
      </c>
      <c r="G3435" t="s">
        <v>13925</v>
      </c>
      <c r="H3435" t="s">
        <v>428</v>
      </c>
      <c r="I3435" t="s">
        <v>19</v>
      </c>
      <c r="J3435" s="3" t="s">
        <v>13926</v>
      </c>
      <c r="K3435" t="s">
        <v>13927</v>
      </c>
      <c r="L3435" t="s">
        <v>13928</v>
      </c>
      <c r="M3435" t="s">
        <v>57</v>
      </c>
    </row>
    <row r="3436" spans="1:13" x14ac:dyDescent="0.25">
      <c r="A3436" t="s">
        <v>14512</v>
      </c>
      <c r="B3436" t="s">
        <v>13</v>
      </c>
      <c r="C3436" t="s">
        <v>10438</v>
      </c>
      <c r="D3436" t="s">
        <v>14513</v>
      </c>
      <c r="E3436" t="s">
        <v>3919</v>
      </c>
      <c r="F3436" t="s">
        <v>2036</v>
      </c>
      <c r="G3436" t="s">
        <v>14514</v>
      </c>
      <c r="H3436" t="s">
        <v>489</v>
      </c>
      <c r="I3436" t="s">
        <v>19</v>
      </c>
      <c r="J3436" s="3">
        <f>55-41-32711515</f>
        <v>-32711501</v>
      </c>
      <c r="K3436" t="s">
        <v>14515</v>
      </c>
      <c r="L3436" t="s">
        <v>2661</v>
      </c>
      <c r="M3436" t="s">
        <v>57</v>
      </c>
    </row>
    <row r="3437" spans="1:13" x14ac:dyDescent="0.25">
      <c r="A3437" t="s">
        <v>17314</v>
      </c>
      <c r="B3437" t="s">
        <v>13</v>
      </c>
      <c r="C3437" s="1">
        <v>43591</v>
      </c>
      <c r="D3437" t="s">
        <v>17315</v>
      </c>
      <c r="E3437" t="s">
        <v>17316</v>
      </c>
      <c r="F3437" t="s">
        <v>2036</v>
      </c>
      <c r="G3437" t="s">
        <v>17317</v>
      </c>
      <c r="H3437" t="s">
        <v>18</v>
      </c>
      <c r="I3437" t="s">
        <v>19</v>
      </c>
      <c r="J3437" s="3">
        <f>55-11-982022671</f>
        <v>-982022627</v>
      </c>
      <c r="K3437" t="s">
        <v>17318</v>
      </c>
      <c r="L3437" t="s">
        <v>285</v>
      </c>
      <c r="M3437" t="s">
        <v>57</v>
      </c>
    </row>
    <row r="3438" spans="1:13" x14ac:dyDescent="0.25">
      <c r="A3438" t="s">
        <v>26053</v>
      </c>
      <c r="B3438" t="s">
        <v>13</v>
      </c>
      <c r="C3438" t="s">
        <v>25376</v>
      </c>
      <c r="D3438" t="s">
        <v>26054</v>
      </c>
      <c r="E3438" s="2" t="s">
        <v>32789</v>
      </c>
      <c r="F3438" t="s">
        <v>2036</v>
      </c>
      <c r="G3438" t="s">
        <v>26055</v>
      </c>
      <c r="H3438" t="s">
        <v>1802</v>
      </c>
      <c r="I3438" t="s">
        <v>19</v>
      </c>
      <c r="J3438" s="3" t="s">
        <v>26056</v>
      </c>
      <c r="K3438" t="s">
        <v>26057</v>
      </c>
      <c r="L3438" t="s">
        <v>14212</v>
      </c>
      <c r="M3438" t="s">
        <v>57</v>
      </c>
    </row>
    <row r="3439" spans="1:13" x14ac:dyDescent="0.25">
      <c r="A3439" t="s">
        <v>15281</v>
      </c>
      <c r="B3439" t="s">
        <v>13</v>
      </c>
      <c r="C3439" s="1">
        <v>43748</v>
      </c>
      <c r="D3439" t="s">
        <v>15282</v>
      </c>
      <c r="E3439" s="2" t="s">
        <v>31123</v>
      </c>
      <c r="F3439" t="s">
        <v>2036</v>
      </c>
      <c r="G3439" t="s">
        <v>15283</v>
      </c>
      <c r="H3439" t="s">
        <v>352</v>
      </c>
      <c r="I3439" t="s">
        <v>19</v>
      </c>
      <c r="J3439" s="3">
        <v>5521982045333</v>
      </c>
      <c r="K3439" t="s">
        <v>15284</v>
      </c>
      <c r="L3439" t="s">
        <v>15285</v>
      </c>
      <c r="M3439" t="s">
        <v>57</v>
      </c>
    </row>
    <row r="3440" spans="1:13" x14ac:dyDescent="0.25">
      <c r="A3440" t="s">
        <v>11715</v>
      </c>
      <c r="B3440" t="s">
        <v>13</v>
      </c>
      <c r="C3440" t="s">
        <v>2310</v>
      </c>
      <c r="D3440" t="s">
        <v>11716</v>
      </c>
      <c r="E3440" s="2" t="s">
        <v>31516</v>
      </c>
      <c r="F3440" t="s">
        <v>2036</v>
      </c>
      <c r="G3440" t="s">
        <v>11717</v>
      </c>
      <c r="H3440" t="s">
        <v>11044</v>
      </c>
      <c r="I3440" t="s">
        <v>19</v>
      </c>
      <c r="J3440" s="3">
        <v>554299446621</v>
      </c>
      <c r="K3440" t="s">
        <v>11718</v>
      </c>
      <c r="L3440" t="s">
        <v>11719</v>
      </c>
      <c r="M3440" t="s">
        <v>57</v>
      </c>
    </row>
    <row r="3441" spans="1:13" x14ac:dyDescent="0.25">
      <c r="A3441" t="s">
        <v>6203</v>
      </c>
      <c r="B3441" t="s">
        <v>13</v>
      </c>
      <c r="C3441" t="s">
        <v>6204</v>
      </c>
      <c r="D3441" t="s">
        <v>5207</v>
      </c>
      <c r="E3441" s="2" t="s">
        <v>32466</v>
      </c>
      <c r="F3441" t="s">
        <v>2036</v>
      </c>
      <c r="G3441" t="s">
        <v>6205</v>
      </c>
      <c r="H3441" t="s">
        <v>5210</v>
      </c>
      <c r="I3441" t="s">
        <v>19</v>
      </c>
      <c r="J3441" s="3">
        <v>55021970175915</v>
      </c>
      <c r="K3441" t="s">
        <v>6206</v>
      </c>
      <c r="L3441" t="s">
        <v>550</v>
      </c>
      <c r="M3441" t="s">
        <v>57</v>
      </c>
    </row>
    <row r="3442" spans="1:13" x14ac:dyDescent="0.25">
      <c r="A3442" t="s">
        <v>13126</v>
      </c>
      <c r="B3442" t="s">
        <v>13</v>
      </c>
      <c r="C3442" s="1">
        <v>44077</v>
      </c>
      <c r="D3442" t="s">
        <v>13127</v>
      </c>
      <c r="E3442" s="2" t="s">
        <v>31537</v>
      </c>
      <c r="F3442" t="s">
        <v>2036</v>
      </c>
      <c r="G3442" t="s">
        <v>13128</v>
      </c>
      <c r="H3442" t="s">
        <v>1090</v>
      </c>
      <c r="I3442" t="s">
        <v>19</v>
      </c>
      <c r="J3442" s="3">
        <f>55-83-996137900</f>
        <v>-996137928</v>
      </c>
      <c r="K3442" t="s">
        <v>6387</v>
      </c>
      <c r="L3442" t="s">
        <v>1092</v>
      </c>
      <c r="M3442" t="s">
        <v>57</v>
      </c>
    </row>
    <row r="3443" spans="1:13" x14ac:dyDescent="0.25">
      <c r="A3443" t="s">
        <v>10847</v>
      </c>
      <c r="B3443" t="s">
        <v>13</v>
      </c>
      <c r="C3443" t="s">
        <v>7057</v>
      </c>
      <c r="D3443" t="s">
        <v>10848</v>
      </c>
      <c r="E3443" t="s">
        <v>32467</v>
      </c>
      <c r="F3443" t="s">
        <v>2036</v>
      </c>
      <c r="G3443" t="s">
        <v>10849</v>
      </c>
      <c r="H3443" t="s">
        <v>472</v>
      </c>
      <c r="I3443" t="s">
        <v>19</v>
      </c>
      <c r="J3443" s="3">
        <f>55-81-991408463</f>
        <v>-991408489</v>
      </c>
      <c r="K3443" t="s">
        <v>10850</v>
      </c>
      <c r="L3443" t="s">
        <v>2101</v>
      </c>
      <c r="M3443" t="s">
        <v>57</v>
      </c>
    </row>
    <row r="3444" spans="1:13" x14ac:dyDescent="0.25">
      <c r="A3444" t="s">
        <v>26415</v>
      </c>
      <c r="B3444" t="s">
        <v>13</v>
      </c>
      <c r="C3444" s="1">
        <v>41889</v>
      </c>
      <c r="D3444" t="s">
        <v>26416</v>
      </c>
      <c r="E3444" t="s">
        <v>26417</v>
      </c>
      <c r="F3444" t="s">
        <v>2036</v>
      </c>
      <c r="G3444" t="s">
        <v>13537</v>
      </c>
      <c r="H3444" t="s">
        <v>927</v>
      </c>
      <c r="I3444" t="s">
        <v>19</v>
      </c>
      <c r="J3444" s="3" t="s">
        <v>19014</v>
      </c>
      <c r="K3444" t="s">
        <v>13538</v>
      </c>
      <c r="L3444" t="s">
        <v>439</v>
      </c>
      <c r="M3444" t="s">
        <v>57</v>
      </c>
    </row>
    <row r="3445" spans="1:13" x14ac:dyDescent="0.25">
      <c r="A3445" t="s">
        <v>13097</v>
      </c>
      <c r="B3445" t="s">
        <v>13</v>
      </c>
      <c r="C3445" s="1">
        <v>44077</v>
      </c>
      <c r="D3445" t="s">
        <v>13098</v>
      </c>
      <c r="E3445" s="2" t="s">
        <v>31469</v>
      </c>
      <c r="F3445" t="s">
        <v>2036</v>
      </c>
      <c r="G3445" t="s">
        <v>13099</v>
      </c>
      <c r="H3445" t="s">
        <v>53</v>
      </c>
      <c r="I3445" t="s">
        <v>19</v>
      </c>
      <c r="J3445" s="3" t="s">
        <v>13100</v>
      </c>
      <c r="K3445" t="s">
        <v>13101</v>
      </c>
      <c r="L3445" t="s">
        <v>13102</v>
      </c>
      <c r="M3445" t="s">
        <v>57</v>
      </c>
    </row>
    <row r="3446" spans="1:13" x14ac:dyDescent="0.25">
      <c r="A3446" t="s">
        <v>27827</v>
      </c>
      <c r="B3446" t="s">
        <v>101</v>
      </c>
      <c r="C3446" t="s">
        <v>27551</v>
      </c>
      <c r="D3446" t="s">
        <v>27828</v>
      </c>
      <c r="E3446" s="2" t="s">
        <v>31352</v>
      </c>
      <c r="F3446" t="s">
        <v>2036</v>
      </c>
      <c r="G3446" t="s">
        <v>27829</v>
      </c>
      <c r="H3446" t="s">
        <v>18280</v>
      </c>
      <c r="I3446" t="s">
        <v>19</v>
      </c>
      <c r="J3446" s="3">
        <v>551633518952</v>
      </c>
      <c r="K3446" t="s">
        <v>27830</v>
      </c>
      <c r="L3446" t="s">
        <v>10524</v>
      </c>
      <c r="M3446" t="s">
        <v>57</v>
      </c>
    </row>
    <row r="3447" spans="1:13" x14ac:dyDescent="0.25">
      <c r="A3447" t="s">
        <v>19388</v>
      </c>
      <c r="B3447" t="s">
        <v>13</v>
      </c>
      <c r="C3447" s="1">
        <v>43141</v>
      </c>
      <c r="D3447" t="s">
        <v>19389</v>
      </c>
      <c r="E3447" s="2" t="s">
        <v>31464</v>
      </c>
      <c r="F3447" t="s">
        <v>2036</v>
      </c>
      <c r="G3447" t="s">
        <v>19390</v>
      </c>
      <c r="H3447" t="s">
        <v>489</v>
      </c>
      <c r="I3447" t="s">
        <v>19</v>
      </c>
      <c r="J3447" s="3">
        <v>5541984068633</v>
      </c>
      <c r="K3447" t="s">
        <v>19391</v>
      </c>
      <c r="L3447" t="s">
        <v>19392</v>
      </c>
      <c r="M3447" t="s">
        <v>57</v>
      </c>
    </row>
    <row r="3448" spans="1:13" x14ac:dyDescent="0.25">
      <c r="A3448" t="s">
        <v>30152</v>
      </c>
      <c r="B3448" t="s">
        <v>13</v>
      </c>
      <c r="C3448" t="s">
        <v>14184</v>
      </c>
      <c r="D3448" t="s">
        <v>30153</v>
      </c>
      <c r="E3448" t="s">
        <v>32790</v>
      </c>
      <c r="F3448" t="s">
        <v>2036</v>
      </c>
      <c r="G3448" t="s">
        <v>30154</v>
      </c>
      <c r="H3448" t="s">
        <v>428</v>
      </c>
      <c r="I3448" t="s">
        <v>19</v>
      </c>
      <c r="J3448" s="3" t="s">
        <v>30155</v>
      </c>
      <c r="K3448" t="s">
        <v>30156</v>
      </c>
      <c r="L3448" t="s">
        <v>1295</v>
      </c>
      <c r="M3448" t="s">
        <v>57</v>
      </c>
    </row>
    <row r="3449" spans="1:13" x14ac:dyDescent="0.25">
      <c r="A3449" t="s">
        <v>18762</v>
      </c>
      <c r="B3449" t="s">
        <v>13</v>
      </c>
      <c r="C3449" t="s">
        <v>16205</v>
      </c>
      <c r="D3449" t="s">
        <v>18763</v>
      </c>
      <c r="E3449" s="2" t="s">
        <v>31510</v>
      </c>
      <c r="F3449" t="s">
        <v>2036</v>
      </c>
      <c r="G3449" t="s">
        <v>18764</v>
      </c>
      <c r="H3449" t="s">
        <v>255</v>
      </c>
      <c r="I3449" t="s">
        <v>19</v>
      </c>
      <c r="J3449" s="3">
        <v>5562992524357</v>
      </c>
      <c r="K3449" t="s">
        <v>18765</v>
      </c>
      <c r="L3449" t="s">
        <v>18766</v>
      </c>
      <c r="M3449" t="s">
        <v>57</v>
      </c>
    </row>
    <row r="3450" spans="1:13" x14ac:dyDescent="0.25">
      <c r="A3450" t="s">
        <v>15216</v>
      </c>
      <c r="B3450" t="s">
        <v>13</v>
      </c>
      <c r="C3450" t="s">
        <v>303</v>
      </c>
      <c r="D3450" t="s">
        <v>15217</v>
      </c>
      <c r="E3450" s="2" t="s">
        <v>31120</v>
      </c>
      <c r="F3450" t="s">
        <v>2036</v>
      </c>
      <c r="G3450" t="s">
        <v>15218</v>
      </c>
      <c r="H3450" t="s">
        <v>615</v>
      </c>
      <c r="I3450" t="s">
        <v>19</v>
      </c>
      <c r="J3450" s="3">
        <v>553432182929</v>
      </c>
      <c r="K3450" t="s">
        <v>15219</v>
      </c>
      <c r="L3450" t="s">
        <v>618</v>
      </c>
      <c r="M3450" t="s">
        <v>57</v>
      </c>
    </row>
    <row r="3451" spans="1:13" x14ac:dyDescent="0.25">
      <c r="A3451" t="s">
        <v>9608</v>
      </c>
      <c r="B3451" t="s">
        <v>13</v>
      </c>
      <c r="C3451" t="s">
        <v>5619</v>
      </c>
      <c r="D3451" t="s">
        <v>9609</v>
      </c>
      <c r="E3451" t="s">
        <v>32468</v>
      </c>
      <c r="F3451" t="s">
        <v>2036</v>
      </c>
      <c r="G3451" t="s">
        <v>9610</v>
      </c>
      <c r="H3451" t="s">
        <v>1656</v>
      </c>
      <c r="I3451" t="s">
        <v>19</v>
      </c>
      <c r="J3451" s="3" t="s">
        <v>9611</v>
      </c>
      <c r="K3451" t="s">
        <v>9612</v>
      </c>
      <c r="L3451" t="s">
        <v>9151</v>
      </c>
      <c r="M3451" t="s">
        <v>57</v>
      </c>
    </row>
    <row r="3452" spans="1:13" x14ac:dyDescent="0.25">
      <c r="A3452" t="s">
        <v>16587</v>
      </c>
      <c r="B3452" t="s">
        <v>13</v>
      </c>
      <c r="C3452" t="s">
        <v>16588</v>
      </c>
      <c r="D3452" t="s">
        <v>16589</v>
      </c>
      <c r="E3452" s="2" t="s">
        <v>32469</v>
      </c>
      <c r="F3452" t="s">
        <v>2036</v>
      </c>
      <c r="G3452" t="s">
        <v>16590</v>
      </c>
      <c r="H3452" t="s">
        <v>195</v>
      </c>
      <c r="I3452" t="s">
        <v>19</v>
      </c>
      <c r="J3452" s="3" t="s">
        <v>16591</v>
      </c>
      <c r="K3452" t="s">
        <v>16592</v>
      </c>
      <c r="L3452" t="s">
        <v>197</v>
      </c>
      <c r="M3452" t="s">
        <v>57</v>
      </c>
    </row>
    <row r="3453" spans="1:13" x14ac:dyDescent="0.25">
      <c r="A3453" t="s">
        <v>18488</v>
      </c>
      <c r="B3453" t="s">
        <v>13</v>
      </c>
      <c r="C3453" t="s">
        <v>8491</v>
      </c>
      <c r="D3453" t="s">
        <v>18489</v>
      </c>
      <c r="E3453" s="2" t="s">
        <v>31572</v>
      </c>
      <c r="F3453" t="s">
        <v>2036</v>
      </c>
      <c r="G3453" t="s">
        <v>13473</v>
      </c>
      <c r="H3453" t="s">
        <v>88</v>
      </c>
      <c r="I3453" t="s">
        <v>19</v>
      </c>
      <c r="J3453" s="3">
        <f>55-84-3342-2018</f>
        <v>-5389</v>
      </c>
      <c r="K3453" t="s">
        <v>13474</v>
      </c>
      <c r="L3453" t="s">
        <v>91</v>
      </c>
      <c r="M3453" t="s">
        <v>57</v>
      </c>
    </row>
    <row r="3454" spans="1:13" x14ac:dyDescent="0.25">
      <c r="A3454" t="s">
        <v>12365</v>
      </c>
      <c r="B3454" t="s">
        <v>13</v>
      </c>
      <c r="C3454" t="s">
        <v>6734</v>
      </c>
      <c r="D3454" t="s">
        <v>12366</v>
      </c>
      <c r="E3454" s="2" t="s">
        <v>31038</v>
      </c>
      <c r="F3454" t="s">
        <v>2036</v>
      </c>
      <c r="G3454" t="s">
        <v>3767</v>
      </c>
      <c r="H3454" t="s">
        <v>3768</v>
      </c>
      <c r="I3454" t="s">
        <v>19</v>
      </c>
      <c r="J3454" s="3">
        <f>55-61-996566627</f>
        <v>-996566633</v>
      </c>
      <c r="K3454" t="s">
        <v>3769</v>
      </c>
      <c r="L3454" t="s">
        <v>3770</v>
      </c>
      <c r="M3454" t="s">
        <v>57</v>
      </c>
    </row>
    <row r="3455" spans="1:13" x14ac:dyDescent="0.25">
      <c r="A3455" t="s">
        <v>13545</v>
      </c>
      <c r="B3455" t="s">
        <v>13</v>
      </c>
      <c r="C3455" t="s">
        <v>6103</v>
      </c>
      <c r="D3455" t="s">
        <v>13546</v>
      </c>
      <c r="E3455" s="2" t="s">
        <v>32470</v>
      </c>
      <c r="F3455" t="s">
        <v>2036</v>
      </c>
      <c r="G3455" t="s">
        <v>13547</v>
      </c>
      <c r="H3455" t="s">
        <v>88</v>
      </c>
      <c r="I3455" t="s">
        <v>19</v>
      </c>
      <c r="J3455" s="3">
        <f>550843215-3314</f>
        <v>550839901</v>
      </c>
      <c r="K3455" t="s">
        <v>13548</v>
      </c>
      <c r="L3455" t="s">
        <v>91</v>
      </c>
      <c r="M3455" t="s">
        <v>57</v>
      </c>
    </row>
    <row r="3456" spans="1:13" x14ac:dyDescent="0.25">
      <c r="A3456" t="s">
        <v>6526</v>
      </c>
      <c r="B3456" t="s">
        <v>13</v>
      </c>
      <c r="C3456" s="1">
        <v>44264</v>
      </c>
      <c r="D3456" t="s">
        <v>6527</v>
      </c>
      <c r="E3456" s="2" t="s">
        <v>31782</v>
      </c>
      <c r="F3456" t="s">
        <v>2036</v>
      </c>
      <c r="G3456" t="s">
        <v>6528</v>
      </c>
      <c r="H3456" t="s">
        <v>6529</v>
      </c>
      <c r="I3456" t="s">
        <v>19</v>
      </c>
      <c r="J3456" s="3">
        <f>55-27-996087012</f>
        <v>-996086984</v>
      </c>
      <c r="K3456" t="s">
        <v>6530</v>
      </c>
      <c r="L3456" t="s">
        <v>32135</v>
      </c>
      <c r="M3456" t="s">
        <v>57</v>
      </c>
    </row>
    <row r="3457" spans="1:13" x14ac:dyDescent="0.25">
      <c r="A3457" t="s">
        <v>11780</v>
      </c>
      <c r="B3457" t="s">
        <v>13</v>
      </c>
      <c r="C3457" t="s">
        <v>5698</v>
      </c>
      <c r="D3457" t="s">
        <v>11781</v>
      </c>
      <c r="E3457" s="2" t="s">
        <v>32471</v>
      </c>
      <c r="F3457" t="s">
        <v>2036</v>
      </c>
      <c r="G3457" t="s">
        <v>11782</v>
      </c>
      <c r="H3457" t="s">
        <v>11783</v>
      </c>
      <c r="I3457" t="s">
        <v>19</v>
      </c>
      <c r="J3457" s="3" t="s">
        <v>11784</v>
      </c>
      <c r="K3457" t="s">
        <v>11785</v>
      </c>
      <c r="L3457" t="s">
        <v>285</v>
      </c>
      <c r="M3457" t="s">
        <v>57</v>
      </c>
    </row>
    <row r="3458" spans="1:13" x14ac:dyDescent="0.25">
      <c r="A3458" t="s">
        <v>26808</v>
      </c>
      <c r="B3458" t="s">
        <v>13</v>
      </c>
      <c r="C3458" s="1">
        <v>42585</v>
      </c>
      <c r="D3458" t="s">
        <v>26809</v>
      </c>
      <c r="E3458" t="s">
        <v>26810</v>
      </c>
      <c r="F3458" t="s">
        <v>2104</v>
      </c>
      <c r="G3458" t="s">
        <v>26784</v>
      </c>
      <c r="H3458" t="s">
        <v>36</v>
      </c>
      <c r="I3458" t="s">
        <v>19</v>
      </c>
      <c r="J3458" s="3" t="s">
        <v>26811</v>
      </c>
      <c r="K3458" t="s">
        <v>26786</v>
      </c>
      <c r="L3458" t="s">
        <v>439</v>
      </c>
      <c r="M3458" t="s">
        <v>57</v>
      </c>
    </row>
    <row r="3459" spans="1:13" x14ac:dyDescent="0.25">
      <c r="A3459" t="s">
        <v>15478</v>
      </c>
      <c r="B3459" t="s">
        <v>13</v>
      </c>
      <c r="C3459" t="s">
        <v>8873</v>
      </c>
      <c r="D3459" t="s">
        <v>15479</v>
      </c>
      <c r="E3459" t="s">
        <v>7851</v>
      </c>
      <c r="F3459" t="s">
        <v>2036</v>
      </c>
      <c r="G3459" t="s">
        <v>15480</v>
      </c>
      <c r="H3459" t="s">
        <v>372</v>
      </c>
      <c r="I3459" t="s">
        <v>19</v>
      </c>
      <c r="J3459" s="3">
        <f>55-19-31241558</f>
        <v>-31241522</v>
      </c>
      <c r="K3459" t="s">
        <v>15481</v>
      </c>
      <c r="L3459" t="s">
        <v>11426</v>
      </c>
      <c r="M3459" t="s">
        <v>57</v>
      </c>
    </row>
    <row r="3460" spans="1:13" x14ac:dyDescent="0.25">
      <c r="A3460" t="s">
        <v>16812</v>
      </c>
      <c r="B3460" t="s">
        <v>13</v>
      </c>
      <c r="C3460" s="1">
        <v>43745</v>
      </c>
      <c r="D3460" t="s">
        <v>16813</v>
      </c>
      <c r="E3460" t="s">
        <v>16814</v>
      </c>
      <c r="F3460" t="s">
        <v>2036</v>
      </c>
      <c r="G3460" t="s">
        <v>16815</v>
      </c>
      <c r="H3460" t="s">
        <v>16816</v>
      </c>
      <c r="I3460" t="s">
        <v>2059</v>
      </c>
      <c r="J3460" s="3">
        <v>34669604982</v>
      </c>
      <c r="K3460" t="s">
        <v>16817</v>
      </c>
      <c r="L3460" t="s">
        <v>16818</v>
      </c>
      <c r="M3460" t="s">
        <v>57</v>
      </c>
    </row>
    <row r="3461" spans="1:13" x14ac:dyDescent="0.25">
      <c r="A3461" t="s">
        <v>10463</v>
      </c>
      <c r="B3461" t="s">
        <v>13</v>
      </c>
      <c r="C3461" s="1">
        <v>44173</v>
      </c>
      <c r="D3461" t="s">
        <v>10464</v>
      </c>
      <c r="E3461" t="s">
        <v>281</v>
      </c>
      <c r="F3461" t="s">
        <v>2036</v>
      </c>
      <c r="G3461" t="s">
        <v>10465</v>
      </c>
      <c r="H3461" t="s">
        <v>195</v>
      </c>
      <c r="I3461" t="s">
        <v>19</v>
      </c>
      <c r="J3461" s="3" t="s">
        <v>10466</v>
      </c>
      <c r="K3461" t="s">
        <v>10467</v>
      </c>
      <c r="L3461" t="s">
        <v>197</v>
      </c>
      <c r="M3461" t="s">
        <v>57</v>
      </c>
    </row>
    <row r="3462" spans="1:13" x14ac:dyDescent="0.25">
      <c r="A3462" t="s">
        <v>2359</v>
      </c>
      <c r="B3462" t="s">
        <v>13</v>
      </c>
      <c r="C3462" t="s">
        <v>2346</v>
      </c>
      <c r="D3462" t="s">
        <v>2360</v>
      </c>
      <c r="E3462" t="s">
        <v>186</v>
      </c>
      <c r="F3462" t="s">
        <v>934</v>
      </c>
      <c r="G3462" t="s">
        <v>2361</v>
      </c>
      <c r="H3462" t="s">
        <v>36</v>
      </c>
      <c r="I3462" t="s">
        <v>19</v>
      </c>
      <c r="J3462" s="3" t="s">
        <v>2362</v>
      </c>
      <c r="K3462" t="s">
        <v>2363</v>
      </c>
      <c r="L3462" t="s">
        <v>2364</v>
      </c>
      <c r="M3462" t="s">
        <v>57</v>
      </c>
    </row>
    <row r="3463" spans="1:13" x14ac:dyDescent="0.25">
      <c r="A3463" t="s">
        <v>25726</v>
      </c>
      <c r="B3463" t="s">
        <v>13</v>
      </c>
      <c r="C3463" s="1">
        <v>42712</v>
      </c>
      <c r="D3463" t="s">
        <v>25727</v>
      </c>
      <c r="E3463" t="s">
        <v>281</v>
      </c>
      <c r="F3463" t="s">
        <v>2036</v>
      </c>
      <c r="G3463" t="s">
        <v>11734</v>
      </c>
      <c r="H3463" t="s">
        <v>179</v>
      </c>
      <c r="I3463" t="s">
        <v>19</v>
      </c>
      <c r="J3463" s="3" t="s">
        <v>11735</v>
      </c>
      <c r="K3463" t="s">
        <v>11736</v>
      </c>
      <c r="L3463" t="s">
        <v>3001</v>
      </c>
      <c r="M3463" t="s">
        <v>57</v>
      </c>
    </row>
    <row r="3464" spans="1:13" x14ac:dyDescent="0.25">
      <c r="A3464" t="s">
        <v>5363</v>
      </c>
      <c r="B3464" t="s">
        <v>13</v>
      </c>
      <c r="C3464" s="1">
        <v>44481</v>
      </c>
      <c r="D3464" t="s">
        <v>5364</v>
      </c>
      <c r="E3464" t="s">
        <v>281</v>
      </c>
      <c r="F3464" t="s">
        <v>160</v>
      </c>
      <c r="G3464" t="s">
        <v>5365</v>
      </c>
      <c r="H3464" t="s">
        <v>5366</v>
      </c>
      <c r="I3464" t="s">
        <v>19</v>
      </c>
      <c r="J3464" s="3" t="s">
        <v>5367</v>
      </c>
      <c r="K3464" t="s">
        <v>5368</v>
      </c>
      <c r="L3464" t="s">
        <v>32135</v>
      </c>
      <c r="M3464" s="4" t="s">
        <v>57</v>
      </c>
    </row>
    <row r="3465" spans="1:13" x14ac:dyDescent="0.25">
      <c r="A3465" t="s">
        <v>28972</v>
      </c>
      <c r="B3465" t="s">
        <v>13</v>
      </c>
      <c r="C3465" s="1">
        <v>41153</v>
      </c>
      <c r="D3465" t="s">
        <v>28973</v>
      </c>
      <c r="E3465" t="s">
        <v>28974</v>
      </c>
      <c r="F3465" t="s">
        <v>2036</v>
      </c>
      <c r="G3465" t="s">
        <v>28975</v>
      </c>
      <c r="H3465" t="s">
        <v>195</v>
      </c>
      <c r="I3465" t="s">
        <v>19</v>
      </c>
      <c r="J3465" s="3">
        <v>551633518634</v>
      </c>
      <c r="K3465" t="s">
        <v>28976</v>
      </c>
      <c r="L3465" t="s">
        <v>197</v>
      </c>
      <c r="M3465" t="s">
        <v>57</v>
      </c>
    </row>
    <row r="3466" spans="1:13" x14ac:dyDescent="0.25">
      <c r="A3466" t="s">
        <v>27599</v>
      </c>
      <c r="B3466" t="s">
        <v>13</v>
      </c>
      <c r="C3466" t="s">
        <v>27591</v>
      </c>
      <c r="D3466" t="s">
        <v>27600</v>
      </c>
      <c r="E3466" t="s">
        <v>32472</v>
      </c>
      <c r="F3466" t="s">
        <v>1464</v>
      </c>
      <c r="G3466" t="s">
        <v>27601</v>
      </c>
      <c r="H3466" t="s">
        <v>1466</v>
      </c>
      <c r="I3466" t="s">
        <v>19</v>
      </c>
      <c r="J3466" s="3" t="s">
        <v>27602</v>
      </c>
      <c r="K3466" t="s">
        <v>4074</v>
      </c>
      <c r="L3466" t="s">
        <v>1469</v>
      </c>
      <c r="M3466" t="s">
        <v>57</v>
      </c>
    </row>
    <row r="3467" spans="1:13" x14ac:dyDescent="0.25">
      <c r="A3467" t="s">
        <v>26510</v>
      </c>
      <c r="B3467" t="s">
        <v>13</v>
      </c>
      <c r="C3467" t="s">
        <v>26511</v>
      </c>
      <c r="D3467" t="s">
        <v>26512</v>
      </c>
      <c r="E3467" t="s">
        <v>26513</v>
      </c>
      <c r="F3467" t="s">
        <v>2036</v>
      </c>
      <c r="G3467" t="s">
        <v>16496</v>
      </c>
      <c r="H3467" t="s">
        <v>36</v>
      </c>
      <c r="I3467" t="s">
        <v>19</v>
      </c>
      <c r="J3467" s="3">
        <v>551155754251</v>
      </c>
      <c r="K3467" t="s">
        <v>16497</v>
      </c>
      <c r="L3467" t="s">
        <v>9723</v>
      </c>
      <c r="M3467" t="s">
        <v>32144</v>
      </c>
    </row>
    <row r="3468" spans="1:13" x14ac:dyDescent="0.25">
      <c r="A3468" t="s">
        <v>1702</v>
      </c>
      <c r="B3468" t="s">
        <v>13</v>
      </c>
      <c r="C3468" t="s">
        <v>1703</v>
      </c>
      <c r="D3468" t="s">
        <v>1704</v>
      </c>
      <c r="E3468" s="2" t="s">
        <v>31933</v>
      </c>
      <c r="F3468" t="s">
        <v>1464</v>
      </c>
      <c r="G3468" t="s">
        <v>1655</v>
      </c>
      <c r="H3468" t="s">
        <v>1656</v>
      </c>
      <c r="I3468" t="s">
        <v>19</v>
      </c>
      <c r="J3468" s="3">
        <f>55-55-32208263</f>
        <v>-32208263</v>
      </c>
      <c r="K3468" t="s">
        <v>1705</v>
      </c>
      <c r="L3468" t="s">
        <v>1658</v>
      </c>
      <c r="M3468" t="s">
        <v>32144</v>
      </c>
    </row>
    <row r="3469" spans="1:13" x14ac:dyDescent="0.25">
      <c r="A3469" t="s">
        <v>11731</v>
      </c>
      <c r="B3469" t="s">
        <v>13</v>
      </c>
      <c r="C3469" t="s">
        <v>11721</v>
      </c>
      <c r="D3469" t="s">
        <v>11732</v>
      </c>
      <c r="E3469" t="s">
        <v>11733</v>
      </c>
      <c r="F3469" t="s">
        <v>2036</v>
      </c>
      <c r="G3469" t="s">
        <v>11734</v>
      </c>
      <c r="H3469" t="s">
        <v>179</v>
      </c>
      <c r="I3469" t="s">
        <v>19</v>
      </c>
      <c r="J3469" s="3" t="s">
        <v>11735</v>
      </c>
      <c r="K3469" t="s">
        <v>11736</v>
      </c>
      <c r="L3469" t="s">
        <v>3001</v>
      </c>
      <c r="M3469" t="s">
        <v>57</v>
      </c>
    </row>
    <row r="3470" spans="1:13" x14ac:dyDescent="0.25">
      <c r="A3470" t="s">
        <v>2197</v>
      </c>
      <c r="B3470" t="s">
        <v>13</v>
      </c>
      <c r="C3470" s="1">
        <v>44719</v>
      </c>
      <c r="D3470" t="s">
        <v>2198</v>
      </c>
      <c r="E3470" s="2" t="s">
        <v>31381</v>
      </c>
      <c r="F3470" t="s">
        <v>147</v>
      </c>
      <c r="G3470" t="s">
        <v>2200</v>
      </c>
      <c r="H3470" t="s">
        <v>503</v>
      </c>
      <c r="I3470" t="s">
        <v>19</v>
      </c>
      <c r="J3470" s="3">
        <f>55-48-37216448</f>
        <v>-37216441</v>
      </c>
      <c r="K3470" t="s">
        <v>2201</v>
      </c>
      <c r="L3470" t="s">
        <v>2202</v>
      </c>
      <c r="M3470" t="s">
        <v>741</v>
      </c>
    </row>
    <row r="3471" spans="1:13" x14ac:dyDescent="0.25">
      <c r="A3471" t="s">
        <v>2688</v>
      </c>
      <c r="B3471" t="s">
        <v>13</v>
      </c>
      <c r="C3471" s="1">
        <v>44659</v>
      </c>
      <c r="D3471" t="s">
        <v>2689</v>
      </c>
      <c r="E3471" s="2" t="s">
        <v>30750</v>
      </c>
      <c r="F3471" t="s">
        <v>2691</v>
      </c>
      <c r="G3471" t="s">
        <v>2692</v>
      </c>
      <c r="H3471" t="s">
        <v>1090</v>
      </c>
      <c r="I3471" t="s">
        <v>19</v>
      </c>
      <c r="J3471" s="3" t="s">
        <v>2693</v>
      </c>
      <c r="K3471" t="s">
        <v>2694</v>
      </c>
      <c r="L3471" t="s">
        <v>1092</v>
      </c>
      <c r="M3471" s="4" t="s">
        <v>57</v>
      </c>
    </row>
    <row r="3472" spans="1:13" x14ac:dyDescent="0.25">
      <c r="A3472" t="s">
        <v>23387</v>
      </c>
      <c r="B3472" t="s">
        <v>13</v>
      </c>
      <c r="C3472" s="1">
        <v>42776</v>
      </c>
      <c r="D3472" t="s">
        <v>23388</v>
      </c>
      <c r="E3472" t="s">
        <v>32473</v>
      </c>
      <c r="F3472" t="s">
        <v>1464</v>
      </c>
      <c r="G3472" t="s">
        <v>23389</v>
      </c>
      <c r="H3472" t="s">
        <v>1915</v>
      </c>
      <c r="I3472" t="s">
        <v>19</v>
      </c>
      <c r="J3472" s="3" t="s">
        <v>23390</v>
      </c>
      <c r="K3472" t="s">
        <v>23391</v>
      </c>
      <c r="L3472" t="s">
        <v>23392</v>
      </c>
      <c r="M3472" t="s">
        <v>1775</v>
      </c>
    </row>
    <row r="3473" spans="1:13" x14ac:dyDescent="0.25">
      <c r="A3473" t="s">
        <v>17483</v>
      </c>
      <c r="B3473" t="s">
        <v>13</v>
      </c>
      <c r="C3473" t="s">
        <v>17484</v>
      </c>
      <c r="D3473" t="s">
        <v>17485</v>
      </c>
      <c r="E3473" t="s">
        <v>1025</v>
      </c>
      <c r="F3473" t="s">
        <v>57</v>
      </c>
      <c r="G3473" t="s">
        <v>14802</v>
      </c>
      <c r="H3473" t="s">
        <v>409</v>
      </c>
      <c r="I3473" t="s">
        <v>19</v>
      </c>
      <c r="J3473" s="3" t="s">
        <v>14803</v>
      </c>
      <c r="K3473" t="s">
        <v>14804</v>
      </c>
      <c r="L3473" t="s">
        <v>14805</v>
      </c>
      <c r="M3473" s="4" t="s">
        <v>57</v>
      </c>
    </row>
    <row r="3474" spans="1:13" x14ac:dyDescent="0.25">
      <c r="A3474" t="s">
        <v>14820</v>
      </c>
      <c r="B3474" t="s">
        <v>13</v>
      </c>
      <c r="C3474" s="1">
        <v>43561</v>
      </c>
      <c r="D3474" t="s">
        <v>14821</v>
      </c>
      <c r="E3474" t="s">
        <v>1025</v>
      </c>
      <c r="F3474" t="s">
        <v>57</v>
      </c>
      <c r="G3474" t="s">
        <v>14802</v>
      </c>
      <c r="H3474" t="s">
        <v>409</v>
      </c>
      <c r="I3474" t="s">
        <v>19</v>
      </c>
      <c r="J3474" s="3" t="s">
        <v>14803</v>
      </c>
      <c r="K3474" t="s">
        <v>14804</v>
      </c>
      <c r="L3474" t="s">
        <v>14805</v>
      </c>
      <c r="M3474" s="4" t="s">
        <v>57</v>
      </c>
    </row>
    <row r="3475" spans="1:13" x14ac:dyDescent="0.25">
      <c r="A3475" t="s">
        <v>14800</v>
      </c>
      <c r="B3475" t="s">
        <v>13</v>
      </c>
      <c r="C3475" t="s">
        <v>8213</v>
      </c>
      <c r="D3475" t="s">
        <v>14801</v>
      </c>
      <c r="E3475" t="s">
        <v>1025</v>
      </c>
      <c r="F3475" t="s">
        <v>2036</v>
      </c>
      <c r="G3475" t="s">
        <v>14802</v>
      </c>
      <c r="H3475" t="s">
        <v>409</v>
      </c>
      <c r="I3475" t="s">
        <v>19</v>
      </c>
      <c r="J3475" s="3" t="s">
        <v>14803</v>
      </c>
      <c r="K3475" t="s">
        <v>14804</v>
      </c>
      <c r="L3475" t="s">
        <v>14805</v>
      </c>
      <c r="M3475" t="s">
        <v>57</v>
      </c>
    </row>
    <row r="3476" spans="1:13" x14ac:dyDescent="0.25">
      <c r="A3476" t="s">
        <v>8274</v>
      </c>
      <c r="B3476" t="s">
        <v>13</v>
      </c>
      <c r="C3476" s="1">
        <v>44410</v>
      </c>
      <c r="D3476" t="s">
        <v>8275</v>
      </c>
      <c r="E3476" t="s">
        <v>1025</v>
      </c>
      <c r="F3476" t="s">
        <v>2036</v>
      </c>
      <c r="G3476" t="s">
        <v>8276</v>
      </c>
      <c r="H3476" t="s">
        <v>503</v>
      </c>
      <c r="I3476" t="s">
        <v>19</v>
      </c>
      <c r="J3476" s="3">
        <v>5548999028190</v>
      </c>
      <c r="K3476" t="s">
        <v>8277</v>
      </c>
      <c r="L3476" t="s">
        <v>412</v>
      </c>
      <c r="M3476" t="s">
        <v>57</v>
      </c>
    </row>
    <row r="3477" spans="1:13" x14ac:dyDescent="0.25">
      <c r="A3477" t="s">
        <v>11687</v>
      </c>
      <c r="B3477" t="s">
        <v>13</v>
      </c>
      <c r="C3477" t="s">
        <v>2310</v>
      </c>
      <c r="D3477" t="s">
        <v>11688</v>
      </c>
      <c r="E3477" t="s">
        <v>1025</v>
      </c>
      <c r="F3477" t="s">
        <v>306</v>
      </c>
      <c r="G3477" t="s">
        <v>11689</v>
      </c>
      <c r="H3477" t="s">
        <v>706</v>
      </c>
      <c r="I3477" t="s">
        <v>19</v>
      </c>
      <c r="J3477" s="3" t="s">
        <v>11690</v>
      </c>
      <c r="K3477" t="s">
        <v>11691</v>
      </c>
      <c r="L3477" t="s">
        <v>565</v>
      </c>
      <c r="M3477" t="s">
        <v>32145</v>
      </c>
    </row>
    <row r="3478" spans="1:13" x14ac:dyDescent="0.25">
      <c r="A3478" t="s">
        <v>22629</v>
      </c>
      <c r="B3478" t="s">
        <v>13</v>
      </c>
      <c r="C3478" s="1">
        <v>43313</v>
      </c>
      <c r="D3478" t="s">
        <v>22630</v>
      </c>
      <c r="E3478" t="s">
        <v>1025</v>
      </c>
      <c r="F3478" t="s">
        <v>1464</v>
      </c>
      <c r="G3478" t="s">
        <v>22631</v>
      </c>
      <c r="H3478" t="s">
        <v>12945</v>
      </c>
      <c r="I3478" t="s">
        <v>19</v>
      </c>
      <c r="J3478" s="3" t="s">
        <v>22632</v>
      </c>
      <c r="K3478" t="s">
        <v>22633</v>
      </c>
      <c r="L3478" t="s">
        <v>82</v>
      </c>
      <c r="M3478" t="s">
        <v>57</v>
      </c>
    </row>
    <row r="3479" spans="1:13" x14ac:dyDescent="0.25">
      <c r="A3479" t="s">
        <v>23991</v>
      </c>
      <c r="B3479" t="s">
        <v>13</v>
      </c>
      <c r="C3479" s="1">
        <v>43076</v>
      </c>
      <c r="D3479" t="s">
        <v>23992</v>
      </c>
      <c r="E3479" t="s">
        <v>1025</v>
      </c>
      <c r="F3479" t="s">
        <v>1464</v>
      </c>
      <c r="G3479" t="s">
        <v>23993</v>
      </c>
      <c r="H3479" t="s">
        <v>12945</v>
      </c>
      <c r="I3479" t="s">
        <v>19</v>
      </c>
      <c r="J3479" s="3">
        <v>557991658549</v>
      </c>
      <c r="K3479" t="s">
        <v>23994</v>
      </c>
      <c r="L3479" t="s">
        <v>82</v>
      </c>
      <c r="M3479" t="s">
        <v>57</v>
      </c>
    </row>
    <row r="3480" spans="1:13" x14ac:dyDescent="0.25">
      <c r="A3480" t="s">
        <v>2515</v>
      </c>
      <c r="B3480" t="s">
        <v>13</v>
      </c>
      <c r="C3480" t="s">
        <v>2502</v>
      </c>
      <c r="D3480" t="s">
        <v>32135</v>
      </c>
      <c r="E3480" t="s">
        <v>1025</v>
      </c>
      <c r="F3480" t="s">
        <v>2516</v>
      </c>
      <c r="G3480" t="s">
        <v>2517</v>
      </c>
      <c r="H3480" t="s">
        <v>1335</v>
      </c>
      <c r="I3480" t="s">
        <v>19</v>
      </c>
      <c r="J3480" s="3" t="s">
        <v>2518</v>
      </c>
      <c r="K3480" t="s">
        <v>2519</v>
      </c>
      <c r="L3480" t="s">
        <v>1338</v>
      </c>
      <c r="M3480" t="s">
        <v>57</v>
      </c>
    </row>
    <row r="3481" spans="1:13" x14ac:dyDescent="0.25">
      <c r="A3481" t="s">
        <v>11098</v>
      </c>
      <c r="B3481" t="s">
        <v>13</v>
      </c>
      <c r="C3481" s="1">
        <v>44081</v>
      </c>
      <c r="D3481" t="s">
        <v>11099</v>
      </c>
      <c r="E3481" t="s">
        <v>11100</v>
      </c>
      <c r="F3481" t="s">
        <v>2036</v>
      </c>
      <c r="G3481" t="s">
        <v>11101</v>
      </c>
      <c r="H3481" t="s">
        <v>88</v>
      </c>
      <c r="I3481" t="s">
        <v>19</v>
      </c>
      <c r="J3481" s="3">
        <v>32154270</v>
      </c>
      <c r="K3481" t="s">
        <v>11102</v>
      </c>
      <c r="L3481" t="s">
        <v>91</v>
      </c>
      <c r="M3481" t="s">
        <v>57</v>
      </c>
    </row>
    <row r="3482" spans="1:13" x14ac:dyDescent="0.25">
      <c r="A3482" t="s">
        <v>7188</v>
      </c>
      <c r="B3482" t="s">
        <v>13</v>
      </c>
      <c r="C3482" s="1">
        <v>44383</v>
      </c>
      <c r="D3482" t="s">
        <v>32135</v>
      </c>
      <c r="E3482" s="2" t="s">
        <v>31533</v>
      </c>
      <c r="F3482" t="s">
        <v>1025</v>
      </c>
      <c r="G3482" t="s">
        <v>1438</v>
      </c>
      <c r="H3482" t="s">
        <v>1090</v>
      </c>
      <c r="I3482" t="s">
        <v>19</v>
      </c>
      <c r="J3482" s="3">
        <v>558332167183</v>
      </c>
      <c r="K3482" t="s">
        <v>7189</v>
      </c>
      <c r="L3482" t="s">
        <v>32135</v>
      </c>
      <c r="M3482" t="s">
        <v>57</v>
      </c>
    </row>
    <row r="3483" spans="1:13" x14ac:dyDescent="0.25">
      <c r="A3483" t="s">
        <v>29287</v>
      </c>
      <c r="B3483" t="s">
        <v>101</v>
      </c>
      <c r="C3483" t="s">
        <v>29272</v>
      </c>
      <c r="D3483" t="s">
        <v>29288</v>
      </c>
      <c r="E3483" t="s">
        <v>29289</v>
      </c>
      <c r="F3483" t="s">
        <v>1129</v>
      </c>
      <c r="G3483" t="s">
        <v>22215</v>
      </c>
      <c r="H3483" t="s">
        <v>36</v>
      </c>
      <c r="I3483" t="s">
        <v>19</v>
      </c>
      <c r="J3483" s="3" t="s">
        <v>29290</v>
      </c>
      <c r="K3483" t="s">
        <v>29291</v>
      </c>
      <c r="L3483" t="s">
        <v>1999</v>
      </c>
      <c r="M3483" t="s">
        <v>224</v>
      </c>
    </row>
    <row r="3484" spans="1:13" x14ac:dyDescent="0.25">
      <c r="A3484" t="s">
        <v>26658</v>
      </c>
      <c r="B3484" t="s">
        <v>13</v>
      </c>
      <c r="C3484" t="s">
        <v>26659</v>
      </c>
      <c r="D3484" t="s">
        <v>26660</v>
      </c>
      <c r="E3484" s="2" t="s">
        <v>31728</v>
      </c>
      <c r="F3484" t="s">
        <v>9327</v>
      </c>
      <c r="G3484" t="s">
        <v>26340</v>
      </c>
      <c r="H3484" t="s">
        <v>150</v>
      </c>
      <c r="I3484" t="s">
        <v>19</v>
      </c>
      <c r="J3484" s="3" t="s">
        <v>26341</v>
      </c>
      <c r="K3484" t="s">
        <v>26342</v>
      </c>
      <c r="L3484" t="s">
        <v>26343</v>
      </c>
      <c r="M3484" t="s">
        <v>1304</v>
      </c>
    </row>
    <row r="3485" spans="1:13" x14ac:dyDescent="0.25">
      <c r="A3485" t="s">
        <v>27096</v>
      </c>
      <c r="B3485" t="s">
        <v>13</v>
      </c>
      <c r="C3485" t="s">
        <v>27097</v>
      </c>
      <c r="D3485" t="s">
        <v>27098</v>
      </c>
      <c r="E3485" t="s">
        <v>27099</v>
      </c>
      <c r="F3485" t="s">
        <v>1349</v>
      </c>
      <c r="G3485" t="s">
        <v>25281</v>
      </c>
      <c r="H3485" t="s">
        <v>16411</v>
      </c>
      <c r="I3485" t="s">
        <v>19</v>
      </c>
      <c r="J3485" s="3" t="s">
        <v>25282</v>
      </c>
      <c r="K3485" t="s">
        <v>25283</v>
      </c>
      <c r="L3485" t="s">
        <v>25284</v>
      </c>
      <c r="M3485" t="s">
        <v>1349</v>
      </c>
    </row>
    <row r="3486" spans="1:13" x14ac:dyDescent="0.25">
      <c r="A3486" t="s">
        <v>8483</v>
      </c>
      <c r="B3486" t="s">
        <v>13</v>
      </c>
      <c r="C3486" t="s">
        <v>8484</v>
      </c>
      <c r="D3486" t="s">
        <v>8485</v>
      </c>
      <c r="E3486" t="s">
        <v>2143</v>
      </c>
      <c r="F3486" t="s">
        <v>1464</v>
      </c>
      <c r="G3486" t="s">
        <v>6196</v>
      </c>
      <c r="H3486" t="s">
        <v>1215</v>
      </c>
      <c r="I3486" t="s">
        <v>19</v>
      </c>
      <c r="J3486" s="3">
        <v>5518997049077</v>
      </c>
      <c r="K3486" t="s">
        <v>6197</v>
      </c>
      <c r="L3486" t="s">
        <v>8429</v>
      </c>
      <c r="M3486" t="s">
        <v>32155</v>
      </c>
    </row>
    <row r="3487" spans="1:13" x14ac:dyDescent="0.25">
      <c r="A3487" t="s">
        <v>2141</v>
      </c>
      <c r="B3487" t="s">
        <v>101</v>
      </c>
      <c r="C3487" t="s">
        <v>2139</v>
      </c>
      <c r="D3487" t="s">
        <v>2142</v>
      </c>
      <c r="E3487" t="s">
        <v>2143</v>
      </c>
      <c r="F3487" t="s">
        <v>32121</v>
      </c>
      <c r="G3487" t="s">
        <v>2144</v>
      </c>
      <c r="H3487" t="s">
        <v>36</v>
      </c>
      <c r="I3487" t="s">
        <v>32135</v>
      </c>
      <c r="J3487" s="3" t="s">
        <v>2145</v>
      </c>
      <c r="K3487" t="s">
        <v>2146</v>
      </c>
      <c r="L3487" t="s">
        <v>344</v>
      </c>
      <c r="M3487" t="s">
        <v>32121</v>
      </c>
    </row>
    <row r="3488" spans="1:13" x14ac:dyDescent="0.25">
      <c r="A3488" t="s">
        <v>23634</v>
      </c>
      <c r="B3488" t="s">
        <v>13</v>
      </c>
      <c r="C3488" s="1">
        <v>42834</v>
      </c>
      <c r="D3488" t="s">
        <v>23635</v>
      </c>
      <c r="E3488" t="s">
        <v>23636</v>
      </c>
      <c r="F3488" t="s">
        <v>32147</v>
      </c>
      <c r="G3488" t="s">
        <v>23637</v>
      </c>
      <c r="H3488" t="s">
        <v>4621</v>
      </c>
      <c r="I3488" t="s">
        <v>19</v>
      </c>
      <c r="J3488" s="3" t="s">
        <v>23638</v>
      </c>
      <c r="K3488" t="s">
        <v>23639</v>
      </c>
      <c r="L3488" t="s">
        <v>23640</v>
      </c>
      <c r="M3488" t="s">
        <v>32147</v>
      </c>
    </row>
    <row r="3489" spans="1:13" x14ac:dyDescent="0.25">
      <c r="A3489" t="s">
        <v>30036</v>
      </c>
      <c r="B3489" t="s">
        <v>13</v>
      </c>
      <c r="C3489" t="s">
        <v>14184</v>
      </c>
      <c r="D3489" t="s">
        <v>30037</v>
      </c>
      <c r="E3489" t="s">
        <v>30038</v>
      </c>
      <c r="F3489" t="s">
        <v>2947</v>
      </c>
      <c r="G3489" t="s">
        <v>30039</v>
      </c>
      <c r="H3489" t="s">
        <v>29656</v>
      </c>
      <c r="I3489" t="s">
        <v>19</v>
      </c>
      <c r="J3489" s="3" t="s">
        <v>30040</v>
      </c>
      <c r="K3489" t="s">
        <v>30041</v>
      </c>
      <c r="L3489" t="s">
        <v>30042</v>
      </c>
      <c r="M3489" t="s">
        <v>771</v>
      </c>
    </row>
    <row r="3490" spans="1:13" x14ac:dyDescent="0.25">
      <c r="A3490" t="s">
        <v>11677</v>
      </c>
      <c r="B3490" t="s">
        <v>13</v>
      </c>
      <c r="C3490" t="s">
        <v>2310</v>
      </c>
      <c r="D3490" t="s">
        <v>11678</v>
      </c>
      <c r="E3490" t="s">
        <v>11679</v>
      </c>
      <c r="F3490" t="s">
        <v>2947</v>
      </c>
      <c r="G3490" t="s">
        <v>11680</v>
      </c>
      <c r="H3490" t="s">
        <v>18</v>
      </c>
      <c r="I3490" t="s">
        <v>19</v>
      </c>
      <c r="J3490" s="3">
        <f>55-19-983015493</f>
        <v>-983015457</v>
      </c>
      <c r="K3490" t="s">
        <v>11681</v>
      </c>
      <c r="L3490" t="s">
        <v>285</v>
      </c>
      <c r="M3490" t="s">
        <v>771</v>
      </c>
    </row>
    <row r="3491" spans="1:13" x14ac:dyDescent="0.25">
      <c r="A3491" t="s">
        <v>1133</v>
      </c>
      <c r="B3491" t="s">
        <v>13</v>
      </c>
      <c r="C3491" t="s">
        <v>1120</v>
      </c>
      <c r="D3491" t="s">
        <v>1134</v>
      </c>
      <c r="E3491" t="s">
        <v>1135</v>
      </c>
      <c r="F3491" t="s">
        <v>1136</v>
      </c>
      <c r="G3491" t="s">
        <v>1137</v>
      </c>
      <c r="H3491" t="s">
        <v>88</v>
      </c>
      <c r="I3491" t="s">
        <v>19</v>
      </c>
      <c r="J3491" s="3" t="s">
        <v>1138</v>
      </c>
      <c r="K3491" t="s">
        <v>1139</v>
      </c>
      <c r="L3491" t="s">
        <v>91</v>
      </c>
      <c r="M3491" t="s">
        <v>771</v>
      </c>
    </row>
    <row r="3492" spans="1:13" x14ac:dyDescent="0.25">
      <c r="A3492" t="s">
        <v>16741</v>
      </c>
      <c r="B3492" t="s">
        <v>101</v>
      </c>
      <c r="C3492" t="s">
        <v>16742</v>
      </c>
      <c r="D3492" t="s">
        <v>16743</v>
      </c>
      <c r="E3492" s="2" t="s">
        <v>31449</v>
      </c>
      <c r="F3492" t="s">
        <v>1464</v>
      </c>
      <c r="G3492" t="s">
        <v>16744</v>
      </c>
      <c r="H3492" t="s">
        <v>16745</v>
      </c>
      <c r="I3492" t="s">
        <v>19</v>
      </c>
      <c r="J3492" s="3" t="s">
        <v>16746</v>
      </c>
      <c r="K3492" t="s">
        <v>16747</v>
      </c>
      <c r="L3492" t="s">
        <v>16748</v>
      </c>
      <c r="M3492" t="s">
        <v>32144</v>
      </c>
    </row>
    <row r="3493" spans="1:13" x14ac:dyDescent="0.25">
      <c r="A3493" t="s">
        <v>14299</v>
      </c>
      <c r="B3493" t="s">
        <v>13</v>
      </c>
      <c r="C3493" s="1">
        <v>44013</v>
      </c>
      <c r="D3493" t="s">
        <v>14300</v>
      </c>
      <c r="E3493" t="s">
        <v>1151</v>
      </c>
      <c r="F3493" t="s">
        <v>2947</v>
      </c>
      <c r="G3493" t="s">
        <v>5435</v>
      </c>
      <c r="H3493" t="s">
        <v>936</v>
      </c>
      <c r="I3493" t="s">
        <v>19</v>
      </c>
      <c r="J3493" s="3">
        <f>55-75-998226086</f>
        <v>-998226106</v>
      </c>
      <c r="K3493" t="s">
        <v>5437</v>
      </c>
      <c r="L3493" t="s">
        <v>9443</v>
      </c>
      <c r="M3493" t="s">
        <v>771</v>
      </c>
    </row>
    <row r="3494" spans="1:13" x14ac:dyDescent="0.25">
      <c r="A3494" t="s">
        <v>10960</v>
      </c>
      <c r="B3494" t="s">
        <v>13</v>
      </c>
      <c r="C3494" t="s">
        <v>10921</v>
      </c>
      <c r="D3494" t="s">
        <v>10961</v>
      </c>
      <c r="E3494" t="s">
        <v>1151</v>
      </c>
      <c r="F3494" t="s">
        <v>2947</v>
      </c>
      <c r="G3494" t="s">
        <v>5435</v>
      </c>
      <c r="H3494" t="s">
        <v>936</v>
      </c>
      <c r="I3494" t="s">
        <v>19</v>
      </c>
      <c r="J3494" s="3">
        <f>55-75-998226086</f>
        <v>-998226106</v>
      </c>
      <c r="K3494" t="s">
        <v>5437</v>
      </c>
      <c r="L3494" t="s">
        <v>9443</v>
      </c>
      <c r="M3494" t="s">
        <v>771</v>
      </c>
    </row>
    <row r="3495" spans="1:13" x14ac:dyDescent="0.25">
      <c r="A3495" t="s">
        <v>5433</v>
      </c>
      <c r="B3495" t="s">
        <v>13</v>
      </c>
      <c r="C3495" s="1">
        <v>44389</v>
      </c>
      <c r="D3495" t="s">
        <v>5434</v>
      </c>
      <c r="E3495" t="s">
        <v>1151</v>
      </c>
      <c r="F3495" t="s">
        <v>2947</v>
      </c>
      <c r="G3495" t="s">
        <v>5435</v>
      </c>
      <c r="H3495" t="s">
        <v>1503</v>
      </c>
      <c r="I3495" t="s">
        <v>19</v>
      </c>
      <c r="J3495" s="3" t="s">
        <v>5436</v>
      </c>
      <c r="K3495" t="s">
        <v>5437</v>
      </c>
      <c r="L3495" t="s">
        <v>32135</v>
      </c>
      <c r="M3495" t="s">
        <v>771</v>
      </c>
    </row>
    <row r="3496" spans="1:13" x14ac:dyDescent="0.25">
      <c r="A3496" t="s">
        <v>20541</v>
      </c>
      <c r="B3496" t="s">
        <v>13</v>
      </c>
      <c r="C3496" t="s">
        <v>20522</v>
      </c>
      <c r="D3496" t="s">
        <v>20542</v>
      </c>
      <c r="E3496" t="s">
        <v>1151</v>
      </c>
      <c r="F3496" t="s">
        <v>1464</v>
      </c>
      <c r="G3496" t="s">
        <v>5435</v>
      </c>
      <c r="H3496" t="s">
        <v>936</v>
      </c>
      <c r="I3496" t="s">
        <v>19</v>
      </c>
      <c r="J3496" s="3">
        <f>55-75-998226086</f>
        <v>-998226106</v>
      </c>
      <c r="K3496" t="s">
        <v>5437</v>
      </c>
      <c r="L3496" t="s">
        <v>9443</v>
      </c>
      <c r="M3496" t="s">
        <v>432</v>
      </c>
    </row>
    <row r="3497" spans="1:13" x14ac:dyDescent="0.25">
      <c r="A3497" t="s">
        <v>5669</v>
      </c>
      <c r="B3497" t="s">
        <v>13</v>
      </c>
      <c r="C3497" s="1">
        <v>44541</v>
      </c>
      <c r="D3497" t="s">
        <v>32135</v>
      </c>
      <c r="E3497" t="s">
        <v>5670</v>
      </c>
      <c r="F3497" t="s">
        <v>5671</v>
      </c>
      <c r="G3497" t="s">
        <v>5435</v>
      </c>
      <c r="H3497" t="s">
        <v>1503</v>
      </c>
      <c r="I3497" t="s">
        <v>19</v>
      </c>
      <c r="J3497" s="3" t="s">
        <v>5436</v>
      </c>
      <c r="K3497" t="s">
        <v>5437</v>
      </c>
      <c r="L3497" t="s">
        <v>32135</v>
      </c>
      <c r="M3497" t="s">
        <v>771</v>
      </c>
    </row>
    <row r="3498" spans="1:13" x14ac:dyDescent="0.25">
      <c r="A3498" t="s">
        <v>30633</v>
      </c>
      <c r="B3498" t="s">
        <v>13</v>
      </c>
      <c r="C3498" s="1">
        <v>40581</v>
      </c>
      <c r="D3498" t="s">
        <v>30634</v>
      </c>
      <c r="E3498" t="s">
        <v>29295</v>
      </c>
      <c r="F3498" t="s">
        <v>2036</v>
      </c>
      <c r="G3498" t="s">
        <v>30635</v>
      </c>
      <c r="H3498" t="s">
        <v>11424</v>
      </c>
      <c r="I3498" t="s">
        <v>19</v>
      </c>
      <c r="J3498" s="3" t="s">
        <v>30636</v>
      </c>
      <c r="K3498" t="s">
        <v>26309</v>
      </c>
      <c r="L3498" t="s">
        <v>29298</v>
      </c>
      <c r="M3498" t="s">
        <v>57</v>
      </c>
    </row>
    <row r="3499" spans="1:13" x14ac:dyDescent="0.25">
      <c r="A3499" t="s">
        <v>29292</v>
      </c>
      <c r="B3499" t="s">
        <v>13</v>
      </c>
      <c r="C3499" t="s">
        <v>29293</v>
      </c>
      <c r="D3499" t="s">
        <v>29294</v>
      </c>
      <c r="E3499" t="s">
        <v>29295</v>
      </c>
      <c r="F3499" t="s">
        <v>2036</v>
      </c>
      <c r="G3499" t="s">
        <v>29296</v>
      </c>
      <c r="H3499" t="s">
        <v>372</v>
      </c>
      <c r="I3499" t="s">
        <v>19</v>
      </c>
      <c r="J3499" s="3" t="s">
        <v>29297</v>
      </c>
      <c r="K3499" t="s">
        <v>26309</v>
      </c>
      <c r="L3499" t="s">
        <v>29298</v>
      </c>
      <c r="M3499" t="s">
        <v>57</v>
      </c>
    </row>
    <row r="3500" spans="1:13" x14ac:dyDescent="0.25">
      <c r="A3500" t="s">
        <v>14222</v>
      </c>
      <c r="B3500" t="s">
        <v>13</v>
      </c>
      <c r="C3500" t="s">
        <v>14223</v>
      </c>
      <c r="D3500" t="s">
        <v>14224</v>
      </c>
      <c r="E3500" t="s">
        <v>14225</v>
      </c>
      <c r="F3500" t="s">
        <v>32147</v>
      </c>
      <c r="G3500" t="s">
        <v>14226</v>
      </c>
      <c r="H3500" t="s">
        <v>1802</v>
      </c>
      <c r="I3500" t="s">
        <v>19</v>
      </c>
      <c r="J3500" s="3">
        <f>55-14-32241040</f>
        <v>-32240999</v>
      </c>
      <c r="K3500" t="s">
        <v>14227</v>
      </c>
      <c r="L3500" t="s">
        <v>14228</v>
      </c>
      <c r="M3500" t="s">
        <v>32147</v>
      </c>
    </row>
    <row r="3501" spans="1:13" x14ac:dyDescent="0.25">
      <c r="A3501" t="s">
        <v>15747</v>
      </c>
      <c r="B3501" t="s">
        <v>13</v>
      </c>
      <c r="C3501" t="s">
        <v>15748</v>
      </c>
      <c r="D3501" t="s">
        <v>15749</v>
      </c>
      <c r="E3501" t="s">
        <v>15750</v>
      </c>
      <c r="F3501" t="s">
        <v>2036</v>
      </c>
      <c r="G3501" t="s">
        <v>15365</v>
      </c>
      <c r="H3501" t="s">
        <v>503</v>
      </c>
      <c r="I3501" t="s">
        <v>19</v>
      </c>
      <c r="J3501" s="3">
        <f>55-54-991552261</f>
        <v>-991552260</v>
      </c>
      <c r="K3501" t="s">
        <v>15366</v>
      </c>
      <c r="L3501" t="s">
        <v>15367</v>
      </c>
      <c r="M3501" t="s">
        <v>57</v>
      </c>
    </row>
    <row r="3502" spans="1:13" x14ac:dyDescent="0.25">
      <c r="A3502" t="s">
        <v>19340</v>
      </c>
      <c r="B3502" t="s">
        <v>13</v>
      </c>
      <c r="C3502" s="1">
        <v>43230</v>
      </c>
      <c r="D3502" t="s">
        <v>19341</v>
      </c>
      <c r="E3502" s="2" t="s">
        <v>31404</v>
      </c>
      <c r="F3502" t="s">
        <v>57</v>
      </c>
      <c r="G3502" t="s">
        <v>19342</v>
      </c>
      <c r="H3502" t="s">
        <v>706</v>
      </c>
      <c r="I3502" t="s">
        <v>19</v>
      </c>
      <c r="J3502" s="3">
        <f>55-31-34093028</f>
        <v>-34093004</v>
      </c>
      <c r="K3502" t="s">
        <v>19343</v>
      </c>
      <c r="L3502" t="s">
        <v>565</v>
      </c>
      <c r="M3502" t="s">
        <v>57</v>
      </c>
    </row>
    <row r="3503" spans="1:13" x14ac:dyDescent="0.25">
      <c r="A3503" t="s">
        <v>13428</v>
      </c>
      <c r="B3503" t="s">
        <v>13</v>
      </c>
      <c r="C3503" t="s">
        <v>12133</v>
      </c>
      <c r="D3503" t="s">
        <v>13429</v>
      </c>
      <c r="E3503" s="2" t="s">
        <v>31383</v>
      </c>
      <c r="F3503" t="s">
        <v>2036</v>
      </c>
      <c r="G3503" t="s">
        <v>13430</v>
      </c>
      <c r="H3503" t="s">
        <v>503</v>
      </c>
      <c r="I3503" t="s">
        <v>19</v>
      </c>
      <c r="J3503" s="3">
        <f>55-51-983001112</f>
        <v>-983001108</v>
      </c>
      <c r="K3503" t="s">
        <v>13431</v>
      </c>
      <c r="L3503" t="s">
        <v>412</v>
      </c>
      <c r="M3503" t="s">
        <v>57</v>
      </c>
    </row>
    <row r="3504" spans="1:13" x14ac:dyDescent="0.25">
      <c r="A3504" t="s">
        <v>23029</v>
      </c>
      <c r="B3504" t="s">
        <v>13</v>
      </c>
      <c r="C3504" t="s">
        <v>12029</v>
      </c>
      <c r="D3504" t="s">
        <v>23030</v>
      </c>
      <c r="E3504" t="s">
        <v>185</v>
      </c>
      <c r="F3504" t="s">
        <v>57</v>
      </c>
      <c r="G3504" t="s">
        <v>23031</v>
      </c>
      <c r="H3504" t="s">
        <v>798</v>
      </c>
      <c r="I3504" t="s">
        <v>19</v>
      </c>
      <c r="J3504" s="3" t="s">
        <v>23032</v>
      </c>
      <c r="K3504" t="s">
        <v>23033</v>
      </c>
      <c r="L3504" t="s">
        <v>2621</v>
      </c>
      <c r="M3504" t="s">
        <v>57</v>
      </c>
    </row>
    <row r="3505" spans="1:13" x14ac:dyDescent="0.25">
      <c r="A3505" t="s">
        <v>183</v>
      </c>
      <c r="B3505" t="s">
        <v>13</v>
      </c>
      <c r="C3505" t="s">
        <v>165</v>
      </c>
      <c r="D3505" t="s">
        <v>184</v>
      </c>
      <c r="E3505" t="s">
        <v>185</v>
      </c>
      <c r="F3505" t="s">
        <v>186</v>
      </c>
      <c r="G3505" t="s">
        <v>187</v>
      </c>
      <c r="H3505" t="s">
        <v>114</v>
      </c>
      <c r="I3505" t="s">
        <v>19</v>
      </c>
      <c r="J3505" s="3" t="s">
        <v>188</v>
      </c>
      <c r="K3505" t="s">
        <v>189</v>
      </c>
      <c r="L3505" t="s">
        <v>82</v>
      </c>
      <c r="M3505" t="s">
        <v>57</v>
      </c>
    </row>
    <row r="3506" spans="1:13" x14ac:dyDescent="0.25">
      <c r="A3506" t="s">
        <v>10933</v>
      </c>
      <c r="B3506" t="s">
        <v>13</v>
      </c>
      <c r="C3506" t="s">
        <v>10921</v>
      </c>
      <c r="D3506" t="s">
        <v>10934</v>
      </c>
      <c r="E3506" s="2" t="s">
        <v>31007</v>
      </c>
      <c r="F3506" t="s">
        <v>2036</v>
      </c>
      <c r="G3506" t="s">
        <v>10935</v>
      </c>
      <c r="H3506" t="s">
        <v>1802</v>
      </c>
      <c r="I3506" t="s">
        <v>19</v>
      </c>
      <c r="J3506" s="3" t="s">
        <v>10936</v>
      </c>
      <c r="K3506" t="s">
        <v>10937</v>
      </c>
      <c r="L3506" t="s">
        <v>4852</v>
      </c>
      <c r="M3506" t="s">
        <v>57</v>
      </c>
    </row>
    <row r="3507" spans="1:13" x14ac:dyDescent="0.25">
      <c r="A3507" t="s">
        <v>24159</v>
      </c>
      <c r="B3507" t="s">
        <v>13</v>
      </c>
      <c r="C3507" t="s">
        <v>14133</v>
      </c>
      <c r="D3507" t="s">
        <v>24160</v>
      </c>
      <c r="E3507" t="s">
        <v>24161</v>
      </c>
      <c r="F3507" t="s">
        <v>2036</v>
      </c>
      <c r="G3507" t="s">
        <v>24162</v>
      </c>
      <c r="H3507" t="s">
        <v>714</v>
      </c>
      <c r="I3507" t="s">
        <v>19</v>
      </c>
      <c r="J3507" s="3">
        <v>551831176089</v>
      </c>
      <c r="K3507" t="s">
        <v>24163</v>
      </c>
      <c r="L3507" t="s">
        <v>24164</v>
      </c>
      <c r="M3507" t="s">
        <v>57</v>
      </c>
    </row>
    <row r="3508" spans="1:13" x14ac:dyDescent="0.25">
      <c r="A3508" t="s">
        <v>21531</v>
      </c>
      <c r="B3508" t="s">
        <v>13</v>
      </c>
      <c r="C3508" t="s">
        <v>16205</v>
      </c>
      <c r="D3508" t="s">
        <v>21532</v>
      </c>
      <c r="E3508" t="s">
        <v>21533</v>
      </c>
      <c r="F3508" t="s">
        <v>2036</v>
      </c>
      <c r="G3508" t="s">
        <v>21534</v>
      </c>
      <c r="H3508" t="s">
        <v>409</v>
      </c>
      <c r="I3508" t="s">
        <v>19</v>
      </c>
      <c r="J3508" s="3">
        <f>55-48-999591975</f>
        <v>-999591968</v>
      </c>
      <c r="K3508" t="s">
        <v>21535</v>
      </c>
      <c r="L3508" t="s">
        <v>1823</v>
      </c>
      <c r="M3508" t="s">
        <v>57</v>
      </c>
    </row>
    <row r="3509" spans="1:13" x14ac:dyDescent="0.25">
      <c r="A3509" t="s">
        <v>7321</v>
      </c>
      <c r="B3509" t="s">
        <v>13</v>
      </c>
      <c r="C3509" t="s">
        <v>7075</v>
      </c>
      <c r="D3509" t="s">
        <v>32135</v>
      </c>
      <c r="E3509" s="2" t="s">
        <v>30927</v>
      </c>
      <c r="F3509" t="s">
        <v>7322</v>
      </c>
      <c r="G3509" t="s">
        <v>7323</v>
      </c>
      <c r="H3509" t="s">
        <v>170</v>
      </c>
      <c r="I3509" t="s">
        <v>19</v>
      </c>
      <c r="J3509" s="3" t="s">
        <v>7324</v>
      </c>
      <c r="K3509" t="s">
        <v>7325</v>
      </c>
      <c r="L3509" t="s">
        <v>32135</v>
      </c>
      <c r="M3509" t="s">
        <v>57</v>
      </c>
    </row>
    <row r="3510" spans="1:13" x14ac:dyDescent="0.25">
      <c r="A3510" t="s">
        <v>13262</v>
      </c>
      <c r="B3510" t="s">
        <v>13</v>
      </c>
      <c r="C3510" s="1">
        <v>43864</v>
      </c>
      <c r="D3510" t="s">
        <v>13263</v>
      </c>
      <c r="E3510" t="s">
        <v>32474</v>
      </c>
      <c r="F3510" t="s">
        <v>4338</v>
      </c>
      <c r="G3510" t="s">
        <v>13264</v>
      </c>
      <c r="H3510" t="s">
        <v>472</v>
      </c>
      <c r="I3510" t="s">
        <v>19</v>
      </c>
      <c r="J3510" s="3">
        <v>5581987755591</v>
      </c>
      <c r="K3510" t="s">
        <v>13265</v>
      </c>
      <c r="L3510" t="s">
        <v>13266</v>
      </c>
      <c r="M3510" t="s">
        <v>1432</v>
      </c>
    </row>
    <row r="3511" spans="1:13" x14ac:dyDescent="0.25">
      <c r="A3511" t="s">
        <v>2568</v>
      </c>
      <c r="B3511" t="s">
        <v>13</v>
      </c>
      <c r="C3511" s="1">
        <v>44903</v>
      </c>
      <c r="D3511" t="s">
        <v>2569</v>
      </c>
      <c r="E3511" s="2" t="s">
        <v>30744</v>
      </c>
      <c r="F3511" t="s">
        <v>2571</v>
      </c>
      <c r="G3511" t="s">
        <v>2572</v>
      </c>
      <c r="H3511" t="s">
        <v>36</v>
      </c>
      <c r="I3511" t="s">
        <v>19</v>
      </c>
      <c r="J3511" s="3" t="s">
        <v>2573</v>
      </c>
      <c r="K3511" t="s">
        <v>2574</v>
      </c>
      <c r="L3511" t="s">
        <v>439</v>
      </c>
      <c r="M3511" s="4" t="s">
        <v>1432</v>
      </c>
    </row>
    <row r="3512" spans="1:13" x14ac:dyDescent="0.25">
      <c r="A3512" t="s">
        <v>20336</v>
      </c>
      <c r="B3512" t="s">
        <v>13</v>
      </c>
      <c r="C3512" t="s">
        <v>20322</v>
      </c>
      <c r="D3512" t="s">
        <v>20337</v>
      </c>
      <c r="E3512" s="2" t="s">
        <v>31418</v>
      </c>
      <c r="F3512" t="s">
        <v>785</v>
      </c>
      <c r="G3512" t="s">
        <v>7780</v>
      </c>
      <c r="H3512" t="s">
        <v>299</v>
      </c>
      <c r="I3512" t="s">
        <v>19</v>
      </c>
      <c r="J3512" s="3">
        <f>55-41-992050444</f>
        <v>-992050430</v>
      </c>
      <c r="K3512" t="s">
        <v>7781</v>
      </c>
      <c r="L3512" t="s">
        <v>20338</v>
      </c>
      <c r="M3512" t="s">
        <v>785</v>
      </c>
    </row>
    <row r="3513" spans="1:13" x14ac:dyDescent="0.25">
      <c r="A3513" t="s">
        <v>28627</v>
      </c>
      <c r="B3513" t="s">
        <v>13</v>
      </c>
      <c r="C3513" s="1">
        <v>42279</v>
      </c>
      <c r="D3513" t="s">
        <v>28628</v>
      </c>
      <c r="E3513" t="s">
        <v>7118</v>
      </c>
      <c r="F3513" t="s">
        <v>432</v>
      </c>
      <c r="G3513" t="s">
        <v>28629</v>
      </c>
      <c r="H3513" t="s">
        <v>489</v>
      </c>
      <c r="I3513" t="s">
        <v>19</v>
      </c>
      <c r="J3513" s="3" t="s">
        <v>28630</v>
      </c>
      <c r="K3513" t="s">
        <v>28631</v>
      </c>
      <c r="L3513" t="s">
        <v>28632</v>
      </c>
      <c r="M3513" t="s">
        <v>432</v>
      </c>
    </row>
    <row r="3514" spans="1:13" x14ac:dyDescent="0.25">
      <c r="A3514" t="s">
        <v>7116</v>
      </c>
      <c r="B3514" t="s">
        <v>13</v>
      </c>
      <c r="C3514" s="1">
        <v>44506</v>
      </c>
      <c r="D3514" t="s">
        <v>7117</v>
      </c>
      <c r="E3514" t="s">
        <v>7118</v>
      </c>
      <c r="F3514" t="s">
        <v>7119</v>
      </c>
      <c r="G3514" t="s">
        <v>7120</v>
      </c>
      <c r="H3514" t="s">
        <v>28</v>
      </c>
      <c r="I3514" t="s">
        <v>19</v>
      </c>
      <c r="J3514" s="3">
        <f>55-32-988363231</f>
        <v>-988363208</v>
      </c>
      <c r="K3514" t="s">
        <v>7121</v>
      </c>
      <c r="L3514" t="s">
        <v>7122</v>
      </c>
      <c r="M3514" s="4" t="s">
        <v>432</v>
      </c>
    </row>
    <row r="3515" spans="1:13" x14ac:dyDescent="0.25">
      <c r="A3515" t="s">
        <v>18677</v>
      </c>
      <c r="B3515" t="s">
        <v>13</v>
      </c>
      <c r="C3515" t="s">
        <v>18678</v>
      </c>
      <c r="D3515" t="s">
        <v>18679</v>
      </c>
      <c r="E3515" t="s">
        <v>18680</v>
      </c>
      <c r="F3515" t="s">
        <v>6308</v>
      </c>
      <c r="G3515" t="s">
        <v>18681</v>
      </c>
      <c r="H3515" t="s">
        <v>18</v>
      </c>
      <c r="I3515" t="s">
        <v>19</v>
      </c>
      <c r="J3515" s="3">
        <f>55-19-35217524</f>
        <v>-35217488</v>
      </c>
      <c r="K3515" t="s">
        <v>18682</v>
      </c>
      <c r="L3515" t="s">
        <v>18683</v>
      </c>
      <c r="M3515" s="4" t="s">
        <v>432</v>
      </c>
    </row>
    <row r="3516" spans="1:13" x14ac:dyDescent="0.25">
      <c r="A3516" t="s">
        <v>16773</v>
      </c>
      <c r="B3516" t="s">
        <v>13</v>
      </c>
      <c r="C3516" t="s">
        <v>16755</v>
      </c>
      <c r="D3516" t="s">
        <v>16774</v>
      </c>
      <c r="E3516" t="s">
        <v>16775</v>
      </c>
      <c r="F3516" t="s">
        <v>432</v>
      </c>
      <c r="G3516" t="s">
        <v>16776</v>
      </c>
      <c r="H3516" t="s">
        <v>36</v>
      </c>
      <c r="I3516" t="s">
        <v>19</v>
      </c>
      <c r="J3516" s="3">
        <f>55-11-982026108</f>
        <v>-982026064</v>
      </c>
      <c r="K3516" t="s">
        <v>16777</v>
      </c>
      <c r="L3516" t="s">
        <v>328</v>
      </c>
      <c r="M3516" s="4" t="s">
        <v>432</v>
      </c>
    </row>
    <row r="3517" spans="1:13" x14ac:dyDescent="0.25">
      <c r="A3517" t="s">
        <v>14945</v>
      </c>
      <c r="B3517" t="s">
        <v>101</v>
      </c>
      <c r="C3517" t="s">
        <v>6364</v>
      </c>
      <c r="D3517" t="s">
        <v>14946</v>
      </c>
      <c r="E3517" t="s">
        <v>32122</v>
      </c>
      <c r="F3517" t="s">
        <v>8193</v>
      </c>
      <c r="G3517" t="s">
        <v>307</v>
      </c>
      <c r="H3517" t="s">
        <v>308</v>
      </c>
      <c r="I3517" t="s">
        <v>309</v>
      </c>
      <c r="J3517" s="3" t="s">
        <v>310</v>
      </c>
      <c r="K3517" t="s">
        <v>311</v>
      </c>
      <c r="L3517" t="s">
        <v>312</v>
      </c>
      <c r="M3517" t="s">
        <v>32121</v>
      </c>
    </row>
    <row r="3518" spans="1:13" x14ac:dyDescent="0.25">
      <c r="A3518" t="s">
        <v>4118</v>
      </c>
      <c r="B3518" t="s">
        <v>13</v>
      </c>
      <c r="C3518" t="s">
        <v>4119</v>
      </c>
      <c r="D3518" t="s">
        <v>4120</v>
      </c>
      <c r="E3518" t="s">
        <v>32475</v>
      </c>
      <c r="F3518" t="s">
        <v>1436</v>
      </c>
      <c r="G3518" t="s">
        <v>4121</v>
      </c>
      <c r="H3518" t="s">
        <v>1335</v>
      </c>
      <c r="I3518" t="s">
        <v>19</v>
      </c>
      <c r="J3518" s="3">
        <v>5519999310877</v>
      </c>
      <c r="K3518" t="s">
        <v>4122</v>
      </c>
      <c r="L3518" t="s">
        <v>1461</v>
      </c>
      <c r="M3518" t="s">
        <v>32121</v>
      </c>
    </row>
    <row r="3519" spans="1:13" x14ac:dyDescent="0.25">
      <c r="A3519" t="s">
        <v>24372</v>
      </c>
      <c r="B3519" t="s">
        <v>13</v>
      </c>
      <c r="C3519" t="s">
        <v>24373</v>
      </c>
      <c r="D3519" t="s">
        <v>24374</v>
      </c>
      <c r="E3519" t="s">
        <v>32476</v>
      </c>
      <c r="F3519" t="s">
        <v>1464</v>
      </c>
      <c r="G3519" t="s">
        <v>24375</v>
      </c>
      <c r="H3519" t="s">
        <v>299</v>
      </c>
      <c r="I3519" t="s">
        <v>19</v>
      </c>
      <c r="J3519" s="3" t="s">
        <v>24376</v>
      </c>
      <c r="K3519" t="s">
        <v>24377</v>
      </c>
      <c r="L3519" t="s">
        <v>24378</v>
      </c>
      <c r="M3519" t="s">
        <v>337</v>
      </c>
    </row>
    <row r="3520" spans="1:13" x14ac:dyDescent="0.25">
      <c r="A3520" t="s">
        <v>30064</v>
      </c>
      <c r="B3520" t="s">
        <v>13</v>
      </c>
      <c r="C3520" t="s">
        <v>14184</v>
      </c>
      <c r="D3520" t="s">
        <v>30065</v>
      </c>
      <c r="E3520" t="s">
        <v>32477</v>
      </c>
      <c r="F3520" t="s">
        <v>1464</v>
      </c>
      <c r="G3520" t="s">
        <v>30066</v>
      </c>
      <c r="H3520" t="s">
        <v>2564</v>
      </c>
      <c r="I3520" t="s">
        <v>19</v>
      </c>
      <c r="J3520" s="3" t="s">
        <v>30067</v>
      </c>
      <c r="K3520" t="s">
        <v>30068</v>
      </c>
      <c r="L3520" t="s">
        <v>2026</v>
      </c>
      <c r="M3520" t="s">
        <v>32145</v>
      </c>
    </row>
    <row r="3521" spans="1:13" x14ac:dyDescent="0.25">
      <c r="A3521" t="s">
        <v>22617</v>
      </c>
      <c r="B3521" t="s">
        <v>13</v>
      </c>
      <c r="C3521" s="1">
        <v>43344</v>
      </c>
      <c r="D3521" t="s">
        <v>22618</v>
      </c>
      <c r="E3521" t="s">
        <v>32478</v>
      </c>
      <c r="F3521" t="s">
        <v>337</v>
      </c>
      <c r="G3521" t="s">
        <v>22619</v>
      </c>
      <c r="H3521" t="s">
        <v>472</v>
      </c>
      <c r="I3521" t="s">
        <v>19</v>
      </c>
      <c r="J3521" s="3" t="s">
        <v>22620</v>
      </c>
      <c r="K3521" t="s">
        <v>22621</v>
      </c>
      <c r="L3521" t="s">
        <v>22622</v>
      </c>
      <c r="M3521" t="s">
        <v>337</v>
      </c>
    </row>
    <row r="3522" spans="1:13" x14ac:dyDescent="0.25">
      <c r="A3522" t="s">
        <v>17045</v>
      </c>
      <c r="B3522" t="s">
        <v>13</v>
      </c>
      <c r="C3522" t="s">
        <v>17046</v>
      </c>
      <c r="D3522" t="s">
        <v>17047</v>
      </c>
      <c r="E3522" s="2" t="s">
        <v>31168</v>
      </c>
      <c r="F3522" t="s">
        <v>1464</v>
      </c>
      <c r="G3522" t="s">
        <v>17048</v>
      </c>
      <c r="H3522" t="s">
        <v>45</v>
      </c>
      <c r="I3522" t="s">
        <v>19</v>
      </c>
      <c r="J3522" s="3">
        <v>558533668454</v>
      </c>
      <c r="K3522" t="s">
        <v>17049</v>
      </c>
      <c r="L3522" t="s">
        <v>1909</v>
      </c>
      <c r="M3522" t="s">
        <v>337</v>
      </c>
    </row>
    <row r="3523" spans="1:13" x14ac:dyDescent="0.25">
      <c r="A3523" t="s">
        <v>16825</v>
      </c>
      <c r="B3523" t="s">
        <v>13</v>
      </c>
      <c r="C3523" s="1">
        <v>43715</v>
      </c>
      <c r="D3523" t="s">
        <v>16826</v>
      </c>
      <c r="E3523" s="2" t="s">
        <v>31366</v>
      </c>
      <c r="F3523" t="s">
        <v>8193</v>
      </c>
      <c r="G3523" t="s">
        <v>16827</v>
      </c>
      <c r="H3523" t="s">
        <v>1466</v>
      </c>
      <c r="I3523" t="s">
        <v>19</v>
      </c>
      <c r="J3523" s="3">
        <f>55-35-3701-1928</f>
        <v>-5609</v>
      </c>
      <c r="K3523" t="s">
        <v>16828</v>
      </c>
      <c r="L3523" t="s">
        <v>1469</v>
      </c>
      <c r="M3523" t="s">
        <v>129</v>
      </c>
    </row>
    <row r="3524" spans="1:13" x14ac:dyDescent="0.25">
      <c r="A3524" t="s">
        <v>8201</v>
      </c>
      <c r="B3524" t="s">
        <v>13</v>
      </c>
      <c r="C3524" s="1">
        <v>44471</v>
      </c>
      <c r="D3524" t="s">
        <v>8202</v>
      </c>
      <c r="E3524" t="s">
        <v>8203</v>
      </c>
      <c r="F3524" t="s">
        <v>6686</v>
      </c>
      <c r="G3524" t="s">
        <v>8204</v>
      </c>
      <c r="H3524" t="s">
        <v>45</v>
      </c>
      <c r="I3524" t="s">
        <v>19</v>
      </c>
      <c r="J3524" s="3">
        <v>8597104959</v>
      </c>
      <c r="K3524" t="s">
        <v>8205</v>
      </c>
      <c r="L3524" t="s">
        <v>8206</v>
      </c>
      <c r="M3524" t="s">
        <v>32121</v>
      </c>
    </row>
    <row r="3525" spans="1:13" x14ac:dyDescent="0.25">
      <c r="A3525" t="s">
        <v>1325</v>
      </c>
      <c r="B3525" t="s">
        <v>13</v>
      </c>
      <c r="C3525" s="1">
        <v>44845</v>
      </c>
      <c r="D3525" t="s">
        <v>1326</v>
      </c>
      <c r="E3525" t="s">
        <v>1327</v>
      </c>
      <c r="F3525" t="s">
        <v>288</v>
      </c>
      <c r="G3525" t="s">
        <v>1328</v>
      </c>
      <c r="H3525" t="s">
        <v>1329</v>
      </c>
      <c r="I3525" t="s">
        <v>19</v>
      </c>
      <c r="J3525" s="3" t="s">
        <v>1330</v>
      </c>
      <c r="K3525" t="s">
        <v>1331</v>
      </c>
      <c r="L3525" t="s">
        <v>1328</v>
      </c>
      <c r="M3525" t="s">
        <v>57</v>
      </c>
    </row>
    <row r="3526" spans="1:13" x14ac:dyDescent="0.25">
      <c r="A3526" t="s">
        <v>3040</v>
      </c>
      <c r="B3526" t="s">
        <v>13</v>
      </c>
      <c r="C3526" s="1">
        <v>44414</v>
      </c>
      <c r="D3526" t="s">
        <v>3041</v>
      </c>
      <c r="E3526" t="s">
        <v>2083</v>
      </c>
      <c r="F3526" t="s">
        <v>3042</v>
      </c>
      <c r="G3526" t="s">
        <v>3043</v>
      </c>
      <c r="H3526" t="s">
        <v>195</v>
      </c>
      <c r="I3526" t="s">
        <v>19</v>
      </c>
      <c r="J3526" s="3" t="s">
        <v>3044</v>
      </c>
      <c r="K3526" t="s">
        <v>3045</v>
      </c>
      <c r="L3526" t="s">
        <v>1606</v>
      </c>
      <c r="M3526" s="4" t="s">
        <v>57</v>
      </c>
    </row>
    <row r="3527" spans="1:13" x14ac:dyDescent="0.25">
      <c r="A3527" t="s">
        <v>15855</v>
      </c>
      <c r="B3527" t="s">
        <v>13</v>
      </c>
      <c r="C3527" t="s">
        <v>2534</v>
      </c>
      <c r="D3527" t="s">
        <v>15856</v>
      </c>
      <c r="E3527" t="s">
        <v>14370</v>
      </c>
      <c r="F3527" t="s">
        <v>57</v>
      </c>
      <c r="G3527" t="s">
        <v>15857</v>
      </c>
      <c r="H3527" t="s">
        <v>1382</v>
      </c>
      <c r="I3527" t="s">
        <v>19</v>
      </c>
      <c r="J3527" s="3">
        <f>55-62-992010621</f>
        <v>-992010628</v>
      </c>
      <c r="K3527" t="s">
        <v>15858</v>
      </c>
      <c r="L3527" t="s">
        <v>15859</v>
      </c>
      <c r="M3527" t="s">
        <v>57</v>
      </c>
    </row>
    <row r="3528" spans="1:13" x14ac:dyDescent="0.25">
      <c r="A3528" t="s">
        <v>14368</v>
      </c>
      <c r="B3528" t="s">
        <v>13</v>
      </c>
      <c r="C3528" s="1">
        <v>43983</v>
      </c>
      <c r="D3528" t="s">
        <v>14369</v>
      </c>
      <c r="E3528" t="s">
        <v>14370</v>
      </c>
      <c r="F3528" t="s">
        <v>57</v>
      </c>
      <c r="G3528" t="s">
        <v>14371</v>
      </c>
      <c r="H3528" t="s">
        <v>195</v>
      </c>
      <c r="I3528" t="s">
        <v>19</v>
      </c>
      <c r="J3528" s="3">
        <f>55-16-33518397</f>
        <v>-33518358</v>
      </c>
      <c r="K3528" t="s">
        <v>14372</v>
      </c>
      <c r="L3528" t="s">
        <v>197</v>
      </c>
      <c r="M3528" s="4" t="s">
        <v>57</v>
      </c>
    </row>
    <row r="3529" spans="1:13" x14ac:dyDescent="0.25">
      <c r="A3529" t="s">
        <v>17720</v>
      </c>
      <c r="B3529" t="s">
        <v>13</v>
      </c>
      <c r="C3529" t="s">
        <v>17669</v>
      </c>
      <c r="D3529" t="s">
        <v>17721</v>
      </c>
      <c r="E3529" t="s">
        <v>2083</v>
      </c>
      <c r="F3529" t="s">
        <v>2036</v>
      </c>
      <c r="G3529" t="s">
        <v>17722</v>
      </c>
      <c r="H3529" t="s">
        <v>4039</v>
      </c>
      <c r="I3529" t="s">
        <v>19</v>
      </c>
      <c r="J3529" s="3">
        <v>5545999777382</v>
      </c>
      <c r="K3529" t="s">
        <v>17723</v>
      </c>
      <c r="L3529" t="s">
        <v>17724</v>
      </c>
      <c r="M3529" t="s">
        <v>57</v>
      </c>
    </row>
    <row r="3530" spans="1:13" x14ac:dyDescent="0.25">
      <c r="A3530" t="s">
        <v>16788</v>
      </c>
      <c r="B3530" t="s">
        <v>13</v>
      </c>
      <c r="C3530" s="1">
        <v>43776</v>
      </c>
      <c r="D3530" t="s">
        <v>16789</v>
      </c>
      <c r="E3530" t="s">
        <v>2083</v>
      </c>
      <c r="F3530" t="s">
        <v>2036</v>
      </c>
      <c r="G3530" t="s">
        <v>16790</v>
      </c>
      <c r="H3530" t="s">
        <v>2829</v>
      </c>
      <c r="I3530" t="s">
        <v>19</v>
      </c>
      <c r="J3530" s="3">
        <f>55-31-99149630</f>
        <v>-99149606</v>
      </c>
      <c r="K3530" t="s">
        <v>16791</v>
      </c>
      <c r="L3530" t="s">
        <v>16792</v>
      </c>
      <c r="M3530" t="s">
        <v>57</v>
      </c>
    </row>
    <row r="3531" spans="1:13" x14ac:dyDescent="0.25">
      <c r="A3531" t="s">
        <v>16007</v>
      </c>
      <c r="B3531" t="s">
        <v>13</v>
      </c>
      <c r="C3531" t="s">
        <v>6274</v>
      </c>
      <c r="D3531" t="s">
        <v>16008</v>
      </c>
      <c r="E3531" t="s">
        <v>14370</v>
      </c>
      <c r="F3531" t="s">
        <v>2036</v>
      </c>
      <c r="G3531" t="s">
        <v>16009</v>
      </c>
      <c r="H3531" t="s">
        <v>489</v>
      </c>
      <c r="I3531" t="s">
        <v>19</v>
      </c>
      <c r="J3531" s="3" t="s">
        <v>16010</v>
      </c>
      <c r="K3531" t="s">
        <v>16011</v>
      </c>
      <c r="L3531" t="s">
        <v>809</v>
      </c>
      <c r="M3531" t="s">
        <v>57</v>
      </c>
    </row>
    <row r="3532" spans="1:13" x14ac:dyDescent="0.25">
      <c r="A3532" t="s">
        <v>26012</v>
      </c>
      <c r="B3532" t="s">
        <v>13</v>
      </c>
      <c r="C3532" t="s">
        <v>26013</v>
      </c>
      <c r="D3532" t="s">
        <v>26014</v>
      </c>
      <c r="E3532" t="s">
        <v>1327</v>
      </c>
      <c r="F3532" t="s">
        <v>2036</v>
      </c>
      <c r="G3532" t="s">
        <v>25967</v>
      </c>
      <c r="H3532" t="s">
        <v>6100</v>
      </c>
      <c r="I3532" t="s">
        <v>19</v>
      </c>
      <c r="J3532" s="3" t="s">
        <v>26015</v>
      </c>
      <c r="K3532" t="s">
        <v>25969</v>
      </c>
      <c r="L3532" t="s">
        <v>9430</v>
      </c>
      <c r="M3532" t="s">
        <v>57</v>
      </c>
    </row>
    <row r="3533" spans="1:13" x14ac:dyDescent="0.25">
      <c r="A3533" t="s">
        <v>28079</v>
      </c>
      <c r="B3533" t="s">
        <v>13</v>
      </c>
      <c r="C3533" s="1">
        <v>42010</v>
      </c>
      <c r="D3533" t="s">
        <v>28080</v>
      </c>
      <c r="E3533" t="s">
        <v>1327</v>
      </c>
      <c r="F3533" t="s">
        <v>2036</v>
      </c>
      <c r="G3533" t="s">
        <v>28081</v>
      </c>
      <c r="H3533" t="s">
        <v>71</v>
      </c>
      <c r="I3533" t="s">
        <v>19</v>
      </c>
      <c r="J3533" s="3" t="s">
        <v>28082</v>
      </c>
      <c r="K3533" t="s">
        <v>28083</v>
      </c>
      <c r="L3533" t="s">
        <v>28084</v>
      </c>
      <c r="M3533" t="s">
        <v>57</v>
      </c>
    </row>
    <row r="3534" spans="1:13" x14ac:dyDescent="0.25">
      <c r="A3534" t="s">
        <v>22224</v>
      </c>
      <c r="B3534" t="s">
        <v>13</v>
      </c>
      <c r="C3534" t="s">
        <v>12033</v>
      </c>
      <c r="D3534" t="s">
        <v>22225</v>
      </c>
      <c r="E3534" t="s">
        <v>1327</v>
      </c>
      <c r="F3534" t="s">
        <v>2036</v>
      </c>
      <c r="G3534" t="s">
        <v>22226</v>
      </c>
      <c r="H3534" t="s">
        <v>71</v>
      </c>
      <c r="I3534" t="s">
        <v>19</v>
      </c>
      <c r="J3534" s="3">
        <v>55086998658877</v>
      </c>
      <c r="K3534" t="s">
        <v>22227</v>
      </c>
      <c r="L3534" t="s">
        <v>22228</v>
      </c>
      <c r="M3534" t="s">
        <v>57</v>
      </c>
    </row>
    <row r="3535" spans="1:13" x14ac:dyDescent="0.25">
      <c r="A3535" t="s">
        <v>23930</v>
      </c>
      <c r="B3535" t="s">
        <v>13</v>
      </c>
      <c r="C3535" t="s">
        <v>23923</v>
      </c>
      <c r="D3535" t="s">
        <v>23931</v>
      </c>
      <c r="E3535" t="s">
        <v>2083</v>
      </c>
      <c r="F3535" t="s">
        <v>2036</v>
      </c>
      <c r="G3535" t="s">
        <v>16496</v>
      </c>
      <c r="H3535" t="s">
        <v>36</v>
      </c>
      <c r="I3535" t="s">
        <v>19</v>
      </c>
      <c r="J3535" s="3">
        <v>551155754251</v>
      </c>
      <c r="K3535" t="s">
        <v>16497</v>
      </c>
      <c r="L3535" t="s">
        <v>9723</v>
      </c>
      <c r="M3535" t="s">
        <v>57</v>
      </c>
    </row>
    <row r="3536" spans="1:13" x14ac:dyDescent="0.25">
      <c r="A3536" t="s">
        <v>22560</v>
      </c>
      <c r="B3536" t="s">
        <v>13</v>
      </c>
      <c r="C3536" t="s">
        <v>22557</v>
      </c>
      <c r="D3536" t="s">
        <v>22561</v>
      </c>
      <c r="E3536" t="s">
        <v>1327</v>
      </c>
      <c r="F3536" t="s">
        <v>2036</v>
      </c>
      <c r="G3536" t="s">
        <v>22562</v>
      </c>
      <c r="H3536" t="s">
        <v>893</v>
      </c>
      <c r="I3536" t="s">
        <v>19</v>
      </c>
      <c r="J3536" s="3">
        <f>55-98-32728170</f>
        <v>-32728213</v>
      </c>
      <c r="K3536" t="s">
        <v>22563</v>
      </c>
      <c r="L3536" t="s">
        <v>1727</v>
      </c>
      <c r="M3536" t="s">
        <v>57</v>
      </c>
    </row>
    <row r="3537" spans="1:13" x14ac:dyDescent="0.25">
      <c r="A3537" t="s">
        <v>2080</v>
      </c>
      <c r="B3537" t="s">
        <v>13</v>
      </c>
      <c r="C3537" t="s">
        <v>2081</v>
      </c>
      <c r="D3537" t="s">
        <v>2082</v>
      </c>
      <c r="E3537" t="s">
        <v>2083</v>
      </c>
      <c r="F3537" t="s">
        <v>186</v>
      </c>
      <c r="G3537" t="s">
        <v>2084</v>
      </c>
      <c r="H3537" t="s">
        <v>540</v>
      </c>
      <c r="I3537" t="s">
        <v>19</v>
      </c>
      <c r="J3537" s="3" t="s">
        <v>2085</v>
      </c>
      <c r="K3537" t="s">
        <v>2086</v>
      </c>
      <c r="L3537" t="s">
        <v>1531</v>
      </c>
      <c r="M3537" t="s">
        <v>57</v>
      </c>
    </row>
    <row r="3538" spans="1:13" x14ac:dyDescent="0.25">
      <c r="A3538" t="s">
        <v>8886</v>
      </c>
      <c r="B3538" t="s">
        <v>101</v>
      </c>
      <c r="C3538" s="1">
        <v>44116</v>
      </c>
      <c r="D3538" t="s">
        <v>32135</v>
      </c>
      <c r="E3538" t="s">
        <v>1327</v>
      </c>
      <c r="F3538" t="s">
        <v>8887</v>
      </c>
      <c r="G3538" t="s">
        <v>8888</v>
      </c>
      <c r="H3538" t="s">
        <v>1229</v>
      </c>
      <c r="I3538" t="s">
        <v>19</v>
      </c>
      <c r="J3538" s="3" t="s">
        <v>8889</v>
      </c>
      <c r="K3538" t="s">
        <v>8890</v>
      </c>
      <c r="L3538" t="s">
        <v>32135</v>
      </c>
      <c r="M3538" t="s">
        <v>57</v>
      </c>
    </row>
    <row r="3539" spans="1:13" x14ac:dyDescent="0.25">
      <c r="A3539" t="s">
        <v>29429</v>
      </c>
      <c r="B3539" t="s">
        <v>13</v>
      </c>
      <c r="C3539" t="s">
        <v>29430</v>
      </c>
      <c r="D3539" t="s">
        <v>29431</v>
      </c>
      <c r="E3539" t="s">
        <v>1327</v>
      </c>
      <c r="F3539" t="s">
        <v>1464</v>
      </c>
      <c r="G3539" t="s">
        <v>29432</v>
      </c>
      <c r="H3539" t="s">
        <v>642</v>
      </c>
      <c r="I3539" t="s">
        <v>19</v>
      </c>
      <c r="J3539" s="3" t="s">
        <v>29433</v>
      </c>
      <c r="K3539" t="s">
        <v>29434</v>
      </c>
      <c r="L3539" t="s">
        <v>1823</v>
      </c>
      <c r="M3539" t="s">
        <v>1775</v>
      </c>
    </row>
    <row r="3540" spans="1:13" x14ac:dyDescent="0.25">
      <c r="A3540" t="s">
        <v>7056</v>
      </c>
      <c r="B3540" t="s">
        <v>13</v>
      </c>
      <c r="C3540" t="s">
        <v>7057</v>
      </c>
      <c r="D3540" t="s">
        <v>7058</v>
      </c>
      <c r="E3540" t="s">
        <v>2083</v>
      </c>
      <c r="F3540" t="s">
        <v>1464</v>
      </c>
      <c r="G3540" t="s">
        <v>7059</v>
      </c>
      <c r="H3540" t="s">
        <v>472</v>
      </c>
      <c r="I3540" t="s">
        <v>19</v>
      </c>
      <c r="J3540" s="3" t="s">
        <v>7060</v>
      </c>
      <c r="K3540" t="s">
        <v>7061</v>
      </c>
      <c r="L3540" t="s">
        <v>2101</v>
      </c>
      <c r="M3540" s="4" t="s">
        <v>57</v>
      </c>
    </row>
    <row r="3541" spans="1:13" x14ac:dyDescent="0.25">
      <c r="A3541" t="s">
        <v>15945</v>
      </c>
      <c r="B3541" t="s">
        <v>13</v>
      </c>
      <c r="C3541" t="s">
        <v>12286</v>
      </c>
      <c r="D3541" t="s">
        <v>15946</v>
      </c>
      <c r="E3541" t="s">
        <v>15947</v>
      </c>
      <c r="F3541" t="s">
        <v>57</v>
      </c>
      <c r="G3541" t="s">
        <v>15948</v>
      </c>
      <c r="H3541" t="s">
        <v>409</v>
      </c>
      <c r="I3541" t="s">
        <v>19</v>
      </c>
      <c r="J3541" s="3">
        <v>5548999153801</v>
      </c>
      <c r="K3541" t="s">
        <v>15949</v>
      </c>
      <c r="L3541" t="s">
        <v>1030</v>
      </c>
      <c r="M3541" s="4" t="s">
        <v>57</v>
      </c>
    </row>
    <row r="3542" spans="1:13" x14ac:dyDescent="0.25">
      <c r="A3542" t="s">
        <v>4386</v>
      </c>
      <c r="B3542" t="s">
        <v>13</v>
      </c>
      <c r="C3542" s="1">
        <v>44868</v>
      </c>
      <c r="D3542" t="s">
        <v>4387</v>
      </c>
      <c r="E3542" s="2" t="s">
        <v>30806</v>
      </c>
      <c r="F3542" t="s">
        <v>4388</v>
      </c>
      <c r="G3542" t="s">
        <v>4389</v>
      </c>
      <c r="H3542" t="s">
        <v>4390</v>
      </c>
      <c r="I3542" t="s">
        <v>19</v>
      </c>
      <c r="J3542" s="3" t="s">
        <v>4391</v>
      </c>
      <c r="K3542" t="s">
        <v>4392</v>
      </c>
      <c r="L3542" t="s">
        <v>4393</v>
      </c>
      <c r="M3542" t="s">
        <v>57</v>
      </c>
    </row>
    <row r="3543" spans="1:13" x14ac:dyDescent="0.25">
      <c r="A3543" t="s">
        <v>2966</v>
      </c>
      <c r="B3543" t="s">
        <v>13</v>
      </c>
      <c r="C3543" t="s">
        <v>2952</v>
      </c>
      <c r="D3543" t="s">
        <v>2967</v>
      </c>
      <c r="E3543" s="2" t="s">
        <v>30757</v>
      </c>
      <c r="F3543" t="s">
        <v>2968</v>
      </c>
      <c r="G3543" t="s">
        <v>2205</v>
      </c>
      <c r="H3543" t="s">
        <v>2206</v>
      </c>
      <c r="I3543" t="s">
        <v>19</v>
      </c>
      <c r="J3543" s="3" t="s">
        <v>2969</v>
      </c>
      <c r="K3543" t="s">
        <v>2970</v>
      </c>
      <c r="L3543" t="s">
        <v>1092</v>
      </c>
      <c r="M3543" s="4" t="s">
        <v>57</v>
      </c>
    </row>
    <row r="3544" spans="1:13" x14ac:dyDescent="0.25">
      <c r="A3544" t="s">
        <v>20571</v>
      </c>
      <c r="B3544" t="s">
        <v>13</v>
      </c>
      <c r="C3544" s="1">
        <v>43441</v>
      </c>
      <c r="D3544" t="s">
        <v>20572</v>
      </c>
      <c r="E3544" s="2" t="s">
        <v>31256</v>
      </c>
      <c r="F3544" t="s">
        <v>1464</v>
      </c>
      <c r="G3544" t="s">
        <v>20573</v>
      </c>
      <c r="H3544" t="s">
        <v>428</v>
      </c>
      <c r="I3544" t="s">
        <v>19</v>
      </c>
      <c r="J3544" s="3" t="s">
        <v>20574</v>
      </c>
      <c r="K3544" t="s">
        <v>13927</v>
      </c>
      <c r="L3544" t="s">
        <v>1113</v>
      </c>
      <c r="M3544" t="s">
        <v>57</v>
      </c>
    </row>
    <row r="3545" spans="1:13" x14ac:dyDescent="0.25">
      <c r="A3545" t="s">
        <v>15113</v>
      </c>
      <c r="B3545" t="s">
        <v>13</v>
      </c>
      <c r="C3545" s="1">
        <v>43627</v>
      </c>
      <c r="D3545" t="s">
        <v>15114</v>
      </c>
      <c r="E3545" t="s">
        <v>12807</v>
      </c>
      <c r="F3545" t="s">
        <v>2104</v>
      </c>
      <c r="G3545" t="s">
        <v>15115</v>
      </c>
      <c r="H3545" t="s">
        <v>18</v>
      </c>
      <c r="I3545" t="s">
        <v>19</v>
      </c>
      <c r="J3545" s="3" t="s">
        <v>15116</v>
      </c>
      <c r="K3545" t="s">
        <v>15117</v>
      </c>
      <c r="L3545" t="s">
        <v>4218</v>
      </c>
      <c r="M3545" t="s">
        <v>337</v>
      </c>
    </row>
    <row r="3546" spans="1:13" x14ac:dyDescent="0.25">
      <c r="A3546" t="s">
        <v>21295</v>
      </c>
      <c r="B3546" t="s">
        <v>13</v>
      </c>
      <c r="C3546" t="s">
        <v>21296</v>
      </c>
      <c r="D3546" t="s">
        <v>21297</v>
      </c>
      <c r="E3546" s="2" t="s">
        <v>31426</v>
      </c>
      <c r="F3546" t="s">
        <v>337</v>
      </c>
      <c r="G3546" t="s">
        <v>21298</v>
      </c>
      <c r="H3546" t="s">
        <v>7467</v>
      </c>
      <c r="I3546" t="s">
        <v>19</v>
      </c>
      <c r="J3546" s="3">
        <f>55-81-988321303</f>
        <v>-988321329</v>
      </c>
      <c r="K3546" t="s">
        <v>21299</v>
      </c>
      <c r="L3546" t="s">
        <v>1193</v>
      </c>
      <c r="M3546" t="s">
        <v>337</v>
      </c>
    </row>
    <row r="3547" spans="1:13" x14ac:dyDescent="0.25">
      <c r="A3547" t="s">
        <v>17030</v>
      </c>
      <c r="B3547" t="s">
        <v>13</v>
      </c>
      <c r="C3547" t="s">
        <v>11863</v>
      </c>
      <c r="D3547" t="s">
        <v>17031</v>
      </c>
      <c r="E3547" s="2" t="s">
        <v>31549</v>
      </c>
      <c r="F3547" t="s">
        <v>3577</v>
      </c>
      <c r="G3547" t="s">
        <v>17032</v>
      </c>
      <c r="H3547" t="s">
        <v>1335</v>
      </c>
      <c r="I3547" t="s">
        <v>19</v>
      </c>
      <c r="J3547" s="3">
        <v>554333239455</v>
      </c>
      <c r="K3547" t="s">
        <v>17033</v>
      </c>
      <c r="L3547" t="s">
        <v>17034</v>
      </c>
      <c r="M3547" t="s">
        <v>337</v>
      </c>
    </row>
    <row r="3548" spans="1:13" x14ac:dyDescent="0.25">
      <c r="A3548" t="s">
        <v>27250</v>
      </c>
      <c r="B3548" t="s">
        <v>13</v>
      </c>
      <c r="C3548" s="1">
        <v>42047</v>
      </c>
      <c r="D3548" t="s">
        <v>27251</v>
      </c>
      <c r="E3548" t="s">
        <v>27252</v>
      </c>
      <c r="F3548" t="s">
        <v>1464</v>
      </c>
      <c r="G3548" t="s">
        <v>26896</v>
      </c>
      <c r="H3548" t="s">
        <v>428</v>
      </c>
      <c r="I3548" t="s">
        <v>19</v>
      </c>
      <c r="J3548" s="3" t="s">
        <v>26897</v>
      </c>
      <c r="K3548" t="s">
        <v>26898</v>
      </c>
      <c r="L3548" t="s">
        <v>3299</v>
      </c>
      <c r="M3548" t="s">
        <v>337</v>
      </c>
    </row>
    <row r="3549" spans="1:13" x14ac:dyDescent="0.25">
      <c r="A3549" t="s">
        <v>6739</v>
      </c>
      <c r="B3549" t="s">
        <v>101</v>
      </c>
      <c r="C3549" s="1">
        <v>44477</v>
      </c>
      <c r="D3549" t="s">
        <v>32135</v>
      </c>
      <c r="E3549" t="s">
        <v>6740</v>
      </c>
      <c r="F3549" t="s">
        <v>6741</v>
      </c>
      <c r="G3549" t="s">
        <v>6742</v>
      </c>
      <c r="H3549" t="s">
        <v>352</v>
      </c>
      <c r="I3549" t="s">
        <v>19</v>
      </c>
      <c r="J3549" s="3" t="s">
        <v>6743</v>
      </c>
      <c r="K3549" t="s">
        <v>6744</v>
      </c>
      <c r="L3549" t="s">
        <v>32135</v>
      </c>
      <c r="M3549" t="s">
        <v>6656</v>
      </c>
    </row>
    <row r="3550" spans="1:13" x14ac:dyDescent="0.25">
      <c r="A3550" t="s">
        <v>2509</v>
      </c>
      <c r="B3550" t="s">
        <v>13</v>
      </c>
      <c r="C3550" t="s">
        <v>2502</v>
      </c>
      <c r="D3550" t="s">
        <v>2510</v>
      </c>
      <c r="E3550" s="2" t="s">
        <v>30740</v>
      </c>
      <c r="F3550" t="s">
        <v>2511</v>
      </c>
      <c r="G3550" t="s">
        <v>2512</v>
      </c>
      <c r="H3550" t="s">
        <v>2513</v>
      </c>
      <c r="I3550" t="s">
        <v>19</v>
      </c>
      <c r="J3550" s="3">
        <f>55-86-999833768</f>
        <v>-999833799</v>
      </c>
      <c r="K3550" t="s">
        <v>2514</v>
      </c>
      <c r="L3550" t="s">
        <v>74</v>
      </c>
      <c r="M3550" t="s">
        <v>32121</v>
      </c>
    </row>
    <row r="3551" spans="1:13" x14ac:dyDescent="0.25">
      <c r="A3551" t="s">
        <v>22564</v>
      </c>
      <c r="B3551" t="s">
        <v>13</v>
      </c>
      <c r="C3551" t="s">
        <v>22557</v>
      </c>
      <c r="D3551" t="s">
        <v>22565</v>
      </c>
      <c r="E3551" s="2" t="s">
        <v>31512</v>
      </c>
      <c r="F3551" t="s">
        <v>3084</v>
      </c>
      <c r="G3551" t="s">
        <v>22566</v>
      </c>
      <c r="H3551" t="s">
        <v>255</v>
      </c>
      <c r="I3551" t="s">
        <v>19</v>
      </c>
      <c r="J3551" s="3" t="s">
        <v>22567</v>
      </c>
      <c r="K3551" t="s">
        <v>22568</v>
      </c>
      <c r="L3551" t="s">
        <v>2467</v>
      </c>
      <c r="M3551" t="s">
        <v>32144</v>
      </c>
    </row>
    <row r="3552" spans="1:13" x14ac:dyDescent="0.25">
      <c r="A3552" t="s">
        <v>8909</v>
      </c>
      <c r="B3552" t="s">
        <v>13</v>
      </c>
      <c r="C3552" t="s">
        <v>6579</v>
      </c>
      <c r="D3552" t="s">
        <v>8910</v>
      </c>
      <c r="E3552" s="2" t="s">
        <v>31992</v>
      </c>
      <c r="F3552" t="s">
        <v>1464</v>
      </c>
      <c r="G3552" t="s">
        <v>8912</v>
      </c>
      <c r="H3552" t="s">
        <v>489</v>
      </c>
      <c r="I3552" t="s">
        <v>19</v>
      </c>
      <c r="J3552" s="3">
        <f>55-41-999198313</f>
        <v>-999198299</v>
      </c>
      <c r="K3552" t="s">
        <v>8913</v>
      </c>
      <c r="L3552" t="s">
        <v>3207</v>
      </c>
      <c r="M3552" t="s">
        <v>32121</v>
      </c>
    </row>
    <row r="3553" spans="1:13" x14ac:dyDescent="0.25">
      <c r="A3553" t="s">
        <v>15984</v>
      </c>
      <c r="B3553" t="s">
        <v>13</v>
      </c>
      <c r="C3553" t="s">
        <v>15974</v>
      </c>
      <c r="D3553" t="s">
        <v>15985</v>
      </c>
      <c r="E3553" t="s">
        <v>15986</v>
      </c>
      <c r="F3553" t="s">
        <v>1464</v>
      </c>
      <c r="G3553" t="s">
        <v>15987</v>
      </c>
      <c r="H3553" t="s">
        <v>45</v>
      </c>
      <c r="I3553" t="s">
        <v>19</v>
      </c>
      <c r="J3553" s="3">
        <f>55-85-99714-8848</f>
        <v>-108592</v>
      </c>
      <c r="K3553" t="s">
        <v>15988</v>
      </c>
      <c r="L3553" t="s">
        <v>48</v>
      </c>
      <c r="M3553" t="s">
        <v>32121</v>
      </c>
    </row>
    <row r="3554" spans="1:13" x14ac:dyDescent="0.25">
      <c r="A3554" t="s">
        <v>24729</v>
      </c>
      <c r="B3554" t="s">
        <v>13</v>
      </c>
      <c r="C3554" s="1">
        <v>43070</v>
      </c>
      <c r="D3554" t="s">
        <v>24730</v>
      </c>
      <c r="E3554" s="2" t="s">
        <v>31339</v>
      </c>
      <c r="F3554" t="s">
        <v>1464</v>
      </c>
      <c r="G3554" t="s">
        <v>24731</v>
      </c>
      <c r="H3554" t="s">
        <v>798</v>
      </c>
      <c r="I3554" t="s">
        <v>19</v>
      </c>
      <c r="J3554" s="3">
        <v>5561982343944</v>
      </c>
      <c r="K3554" t="s">
        <v>24732</v>
      </c>
      <c r="L3554" t="s">
        <v>1767</v>
      </c>
      <c r="M3554" t="s">
        <v>6656</v>
      </c>
    </row>
    <row r="3555" spans="1:13" x14ac:dyDescent="0.25">
      <c r="A3555" t="s">
        <v>4112</v>
      </c>
      <c r="B3555" t="s">
        <v>101</v>
      </c>
      <c r="C3555" t="s">
        <v>3836</v>
      </c>
      <c r="D3555" t="s">
        <v>4113</v>
      </c>
      <c r="E3555" t="s">
        <v>4114</v>
      </c>
      <c r="F3555" t="s">
        <v>4115</v>
      </c>
      <c r="G3555" t="s">
        <v>4116</v>
      </c>
      <c r="H3555" t="s">
        <v>489</v>
      </c>
      <c r="I3555" t="s">
        <v>19</v>
      </c>
      <c r="J3555" s="3">
        <f>55-41-995617410</f>
        <v>-995617396</v>
      </c>
      <c r="K3555" t="s">
        <v>4117</v>
      </c>
      <c r="L3555" t="s">
        <v>625</v>
      </c>
      <c r="M3555" t="s">
        <v>771</v>
      </c>
    </row>
    <row r="3556" spans="1:13" x14ac:dyDescent="0.25">
      <c r="A3556" t="s">
        <v>11985</v>
      </c>
      <c r="B3556" t="s">
        <v>13</v>
      </c>
      <c r="C3556" s="1">
        <v>43987</v>
      </c>
      <c r="D3556" t="s">
        <v>11986</v>
      </c>
      <c r="E3556" s="2" t="s">
        <v>31030</v>
      </c>
      <c r="F3556" t="s">
        <v>1464</v>
      </c>
      <c r="G3556" t="s">
        <v>11987</v>
      </c>
      <c r="H3556" t="s">
        <v>503</v>
      </c>
      <c r="I3556" t="s">
        <v>19</v>
      </c>
      <c r="J3556" s="3">
        <v>5548996647756</v>
      </c>
      <c r="K3556" t="s">
        <v>11988</v>
      </c>
      <c r="L3556" t="s">
        <v>412</v>
      </c>
      <c r="M3556" t="s">
        <v>6656</v>
      </c>
    </row>
    <row r="3557" spans="1:13" x14ac:dyDescent="0.25">
      <c r="A3557" t="s">
        <v>13627</v>
      </c>
      <c r="B3557" t="s">
        <v>13</v>
      </c>
      <c r="C3557" s="1">
        <v>44137</v>
      </c>
      <c r="D3557" t="s">
        <v>13628</v>
      </c>
      <c r="E3557" t="s">
        <v>13629</v>
      </c>
      <c r="F3557" t="s">
        <v>1349</v>
      </c>
      <c r="G3557" t="s">
        <v>13630</v>
      </c>
      <c r="H3557" t="s">
        <v>472</v>
      </c>
      <c r="I3557" t="s">
        <v>19</v>
      </c>
      <c r="J3557" s="3">
        <f>55-81-999775529</f>
        <v>-999775555</v>
      </c>
      <c r="K3557" t="s">
        <v>13631</v>
      </c>
      <c r="L3557" t="s">
        <v>1193</v>
      </c>
      <c r="M3557" t="s">
        <v>1349</v>
      </c>
    </row>
    <row r="3558" spans="1:13" x14ac:dyDescent="0.25">
      <c r="A3558" t="s">
        <v>15563</v>
      </c>
      <c r="B3558" t="s">
        <v>13</v>
      </c>
      <c r="C3558" s="1">
        <v>43748</v>
      </c>
      <c r="D3558" t="s">
        <v>15564</v>
      </c>
      <c r="E3558" s="2" t="s">
        <v>31132</v>
      </c>
      <c r="F3558" t="s">
        <v>6686</v>
      </c>
      <c r="G3558" t="s">
        <v>15565</v>
      </c>
      <c r="H3558" t="s">
        <v>36</v>
      </c>
      <c r="I3558" t="s">
        <v>19</v>
      </c>
      <c r="J3558" s="3">
        <f>55-11-993529486</f>
        <v>-993529442</v>
      </c>
      <c r="K3558" t="s">
        <v>15566</v>
      </c>
      <c r="L3558" t="s">
        <v>15567</v>
      </c>
      <c r="M3558" t="s">
        <v>1349</v>
      </c>
    </row>
    <row r="3559" spans="1:13" x14ac:dyDescent="0.25">
      <c r="A3559" t="s">
        <v>3567</v>
      </c>
      <c r="B3559" t="s">
        <v>13</v>
      </c>
      <c r="C3559" t="s">
        <v>3568</v>
      </c>
      <c r="D3559" t="s">
        <v>3569</v>
      </c>
      <c r="E3559" t="s">
        <v>3570</v>
      </c>
      <c r="F3559" t="s">
        <v>3571</v>
      </c>
      <c r="G3559" t="s">
        <v>3572</v>
      </c>
      <c r="H3559" t="s">
        <v>489</v>
      </c>
      <c r="I3559" t="s">
        <v>19</v>
      </c>
      <c r="J3559" s="3">
        <f>55413361-3756</f>
        <v>55409605</v>
      </c>
      <c r="K3559" t="s">
        <v>3573</v>
      </c>
      <c r="L3559" t="s">
        <v>625</v>
      </c>
      <c r="M3559" t="s">
        <v>1349</v>
      </c>
    </row>
    <row r="3560" spans="1:13" x14ac:dyDescent="0.25">
      <c r="A3560" t="s">
        <v>26491</v>
      </c>
      <c r="B3560" t="s">
        <v>13</v>
      </c>
      <c r="C3560" t="s">
        <v>13644</v>
      </c>
      <c r="D3560" t="s">
        <v>26492</v>
      </c>
      <c r="E3560" t="s">
        <v>26493</v>
      </c>
      <c r="F3560" t="s">
        <v>1349</v>
      </c>
      <c r="G3560" t="s">
        <v>26494</v>
      </c>
      <c r="H3560" t="s">
        <v>21579</v>
      </c>
      <c r="I3560" t="s">
        <v>19</v>
      </c>
      <c r="J3560" s="3" t="s">
        <v>26495</v>
      </c>
      <c r="K3560" t="s">
        <v>26496</v>
      </c>
      <c r="L3560" t="s">
        <v>10607</v>
      </c>
      <c r="M3560" t="s">
        <v>1349</v>
      </c>
    </row>
    <row r="3561" spans="1:13" x14ac:dyDescent="0.25">
      <c r="A3561" t="s">
        <v>29056</v>
      </c>
      <c r="B3561" t="s">
        <v>13</v>
      </c>
      <c r="C3561" s="1">
        <v>41918</v>
      </c>
      <c r="D3561" t="s">
        <v>29057</v>
      </c>
      <c r="E3561" t="s">
        <v>29058</v>
      </c>
      <c r="F3561" t="s">
        <v>1349</v>
      </c>
      <c r="G3561" t="s">
        <v>29059</v>
      </c>
      <c r="H3561" t="s">
        <v>29060</v>
      </c>
      <c r="I3561" t="s">
        <v>19</v>
      </c>
      <c r="J3561" s="3" t="s">
        <v>29061</v>
      </c>
      <c r="K3561" t="s">
        <v>29062</v>
      </c>
      <c r="L3561" t="s">
        <v>4675</v>
      </c>
      <c r="M3561" t="s">
        <v>1349</v>
      </c>
    </row>
    <row r="3562" spans="1:13" x14ac:dyDescent="0.25">
      <c r="A3562" t="s">
        <v>6226</v>
      </c>
      <c r="B3562" t="s">
        <v>13</v>
      </c>
      <c r="C3562" t="s">
        <v>6210</v>
      </c>
      <c r="D3562" t="s">
        <v>6227</v>
      </c>
      <c r="E3562" t="s">
        <v>1349</v>
      </c>
      <c r="F3562" t="s">
        <v>43</v>
      </c>
      <c r="G3562" t="s">
        <v>6228</v>
      </c>
      <c r="H3562" t="s">
        <v>4552</v>
      </c>
      <c r="I3562" t="s">
        <v>19</v>
      </c>
      <c r="J3562" s="3" t="s">
        <v>6229</v>
      </c>
      <c r="K3562" t="s">
        <v>6230</v>
      </c>
      <c r="L3562" t="s">
        <v>32135</v>
      </c>
      <c r="M3562" t="s">
        <v>1349</v>
      </c>
    </row>
    <row r="3563" spans="1:13" x14ac:dyDescent="0.25">
      <c r="A3563" t="s">
        <v>9583</v>
      </c>
      <c r="B3563" t="s">
        <v>13</v>
      </c>
      <c r="C3563" t="s">
        <v>5619</v>
      </c>
      <c r="D3563" t="s">
        <v>9584</v>
      </c>
      <c r="E3563" t="s">
        <v>1349</v>
      </c>
      <c r="F3563" t="s">
        <v>1349</v>
      </c>
      <c r="G3563" t="s">
        <v>9585</v>
      </c>
      <c r="H3563" t="s">
        <v>2440</v>
      </c>
      <c r="I3563" t="s">
        <v>19</v>
      </c>
      <c r="J3563" s="3">
        <f>55-62-996748632</f>
        <v>-996748639</v>
      </c>
      <c r="K3563" t="s">
        <v>9586</v>
      </c>
      <c r="L3563" t="s">
        <v>9587</v>
      </c>
      <c r="M3563" t="s">
        <v>1349</v>
      </c>
    </row>
    <row r="3564" spans="1:13" x14ac:dyDescent="0.25">
      <c r="A3564" t="s">
        <v>13939</v>
      </c>
      <c r="B3564" t="s">
        <v>13</v>
      </c>
      <c r="C3564" t="s">
        <v>12548</v>
      </c>
      <c r="D3564" t="s">
        <v>13940</v>
      </c>
      <c r="E3564" t="s">
        <v>4550</v>
      </c>
      <c r="F3564" t="s">
        <v>1464</v>
      </c>
      <c r="G3564" t="s">
        <v>13941</v>
      </c>
      <c r="H3564" t="s">
        <v>893</v>
      </c>
      <c r="I3564" t="s">
        <v>19</v>
      </c>
      <c r="J3564" s="3" t="s">
        <v>13942</v>
      </c>
      <c r="K3564" t="s">
        <v>13943</v>
      </c>
      <c r="L3564" t="s">
        <v>1727</v>
      </c>
      <c r="M3564" t="s">
        <v>1349</v>
      </c>
    </row>
    <row r="3565" spans="1:13" x14ac:dyDescent="0.25">
      <c r="A3565" t="s">
        <v>4549</v>
      </c>
      <c r="B3565" t="s">
        <v>13</v>
      </c>
      <c r="C3565" t="s">
        <v>4535</v>
      </c>
      <c r="D3565" t="s">
        <v>32135</v>
      </c>
      <c r="E3565" t="s">
        <v>4550</v>
      </c>
      <c r="F3565" t="s">
        <v>3414</v>
      </c>
      <c r="G3565" t="s">
        <v>4551</v>
      </c>
      <c r="H3565" t="s">
        <v>4552</v>
      </c>
      <c r="I3565" t="s">
        <v>19</v>
      </c>
      <c r="J3565" s="3" t="s">
        <v>4553</v>
      </c>
      <c r="K3565" t="s">
        <v>4554</v>
      </c>
      <c r="L3565" t="s">
        <v>1578</v>
      </c>
      <c r="M3565" t="s">
        <v>1349</v>
      </c>
    </row>
    <row r="3566" spans="1:13" x14ac:dyDescent="0.25">
      <c r="A3566" t="s">
        <v>25581</v>
      </c>
      <c r="B3566" t="s">
        <v>13</v>
      </c>
      <c r="C3566" s="1">
        <v>42530</v>
      </c>
      <c r="D3566" t="s">
        <v>25582</v>
      </c>
      <c r="E3566" t="s">
        <v>25583</v>
      </c>
      <c r="F3566" t="s">
        <v>1349</v>
      </c>
      <c r="G3566" t="s">
        <v>25584</v>
      </c>
      <c r="H3566" t="s">
        <v>352</v>
      </c>
      <c r="I3566" t="s">
        <v>19</v>
      </c>
      <c r="J3566" s="3" t="s">
        <v>25282</v>
      </c>
      <c r="K3566" t="s">
        <v>25283</v>
      </c>
      <c r="L3566" t="s">
        <v>25284</v>
      </c>
      <c r="M3566" t="s">
        <v>1349</v>
      </c>
    </row>
    <row r="3567" spans="1:13" x14ac:dyDescent="0.25">
      <c r="A3567" t="s">
        <v>6090</v>
      </c>
      <c r="B3567" t="s">
        <v>13</v>
      </c>
      <c r="C3567" s="1">
        <v>44387</v>
      </c>
      <c r="D3567" t="s">
        <v>32135</v>
      </c>
      <c r="E3567" s="2" t="s">
        <v>7679</v>
      </c>
      <c r="F3567" t="s">
        <v>1349</v>
      </c>
      <c r="G3567" t="s">
        <v>1727</v>
      </c>
      <c r="H3567" t="s">
        <v>6091</v>
      </c>
      <c r="I3567" t="s">
        <v>19</v>
      </c>
      <c r="J3567" s="3" t="s">
        <v>6092</v>
      </c>
      <c r="K3567" t="s">
        <v>6093</v>
      </c>
      <c r="L3567" t="s">
        <v>32135</v>
      </c>
      <c r="M3567" t="s">
        <v>1349</v>
      </c>
    </row>
    <row r="3568" spans="1:13" x14ac:dyDescent="0.25">
      <c r="A3568" t="s">
        <v>7676</v>
      </c>
      <c r="B3568" t="s">
        <v>13</v>
      </c>
      <c r="C3568" t="s">
        <v>7677</v>
      </c>
      <c r="D3568" t="s">
        <v>7678</v>
      </c>
      <c r="E3568" t="s">
        <v>7679</v>
      </c>
      <c r="F3568" t="s">
        <v>1349</v>
      </c>
      <c r="G3568" t="s">
        <v>7680</v>
      </c>
      <c r="H3568" t="s">
        <v>7681</v>
      </c>
      <c r="I3568" t="s">
        <v>19</v>
      </c>
      <c r="J3568" s="3">
        <f>55-17-992225755</f>
        <v>-992225717</v>
      </c>
      <c r="K3568" t="s">
        <v>7682</v>
      </c>
      <c r="L3568" t="s">
        <v>7683</v>
      </c>
      <c r="M3568" t="s">
        <v>1349</v>
      </c>
    </row>
    <row r="3569" spans="1:13" x14ac:dyDescent="0.25">
      <c r="A3569" t="s">
        <v>15428</v>
      </c>
      <c r="B3569" t="s">
        <v>13</v>
      </c>
      <c r="C3569" t="s">
        <v>10689</v>
      </c>
      <c r="D3569" t="s">
        <v>15429</v>
      </c>
      <c r="E3569" s="2" t="s">
        <v>31128</v>
      </c>
      <c r="F3569" t="s">
        <v>6072</v>
      </c>
      <c r="G3569" t="s">
        <v>15430</v>
      </c>
      <c r="H3569" t="s">
        <v>299</v>
      </c>
      <c r="I3569" t="s">
        <v>19</v>
      </c>
      <c r="J3569" s="3" t="s">
        <v>15431</v>
      </c>
      <c r="K3569" t="s">
        <v>15432</v>
      </c>
      <c r="L3569" t="s">
        <v>15433</v>
      </c>
      <c r="M3569" t="s">
        <v>1349</v>
      </c>
    </row>
    <row r="3570" spans="1:13" x14ac:dyDescent="0.25">
      <c r="A3570" t="s">
        <v>5473</v>
      </c>
      <c r="B3570" t="s">
        <v>13</v>
      </c>
      <c r="C3570" s="1">
        <v>44359</v>
      </c>
      <c r="D3570" t="s">
        <v>32135</v>
      </c>
      <c r="E3570" s="2" t="s">
        <v>32074</v>
      </c>
      <c r="F3570" t="s">
        <v>1349</v>
      </c>
      <c r="G3570" t="s">
        <v>5475</v>
      </c>
      <c r="H3570" t="s">
        <v>1215</v>
      </c>
      <c r="I3570" t="s">
        <v>19</v>
      </c>
      <c r="J3570" s="3" t="s">
        <v>5476</v>
      </c>
      <c r="K3570" t="s">
        <v>5477</v>
      </c>
      <c r="L3570" t="s">
        <v>32135</v>
      </c>
      <c r="M3570" t="s">
        <v>1349</v>
      </c>
    </row>
    <row r="3571" spans="1:13" x14ac:dyDescent="0.25">
      <c r="A3571" t="s">
        <v>5109</v>
      </c>
      <c r="B3571" t="s">
        <v>13</v>
      </c>
      <c r="C3571" s="1">
        <v>44866</v>
      </c>
      <c r="D3571" t="s">
        <v>5110</v>
      </c>
      <c r="E3571" s="2" t="s">
        <v>32067</v>
      </c>
      <c r="F3571" t="s">
        <v>1349</v>
      </c>
      <c r="G3571" t="s">
        <v>5112</v>
      </c>
      <c r="H3571" t="s">
        <v>409</v>
      </c>
      <c r="I3571" t="s">
        <v>19</v>
      </c>
      <c r="J3571" s="3">
        <f>55- 48-999377578</f>
        <v>-999377571</v>
      </c>
      <c r="K3571" t="s">
        <v>5113</v>
      </c>
      <c r="L3571" t="s">
        <v>32135</v>
      </c>
      <c r="M3571" t="s">
        <v>1349</v>
      </c>
    </row>
    <row r="3572" spans="1:13" x14ac:dyDescent="0.25">
      <c r="A3572" t="s">
        <v>2468</v>
      </c>
      <c r="B3572" t="s">
        <v>13</v>
      </c>
      <c r="C3572" t="s">
        <v>2469</v>
      </c>
      <c r="D3572" t="s">
        <v>2470</v>
      </c>
      <c r="E3572" s="2" t="s">
        <v>31732</v>
      </c>
      <c r="F3572" t="s">
        <v>2471</v>
      </c>
      <c r="G3572" t="s">
        <v>2472</v>
      </c>
      <c r="H3572" t="s">
        <v>36</v>
      </c>
      <c r="I3572" t="s">
        <v>19</v>
      </c>
      <c r="J3572" s="3" t="s">
        <v>2473</v>
      </c>
      <c r="K3572" t="s">
        <v>2474</v>
      </c>
      <c r="L3572" t="s">
        <v>2475</v>
      </c>
      <c r="M3572" t="s">
        <v>1349</v>
      </c>
    </row>
    <row r="3573" spans="1:13" x14ac:dyDescent="0.25">
      <c r="A3573" t="s">
        <v>18323</v>
      </c>
      <c r="B3573" t="s">
        <v>13</v>
      </c>
      <c r="C3573" t="s">
        <v>18324</v>
      </c>
      <c r="D3573" t="s">
        <v>18325</v>
      </c>
      <c r="E3573" t="s">
        <v>18326</v>
      </c>
      <c r="F3573" t="s">
        <v>1349</v>
      </c>
      <c r="G3573" t="s">
        <v>18327</v>
      </c>
      <c r="H3573" t="s">
        <v>1215</v>
      </c>
      <c r="I3573" t="s">
        <v>19</v>
      </c>
      <c r="J3573" s="3">
        <f>55-18-32295711</f>
        <v>-32295674</v>
      </c>
      <c r="K3573" t="s">
        <v>18328</v>
      </c>
      <c r="L3573" t="s">
        <v>4094</v>
      </c>
      <c r="M3573" t="s">
        <v>1349</v>
      </c>
    </row>
    <row r="3574" spans="1:13" x14ac:dyDescent="0.25">
      <c r="A3574" t="s">
        <v>8519</v>
      </c>
      <c r="B3574" t="s">
        <v>13</v>
      </c>
      <c r="C3574" t="s">
        <v>8520</v>
      </c>
      <c r="D3574" t="s">
        <v>8521</v>
      </c>
      <c r="E3574" s="2" t="s">
        <v>32479</v>
      </c>
      <c r="F3574" t="s">
        <v>1349</v>
      </c>
      <c r="G3574" t="s">
        <v>8523</v>
      </c>
      <c r="H3574" t="s">
        <v>88</v>
      </c>
      <c r="I3574" t="s">
        <v>19</v>
      </c>
      <c r="J3574" s="3">
        <f>55-84-33422230</f>
        <v>-33422259</v>
      </c>
      <c r="K3574" t="s">
        <v>8524</v>
      </c>
      <c r="L3574" t="s">
        <v>32135</v>
      </c>
      <c r="M3574" t="s">
        <v>1349</v>
      </c>
    </row>
    <row r="3575" spans="1:13" x14ac:dyDescent="0.25">
      <c r="A3575" t="s">
        <v>22569</v>
      </c>
      <c r="B3575" t="s">
        <v>13</v>
      </c>
      <c r="C3575" t="s">
        <v>9618</v>
      </c>
      <c r="D3575" t="s">
        <v>22570</v>
      </c>
      <c r="E3575" s="2" t="s">
        <v>31368</v>
      </c>
      <c r="F3575" t="s">
        <v>1349</v>
      </c>
      <c r="G3575" t="s">
        <v>22571</v>
      </c>
      <c r="H3575" t="s">
        <v>1466</v>
      </c>
      <c r="I3575" t="s">
        <v>19</v>
      </c>
      <c r="J3575" s="3" t="s">
        <v>7697</v>
      </c>
      <c r="K3575" t="s">
        <v>9075</v>
      </c>
      <c r="L3575" t="s">
        <v>1469</v>
      </c>
      <c r="M3575" t="s">
        <v>1349</v>
      </c>
    </row>
    <row r="3576" spans="1:13" x14ac:dyDescent="0.25">
      <c r="A3576" t="s">
        <v>23434</v>
      </c>
      <c r="B3576" t="s">
        <v>13</v>
      </c>
      <c r="C3576" t="s">
        <v>23431</v>
      </c>
      <c r="D3576" t="s">
        <v>23435</v>
      </c>
      <c r="E3576" t="s">
        <v>23436</v>
      </c>
      <c r="F3576" t="s">
        <v>6072</v>
      </c>
      <c r="G3576" t="s">
        <v>23437</v>
      </c>
      <c r="H3576" t="s">
        <v>45</v>
      </c>
      <c r="I3576" t="s">
        <v>19</v>
      </c>
      <c r="J3576" s="3" t="s">
        <v>23438</v>
      </c>
      <c r="K3576" t="s">
        <v>23439</v>
      </c>
      <c r="L3576" t="s">
        <v>22015</v>
      </c>
      <c r="M3576" t="s">
        <v>1349</v>
      </c>
    </row>
    <row r="3577" spans="1:13" x14ac:dyDescent="0.25">
      <c r="A3577" t="s">
        <v>24873</v>
      </c>
      <c r="B3577" t="s">
        <v>13</v>
      </c>
      <c r="C3577" s="1">
        <v>42495</v>
      </c>
      <c r="D3577" t="s">
        <v>24874</v>
      </c>
      <c r="E3577" t="s">
        <v>24875</v>
      </c>
      <c r="F3577" t="s">
        <v>1349</v>
      </c>
      <c r="G3577" t="s">
        <v>24876</v>
      </c>
      <c r="H3577" t="s">
        <v>1466</v>
      </c>
      <c r="I3577" t="s">
        <v>19</v>
      </c>
      <c r="J3577" s="3">
        <v>5535988119483</v>
      </c>
      <c r="K3577" t="s">
        <v>24877</v>
      </c>
      <c r="L3577" t="s">
        <v>1469</v>
      </c>
      <c r="M3577" t="s">
        <v>1349</v>
      </c>
    </row>
    <row r="3578" spans="1:13" x14ac:dyDescent="0.25">
      <c r="A3578" t="s">
        <v>25895</v>
      </c>
      <c r="B3578" t="s">
        <v>13</v>
      </c>
      <c r="C3578" t="s">
        <v>25896</v>
      </c>
      <c r="D3578" t="s">
        <v>25897</v>
      </c>
      <c r="E3578" t="s">
        <v>25898</v>
      </c>
      <c r="F3578" t="s">
        <v>1349</v>
      </c>
      <c r="G3578" t="s">
        <v>25899</v>
      </c>
      <c r="H3578" t="s">
        <v>265</v>
      </c>
      <c r="I3578" t="s">
        <v>19</v>
      </c>
      <c r="J3578" s="3">
        <v>5516999614274</v>
      </c>
      <c r="K3578" t="s">
        <v>25900</v>
      </c>
      <c r="L3578" t="s">
        <v>6584</v>
      </c>
      <c r="M3578" t="s">
        <v>1349</v>
      </c>
    </row>
    <row r="3579" spans="1:13" x14ac:dyDescent="0.25">
      <c r="A3579" t="s">
        <v>27584</v>
      </c>
      <c r="B3579" t="s">
        <v>13</v>
      </c>
      <c r="C3579" t="s">
        <v>27572</v>
      </c>
      <c r="D3579" t="s">
        <v>27585</v>
      </c>
      <c r="E3579" t="s">
        <v>27586</v>
      </c>
      <c r="F3579" t="s">
        <v>129</v>
      </c>
      <c r="G3579" t="s">
        <v>27587</v>
      </c>
      <c r="H3579" t="s">
        <v>265</v>
      </c>
      <c r="I3579" t="s">
        <v>19</v>
      </c>
      <c r="J3579" s="3" t="s">
        <v>27588</v>
      </c>
      <c r="K3579" t="s">
        <v>27589</v>
      </c>
      <c r="L3579" t="s">
        <v>9922</v>
      </c>
      <c r="M3579" t="s">
        <v>129</v>
      </c>
    </row>
    <row r="3580" spans="1:13" x14ac:dyDescent="0.25">
      <c r="A3580" t="s">
        <v>13874</v>
      </c>
      <c r="B3580" t="s">
        <v>13</v>
      </c>
      <c r="C3580" t="s">
        <v>7230</v>
      </c>
      <c r="D3580" t="s">
        <v>13875</v>
      </c>
      <c r="E3580" t="s">
        <v>13876</v>
      </c>
      <c r="F3580" t="s">
        <v>129</v>
      </c>
      <c r="G3580" t="s">
        <v>13877</v>
      </c>
      <c r="H3580" t="s">
        <v>36</v>
      </c>
      <c r="I3580" t="s">
        <v>19</v>
      </c>
      <c r="J3580" s="3">
        <f>55-11-31706100</f>
        <v>-31706056</v>
      </c>
      <c r="K3580" t="s">
        <v>13878</v>
      </c>
      <c r="L3580" t="s">
        <v>13879</v>
      </c>
      <c r="M3580" t="s">
        <v>129</v>
      </c>
    </row>
    <row r="3581" spans="1:13" x14ac:dyDescent="0.25">
      <c r="A3581" t="s">
        <v>20398</v>
      </c>
      <c r="B3581" t="s">
        <v>13</v>
      </c>
      <c r="C3581" t="s">
        <v>8242</v>
      </c>
      <c r="D3581" t="s">
        <v>20399</v>
      </c>
      <c r="E3581" t="s">
        <v>20400</v>
      </c>
      <c r="F3581" t="s">
        <v>129</v>
      </c>
      <c r="G3581" t="s">
        <v>20401</v>
      </c>
      <c r="H3581" t="s">
        <v>36</v>
      </c>
      <c r="I3581" t="s">
        <v>19</v>
      </c>
      <c r="J3581" s="3">
        <v>5511995923272</v>
      </c>
      <c r="K3581" t="s">
        <v>20402</v>
      </c>
      <c r="L3581" t="s">
        <v>3083</v>
      </c>
      <c r="M3581" t="s">
        <v>129</v>
      </c>
    </row>
    <row r="3582" spans="1:13" x14ac:dyDescent="0.25">
      <c r="A3582" t="s">
        <v>7413</v>
      </c>
      <c r="B3582" t="s">
        <v>13</v>
      </c>
      <c r="C3582" t="s">
        <v>7041</v>
      </c>
      <c r="D3582" t="s">
        <v>7414</v>
      </c>
      <c r="E3582" t="s">
        <v>7415</v>
      </c>
      <c r="F3582" t="s">
        <v>129</v>
      </c>
      <c r="G3582" t="s">
        <v>7416</v>
      </c>
      <c r="H3582" t="s">
        <v>36</v>
      </c>
      <c r="I3582" t="s">
        <v>19</v>
      </c>
      <c r="J3582" s="3" t="s">
        <v>7417</v>
      </c>
      <c r="K3582" t="s">
        <v>7418</v>
      </c>
      <c r="L3582" t="s">
        <v>7419</v>
      </c>
      <c r="M3582" t="s">
        <v>129</v>
      </c>
    </row>
    <row r="3583" spans="1:13" x14ac:dyDescent="0.25">
      <c r="A3583" t="s">
        <v>20459</v>
      </c>
      <c r="B3583" t="s">
        <v>13</v>
      </c>
      <c r="C3583" t="s">
        <v>20432</v>
      </c>
      <c r="D3583" t="s">
        <v>20460</v>
      </c>
      <c r="E3583" t="s">
        <v>20461</v>
      </c>
      <c r="F3583" t="s">
        <v>129</v>
      </c>
      <c r="G3583" t="s">
        <v>20462</v>
      </c>
      <c r="H3583" t="s">
        <v>150</v>
      </c>
      <c r="I3583" t="s">
        <v>19</v>
      </c>
      <c r="J3583" s="3" t="s">
        <v>20463</v>
      </c>
      <c r="K3583" t="s">
        <v>20464</v>
      </c>
      <c r="L3583" t="s">
        <v>13879</v>
      </c>
      <c r="M3583" t="s">
        <v>129</v>
      </c>
    </row>
    <row r="3584" spans="1:13" x14ac:dyDescent="0.25">
      <c r="A3584" t="s">
        <v>21467</v>
      </c>
      <c r="B3584" t="s">
        <v>13</v>
      </c>
      <c r="C3584" t="s">
        <v>9807</v>
      </c>
      <c r="D3584" t="s">
        <v>21468</v>
      </c>
      <c r="E3584" s="2" t="s">
        <v>31764</v>
      </c>
      <c r="F3584" t="s">
        <v>306</v>
      </c>
      <c r="G3584" t="s">
        <v>21469</v>
      </c>
      <c r="H3584" t="s">
        <v>21441</v>
      </c>
      <c r="I3584" t="s">
        <v>19</v>
      </c>
      <c r="J3584" s="3">
        <v>5504836212442</v>
      </c>
      <c r="K3584" t="s">
        <v>21470</v>
      </c>
      <c r="L3584" t="s">
        <v>1030</v>
      </c>
      <c r="M3584" t="s">
        <v>32145</v>
      </c>
    </row>
    <row r="3585" spans="1:13" x14ac:dyDescent="0.25">
      <c r="A3585" t="s">
        <v>24700</v>
      </c>
      <c r="B3585" t="s">
        <v>13</v>
      </c>
      <c r="C3585" t="s">
        <v>24679</v>
      </c>
      <c r="D3585" t="s">
        <v>24701</v>
      </c>
      <c r="E3585" t="s">
        <v>24702</v>
      </c>
      <c r="F3585" t="s">
        <v>129</v>
      </c>
      <c r="G3585" t="s">
        <v>24703</v>
      </c>
      <c r="H3585" t="s">
        <v>2440</v>
      </c>
      <c r="I3585" t="s">
        <v>19</v>
      </c>
      <c r="J3585" s="3" t="s">
        <v>24704</v>
      </c>
      <c r="K3585" t="s">
        <v>24705</v>
      </c>
      <c r="L3585" t="s">
        <v>24706</v>
      </c>
      <c r="M3585" t="s">
        <v>129</v>
      </c>
    </row>
    <row r="3586" spans="1:13" x14ac:dyDescent="0.25">
      <c r="A3586" t="s">
        <v>8756</v>
      </c>
      <c r="B3586" t="s">
        <v>13</v>
      </c>
      <c r="C3586" t="s">
        <v>8748</v>
      </c>
      <c r="D3586" t="s">
        <v>8757</v>
      </c>
      <c r="E3586" t="s">
        <v>32480</v>
      </c>
      <c r="F3586" t="s">
        <v>8758</v>
      </c>
      <c r="G3586" t="s">
        <v>2274</v>
      </c>
      <c r="H3586" t="s">
        <v>8759</v>
      </c>
      <c r="I3586" t="s">
        <v>19</v>
      </c>
      <c r="J3586" s="3" t="s">
        <v>8760</v>
      </c>
      <c r="K3586" t="s">
        <v>8761</v>
      </c>
      <c r="L3586" t="s">
        <v>8762</v>
      </c>
      <c r="M3586" t="s">
        <v>224</v>
      </c>
    </row>
    <row r="3587" spans="1:13" x14ac:dyDescent="0.25">
      <c r="A3587" t="s">
        <v>8624</v>
      </c>
      <c r="B3587" t="s">
        <v>101</v>
      </c>
      <c r="C3587" s="1">
        <v>44287</v>
      </c>
      <c r="D3587" t="s">
        <v>8625</v>
      </c>
      <c r="E3587" t="s">
        <v>8626</v>
      </c>
      <c r="F3587" t="s">
        <v>8627</v>
      </c>
      <c r="G3587" t="s">
        <v>8349</v>
      </c>
      <c r="H3587" t="s">
        <v>36</v>
      </c>
      <c r="I3587" t="s">
        <v>19</v>
      </c>
      <c r="J3587" s="3" t="s">
        <v>8350</v>
      </c>
      <c r="K3587" t="s">
        <v>8351</v>
      </c>
      <c r="L3587" t="s">
        <v>32135</v>
      </c>
      <c r="M3587" t="s">
        <v>224</v>
      </c>
    </row>
    <row r="3588" spans="1:13" x14ac:dyDescent="0.25">
      <c r="A3588" t="s">
        <v>10541</v>
      </c>
      <c r="B3588" t="s">
        <v>13</v>
      </c>
      <c r="C3588" s="1">
        <v>44020</v>
      </c>
      <c r="D3588" t="s">
        <v>10542</v>
      </c>
      <c r="E3588" s="2" t="s">
        <v>32481</v>
      </c>
      <c r="F3588" t="s">
        <v>1129</v>
      </c>
      <c r="G3588" t="s">
        <v>3556</v>
      </c>
      <c r="H3588" t="s">
        <v>265</v>
      </c>
      <c r="I3588" t="s">
        <v>19</v>
      </c>
      <c r="J3588" s="3">
        <f>55-16-36022530</f>
        <v>-36022491</v>
      </c>
      <c r="K3588" t="s">
        <v>3557</v>
      </c>
      <c r="L3588" t="s">
        <v>2943</v>
      </c>
      <c r="M3588" t="s">
        <v>32144</v>
      </c>
    </row>
    <row r="3589" spans="1:13" x14ac:dyDescent="0.25">
      <c r="A3589" t="s">
        <v>16482</v>
      </c>
      <c r="B3589" t="s">
        <v>13</v>
      </c>
      <c r="C3589" t="s">
        <v>14247</v>
      </c>
      <c r="D3589" t="s">
        <v>16483</v>
      </c>
      <c r="E3589" t="s">
        <v>32482</v>
      </c>
      <c r="F3589" t="s">
        <v>1129</v>
      </c>
      <c r="G3589" t="s">
        <v>16484</v>
      </c>
      <c r="H3589" t="s">
        <v>229</v>
      </c>
      <c r="I3589" t="s">
        <v>19</v>
      </c>
      <c r="J3589" s="3">
        <f>55-11-49935400</f>
        <v>-49935356</v>
      </c>
      <c r="K3589" t="s">
        <v>16485</v>
      </c>
      <c r="L3589" t="s">
        <v>16486</v>
      </c>
      <c r="M3589" t="s">
        <v>224</v>
      </c>
    </row>
    <row r="3590" spans="1:13" x14ac:dyDescent="0.25">
      <c r="A3590" t="s">
        <v>8566</v>
      </c>
      <c r="B3590" t="s">
        <v>13</v>
      </c>
      <c r="C3590" s="1">
        <v>44378</v>
      </c>
      <c r="D3590" t="s">
        <v>32135</v>
      </c>
      <c r="E3590" s="2" t="s">
        <v>32483</v>
      </c>
      <c r="F3590" t="s">
        <v>224</v>
      </c>
      <c r="G3590" t="s">
        <v>8567</v>
      </c>
      <c r="H3590" t="s">
        <v>36</v>
      </c>
      <c r="I3590" t="s">
        <v>19</v>
      </c>
      <c r="J3590" s="3">
        <f>55-13-992066262</f>
        <v>-992066220</v>
      </c>
      <c r="K3590" t="s">
        <v>8568</v>
      </c>
      <c r="L3590" t="s">
        <v>8569</v>
      </c>
      <c r="M3590" t="s">
        <v>224</v>
      </c>
    </row>
    <row r="3591" spans="1:13" x14ac:dyDescent="0.25">
      <c r="A3591" t="s">
        <v>27931</v>
      </c>
      <c r="B3591" t="s">
        <v>13</v>
      </c>
      <c r="C3591" t="s">
        <v>27932</v>
      </c>
      <c r="D3591" t="s">
        <v>27933</v>
      </c>
      <c r="E3591" t="s">
        <v>27934</v>
      </c>
      <c r="F3591" t="s">
        <v>1129</v>
      </c>
      <c r="G3591" t="s">
        <v>27935</v>
      </c>
      <c r="H3591" t="s">
        <v>8704</v>
      </c>
      <c r="I3591" t="s">
        <v>19</v>
      </c>
      <c r="J3591" s="3" t="s">
        <v>27936</v>
      </c>
      <c r="K3591" t="s">
        <v>27937</v>
      </c>
      <c r="L3591" t="s">
        <v>1767</v>
      </c>
      <c r="M3591" t="s">
        <v>224</v>
      </c>
    </row>
    <row r="3592" spans="1:13" x14ac:dyDescent="0.25">
      <c r="A3592" t="s">
        <v>24125</v>
      </c>
      <c r="B3592" t="s">
        <v>13</v>
      </c>
      <c r="C3592" t="s">
        <v>24119</v>
      </c>
      <c r="D3592" t="s">
        <v>24126</v>
      </c>
      <c r="E3592" t="s">
        <v>24127</v>
      </c>
      <c r="F3592" t="s">
        <v>1129</v>
      </c>
      <c r="G3592" t="s">
        <v>23581</v>
      </c>
      <c r="H3592" t="s">
        <v>409</v>
      </c>
      <c r="I3592" t="s">
        <v>19</v>
      </c>
      <c r="J3592" s="3" t="s">
        <v>1598</v>
      </c>
      <c r="K3592" t="s">
        <v>9825</v>
      </c>
      <c r="L3592" t="s">
        <v>1823</v>
      </c>
      <c r="M3592" t="s">
        <v>224</v>
      </c>
    </row>
    <row r="3593" spans="1:13" x14ac:dyDescent="0.25">
      <c r="A3593" t="s">
        <v>10214</v>
      </c>
      <c r="B3593" t="s">
        <v>13</v>
      </c>
      <c r="C3593" t="s">
        <v>10191</v>
      </c>
      <c r="D3593" t="s">
        <v>10215</v>
      </c>
      <c r="E3593" s="2" t="s">
        <v>30986</v>
      </c>
      <c r="F3593" t="s">
        <v>1129</v>
      </c>
      <c r="G3593" t="s">
        <v>10216</v>
      </c>
      <c r="H3593" t="s">
        <v>489</v>
      </c>
      <c r="I3593" t="s">
        <v>19</v>
      </c>
      <c r="J3593" s="3">
        <f>55-41-996695202</f>
        <v>-996695188</v>
      </c>
      <c r="K3593" t="s">
        <v>10217</v>
      </c>
      <c r="L3593" t="s">
        <v>625</v>
      </c>
      <c r="M3593" t="s">
        <v>224</v>
      </c>
    </row>
    <row r="3594" spans="1:13" x14ac:dyDescent="0.25">
      <c r="A3594" t="s">
        <v>12695</v>
      </c>
      <c r="B3594" t="s">
        <v>13</v>
      </c>
      <c r="C3594" t="s">
        <v>7663</v>
      </c>
      <c r="D3594" t="s">
        <v>12696</v>
      </c>
      <c r="E3594" s="2" t="s">
        <v>31693</v>
      </c>
      <c r="F3594" t="s">
        <v>1129</v>
      </c>
      <c r="G3594" t="s">
        <v>12697</v>
      </c>
      <c r="H3594" t="s">
        <v>936</v>
      </c>
      <c r="I3594" t="s">
        <v>19</v>
      </c>
      <c r="J3594" s="3" t="s">
        <v>12698</v>
      </c>
      <c r="K3594" t="s">
        <v>12699</v>
      </c>
      <c r="L3594" t="s">
        <v>1578</v>
      </c>
      <c r="M3594" t="s">
        <v>224</v>
      </c>
    </row>
    <row r="3595" spans="1:13" x14ac:dyDescent="0.25">
      <c r="A3595" t="s">
        <v>24787</v>
      </c>
      <c r="B3595" t="s">
        <v>13</v>
      </c>
      <c r="C3595" s="1">
        <v>42979</v>
      </c>
      <c r="D3595" t="s">
        <v>24788</v>
      </c>
      <c r="E3595" t="s">
        <v>32484</v>
      </c>
      <c r="F3595" t="s">
        <v>1129</v>
      </c>
      <c r="G3595" t="s">
        <v>24789</v>
      </c>
      <c r="H3595" t="s">
        <v>409</v>
      </c>
      <c r="I3595" t="s">
        <v>19</v>
      </c>
      <c r="J3595" s="3" t="s">
        <v>24790</v>
      </c>
      <c r="K3595" t="s">
        <v>22802</v>
      </c>
      <c r="L3595" t="s">
        <v>1823</v>
      </c>
      <c r="M3595" t="s">
        <v>224</v>
      </c>
    </row>
    <row r="3596" spans="1:13" x14ac:dyDescent="0.25">
      <c r="A3596" t="s">
        <v>29978</v>
      </c>
      <c r="B3596" t="s">
        <v>101</v>
      </c>
      <c r="C3596" t="s">
        <v>14184</v>
      </c>
      <c r="D3596" t="s">
        <v>29979</v>
      </c>
      <c r="E3596" t="s">
        <v>29980</v>
      </c>
      <c r="F3596" t="s">
        <v>224</v>
      </c>
      <c r="G3596" t="s">
        <v>17252</v>
      </c>
      <c r="H3596" t="s">
        <v>36</v>
      </c>
      <c r="I3596" t="s">
        <v>19</v>
      </c>
      <c r="J3596" s="3" t="s">
        <v>17253</v>
      </c>
      <c r="K3596" t="s">
        <v>17254</v>
      </c>
      <c r="L3596" t="s">
        <v>344</v>
      </c>
      <c r="M3596" t="s">
        <v>224</v>
      </c>
    </row>
    <row r="3597" spans="1:13" x14ac:dyDescent="0.25">
      <c r="A3597" t="s">
        <v>21367</v>
      </c>
      <c r="B3597" t="s">
        <v>13</v>
      </c>
      <c r="C3597" t="s">
        <v>7645</v>
      </c>
      <c r="D3597" t="s">
        <v>21368</v>
      </c>
      <c r="E3597" s="2" t="s">
        <v>31440</v>
      </c>
      <c r="F3597" t="s">
        <v>1129</v>
      </c>
      <c r="G3597" t="s">
        <v>21369</v>
      </c>
      <c r="H3597" t="s">
        <v>753</v>
      </c>
      <c r="I3597" t="s">
        <v>19</v>
      </c>
      <c r="J3597" s="3" t="s">
        <v>21370</v>
      </c>
      <c r="K3597" t="s">
        <v>2983</v>
      </c>
      <c r="L3597" t="s">
        <v>2762</v>
      </c>
      <c r="M3597" t="s">
        <v>224</v>
      </c>
    </row>
    <row r="3598" spans="1:13" x14ac:dyDescent="0.25">
      <c r="A3598" t="s">
        <v>8588</v>
      </c>
      <c r="B3598" t="s">
        <v>13</v>
      </c>
      <c r="C3598" s="1">
        <v>43223</v>
      </c>
      <c r="D3598" t="s">
        <v>8589</v>
      </c>
      <c r="E3598" s="2" t="s">
        <v>31805</v>
      </c>
      <c r="F3598" t="s">
        <v>1129</v>
      </c>
      <c r="G3598" t="s">
        <v>8590</v>
      </c>
      <c r="H3598" t="s">
        <v>299</v>
      </c>
      <c r="I3598" t="s">
        <v>19</v>
      </c>
      <c r="J3598" s="3">
        <v>55018996412568</v>
      </c>
      <c r="K3598" t="s">
        <v>8591</v>
      </c>
      <c r="L3598" t="s">
        <v>8592</v>
      </c>
      <c r="M3598" t="s">
        <v>224</v>
      </c>
    </row>
    <row r="3599" spans="1:13" x14ac:dyDescent="0.25">
      <c r="A3599" t="s">
        <v>12921</v>
      </c>
      <c r="B3599" t="s">
        <v>13</v>
      </c>
      <c r="C3599" t="s">
        <v>8968</v>
      </c>
      <c r="D3599" t="s">
        <v>12922</v>
      </c>
      <c r="E3599" s="2" t="s">
        <v>31926</v>
      </c>
      <c r="F3599" t="s">
        <v>741</v>
      </c>
      <c r="G3599" t="s">
        <v>6691</v>
      </c>
      <c r="H3599" t="s">
        <v>517</v>
      </c>
      <c r="I3599" t="s">
        <v>19</v>
      </c>
      <c r="J3599" s="3" t="s">
        <v>12923</v>
      </c>
      <c r="K3599" t="s">
        <v>12924</v>
      </c>
      <c r="L3599" t="s">
        <v>4617</v>
      </c>
      <c r="M3599" t="s">
        <v>741</v>
      </c>
    </row>
    <row r="3600" spans="1:13" x14ac:dyDescent="0.25">
      <c r="A3600" t="s">
        <v>11836</v>
      </c>
      <c r="B3600" t="s">
        <v>13</v>
      </c>
      <c r="C3600" t="s">
        <v>11834</v>
      </c>
      <c r="D3600" t="s">
        <v>11837</v>
      </c>
      <c r="E3600" t="s">
        <v>7150</v>
      </c>
      <c r="F3600" t="s">
        <v>6130</v>
      </c>
      <c r="G3600" t="s">
        <v>11084</v>
      </c>
      <c r="H3600" t="s">
        <v>141</v>
      </c>
      <c r="I3600" t="s">
        <v>19</v>
      </c>
      <c r="J3600" s="3" t="s">
        <v>11085</v>
      </c>
      <c r="K3600" t="s">
        <v>11086</v>
      </c>
      <c r="L3600" t="s">
        <v>11087</v>
      </c>
      <c r="M3600" t="s">
        <v>32144</v>
      </c>
    </row>
    <row r="3601" spans="1:13" x14ac:dyDescent="0.25">
      <c r="A3601" t="s">
        <v>7132</v>
      </c>
      <c r="B3601" t="s">
        <v>13</v>
      </c>
      <c r="C3601" s="1">
        <v>44506</v>
      </c>
      <c r="D3601" t="s">
        <v>32135</v>
      </c>
      <c r="E3601" s="2" t="s">
        <v>31735</v>
      </c>
      <c r="F3601" t="s">
        <v>7133</v>
      </c>
      <c r="G3601" t="s">
        <v>7134</v>
      </c>
      <c r="H3601" t="s">
        <v>36</v>
      </c>
      <c r="I3601" t="s">
        <v>19</v>
      </c>
      <c r="J3601" s="3" t="s">
        <v>7135</v>
      </c>
      <c r="K3601" t="s">
        <v>7136</v>
      </c>
      <c r="L3601" t="s">
        <v>32135</v>
      </c>
      <c r="M3601" t="s">
        <v>32155</v>
      </c>
    </row>
    <row r="3602" spans="1:13" x14ac:dyDescent="0.25">
      <c r="A3602" t="s">
        <v>19218</v>
      </c>
      <c r="B3602" t="s">
        <v>13</v>
      </c>
      <c r="C3602" t="s">
        <v>8497</v>
      </c>
      <c r="D3602" t="s">
        <v>19219</v>
      </c>
      <c r="E3602" s="2" t="s">
        <v>31864</v>
      </c>
      <c r="F3602" t="s">
        <v>1464</v>
      </c>
      <c r="G3602" t="s">
        <v>19220</v>
      </c>
      <c r="H3602" t="s">
        <v>19221</v>
      </c>
      <c r="I3602" t="s">
        <v>19</v>
      </c>
      <c r="J3602" s="3" t="s">
        <v>19222</v>
      </c>
      <c r="K3602" t="s">
        <v>19223</v>
      </c>
      <c r="L3602" t="s">
        <v>19224</v>
      </c>
      <c r="M3602" t="s">
        <v>32144</v>
      </c>
    </row>
    <row r="3603" spans="1:13" x14ac:dyDescent="0.25">
      <c r="A3603" t="s">
        <v>24360</v>
      </c>
      <c r="B3603" t="s">
        <v>13</v>
      </c>
      <c r="C3603" t="s">
        <v>24361</v>
      </c>
      <c r="D3603" t="s">
        <v>24362</v>
      </c>
      <c r="E3603" t="s">
        <v>24363</v>
      </c>
      <c r="F3603" t="s">
        <v>1464</v>
      </c>
      <c r="G3603" t="s">
        <v>24364</v>
      </c>
      <c r="H3603" t="s">
        <v>4092</v>
      </c>
      <c r="I3603" t="s">
        <v>19</v>
      </c>
      <c r="J3603" s="3" t="s">
        <v>15525</v>
      </c>
      <c r="K3603" t="s">
        <v>24365</v>
      </c>
      <c r="L3603" t="s">
        <v>24366</v>
      </c>
      <c r="M3603" t="s">
        <v>32147</v>
      </c>
    </row>
    <row r="3604" spans="1:13" x14ac:dyDescent="0.25">
      <c r="A3604" t="s">
        <v>20044</v>
      </c>
      <c r="B3604" t="s">
        <v>13</v>
      </c>
      <c r="C3604" t="s">
        <v>20045</v>
      </c>
      <c r="D3604" t="s">
        <v>20046</v>
      </c>
      <c r="E3604" t="s">
        <v>20047</v>
      </c>
      <c r="F3604" t="s">
        <v>2036</v>
      </c>
      <c r="G3604" t="s">
        <v>20048</v>
      </c>
      <c r="H3604" t="s">
        <v>927</v>
      </c>
      <c r="I3604" t="s">
        <v>19</v>
      </c>
      <c r="J3604" s="3" t="s">
        <v>20049</v>
      </c>
      <c r="K3604" t="s">
        <v>20050</v>
      </c>
      <c r="L3604" t="s">
        <v>439</v>
      </c>
      <c r="M3604" t="s">
        <v>57</v>
      </c>
    </row>
    <row r="3605" spans="1:13" x14ac:dyDescent="0.25">
      <c r="A3605" t="s">
        <v>30264</v>
      </c>
      <c r="B3605" t="s">
        <v>13</v>
      </c>
      <c r="C3605" s="1">
        <v>40941</v>
      </c>
      <c r="D3605" t="s">
        <v>30265</v>
      </c>
      <c r="E3605" t="s">
        <v>30266</v>
      </c>
      <c r="F3605" t="s">
        <v>1129</v>
      </c>
      <c r="G3605" t="s">
        <v>30267</v>
      </c>
      <c r="H3605" t="s">
        <v>30268</v>
      </c>
      <c r="I3605" t="s">
        <v>19</v>
      </c>
      <c r="J3605" s="3" t="s">
        <v>30269</v>
      </c>
      <c r="K3605" t="s">
        <v>30270</v>
      </c>
      <c r="L3605" t="s">
        <v>91</v>
      </c>
      <c r="M3605" t="s">
        <v>224</v>
      </c>
    </row>
    <row r="3606" spans="1:13" x14ac:dyDescent="0.25">
      <c r="A3606" t="s">
        <v>12563</v>
      </c>
      <c r="B3606" t="s">
        <v>13</v>
      </c>
      <c r="C3606" t="s">
        <v>12556</v>
      </c>
      <c r="D3606" t="s">
        <v>12564</v>
      </c>
      <c r="E3606" s="2" t="s">
        <v>31680</v>
      </c>
      <c r="F3606" t="s">
        <v>1464</v>
      </c>
      <c r="G3606" t="s">
        <v>12565</v>
      </c>
      <c r="H3606" t="s">
        <v>5210</v>
      </c>
      <c r="I3606" t="s">
        <v>19</v>
      </c>
      <c r="J3606" s="3">
        <f>55-21-22644742</f>
        <v>-22644708</v>
      </c>
      <c r="K3606" t="s">
        <v>12566</v>
      </c>
      <c r="L3606" t="s">
        <v>12567</v>
      </c>
      <c r="M3606" s="4" t="s">
        <v>57</v>
      </c>
    </row>
    <row r="3607" spans="1:13" x14ac:dyDescent="0.25">
      <c r="A3607" t="s">
        <v>16136</v>
      </c>
      <c r="B3607" t="s">
        <v>13</v>
      </c>
      <c r="C3607" t="s">
        <v>15792</v>
      </c>
      <c r="D3607" t="s">
        <v>16137</v>
      </c>
      <c r="E3607" t="s">
        <v>324</v>
      </c>
      <c r="F3607" t="s">
        <v>224</v>
      </c>
      <c r="G3607" t="s">
        <v>7293</v>
      </c>
      <c r="H3607" t="s">
        <v>7294</v>
      </c>
      <c r="I3607" t="s">
        <v>19</v>
      </c>
      <c r="J3607" s="3">
        <v>556181907111</v>
      </c>
      <c r="K3607" t="s">
        <v>7295</v>
      </c>
      <c r="L3607" t="s">
        <v>4378</v>
      </c>
      <c r="M3607" t="s">
        <v>224</v>
      </c>
    </row>
    <row r="3608" spans="1:13" x14ac:dyDescent="0.25">
      <c r="A3608" t="s">
        <v>322</v>
      </c>
      <c r="B3608" t="s">
        <v>13</v>
      </c>
      <c r="C3608" t="s">
        <v>314</v>
      </c>
      <c r="D3608" t="s">
        <v>323</v>
      </c>
      <c r="E3608" t="s">
        <v>324</v>
      </c>
      <c r="F3608" t="s">
        <v>325</v>
      </c>
      <c r="G3608" t="s">
        <v>326</v>
      </c>
      <c r="H3608" t="s">
        <v>36</v>
      </c>
      <c r="I3608" t="s">
        <v>19</v>
      </c>
      <c r="J3608" s="3">
        <f>55-11-998590188</f>
        <v>-998590144</v>
      </c>
      <c r="K3608" t="s">
        <v>327</v>
      </c>
      <c r="L3608" t="s">
        <v>328</v>
      </c>
      <c r="M3608" t="s">
        <v>224</v>
      </c>
    </row>
    <row r="3609" spans="1:13" x14ac:dyDescent="0.25">
      <c r="A3609" t="s">
        <v>2271</v>
      </c>
      <c r="B3609" t="s">
        <v>13</v>
      </c>
      <c r="C3609" s="1">
        <v>44570</v>
      </c>
      <c r="D3609" t="s">
        <v>2272</v>
      </c>
      <c r="E3609" t="s">
        <v>2273</v>
      </c>
      <c r="F3609" t="s">
        <v>324</v>
      </c>
      <c r="G3609" t="s">
        <v>2274</v>
      </c>
      <c r="H3609" t="s">
        <v>229</v>
      </c>
      <c r="I3609" t="s">
        <v>19</v>
      </c>
      <c r="J3609" s="3" t="s">
        <v>2275</v>
      </c>
      <c r="K3609" t="s">
        <v>2276</v>
      </c>
      <c r="L3609" t="s">
        <v>2277</v>
      </c>
      <c r="M3609" s="4" t="s">
        <v>57</v>
      </c>
    </row>
    <row r="3610" spans="1:13" x14ac:dyDescent="0.25">
      <c r="A3610" t="s">
        <v>6786</v>
      </c>
      <c r="B3610" t="s">
        <v>13</v>
      </c>
      <c r="C3610" s="1">
        <v>44294</v>
      </c>
      <c r="D3610" t="s">
        <v>32135</v>
      </c>
      <c r="E3610" t="s">
        <v>6787</v>
      </c>
      <c r="F3610" t="s">
        <v>211</v>
      </c>
      <c r="G3610" t="s">
        <v>6788</v>
      </c>
      <c r="H3610" t="s">
        <v>1090</v>
      </c>
      <c r="I3610" t="s">
        <v>19</v>
      </c>
      <c r="J3610" s="3">
        <f>55-83-999805189</f>
        <v>-999805217</v>
      </c>
      <c r="K3610" t="s">
        <v>6789</v>
      </c>
      <c r="L3610" t="s">
        <v>32135</v>
      </c>
      <c r="M3610" t="s">
        <v>432</v>
      </c>
    </row>
    <row r="3611" spans="1:13" x14ac:dyDescent="0.25">
      <c r="A3611" t="s">
        <v>26651</v>
      </c>
      <c r="B3611" t="s">
        <v>13</v>
      </c>
      <c r="C3611" t="s">
        <v>14834</v>
      </c>
      <c r="D3611" t="s">
        <v>26652</v>
      </c>
      <c r="E3611" t="s">
        <v>26653</v>
      </c>
      <c r="F3611" t="s">
        <v>224</v>
      </c>
      <c r="G3611" t="s">
        <v>26654</v>
      </c>
      <c r="H3611" t="s">
        <v>36</v>
      </c>
      <c r="I3611" t="s">
        <v>19</v>
      </c>
      <c r="J3611" s="3" t="s">
        <v>26655</v>
      </c>
      <c r="K3611" t="s">
        <v>26656</v>
      </c>
      <c r="L3611" t="s">
        <v>26657</v>
      </c>
      <c r="M3611" t="s">
        <v>224</v>
      </c>
    </row>
    <row r="3612" spans="1:13" x14ac:dyDescent="0.25">
      <c r="A3612" t="s">
        <v>3243</v>
      </c>
      <c r="B3612" t="s">
        <v>13</v>
      </c>
      <c r="C3612" t="s">
        <v>3244</v>
      </c>
      <c r="D3612" t="s">
        <v>32135</v>
      </c>
      <c r="E3612" t="s">
        <v>3245</v>
      </c>
      <c r="F3612" t="s">
        <v>3246</v>
      </c>
      <c r="G3612" t="s">
        <v>3247</v>
      </c>
      <c r="H3612" t="s">
        <v>1949</v>
      </c>
      <c r="I3612" t="s">
        <v>19</v>
      </c>
      <c r="J3612" s="3" t="s">
        <v>3248</v>
      </c>
      <c r="K3612" t="s">
        <v>3249</v>
      </c>
      <c r="L3612" t="s">
        <v>3250</v>
      </c>
      <c r="M3612" t="s">
        <v>32144</v>
      </c>
    </row>
    <row r="3613" spans="1:13" x14ac:dyDescent="0.25">
      <c r="A3613" t="s">
        <v>19336</v>
      </c>
      <c r="B3613" t="s">
        <v>13</v>
      </c>
      <c r="C3613" s="1">
        <v>43230</v>
      </c>
      <c r="D3613" t="s">
        <v>19337</v>
      </c>
      <c r="E3613" t="s">
        <v>32190</v>
      </c>
      <c r="F3613" t="s">
        <v>9327</v>
      </c>
      <c r="G3613" t="s">
        <v>19338</v>
      </c>
      <c r="H3613" t="s">
        <v>18</v>
      </c>
      <c r="I3613" t="s">
        <v>19</v>
      </c>
      <c r="J3613" s="3">
        <f>55-19-37566893</f>
        <v>-37566857</v>
      </c>
      <c r="K3613" t="s">
        <v>19339</v>
      </c>
      <c r="L3613" t="s">
        <v>7926</v>
      </c>
      <c r="M3613" t="s">
        <v>1304</v>
      </c>
    </row>
    <row r="3614" spans="1:13" x14ac:dyDescent="0.25">
      <c r="A3614" t="s">
        <v>8323</v>
      </c>
      <c r="B3614" t="s">
        <v>101</v>
      </c>
      <c r="C3614" s="1">
        <v>44318</v>
      </c>
      <c r="D3614" t="s">
        <v>32135</v>
      </c>
      <c r="E3614" t="s">
        <v>8324</v>
      </c>
      <c r="F3614" t="s">
        <v>148</v>
      </c>
      <c r="G3614" t="s">
        <v>307</v>
      </c>
      <c r="H3614" t="s">
        <v>308</v>
      </c>
      <c r="I3614" t="s">
        <v>309</v>
      </c>
      <c r="J3614" s="3" t="s">
        <v>310</v>
      </c>
      <c r="K3614" t="s">
        <v>311</v>
      </c>
      <c r="L3614" t="s">
        <v>312</v>
      </c>
      <c r="M3614" t="s">
        <v>32165</v>
      </c>
    </row>
    <row r="3615" spans="1:13" x14ac:dyDescent="0.25">
      <c r="A3615" t="s">
        <v>10182</v>
      </c>
      <c r="B3615" t="s">
        <v>13</v>
      </c>
      <c r="C3615" t="s">
        <v>8861</v>
      </c>
      <c r="D3615" t="s">
        <v>10183</v>
      </c>
      <c r="E3615" s="2" t="s">
        <v>30984</v>
      </c>
      <c r="F3615" t="s">
        <v>2530</v>
      </c>
      <c r="G3615" t="s">
        <v>10184</v>
      </c>
      <c r="H3615" t="s">
        <v>706</v>
      </c>
      <c r="I3615" t="s">
        <v>19</v>
      </c>
      <c r="J3615" s="3" t="s">
        <v>10185</v>
      </c>
      <c r="K3615" t="s">
        <v>10186</v>
      </c>
      <c r="L3615" t="s">
        <v>10187</v>
      </c>
      <c r="M3615" t="s">
        <v>32162</v>
      </c>
    </row>
    <row r="3616" spans="1:13" x14ac:dyDescent="0.25">
      <c r="A3616" t="s">
        <v>29798</v>
      </c>
      <c r="B3616" t="s">
        <v>13</v>
      </c>
      <c r="C3616" t="s">
        <v>29799</v>
      </c>
      <c r="D3616" t="s">
        <v>29800</v>
      </c>
      <c r="E3616" t="s">
        <v>29801</v>
      </c>
      <c r="F3616" t="s">
        <v>1190</v>
      </c>
      <c r="G3616" t="s">
        <v>20655</v>
      </c>
      <c r="H3616" t="s">
        <v>29802</v>
      </c>
      <c r="I3616" t="s">
        <v>19</v>
      </c>
      <c r="J3616" s="3" t="s">
        <v>20656</v>
      </c>
      <c r="K3616" t="s">
        <v>20657</v>
      </c>
      <c r="L3616" t="s">
        <v>3305</v>
      </c>
      <c r="M3616" t="s">
        <v>432</v>
      </c>
    </row>
    <row r="3617" spans="1:13" x14ac:dyDescent="0.25">
      <c r="A3617" t="s">
        <v>5174</v>
      </c>
      <c r="B3617" t="s">
        <v>13</v>
      </c>
      <c r="C3617" t="s">
        <v>5175</v>
      </c>
      <c r="D3617" t="s">
        <v>32135</v>
      </c>
      <c r="E3617" s="2" t="s">
        <v>30835</v>
      </c>
      <c r="F3617" t="s">
        <v>5176</v>
      </c>
      <c r="G3617" t="s">
        <v>5177</v>
      </c>
      <c r="H3617" t="s">
        <v>5178</v>
      </c>
      <c r="I3617" t="s">
        <v>19</v>
      </c>
      <c r="J3617" s="3" t="s">
        <v>5179</v>
      </c>
      <c r="K3617" t="s">
        <v>5180</v>
      </c>
      <c r="L3617" t="s">
        <v>32135</v>
      </c>
      <c r="M3617" t="s">
        <v>32121</v>
      </c>
    </row>
    <row r="3618" spans="1:13" x14ac:dyDescent="0.25">
      <c r="A3618" t="s">
        <v>27688</v>
      </c>
      <c r="B3618" t="s">
        <v>13</v>
      </c>
      <c r="C3618" t="s">
        <v>27682</v>
      </c>
      <c r="D3618" t="s">
        <v>27689</v>
      </c>
      <c r="E3618" t="s">
        <v>27690</v>
      </c>
      <c r="F3618" t="s">
        <v>1775</v>
      </c>
      <c r="G3618" t="s">
        <v>1886</v>
      </c>
      <c r="H3618" t="s">
        <v>1072</v>
      </c>
      <c r="I3618" t="s">
        <v>19</v>
      </c>
      <c r="J3618" s="3">
        <v>558491818144</v>
      </c>
      <c r="K3618" t="s">
        <v>27691</v>
      </c>
      <c r="L3618" t="s">
        <v>27692</v>
      </c>
      <c r="M3618" t="s">
        <v>1775</v>
      </c>
    </row>
    <row r="3619" spans="1:13" x14ac:dyDescent="0.25">
      <c r="A3619" t="s">
        <v>17684</v>
      </c>
      <c r="B3619" t="s">
        <v>13</v>
      </c>
      <c r="C3619" t="s">
        <v>17669</v>
      </c>
      <c r="D3619" t="s">
        <v>17685</v>
      </c>
      <c r="E3619" s="2" t="s">
        <v>31897</v>
      </c>
      <c r="F3619" t="s">
        <v>10500</v>
      </c>
      <c r="G3619" t="s">
        <v>17686</v>
      </c>
      <c r="H3619" t="s">
        <v>472</v>
      </c>
      <c r="I3619" t="s">
        <v>19</v>
      </c>
      <c r="J3619" s="3">
        <v>55081992922989</v>
      </c>
      <c r="K3619" t="s">
        <v>17687</v>
      </c>
      <c r="L3619" t="s">
        <v>2101</v>
      </c>
      <c r="M3619" t="s">
        <v>129</v>
      </c>
    </row>
    <row r="3620" spans="1:13" x14ac:dyDescent="0.25">
      <c r="A3620" t="s">
        <v>25679</v>
      </c>
      <c r="B3620" t="s">
        <v>13</v>
      </c>
      <c r="C3620" t="s">
        <v>25680</v>
      </c>
      <c r="D3620" t="s">
        <v>25681</v>
      </c>
      <c r="E3620" s="2" t="s">
        <v>31340</v>
      </c>
      <c r="F3620" t="s">
        <v>1464</v>
      </c>
      <c r="G3620" t="s">
        <v>25682</v>
      </c>
      <c r="H3620" t="s">
        <v>1656</v>
      </c>
      <c r="I3620" t="s">
        <v>19</v>
      </c>
      <c r="J3620" s="3" t="s">
        <v>25683</v>
      </c>
      <c r="K3620" t="s">
        <v>25684</v>
      </c>
      <c r="L3620" t="s">
        <v>25685</v>
      </c>
      <c r="M3620" t="s">
        <v>6656</v>
      </c>
    </row>
    <row r="3621" spans="1:13" x14ac:dyDescent="0.25">
      <c r="A3621" t="s">
        <v>24960</v>
      </c>
      <c r="B3621" t="s">
        <v>13</v>
      </c>
      <c r="C3621" t="s">
        <v>24953</v>
      </c>
      <c r="D3621" t="s">
        <v>24961</v>
      </c>
      <c r="E3621" t="s">
        <v>24962</v>
      </c>
      <c r="F3621" t="s">
        <v>1464</v>
      </c>
      <c r="G3621" t="s">
        <v>24963</v>
      </c>
      <c r="H3621" t="s">
        <v>489</v>
      </c>
      <c r="I3621" t="s">
        <v>19</v>
      </c>
      <c r="J3621" s="3" t="s">
        <v>24964</v>
      </c>
      <c r="K3621" t="s">
        <v>24965</v>
      </c>
      <c r="L3621" t="s">
        <v>3210</v>
      </c>
      <c r="M3621" t="s">
        <v>6656</v>
      </c>
    </row>
    <row r="3622" spans="1:13" x14ac:dyDescent="0.25">
      <c r="A3622" t="s">
        <v>18504</v>
      </c>
      <c r="B3622" t="s">
        <v>13</v>
      </c>
      <c r="C3622" t="s">
        <v>18505</v>
      </c>
      <c r="D3622" t="s">
        <v>18506</v>
      </c>
      <c r="E3622" t="s">
        <v>18507</v>
      </c>
      <c r="F3622" t="s">
        <v>1464</v>
      </c>
      <c r="G3622" t="s">
        <v>18508</v>
      </c>
      <c r="H3622" t="s">
        <v>45</v>
      </c>
      <c r="I3622" t="s">
        <v>19</v>
      </c>
      <c r="J3622" s="3" t="s">
        <v>18509</v>
      </c>
      <c r="K3622" t="s">
        <v>18510</v>
      </c>
      <c r="L3622" t="s">
        <v>18511</v>
      </c>
      <c r="M3622" t="s">
        <v>6656</v>
      </c>
    </row>
    <row r="3623" spans="1:13" x14ac:dyDescent="0.25">
      <c r="A3623" t="s">
        <v>24475</v>
      </c>
      <c r="B3623" t="s">
        <v>13</v>
      </c>
      <c r="C3623" t="s">
        <v>24476</v>
      </c>
      <c r="D3623" t="s">
        <v>24477</v>
      </c>
      <c r="E3623" t="s">
        <v>24478</v>
      </c>
      <c r="F3623" t="s">
        <v>1190</v>
      </c>
      <c r="G3623" t="s">
        <v>24479</v>
      </c>
      <c r="H3623" t="s">
        <v>21956</v>
      </c>
      <c r="I3623" t="s">
        <v>19</v>
      </c>
      <c r="J3623" s="3" t="s">
        <v>24480</v>
      </c>
      <c r="K3623" t="s">
        <v>24481</v>
      </c>
      <c r="L3623" t="s">
        <v>24482</v>
      </c>
      <c r="M3623" t="s">
        <v>432</v>
      </c>
    </row>
    <row r="3624" spans="1:13" x14ac:dyDescent="0.25">
      <c r="A3624" t="s">
        <v>21888</v>
      </c>
      <c r="B3624" t="s">
        <v>13</v>
      </c>
      <c r="C3624" t="s">
        <v>7715</v>
      </c>
      <c r="D3624" t="s">
        <v>21889</v>
      </c>
      <c r="E3624" t="s">
        <v>32485</v>
      </c>
      <c r="F3624" t="s">
        <v>1464</v>
      </c>
      <c r="G3624" t="s">
        <v>21890</v>
      </c>
      <c r="H3624" t="s">
        <v>706</v>
      </c>
      <c r="I3624" t="s">
        <v>19</v>
      </c>
      <c r="J3624" s="3" t="s">
        <v>21891</v>
      </c>
      <c r="K3624" t="s">
        <v>21892</v>
      </c>
      <c r="L3624" t="s">
        <v>21893</v>
      </c>
      <c r="M3624" t="s">
        <v>6656</v>
      </c>
    </row>
    <row r="3625" spans="1:13" x14ac:dyDescent="0.25">
      <c r="A3625" t="s">
        <v>7534</v>
      </c>
      <c r="B3625" t="s">
        <v>13</v>
      </c>
      <c r="C3625" t="s">
        <v>5232</v>
      </c>
      <c r="D3625" t="s">
        <v>7535</v>
      </c>
      <c r="E3625" t="s">
        <v>7536</v>
      </c>
      <c r="F3625" t="s">
        <v>1464</v>
      </c>
      <c r="G3625" t="s">
        <v>7537</v>
      </c>
      <c r="H3625" t="s">
        <v>1335</v>
      </c>
      <c r="I3625" t="s">
        <v>19</v>
      </c>
      <c r="J3625" s="3">
        <v>5543999597132</v>
      </c>
      <c r="K3625" t="s">
        <v>7538</v>
      </c>
      <c r="L3625" t="s">
        <v>7539</v>
      </c>
      <c r="M3625" t="s">
        <v>32121</v>
      </c>
    </row>
    <row r="3626" spans="1:13" x14ac:dyDescent="0.25">
      <c r="A3626" t="s">
        <v>8995</v>
      </c>
      <c r="B3626" t="s">
        <v>13</v>
      </c>
      <c r="C3626" t="s">
        <v>8988</v>
      </c>
      <c r="D3626" t="s">
        <v>8996</v>
      </c>
      <c r="E3626" s="2" t="s">
        <v>31599</v>
      </c>
      <c r="F3626" t="s">
        <v>8997</v>
      </c>
      <c r="G3626" t="s">
        <v>8998</v>
      </c>
      <c r="H3626" t="s">
        <v>2215</v>
      </c>
      <c r="I3626" t="s">
        <v>19</v>
      </c>
      <c r="J3626" s="3" t="s">
        <v>8999</v>
      </c>
      <c r="K3626" t="s">
        <v>9000</v>
      </c>
      <c r="L3626" t="s">
        <v>9001</v>
      </c>
      <c r="M3626" t="s">
        <v>6656</v>
      </c>
    </row>
    <row r="3627" spans="1:13" x14ac:dyDescent="0.25">
      <c r="A3627" t="s">
        <v>24235</v>
      </c>
      <c r="B3627" t="s">
        <v>13</v>
      </c>
      <c r="C3627" t="s">
        <v>24236</v>
      </c>
      <c r="D3627" t="s">
        <v>24237</v>
      </c>
      <c r="E3627" t="s">
        <v>24238</v>
      </c>
      <c r="F3627" t="s">
        <v>1464</v>
      </c>
      <c r="G3627" t="s">
        <v>4116</v>
      </c>
      <c r="H3627" t="s">
        <v>489</v>
      </c>
      <c r="I3627" t="s">
        <v>19</v>
      </c>
      <c r="J3627" s="3" t="s">
        <v>24239</v>
      </c>
      <c r="K3627" t="s">
        <v>24240</v>
      </c>
      <c r="L3627" t="s">
        <v>625</v>
      </c>
      <c r="M3627" t="s">
        <v>1775</v>
      </c>
    </row>
    <row r="3628" spans="1:13" x14ac:dyDescent="0.25">
      <c r="A3628" t="s">
        <v>17533</v>
      </c>
      <c r="B3628" t="s">
        <v>13</v>
      </c>
      <c r="C3628" s="1">
        <v>43621</v>
      </c>
      <c r="D3628" t="s">
        <v>17534</v>
      </c>
      <c r="E3628" t="s">
        <v>17535</v>
      </c>
      <c r="F3628" t="s">
        <v>3084</v>
      </c>
      <c r="G3628" t="s">
        <v>17536</v>
      </c>
      <c r="H3628" t="s">
        <v>352</v>
      </c>
      <c r="I3628" t="s">
        <v>19</v>
      </c>
      <c r="J3628" s="3" t="s">
        <v>17537</v>
      </c>
      <c r="K3628" t="s">
        <v>17523</v>
      </c>
      <c r="L3628" t="s">
        <v>17538</v>
      </c>
      <c r="M3628" t="s">
        <v>32144</v>
      </c>
    </row>
    <row r="3629" spans="1:13" x14ac:dyDescent="0.25">
      <c r="A3629" t="s">
        <v>21906</v>
      </c>
      <c r="B3629" t="s">
        <v>13</v>
      </c>
      <c r="C3629" t="s">
        <v>21907</v>
      </c>
      <c r="D3629" t="s">
        <v>21908</v>
      </c>
      <c r="E3629" t="s">
        <v>21909</v>
      </c>
      <c r="F3629" t="s">
        <v>2758</v>
      </c>
      <c r="G3629" t="s">
        <v>21910</v>
      </c>
      <c r="H3629" t="s">
        <v>21911</v>
      </c>
      <c r="I3629" t="s">
        <v>19</v>
      </c>
      <c r="J3629" s="3" t="s">
        <v>21912</v>
      </c>
      <c r="K3629" t="s">
        <v>18587</v>
      </c>
      <c r="L3629" t="s">
        <v>4713</v>
      </c>
      <c r="M3629" t="s">
        <v>32149</v>
      </c>
    </row>
    <row r="3630" spans="1:13" x14ac:dyDescent="0.25">
      <c r="A3630" t="s">
        <v>9081</v>
      </c>
      <c r="B3630" t="s">
        <v>13</v>
      </c>
      <c r="C3630" t="s">
        <v>9082</v>
      </c>
      <c r="D3630" t="s">
        <v>9083</v>
      </c>
      <c r="E3630" t="s">
        <v>9084</v>
      </c>
      <c r="F3630" t="s">
        <v>9084</v>
      </c>
      <c r="G3630" t="s">
        <v>9085</v>
      </c>
      <c r="H3630" t="s">
        <v>1090</v>
      </c>
      <c r="I3630" t="s">
        <v>19</v>
      </c>
      <c r="J3630" s="3" t="s">
        <v>9086</v>
      </c>
      <c r="K3630" t="s">
        <v>9087</v>
      </c>
      <c r="L3630" t="s">
        <v>9088</v>
      </c>
      <c r="M3630" t="s">
        <v>792</v>
      </c>
    </row>
    <row r="3631" spans="1:13" x14ac:dyDescent="0.25">
      <c r="A3631" t="s">
        <v>14418</v>
      </c>
      <c r="B3631" t="s">
        <v>13</v>
      </c>
      <c r="C3631" s="1">
        <v>43862</v>
      </c>
      <c r="D3631" t="s">
        <v>14419</v>
      </c>
      <c r="E3631" s="2" t="s">
        <v>31539</v>
      </c>
      <c r="F3631" t="s">
        <v>1464</v>
      </c>
      <c r="G3631" t="s">
        <v>14420</v>
      </c>
      <c r="H3631" t="s">
        <v>14421</v>
      </c>
      <c r="I3631" t="s">
        <v>19</v>
      </c>
      <c r="J3631" s="3">
        <f>55-38-999218763</f>
        <v>-999218746</v>
      </c>
      <c r="K3631" t="s">
        <v>14422</v>
      </c>
      <c r="L3631" t="s">
        <v>14423</v>
      </c>
      <c r="M3631" t="s">
        <v>32145</v>
      </c>
    </row>
    <row r="3632" spans="1:13" x14ac:dyDescent="0.25">
      <c r="A3632" t="s">
        <v>11624</v>
      </c>
      <c r="B3632" t="s">
        <v>13</v>
      </c>
      <c r="C3632" t="s">
        <v>7461</v>
      </c>
      <c r="D3632" t="s">
        <v>11625</v>
      </c>
      <c r="E3632" t="s">
        <v>11626</v>
      </c>
      <c r="F3632" t="s">
        <v>741</v>
      </c>
      <c r="G3632" t="s">
        <v>11627</v>
      </c>
      <c r="H3632" t="s">
        <v>36</v>
      </c>
      <c r="I3632" t="s">
        <v>19</v>
      </c>
      <c r="J3632" s="3" t="s">
        <v>11628</v>
      </c>
      <c r="K3632" t="s">
        <v>11629</v>
      </c>
      <c r="L3632" t="s">
        <v>11630</v>
      </c>
      <c r="M3632" t="s">
        <v>741</v>
      </c>
    </row>
    <row r="3633" spans="1:13" x14ac:dyDescent="0.25">
      <c r="A3633" t="s">
        <v>12016</v>
      </c>
      <c r="B3633" t="s">
        <v>13</v>
      </c>
      <c r="C3633" s="1">
        <v>43956</v>
      </c>
      <c r="D3633" t="s">
        <v>12017</v>
      </c>
      <c r="E3633" t="s">
        <v>11626</v>
      </c>
      <c r="F3633" t="s">
        <v>741</v>
      </c>
      <c r="G3633" t="s">
        <v>12018</v>
      </c>
      <c r="H3633" t="s">
        <v>12019</v>
      </c>
      <c r="I3633" t="s">
        <v>19</v>
      </c>
      <c r="J3633" s="3">
        <f>55-66-35171800</f>
        <v>-35171811</v>
      </c>
      <c r="K3633" t="s">
        <v>12020</v>
      </c>
      <c r="L3633" t="s">
        <v>12021</v>
      </c>
      <c r="M3633" t="s">
        <v>741</v>
      </c>
    </row>
    <row r="3634" spans="1:13" x14ac:dyDescent="0.25">
      <c r="A3634" t="s">
        <v>8045</v>
      </c>
      <c r="B3634" t="s">
        <v>101</v>
      </c>
      <c r="C3634" s="1">
        <v>44230</v>
      </c>
      <c r="D3634" t="s">
        <v>32135</v>
      </c>
      <c r="E3634" t="s">
        <v>8046</v>
      </c>
      <c r="F3634" t="s">
        <v>8047</v>
      </c>
      <c r="G3634" t="s">
        <v>8048</v>
      </c>
      <c r="H3634" t="s">
        <v>352</v>
      </c>
      <c r="I3634" t="s">
        <v>19</v>
      </c>
      <c r="J3634" s="3">
        <f>55-21-23340703</f>
        <v>-23340669</v>
      </c>
      <c r="K3634" t="s">
        <v>8049</v>
      </c>
      <c r="L3634" t="s">
        <v>32135</v>
      </c>
      <c r="M3634" t="s">
        <v>741</v>
      </c>
    </row>
    <row r="3635" spans="1:13" x14ac:dyDescent="0.25">
      <c r="A3635" t="s">
        <v>18523</v>
      </c>
      <c r="B3635" t="s">
        <v>13</v>
      </c>
      <c r="C3635" s="1">
        <v>43770</v>
      </c>
      <c r="D3635" t="s">
        <v>18524</v>
      </c>
      <c r="E3635" t="s">
        <v>32486</v>
      </c>
      <c r="F3635" t="s">
        <v>10500</v>
      </c>
      <c r="G3635" t="s">
        <v>18525</v>
      </c>
      <c r="H3635" t="s">
        <v>36</v>
      </c>
      <c r="I3635" t="s">
        <v>19</v>
      </c>
      <c r="J3635" s="3" t="s">
        <v>18526</v>
      </c>
      <c r="K3635" t="s">
        <v>18527</v>
      </c>
      <c r="L3635" t="s">
        <v>17158</v>
      </c>
      <c r="M3635" t="s">
        <v>32121</v>
      </c>
    </row>
    <row r="3636" spans="1:13" x14ac:dyDescent="0.25">
      <c r="A3636" t="s">
        <v>22785</v>
      </c>
      <c r="B3636" t="s">
        <v>13</v>
      </c>
      <c r="C3636" t="s">
        <v>11911</v>
      </c>
      <c r="D3636" t="s">
        <v>22786</v>
      </c>
      <c r="E3636" t="s">
        <v>22787</v>
      </c>
      <c r="F3636" t="s">
        <v>117</v>
      </c>
      <c r="G3636" t="s">
        <v>22788</v>
      </c>
      <c r="H3636" t="s">
        <v>22789</v>
      </c>
      <c r="I3636" t="s">
        <v>19</v>
      </c>
      <c r="J3636" s="3" t="s">
        <v>22790</v>
      </c>
      <c r="K3636" t="s">
        <v>22791</v>
      </c>
      <c r="L3636" t="s">
        <v>22792</v>
      </c>
      <c r="M3636" t="s">
        <v>32145</v>
      </c>
    </row>
    <row r="3637" spans="1:13" x14ac:dyDescent="0.25">
      <c r="A3637" t="s">
        <v>16429</v>
      </c>
      <c r="B3637" t="s">
        <v>13</v>
      </c>
      <c r="C3637" t="s">
        <v>6579</v>
      </c>
      <c r="D3637" t="s">
        <v>16430</v>
      </c>
      <c r="E3637" t="s">
        <v>16431</v>
      </c>
      <c r="F3637" t="s">
        <v>306</v>
      </c>
      <c r="G3637" t="s">
        <v>16432</v>
      </c>
      <c r="H3637" t="s">
        <v>352</v>
      </c>
      <c r="I3637" t="s">
        <v>19</v>
      </c>
      <c r="J3637" s="3" t="s">
        <v>16433</v>
      </c>
      <c r="K3637" t="s">
        <v>16434</v>
      </c>
      <c r="L3637" t="s">
        <v>1232</v>
      </c>
      <c r="M3637" t="s">
        <v>32145</v>
      </c>
    </row>
    <row r="3638" spans="1:13" x14ac:dyDescent="0.25">
      <c r="A3638" t="s">
        <v>8368</v>
      </c>
      <c r="B3638" t="s">
        <v>13</v>
      </c>
      <c r="C3638" s="1">
        <v>44257</v>
      </c>
      <c r="D3638" t="s">
        <v>8369</v>
      </c>
      <c r="E3638" t="s">
        <v>8370</v>
      </c>
      <c r="F3638" t="s">
        <v>1464</v>
      </c>
      <c r="H3638" t="s">
        <v>32135</v>
      </c>
      <c r="I3638" t="s">
        <v>32135</v>
      </c>
      <c r="J3638" t="s">
        <v>32135</v>
      </c>
      <c r="K3638" s="3" t="s">
        <v>32135</v>
      </c>
      <c r="L3638" t="s">
        <v>32135</v>
      </c>
      <c r="M3638" t="s">
        <v>129</v>
      </c>
    </row>
    <row r="3639" spans="1:13" x14ac:dyDescent="0.25">
      <c r="A3639" t="s">
        <v>23282</v>
      </c>
      <c r="B3639" t="s">
        <v>13</v>
      </c>
      <c r="C3639" t="s">
        <v>23283</v>
      </c>
      <c r="D3639" t="s">
        <v>23284</v>
      </c>
      <c r="E3639" t="s">
        <v>23285</v>
      </c>
      <c r="F3639" t="s">
        <v>741</v>
      </c>
      <c r="G3639" t="s">
        <v>23286</v>
      </c>
      <c r="H3639" t="s">
        <v>1802</v>
      </c>
      <c r="I3639" t="s">
        <v>19</v>
      </c>
      <c r="J3639" s="3" t="s">
        <v>23287</v>
      </c>
      <c r="K3639" t="s">
        <v>23288</v>
      </c>
      <c r="L3639" t="s">
        <v>23289</v>
      </c>
      <c r="M3639" t="s">
        <v>741</v>
      </c>
    </row>
    <row r="3640" spans="1:13" x14ac:dyDescent="0.25">
      <c r="A3640" t="s">
        <v>4914</v>
      </c>
      <c r="B3640" t="s">
        <v>13</v>
      </c>
      <c r="C3640" t="s">
        <v>3467</v>
      </c>
      <c r="D3640" t="s">
        <v>32135</v>
      </c>
      <c r="E3640" s="2" t="s">
        <v>30826</v>
      </c>
      <c r="F3640" t="s">
        <v>406</v>
      </c>
      <c r="G3640" t="s">
        <v>4915</v>
      </c>
      <c r="H3640" t="s">
        <v>4916</v>
      </c>
      <c r="I3640" t="s">
        <v>19</v>
      </c>
      <c r="J3640" s="3">
        <v>5519981183696</v>
      </c>
      <c r="K3640" t="s">
        <v>4917</v>
      </c>
      <c r="L3640" t="s">
        <v>32135</v>
      </c>
      <c r="M3640" t="s">
        <v>785</v>
      </c>
    </row>
    <row r="3641" spans="1:13" x14ac:dyDescent="0.25">
      <c r="A3641" t="s">
        <v>7792</v>
      </c>
      <c r="B3641" t="s">
        <v>13</v>
      </c>
      <c r="C3641" s="1">
        <v>44412</v>
      </c>
      <c r="D3641" t="s">
        <v>7793</v>
      </c>
      <c r="E3641" s="2" t="s">
        <v>32087</v>
      </c>
      <c r="F3641" t="s">
        <v>7794</v>
      </c>
      <c r="G3641" t="s">
        <v>7795</v>
      </c>
      <c r="H3641" t="s">
        <v>1802</v>
      </c>
      <c r="I3641" t="s">
        <v>19</v>
      </c>
      <c r="J3641" s="3" t="s">
        <v>7796</v>
      </c>
      <c r="K3641" t="s">
        <v>7797</v>
      </c>
      <c r="L3641" t="s">
        <v>3441</v>
      </c>
      <c r="M3641" t="s">
        <v>32145</v>
      </c>
    </row>
    <row r="3642" spans="1:13" x14ac:dyDescent="0.25">
      <c r="A3642" t="s">
        <v>20658</v>
      </c>
      <c r="B3642" t="s">
        <v>13</v>
      </c>
      <c r="C3642" s="1">
        <v>43350</v>
      </c>
      <c r="D3642" t="s">
        <v>20659</v>
      </c>
      <c r="E3642" s="2" t="s">
        <v>31185</v>
      </c>
      <c r="F3642" t="s">
        <v>306</v>
      </c>
      <c r="G3642" t="s">
        <v>17942</v>
      </c>
      <c r="H3642" t="s">
        <v>798</v>
      </c>
      <c r="I3642" t="s">
        <v>19</v>
      </c>
      <c r="J3642" s="3">
        <f>55-61-981388879</f>
        <v>-981388885</v>
      </c>
      <c r="K3642" t="s">
        <v>17943</v>
      </c>
      <c r="L3642" t="s">
        <v>1767</v>
      </c>
      <c r="M3642" t="s">
        <v>32145</v>
      </c>
    </row>
    <row r="3643" spans="1:13" x14ac:dyDescent="0.25">
      <c r="A3643" t="s">
        <v>17940</v>
      </c>
      <c r="B3643" t="s">
        <v>13</v>
      </c>
      <c r="C3643" t="s">
        <v>16588</v>
      </c>
      <c r="D3643" t="s">
        <v>17941</v>
      </c>
      <c r="E3643" s="2" t="s">
        <v>31185</v>
      </c>
      <c r="F3643" t="s">
        <v>306</v>
      </c>
      <c r="G3643" t="s">
        <v>17942</v>
      </c>
      <c r="H3643" t="s">
        <v>798</v>
      </c>
      <c r="I3643" t="s">
        <v>19</v>
      </c>
      <c r="J3643" s="3">
        <v>55613107174</v>
      </c>
      <c r="K3643" t="s">
        <v>17943</v>
      </c>
      <c r="L3643" t="s">
        <v>1767</v>
      </c>
      <c r="M3643" t="s">
        <v>32145</v>
      </c>
    </row>
    <row r="3644" spans="1:13" x14ac:dyDescent="0.25">
      <c r="A3644" t="s">
        <v>16387</v>
      </c>
      <c r="B3644" t="s">
        <v>13</v>
      </c>
      <c r="C3644" t="s">
        <v>16385</v>
      </c>
      <c r="D3644" t="s">
        <v>16388</v>
      </c>
      <c r="E3644" t="s">
        <v>16389</v>
      </c>
      <c r="F3644" t="s">
        <v>332</v>
      </c>
      <c r="G3644" t="s">
        <v>16390</v>
      </c>
      <c r="H3644" t="s">
        <v>4506</v>
      </c>
      <c r="I3644" t="s">
        <v>19</v>
      </c>
      <c r="J3644" s="3" t="s">
        <v>16391</v>
      </c>
      <c r="K3644" t="s">
        <v>16392</v>
      </c>
      <c r="L3644" t="s">
        <v>16393</v>
      </c>
      <c r="M3644" t="s">
        <v>337</v>
      </c>
    </row>
    <row r="3645" spans="1:13" x14ac:dyDescent="0.25">
      <c r="A3645" t="s">
        <v>12</v>
      </c>
      <c r="B3645" t="s">
        <v>13</v>
      </c>
      <c r="C3645" s="1">
        <v>43896</v>
      </c>
      <c r="D3645" t="s">
        <v>14</v>
      </c>
      <c r="E3645" t="s">
        <v>15</v>
      </c>
      <c r="F3645" t="s">
        <v>16</v>
      </c>
      <c r="G3645" t="s">
        <v>17</v>
      </c>
      <c r="H3645" t="s">
        <v>18</v>
      </c>
      <c r="I3645" t="s">
        <v>19</v>
      </c>
      <c r="J3645" s="3" t="s">
        <v>20</v>
      </c>
      <c r="K3645" t="s">
        <v>21</v>
      </c>
      <c r="L3645" t="s">
        <v>22</v>
      </c>
      <c r="M3645" t="s">
        <v>129</v>
      </c>
    </row>
    <row r="3646" spans="1:13" x14ac:dyDescent="0.25">
      <c r="A3646" t="s">
        <v>12746</v>
      </c>
      <c r="B3646" t="s">
        <v>13</v>
      </c>
      <c r="C3646" t="s">
        <v>8942</v>
      </c>
      <c r="D3646" t="s">
        <v>12747</v>
      </c>
      <c r="E3646" t="s">
        <v>12748</v>
      </c>
      <c r="F3646" t="s">
        <v>129</v>
      </c>
      <c r="G3646" t="s">
        <v>12749</v>
      </c>
      <c r="H3646" t="s">
        <v>36</v>
      </c>
      <c r="I3646" t="s">
        <v>19</v>
      </c>
      <c r="J3646" s="3" t="s">
        <v>12750</v>
      </c>
      <c r="K3646" t="s">
        <v>12751</v>
      </c>
      <c r="L3646" t="s">
        <v>439</v>
      </c>
      <c r="M3646" t="s">
        <v>129</v>
      </c>
    </row>
    <row r="3647" spans="1:13" x14ac:dyDescent="0.25">
      <c r="A3647" t="s">
        <v>24184</v>
      </c>
      <c r="B3647" t="s">
        <v>13</v>
      </c>
      <c r="C3647" t="s">
        <v>24185</v>
      </c>
      <c r="D3647" t="s">
        <v>24186</v>
      </c>
      <c r="E3647" t="s">
        <v>24187</v>
      </c>
      <c r="F3647" t="s">
        <v>9519</v>
      </c>
      <c r="G3647" t="s">
        <v>11210</v>
      </c>
      <c r="H3647" t="s">
        <v>88</v>
      </c>
      <c r="I3647" t="s">
        <v>19</v>
      </c>
      <c r="J3647" s="3" t="s">
        <v>11211</v>
      </c>
      <c r="K3647" t="s">
        <v>11212</v>
      </c>
      <c r="L3647" t="s">
        <v>764</v>
      </c>
      <c r="M3647" t="s">
        <v>32145</v>
      </c>
    </row>
    <row r="3648" spans="1:13" x14ac:dyDescent="0.25">
      <c r="A3648" t="s">
        <v>25609</v>
      </c>
      <c r="B3648" t="s">
        <v>13</v>
      </c>
      <c r="C3648" s="1">
        <v>42409</v>
      </c>
      <c r="D3648" t="s">
        <v>25610</v>
      </c>
      <c r="E3648" t="s">
        <v>25611</v>
      </c>
      <c r="F3648" t="s">
        <v>9519</v>
      </c>
      <c r="G3648" t="s">
        <v>25612</v>
      </c>
      <c r="H3648" t="s">
        <v>798</v>
      </c>
      <c r="I3648" t="s">
        <v>19</v>
      </c>
      <c r="J3648" s="3" t="s">
        <v>25613</v>
      </c>
      <c r="K3648" t="s">
        <v>25614</v>
      </c>
      <c r="L3648" t="s">
        <v>12387</v>
      </c>
      <c r="M3648" t="s">
        <v>32145</v>
      </c>
    </row>
    <row r="3649" spans="1:13" x14ac:dyDescent="0.25">
      <c r="A3649" t="s">
        <v>611</v>
      </c>
      <c r="B3649" t="s">
        <v>13</v>
      </c>
      <c r="C3649" s="1">
        <v>45170</v>
      </c>
      <c r="D3649" t="s">
        <v>612</v>
      </c>
      <c r="E3649" t="s">
        <v>613</v>
      </c>
      <c r="F3649" t="s">
        <v>117</v>
      </c>
      <c r="G3649" t="s">
        <v>614</v>
      </c>
      <c r="H3649" t="s">
        <v>615</v>
      </c>
      <c r="I3649" t="s">
        <v>19</v>
      </c>
      <c r="J3649" s="3" t="s">
        <v>616</v>
      </c>
      <c r="K3649" t="s">
        <v>617</v>
      </c>
      <c r="L3649" t="s">
        <v>618</v>
      </c>
      <c r="M3649" t="s">
        <v>32145</v>
      </c>
    </row>
    <row r="3650" spans="1:13" x14ac:dyDescent="0.25">
      <c r="A3650" t="s">
        <v>21192</v>
      </c>
      <c r="B3650" t="s">
        <v>101</v>
      </c>
      <c r="C3650" t="s">
        <v>21193</v>
      </c>
      <c r="D3650" t="s">
        <v>21194</v>
      </c>
      <c r="E3650" t="s">
        <v>21195</v>
      </c>
      <c r="F3650" t="s">
        <v>2947</v>
      </c>
      <c r="G3650" t="s">
        <v>21196</v>
      </c>
      <c r="H3650" t="s">
        <v>472</v>
      </c>
      <c r="I3650" t="s">
        <v>19</v>
      </c>
      <c r="J3650" s="3" t="s">
        <v>21197</v>
      </c>
      <c r="K3650" t="s">
        <v>21198</v>
      </c>
      <c r="L3650" t="s">
        <v>21199</v>
      </c>
      <c r="M3650" t="s">
        <v>771</v>
      </c>
    </row>
    <row r="3651" spans="1:13" x14ac:dyDescent="0.25">
      <c r="A3651" t="s">
        <v>29818</v>
      </c>
      <c r="B3651" t="s">
        <v>13</v>
      </c>
      <c r="C3651" s="1">
        <v>41395</v>
      </c>
      <c r="D3651" t="s">
        <v>29819</v>
      </c>
      <c r="E3651" t="s">
        <v>29820</v>
      </c>
      <c r="F3651" t="s">
        <v>1464</v>
      </c>
      <c r="G3651" t="s">
        <v>10440</v>
      </c>
      <c r="H3651" t="s">
        <v>36</v>
      </c>
      <c r="I3651" t="s">
        <v>19</v>
      </c>
      <c r="J3651" s="3" t="s">
        <v>29821</v>
      </c>
      <c r="K3651" t="s">
        <v>10442</v>
      </c>
      <c r="L3651" t="s">
        <v>14188</v>
      </c>
      <c r="M3651" t="s">
        <v>57</v>
      </c>
    </row>
    <row r="3652" spans="1:13" x14ac:dyDescent="0.25">
      <c r="A3652" t="s">
        <v>23290</v>
      </c>
      <c r="B3652" t="s">
        <v>13</v>
      </c>
      <c r="C3652" t="s">
        <v>23283</v>
      </c>
      <c r="D3652" t="s">
        <v>23291</v>
      </c>
      <c r="E3652" t="s">
        <v>23292</v>
      </c>
      <c r="F3652" t="s">
        <v>2036</v>
      </c>
      <c r="G3652" t="s">
        <v>19536</v>
      </c>
      <c r="H3652" t="s">
        <v>2678</v>
      </c>
      <c r="I3652" t="s">
        <v>19</v>
      </c>
      <c r="J3652" s="3" t="s">
        <v>19537</v>
      </c>
      <c r="K3652" t="s">
        <v>14218</v>
      </c>
      <c r="L3652" t="s">
        <v>993</v>
      </c>
      <c r="M3652" t="s">
        <v>57</v>
      </c>
    </row>
    <row r="3653" spans="1:13" x14ac:dyDescent="0.25">
      <c r="A3653" t="s">
        <v>3597</v>
      </c>
      <c r="B3653" t="s">
        <v>13</v>
      </c>
      <c r="C3653" t="s">
        <v>3590</v>
      </c>
      <c r="D3653" t="s">
        <v>3598</v>
      </c>
      <c r="E3653" t="s">
        <v>3599</v>
      </c>
      <c r="F3653" t="s">
        <v>3600</v>
      </c>
      <c r="G3653" t="s">
        <v>3601</v>
      </c>
      <c r="H3653" t="s">
        <v>36</v>
      </c>
      <c r="I3653" t="s">
        <v>19</v>
      </c>
      <c r="J3653" s="3" t="s">
        <v>3602</v>
      </c>
      <c r="K3653" t="s">
        <v>3603</v>
      </c>
      <c r="L3653" t="s">
        <v>3604</v>
      </c>
      <c r="M3653" t="s">
        <v>32145</v>
      </c>
    </row>
    <row r="3654" spans="1:13" x14ac:dyDescent="0.25">
      <c r="A3654" t="s">
        <v>15341</v>
      </c>
      <c r="B3654" t="s">
        <v>13</v>
      </c>
      <c r="C3654" t="s">
        <v>15332</v>
      </c>
      <c r="D3654" t="s">
        <v>15342</v>
      </c>
      <c r="E3654" t="s">
        <v>15343</v>
      </c>
      <c r="F3654" t="s">
        <v>57</v>
      </c>
      <c r="G3654" t="s">
        <v>15344</v>
      </c>
      <c r="H3654" t="s">
        <v>1027</v>
      </c>
      <c r="I3654" t="s">
        <v>19</v>
      </c>
      <c r="J3654" s="3" t="s">
        <v>15345</v>
      </c>
      <c r="K3654" t="s">
        <v>15346</v>
      </c>
      <c r="L3654" t="s">
        <v>1030</v>
      </c>
      <c r="M3654" t="s">
        <v>57</v>
      </c>
    </row>
    <row r="3655" spans="1:13" x14ac:dyDescent="0.25">
      <c r="A3655" t="s">
        <v>23453</v>
      </c>
      <c r="B3655" t="s">
        <v>13</v>
      </c>
      <c r="C3655" t="s">
        <v>8668</v>
      </c>
      <c r="D3655" t="s">
        <v>23454</v>
      </c>
      <c r="E3655" t="s">
        <v>23455</v>
      </c>
      <c r="F3655" t="s">
        <v>2036</v>
      </c>
      <c r="G3655" t="s">
        <v>19536</v>
      </c>
      <c r="H3655" t="s">
        <v>2678</v>
      </c>
      <c r="I3655" t="s">
        <v>19</v>
      </c>
      <c r="J3655" s="3" t="s">
        <v>19537</v>
      </c>
      <c r="K3655" t="s">
        <v>14218</v>
      </c>
      <c r="L3655" t="s">
        <v>993</v>
      </c>
      <c r="M3655" t="s">
        <v>57</v>
      </c>
    </row>
    <row r="3656" spans="1:13" x14ac:dyDescent="0.25">
      <c r="A3656" t="s">
        <v>16479</v>
      </c>
      <c r="B3656" t="s">
        <v>13</v>
      </c>
      <c r="C3656" t="s">
        <v>14247</v>
      </c>
      <c r="D3656" t="s">
        <v>16480</v>
      </c>
      <c r="E3656" t="s">
        <v>16481</v>
      </c>
      <c r="F3656" t="s">
        <v>57</v>
      </c>
      <c r="G3656" t="s">
        <v>2178</v>
      </c>
      <c r="H3656" t="s">
        <v>2112</v>
      </c>
      <c r="I3656" t="s">
        <v>19</v>
      </c>
      <c r="J3656" s="3">
        <f>55-45-32207344</f>
        <v>-32207334</v>
      </c>
      <c r="K3656" t="s">
        <v>14019</v>
      </c>
      <c r="L3656" t="s">
        <v>14020</v>
      </c>
      <c r="M3656" t="s">
        <v>57</v>
      </c>
    </row>
    <row r="3657" spans="1:13" x14ac:dyDescent="0.25">
      <c r="A3657" t="s">
        <v>4555</v>
      </c>
      <c r="B3657" t="s">
        <v>13</v>
      </c>
      <c r="C3657" t="s">
        <v>4535</v>
      </c>
      <c r="D3657" t="s">
        <v>4556</v>
      </c>
      <c r="E3657" t="s">
        <v>4557</v>
      </c>
      <c r="F3657" t="s">
        <v>4558</v>
      </c>
      <c r="G3657" t="s">
        <v>4559</v>
      </c>
      <c r="H3657" t="s">
        <v>36</v>
      </c>
      <c r="I3657" t="s">
        <v>19</v>
      </c>
      <c r="J3657" s="3" t="s">
        <v>4560</v>
      </c>
      <c r="K3657" t="s">
        <v>4561</v>
      </c>
      <c r="L3657" t="s">
        <v>4562</v>
      </c>
      <c r="M3657" t="s">
        <v>32144</v>
      </c>
    </row>
    <row r="3658" spans="1:13" x14ac:dyDescent="0.25">
      <c r="A3658" t="s">
        <v>22574</v>
      </c>
      <c r="B3658" t="s">
        <v>13</v>
      </c>
      <c r="C3658" t="s">
        <v>9618</v>
      </c>
      <c r="D3658" t="s">
        <v>22575</v>
      </c>
      <c r="E3658" t="s">
        <v>22576</v>
      </c>
      <c r="F3658" t="s">
        <v>129</v>
      </c>
      <c r="G3658" t="s">
        <v>22577</v>
      </c>
      <c r="H3658" t="s">
        <v>22578</v>
      </c>
      <c r="I3658" t="s">
        <v>19</v>
      </c>
      <c r="J3658" s="3">
        <f>55-19-35219595</f>
        <v>-35219559</v>
      </c>
      <c r="K3658" t="s">
        <v>22579</v>
      </c>
      <c r="L3658" t="s">
        <v>22580</v>
      </c>
      <c r="M3658" t="s">
        <v>129</v>
      </c>
    </row>
    <row r="3659" spans="1:13" x14ac:dyDescent="0.25">
      <c r="A3659" t="s">
        <v>17859</v>
      </c>
      <c r="B3659" t="s">
        <v>13</v>
      </c>
      <c r="C3659" s="1">
        <v>43681</v>
      </c>
      <c r="D3659" t="s">
        <v>17860</v>
      </c>
      <c r="E3659" t="s">
        <v>17861</v>
      </c>
      <c r="F3659" t="s">
        <v>1464</v>
      </c>
      <c r="G3659" t="s">
        <v>16559</v>
      </c>
      <c r="H3659" t="s">
        <v>12120</v>
      </c>
      <c r="I3659" t="s">
        <v>19</v>
      </c>
      <c r="J3659" s="3">
        <f>55-24-981458990</f>
        <v>-981458959</v>
      </c>
      <c r="K3659" t="s">
        <v>16560</v>
      </c>
      <c r="L3659" t="s">
        <v>12122</v>
      </c>
      <c r="M3659" t="s">
        <v>32121</v>
      </c>
    </row>
    <row r="3660" spans="1:13" x14ac:dyDescent="0.25">
      <c r="A3660" t="s">
        <v>2607</v>
      </c>
      <c r="B3660" t="s">
        <v>13</v>
      </c>
      <c r="C3660" s="1">
        <v>44842</v>
      </c>
      <c r="D3660" t="s">
        <v>2608</v>
      </c>
      <c r="E3660" s="2" t="s">
        <v>30747</v>
      </c>
      <c r="F3660" t="s">
        <v>2609</v>
      </c>
      <c r="G3660" t="s">
        <v>1621</v>
      </c>
      <c r="H3660" t="s">
        <v>1622</v>
      </c>
      <c r="I3660" t="s">
        <v>19</v>
      </c>
      <c r="J3660" s="3" t="s">
        <v>1623</v>
      </c>
      <c r="K3660" t="s">
        <v>1624</v>
      </c>
      <c r="L3660" t="s">
        <v>1625</v>
      </c>
      <c r="M3660" t="s">
        <v>1775</v>
      </c>
    </row>
    <row r="3661" spans="1:13" x14ac:dyDescent="0.25">
      <c r="A3661" t="s">
        <v>24828</v>
      </c>
      <c r="B3661" t="s">
        <v>13</v>
      </c>
      <c r="C3661" t="s">
        <v>23427</v>
      </c>
      <c r="D3661" t="s">
        <v>24829</v>
      </c>
      <c r="E3661" t="s">
        <v>24830</v>
      </c>
      <c r="F3661" t="s">
        <v>2947</v>
      </c>
      <c r="G3661" t="s">
        <v>14697</v>
      </c>
      <c r="H3661" t="s">
        <v>36</v>
      </c>
      <c r="I3661" t="s">
        <v>19</v>
      </c>
      <c r="J3661" s="3" t="s">
        <v>24506</v>
      </c>
      <c r="K3661" t="s">
        <v>14699</v>
      </c>
      <c r="L3661" t="s">
        <v>2725</v>
      </c>
      <c r="M3661" t="s">
        <v>771</v>
      </c>
    </row>
    <row r="3662" spans="1:13" x14ac:dyDescent="0.25">
      <c r="A3662" t="s">
        <v>17150</v>
      </c>
      <c r="B3662" t="s">
        <v>101</v>
      </c>
      <c r="C3662" s="1">
        <v>43744</v>
      </c>
      <c r="D3662" t="s">
        <v>17151</v>
      </c>
      <c r="E3662" t="s">
        <v>17152</v>
      </c>
      <c r="F3662" t="s">
        <v>432</v>
      </c>
      <c r="G3662" t="s">
        <v>1621</v>
      </c>
      <c r="H3662" t="s">
        <v>1622</v>
      </c>
      <c r="I3662" t="s">
        <v>19</v>
      </c>
      <c r="J3662" s="3" t="s">
        <v>1623</v>
      </c>
      <c r="K3662" t="s">
        <v>1624</v>
      </c>
      <c r="L3662" t="s">
        <v>10697</v>
      </c>
      <c r="M3662" t="s">
        <v>432</v>
      </c>
    </row>
    <row r="3663" spans="1:13" x14ac:dyDescent="0.25">
      <c r="A3663" t="s">
        <v>24922</v>
      </c>
      <c r="B3663" t="s">
        <v>13</v>
      </c>
      <c r="C3663" t="s">
        <v>24923</v>
      </c>
      <c r="D3663" t="s">
        <v>24924</v>
      </c>
      <c r="E3663" t="s">
        <v>24925</v>
      </c>
      <c r="F3663" t="s">
        <v>432</v>
      </c>
      <c r="G3663" t="s">
        <v>24926</v>
      </c>
      <c r="H3663" t="s">
        <v>265</v>
      </c>
      <c r="I3663" t="s">
        <v>19</v>
      </c>
      <c r="J3663" s="3" t="s">
        <v>24927</v>
      </c>
      <c r="K3663" t="s">
        <v>24928</v>
      </c>
      <c r="L3663" t="s">
        <v>3558</v>
      </c>
      <c r="M3663" t="s">
        <v>32162</v>
      </c>
    </row>
    <row r="3664" spans="1:13" x14ac:dyDescent="0.25">
      <c r="A3664" t="s">
        <v>10762</v>
      </c>
      <c r="B3664" t="s">
        <v>101</v>
      </c>
      <c r="C3664" t="s">
        <v>10729</v>
      </c>
      <c r="D3664" t="s">
        <v>10763</v>
      </c>
      <c r="E3664" t="s">
        <v>10764</v>
      </c>
      <c r="F3664" t="s">
        <v>2530</v>
      </c>
      <c r="G3664" t="s">
        <v>10362</v>
      </c>
      <c r="H3664" t="s">
        <v>6087</v>
      </c>
      <c r="I3664" t="s">
        <v>19</v>
      </c>
      <c r="J3664" s="3">
        <v>5504635200715</v>
      </c>
      <c r="K3664" t="s">
        <v>10363</v>
      </c>
      <c r="L3664" t="s">
        <v>2115</v>
      </c>
      <c r="M3664" t="s">
        <v>741</v>
      </c>
    </row>
    <row r="3665" spans="1:13" x14ac:dyDescent="0.25">
      <c r="A3665" t="s">
        <v>17751</v>
      </c>
      <c r="B3665" t="s">
        <v>13</v>
      </c>
      <c r="C3665" s="1">
        <v>42989</v>
      </c>
      <c r="D3665" t="s">
        <v>17752</v>
      </c>
      <c r="E3665" t="s">
        <v>17753</v>
      </c>
      <c r="F3665" t="s">
        <v>1464</v>
      </c>
      <c r="G3665" t="s">
        <v>17754</v>
      </c>
      <c r="H3665" t="s">
        <v>195</v>
      </c>
      <c r="I3665" t="s">
        <v>19</v>
      </c>
      <c r="J3665" s="3">
        <v>551633519601</v>
      </c>
      <c r="K3665" t="s">
        <v>17755</v>
      </c>
      <c r="L3665" t="s">
        <v>197</v>
      </c>
      <c r="M3665" t="s">
        <v>1775</v>
      </c>
    </row>
    <row r="3666" spans="1:13" x14ac:dyDescent="0.25">
      <c r="A3666" t="s">
        <v>23430</v>
      </c>
      <c r="B3666" t="s">
        <v>13</v>
      </c>
      <c r="C3666" t="s">
        <v>23431</v>
      </c>
      <c r="D3666" t="s">
        <v>23432</v>
      </c>
      <c r="E3666" s="2" t="s">
        <v>32487</v>
      </c>
      <c r="F3666" t="s">
        <v>1464</v>
      </c>
      <c r="G3666" t="s">
        <v>23201</v>
      </c>
      <c r="H3666" t="s">
        <v>28</v>
      </c>
      <c r="I3666" t="s">
        <v>19</v>
      </c>
      <c r="J3666" s="3" t="s">
        <v>23433</v>
      </c>
      <c r="K3666" t="s">
        <v>23203</v>
      </c>
      <c r="L3666" t="s">
        <v>23204</v>
      </c>
      <c r="M3666" t="s">
        <v>1775</v>
      </c>
    </row>
    <row r="3667" spans="1:13" x14ac:dyDescent="0.25">
      <c r="A3667" t="s">
        <v>20162</v>
      </c>
      <c r="B3667" t="s">
        <v>13</v>
      </c>
      <c r="C3667" s="1">
        <v>43259</v>
      </c>
      <c r="D3667" t="s">
        <v>20163</v>
      </c>
      <c r="E3667" t="s">
        <v>2392</v>
      </c>
      <c r="F3667" t="s">
        <v>1464</v>
      </c>
      <c r="G3667" t="s">
        <v>14459</v>
      </c>
      <c r="H3667" t="s">
        <v>45</v>
      </c>
      <c r="I3667" t="s">
        <v>19</v>
      </c>
      <c r="J3667" s="3">
        <v>5588996351616</v>
      </c>
      <c r="K3667" t="s">
        <v>14460</v>
      </c>
      <c r="L3667" t="s">
        <v>14461</v>
      </c>
      <c r="M3667" t="s">
        <v>1775</v>
      </c>
    </row>
    <row r="3668" spans="1:13" x14ac:dyDescent="0.25">
      <c r="A3668" t="s">
        <v>17981</v>
      </c>
      <c r="B3668" t="s">
        <v>13</v>
      </c>
      <c r="C3668" t="s">
        <v>16588</v>
      </c>
      <c r="D3668" t="s">
        <v>17982</v>
      </c>
      <c r="E3668" t="s">
        <v>17983</v>
      </c>
      <c r="F3668" t="s">
        <v>1464</v>
      </c>
      <c r="G3668" t="s">
        <v>17984</v>
      </c>
      <c r="H3668" t="s">
        <v>45</v>
      </c>
      <c r="I3668" t="s">
        <v>19</v>
      </c>
      <c r="J3668" s="3">
        <f>55-85-987511433</f>
        <v>-987511463</v>
      </c>
      <c r="K3668" t="s">
        <v>17985</v>
      </c>
      <c r="L3668" t="s">
        <v>48</v>
      </c>
      <c r="M3668" t="s">
        <v>1775</v>
      </c>
    </row>
    <row r="3669" spans="1:13" x14ac:dyDescent="0.25">
      <c r="A3669" t="s">
        <v>12206</v>
      </c>
      <c r="B3669" t="s">
        <v>13</v>
      </c>
      <c r="C3669" t="s">
        <v>7455</v>
      </c>
      <c r="D3669" t="s">
        <v>12207</v>
      </c>
      <c r="E3669" s="2" t="s">
        <v>31034</v>
      </c>
      <c r="F3669" t="s">
        <v>1464</v>
      </c>
      <c r="G3669" t="s">
        <v>12208</v>
      </c>
      <c r="H3669" t="s">
        <v>12209</v>
      </c>
      <c r="I3669" t="s">
        <v>19</v>
      </c>
      <c r="J3669" s="3" t="s">
        <v>12210</v>
      </c>
      <c r="K3669" t="s">
        <v>12211</v>
      </c>
      <c r="L3669" t="s">
        <v>1909</v>
      </c>
      <c r="M3669" t="s">
        <v>1775</v>
      </c>
    </row>
    <row r="3670" spans="1:13" x14ac:dyDescent="0.25">
      <c r="A3670" t="s">
        <v>24315</v>
      </c>
      <c r="B3670" t="s">
        <v>13</v>
      </c>
      <c r="C3670" s="1">
        <v>42983</v>
      </c>
      <c r="D3670" t="s">
        <v>24316</v>
      </c>
      <c r="E3670" t="s">
        <v>32488</v>
      </c>
      <c r="F3670" t="s">
        <v>1464</v>
      </c>
      <c r="G3670" t="s">
        <v>22671</v>
      </c>
      <c r="H3670" t="s">
        <v>88</v>
      </c>
      <c r="I3670" t="s">
        <v>19</v>
      </c>
      <c r="J3670" s="3" t="s">
        <v>24317</v>
      </c>
      <c r="K3670" t="s">
        <v>22672</v>
      </c>
      <c r="L3670" t="s">
        <v>764</v>
      </c>
      <c r="M3670" t="s">
        <v>1775</v>
      </c>
    </row>
    <row r="3671" spans="1:13" x14ac:dyDescent="0.25">
      <c r="A3671" t="s">
        <v>17070</v>
      </c>
      <c r="B3671" t="s">
        <v>13</v>
      </c>
      <c r="C3671" t="s">
        <v>17060</v>
      </c>
      <c r="D3671" t="s">
        <v>17071</v>
      </c>
      <c r="E3671" t="s">
        <v>17072</v>
      </c>
      <c r="F3671" t="s">
        <v>2036</v>
      </c>
      <c r="G3671" t="s">
        <v>17073</v>
      </c>
      <c r="H3671" t="s">
        <v>17074</v>
      </c>
      <c r="I3671" t="s">
        <v>15828</v>
      </c>
      <c r="J3671" s="3" t="s">
        <v>17075</v>
      </c>
      <c r="K3671" t="s">
        <v>17076</v>
      </c>
      <c r="L3671" t="s">
        <v>17077</v>
      </c>
      <c r="M3671" t="s">
        <v>57</v>
      </c>
    </row>
    <row r="3672" spans="1:13" x14ac:dyDescent="0.25">
      <c r="A3672" t="s">
        <v>13343</v>
      </c>
      <c r="B3672" t="s">
        <v>13</v>
      </c>
      <c r="C3672" t="s">
        <v>5232</v>
      </c>
      <c r="D3672" t="s">
        <v>13344</v>
      </c>
      <c r="E3672" t="s">
        <v>13345</v>
      </c>
      <c r="F3672" t="s">
        <v>1464</v>
      </c>
      <c r="G3672" t="s">
        <v>13346</v>
      </c>
      <c r="H3672" t="s">
        <v>88</v>
      </c>
      <c r="I3672" t="s">
        <v>19</v>
      </c>
      <c r="J3672" s="3">
        <v>558432153857</v>
      </c>
      <c r="K3672" t="s">
        <v>13347</v>
      </c>
      <c r="L3672" t="s">
        <v>91</v>
      </c>
      <c r="M3672" t="s">
        <v>1775</v>
      </c>
    </row>
    <row r="3673" spans="1:13" x14ac:dyDescent="0.25">
      <c r="A3673" t="s">
        <v>11704</v>
      </c>
      <c r="B3673" t="s">
        <v>13</v>
      </c>
      <c r="C3673" t="s">
        <v>2310</v>
      </c>
      <c r="D3673" t="s">
        <v>11705</v>
      </c>
      <c r="E3673" s="2" t="s">
        <v>32489</v>
      </c>
      <c r="F3673" t="s">
        <v>1464</v>
      </c>
      <c r="G3673" t="s">
        <v>11706</v>
      </c>
      <c r="H3673" t="s">
        <v>706</v>
      </c>
      <c r="I3673" t="s">
        <v>19</v>
      </c>
      <c r="J3673" s="3">
        <f>55-35-991825264</f>
        <v>-991825244</v>
      </c>
      <c r="K3673" t="s">
        <v>11707</v>
      </c>
      <c r="L3673" t="s">
        <v>565</v>
      </c>
      <c r="M3673" t="s">
        <v>32144</v>
      </c>
    </row>
    <row r="3674" spans="1:13" x14ac:dyDescent="0.25">
      <c r="A3674" t="s">
        <v>18301</v>
      </c>
      <c r="B3674" t="s">
        <v>13</v>
      </c>
      <c r="C3674" t="s">
        <v>18302</v>
      </c>
      <c r="D3674" t="s">
        <v>18303</v>
      </c>
      <c r="E3674" s="2" t="s">
        <v>31633</v>
      </c>
      <c r="F3674" t="s">
        <v>1464</v>
      </c>
      <c r="G3674" t="s">
        <v>18304</v>
      </c>
      <c r="H3674" t="s">
        <v>1215</v>
      </c>
      <c r="I3674" t="s">
        <v>19</v>
      </c>
      <c r="J3674" s="3">
        <v>55018997610660</v>
      </c>
      <c r="K3674" t="s">
        <v>18305</v>
      </c>
      <c r="L3674" t="s">
        <v>18306</v>
      </c>
      <c r="M3674" t="s">
        <v>1775</v>
      </c>
    </row>
    <row r="3675" spans="1:13" x14ac:dyDescent="0.25">
      <c r="A3675" t="s">
        <v>6951</v>
      </c>
      <c r="B3675" t="s">
        <v>13</v>
      </c>
      <c r="C3675" s="1">
        <v>44384</v>
      </c>
      <c r="D3675" t="s">
        <v>6952</v>
      </c>
      <c r="E3675" s="2" t="s">
        <v>30917</v>
      </c>
      <c r="F3675" t="s">
        <v>6953</v>
      </c>
      <c r="G3675" t="s">
        <v>6954</v>
      </c>
      <c r="H3675" t="s">
        <v>1486</v>
      </c>
      <c r="I3675" t="s">
        <v>19</v>
      </c>
      <c r="J3675" s="3" t="s">
        <v>6955</v>
      </c>
      <c r="K3675" t="s">
        <v>6956</v>
      </c>
      <c r="L3675" t="s">
        <v>32135</v>
      </c>
      <c r="M3675" t="s">
        <v>1775</v>
      </c>
    </row>
    <row r="3676" spans="1:13" x14ac:dyDescent="0.25">
      <c r="A3676" t="s">
        <v>18750</v>
      </c>
      <c r="B3676" t="s">
        <v>13</v>
      </c>
      <c r="C3676" t="s">
        <v>18751</v>
      </c>
      <c r="D3676" t="s">
        <v>18752</v>
      </c>
      <c r="E3676" s="2" t="s">
        <v>31573</v>
      </c>
      <c r="F3676" t="s">
        <v>1464</v>
      </c>
      <c r="G3676" t="s">
        <v>18753</v>
      </c>
      <c r="H3676" t="s">
        <v>88</v>
      </c>
      <c r="I3676" t="s">
        <v>19</v>
      </c>
      <c r="J3676" s="3" t="s">
        <v>18754</v>
      </c>
      <c r="K3676" t="s">
        <v>18755</v>
      </c>
      <c r="L3676" t="s">
        <v>18756</v>
      </c>
      <c r="M3676" t="s">
        <v>1775</v>
      </c>
    </row>
    <row r="3677" spans="1:13" x14ac:dyDescent="0.25">
      <c r="A3677" t="s">
        <v>5402</v>
      </c>
      <c r="B3677" t="s">
        <v>13</v>
      </c>
      <c r="C3677" s="1">
        <v>44420</v>
      </c>
      <c r="D3677" t="s">
        <v>32135</v>
      </c>
      <c r="E3677" t="s">
        <v>5403</v>
      </c>
      <c r="F3677" t="s">
        <v>5404</v>
      </c>
      <c r="G3677" t="s">
        <v>5405</v>
      </c>
      <c r="H3677" t="s">
        <v>28</v>
      </c>
      <c r="I3677" t="s">
        <v>19</v>
      </c>
      <c r="J3677" s="3" t="s">
        <v>5406</v>
      </c>
      <c r="K3677" t="s">
        <v>5407</v>
      </c>
      <c r="L3677" t="s">
        <v>32135</v>
      </c>
      <c r="M3677" t="s">
        <v>32194</v>
      </c>
    </row>
    <row r="3678" spans="1:13" x14ac:dyDescent="0.25">
      <c r="A3678" t="s">
        <v>10736</v>
      </c>
      <c r="B3678" t="s">
        <v>13</v>
      </c>
      <c r="C3678" t="s">
        <v>10729</v>
      </c>
      <c r="D3678" t="s">
        <v>10737</v>
      </c>
      <c r="E3678" s="2" t="s">
        <v>32490</v>
      </c>
      <c r="F3678" t="s">
        <v>306</v>
      </c>
      <c r="G3678" t="s">
        <v>10738</v>
      </c>
      <c r="H3678" t="s">
        <v>88</v>
      </c>
      <c r="I3678" t="s">
        <v>19</v>
      </c>
      <c r="J3678" s="3">
        <f>55-84-991235014</f>
        <v>-991235043</v>
      </c>
      <c r="K3678" t="s">
        <v>10739</v>
      </c>
      <c r="L3678" t="s">
        <v>91</v>
      </c>
      <c r="M3678" t="s">
        <v>32145</v>
      </c>
    </row>
    <row r="3679" spans="1:13" x14ac:dyDescent="0.25">
      <c r="A3679" t="s">
        <v>25732</v>
      </c>
      <c r="B3679" t="s">
        <v>101</v>
      </c>
      <c r="C3679" s="1">
        <v>42682</v>
      </c>
      <c r="D3679" t="s">
        <v>25733</v>
      </c>
      <c r="E3679" t="s">
        <v>32491</v>
      </c>
      <c r="F3679" t="s">
        <v>1464</v>
      </c>
      <c r="G3679" t="s">
        <v>25734</v>
      </c>
      <c r="H3679" t="s">
        <v>983</v>
      </c>
      <c r="I3679" t="s">
        <v>19</v>
      </c>
      <c r="J3679" s="3" t="s">
        <v>25735</v>
      </c>
      <c r="K3679" t="s">
        <v>25736</v>
      </c>
      <c r="L3679" t="s">
        <v>14327</v>
      </c>
      <c r="M3679" t="s">
        <v>32121</v>
      </c>
    </row>
    <row r="3680" spans="1:13" x14ac:dyDescent="0.25">
      <c r="A3680" t="s">
        <v>13763</v>
      </c>
      <c r="B3680" t="s">
        <v>13</v>
      </c>
      <c r="C3680" s="1">
        <v>43892</v>
      </c>
      <c r="D3680" t="s">
        <v>13764</v>
      </c>
      <c r="E3680" s="2" t="s">
        <v>31080</v>
      </c>
      <c r="F3680" t="s">
        <v>306</v>
      </c>
      <c r="G3680" t="s">
        <v>13765</v>
      </c>
      <c r="H3680" t="s">
        <v>352</v>
      </c>
      <c r="I3680" t="s">
        <v>19</v>
      </c>
      <c r="J3680" s="3">
        <f>55-21-998097982</f>
        <v>-998097948</v>
      </c>
      <c r="K3680" t="s">
        <v>13766</v>
      </c>
      <c r="L3680" t="s">
        <v>1232</v>
      </c>
      <c r="M3680" t="s">
        <v>32145</v>
      </c>
    </row>
    <row r="3681" spans="1:13" x14ac:dyDescent="0.25">
      <c r="A3681" t="s">
        <v>11222</v>
      </c>
      <c r="B3681" t="s">
        <v>101</v>
      </c>
      <c r="C3681" s="1">
        <v>43837</v>
      </c>
      <c r="D3681" t="s">
        <v>11223</v>
      </c>
      <c r="E3681" s="2" t="s">
        <v>32492</v>
      </c>
      <c r="F3681" t="s">
        <v>306</v>
      </c>
      <c r="G3681" t="s">
        <v>11224</v>
      </c>
      <c r="H3681" t="s">
        <v>983</v>
      </c>
      <c r="I3681" t="s">
        <v>19</v>
      </c>
      <c r="J3681" s="3" t="s">
        <v>11225</v>
      </c>
      <c r="K3681" t="s">
        <v>11226</v>
      </c>
      <c r="L3681" t="s">
        <v>285</v>
      </c>
      <c r="M3681" t="s">
        <v>32145</v>
      </c>
    </row>
    <row r="3682" spans="1:13" x14ac:dyDescent="0.25">
      <c r="A3682" t="s">
        <v>14665</v>
      </c>
      <c r="B3682" t="s">
        <v>13</v>
      </c>
      <c r="C3682" s="1">
        <v>42924</v>
      </c>
      <c r="D3682" t="s">
        <v>14666</v>
      </c>
      <c r="E3682" t="s">
        <v>14667</v>
      </c>
      <c r="F3682" t="s">
        <v>117</v>
      </c>
      <c r="G3682" t="s">
        <v>14668</v>
      </c>
      <c r="H3682" t="s">
        <v>265</v>
      </c>
      <c r="I3682" t="s">
        <v>19</v>
      </c>
      <c r="J3682" s="3" t="s">
        <v>14669</v>
      </c>
      <c r="K3682" t="s">
        <v>14670</v>
      </c>
      <c r="L3682" t="s">
        <v>3558</v>
      </c>
      <c r="M3682" t="s">
        <v>32145</v>
      </c>
    </row>
    <row r="3683" spans="1:13" x14ac:dyDescent="0.25">
      <c r="A3683" t="s">
        <v>15913</v>
      </c>
      <c r="B3683" t="s">
        <v>13</v>
      </c>
      <c r="C3683" t="s">
        <v>15322</v>
      </c>
      <c r="D3683" t="s">
        <v>15914</v>
      </c>
      <c r="E3683" s="2" t="s">
        <v>32493</v>
      </c>
      <c r="F3683" t="s">
        <v>306</v>
      </c>
      <c r="G3683" t="s">
        <v>15915</v>
      </c>
      <c r="H3683" t="s">
        <v>7753</v>
      </c>
      <c r="I3683" t="s">
        <v>19</v>
      </c>
      <c r="J3683" s="3" t="s">
        <v>15916</v>
      </c>
      <c r="K3683" t="s">
        <v>15917</v>
      </c>
      <c r="L3683" t="s">
        <v>15392</v>
      </c>
      <c r="M3683" t="s">
        <v>1349</v>
      </c>
    </row>
    <row r="3684" spans="1:13" x14ac:dyDescent="0.25">
      <c r="A3684" t="s">
        <v>9613</v>
      </c>
      <c r="B3684" t="s">
        <v>13</v>
      </c>
      <c r="C3684" s="1">
        <v>43864</v>
      </c>
      <c r="D3684" t="s">
        <v>9614</v>
      </c>
      <c r="E3684" t="s">
        <v>32494</v>
      </c>
      <c r="F3684" t="s">
        <v>306</v>
      </c>
      <c r="G3684" t="s">
        <v>9615</v>
      </c>
      <c r="H3684" t="s">
        <v>798</v>
      </c>
      <c r="I3684" t="s">
        <v>19</v>
      </c>
      <c r="J3684" s="3">
        <f>55-61-31070092</f>
        <v>-31070098</v>
      </c>
      <c r="K3684" t="s">
        <v>9616</v>
      </c>
      <c r="L3684" t="s">
        <v>1767</v>
      </c>
      <c r="M3684" t="s">
        <v>32145</v>
      </c>
    </row>
    <row r="3685" spans="1:13" x14ac:dyDescent="0.25">
      <c r="A3685" t="s">
        <v>22529</v>
      </c>
      <c r="B3685" t="s">
        <v>101</v>
      </c>
      <c r="C3685" t="s">
        <v>22521</v>
      </c>
      <c r="D3685" t="s">
        <v>22530</v>
      </c>
      <c r="E3685" t="s">
        <v>32495</v>
      </c>
      <c r="F3685" t="s">
        <v>306</v>
      </c>
      <c r="G3685" t="s">
        <v>22531</v>
      </c>
      <c r="H3685" t="s">
        <v>141</v>
      </c>
      <c r="I3685" t="s">
        <v>19</v>
      </c>
      <c r="J3685" s="3" t="s">
        <v>22532</v>
      </c>
      <c r="K3685" t="s">
        <v>22533</v>
      </c>
      <c r="L3685" t="s">
        <v>1058</v>
      </c>
      <c r="M3685" t="s">
        <v>32145</v>
      </c>
    </row>
    <row r="3686" spans="1:13" x14ac:dyDescent="0.25">
      <c r="A3686" t="s">
        <v>20000</v>
      </c>
      <c r="B3686" t="s">
        <v>13</v>
      </c>
      <c r="C3686" t="s">
        <v>5016</v>
      </c>
      <c r="D3686" t="s">
        <v>20001</v>
      </c>
      <c r="E3686" s="2" t="s">
        <v>32496</v>
      </c>
      <c r="F3686" t="s">
        <v>306</v>
      </c>
      <c r="G3686" t="s">
        <v>20002</v>
      </c>
      <c r="H3686" t="s">
        <v>45</v>
      </c>
      <c r="I3686" t="s">
        <v>19</v>
      </c>
      <c r="J3686" s="3">
        <f>55-85-9117-5408</f>
        <v>-14555</v>
      </c>
      <c r="K3686" t="s">
        <v>20003</v>
      </c>
      <c r="L3686" t="s">
        <v>14461</v>
      </c>
      <c r="M3686" t="s">
        <v>32145</v>
      </c>
    </row>
    <row r="3687" spans="1:13" x14ac:dyDescent="0.25">
      <c r="A3687" t="s">
        <v>26058</v>
      </c>
      <c r="B3687" t="s">
        <v>13</v>
      </c>
      <c r="C3687" t="s">
        <v>25376</v>
      </c>
      <c r="D3687" t="s">
        <v>26059</v>
      </c>
      <c r="E3687" t="s">
        <v>32497</v>
      </c>
      <c r="F3687" t="s">
        <v>306</v>
      </c>
      <c r="G3687" t="s">
        <v>26060</v>
      </c>
      <c r="H3687" t="s">
        <v>352</v>
      </c>
      <c r="I3687" t="s">
        <v>19</v>
      </c>
      <c r="J3687" s="3">
        <v>552128688332</v>
      </c>
      <c r="K3687" t="s">
        <v>26061</v>
      </c>
      <c r="L3687" t="s">
        <v>550</v>
      </c>
      <c r="M3687" t="s">
        <v>32145</v>
      </c>
    </row>
    <row r="3688" spans="1:13" x14ac:dyDescent="0.25">
      <c r="A3688" t="s">
        <v>10296</v>
      </c>
      <c r="B3688" t="s">
        <v>13</v>
      </c>
      <c r="C3688" t="s">
        <v>10297</v>
      </c>
      <c r="D3688" t="s">
        <v>10298</v>
      </c>
      <c r="E3688" s="2" t="s">
        <v>32498</v>
      </c>
      <c r="F3688" t="s">
        <v>306</v>
      </c>
      <c r="G3688" t="s">
        <v>10299</v>
      </c>
      <c r="H3688" t="s">
        <v>1090</v>
      </c>
      <c r="I3688" t="s">
        <v>19</v>
      </c>
      <c r="J3688" s="3" t="s">
        <v>10300</v>
      </c>
      <c r="K3688" t="s">
        <v>10301</v>
      </c>
      <c r="L3688" t="s">
        <v>10302</v>
      </c>
      <c r="M3688" t="s">
        <v>32145</v>
      </c>
    </row>
    <row r="3689" spans="1:13" x14ac:dyDescent="0.25">
      <c r="A3689" t="s">
        <v>28523</v>
      </c>
      <c r="B3689" t="s">
        <v>13</v>
      </c>
      <c r="C3689" t="s">
        <v>28521</v>
      </c>
      <c r="D3689" t="s">
        <v>28524</v>
      </c>
      <c r="E3689" t="s">
        <v>32499</v>
      </c>
      <c r="F3689" t="s">
        <v>306</v>
      </c>
      <c r="G3689" t="s">
        <v>19810</v>
      </c>
      <c r="H3689" t="s">
        <v>255</v>
      </c>
      <c r="I3689" t="s">
        <v>19</v>
      </c>
      <c r="J3689" s="3" t="s">
        <v>28525</v>
      </c>
      <c r="K3689" t="s">
        <v>19812</v>
      </c>
      <c r="L3689" t="s">
        <v>28526</v>
      </c>
      <c r="M3689" t="s">
        <v>32145</v>
      </c>
    </row>
    <row r="3690" spans="1:13" x14ac:dyDescent="0.25">
      <c r="A3690" t="s">
        <v>17668</v>
      </c>
      <c r="B3690" t="s">
        <v>13</v>
      </c>
      <c r="C3690" t="s">
        <v>17669</v>
      </c>
      <c r="D3690" t="s">
        <v>17670</v>
      </c>
      <c r="E3690" t="s">
        <v>32791</v>
      </c>
      <c r="F3690" t="s">
        <v>306</v>
      </c>
      <c r="G3690" t="s">
        <v>17671</v>
      </c>
      <c r="H3690" t="s">
        <v>45</v>
      </c>
      <c r="I3690" t="s">
        <v>19</v>
      </c>
      <c r="J3690" s="3">
        <f>55-85-988227108</f>
        <v>-988227138</v>
      </c>
      <c r="K3690" t="s">
        <v>17672</v>
      </c>
      <c r="L3690" t="s">
        <v>678</v>
      </c>
      <c r="M3690" t="s">
        <v>32145</v>
      </c>
    </row>
    <row r="3691" spans="1:13" x14ac:dyDescent="0.25">
      <c r="A3691" t="s">
        <v>24274</v>
      </c>
      <c r="B3691" t="s">
        <v>13</v>
      </c>
      <c r="C3691" t="s">
        <v>24275</v>
      </c>
      <c r="D3691" t="s">
        <v>24276</v>
      </c>
      <c r="E3691" s="2" t="s">
        <v>32500</v>
      </c>
      <c r="F3691" t="s">
        <v>306</v>
      </c>
      <c r="G3691" t="s">
        <v>15695</v>
      </c>
      <c r="H3691" t="s">
        <v>3618</v>
      </c>
      <c r="I3691" t="s">
        <v>19</v>
      </c>
      <c r="J3691" s="3" t="s">
        <v>15696</v>
      </c>
      <c r="K3691" t="s">
        <v>15697</v>
      </c>
      <c r="L3691" t="s">
        <v>15698</v>
      </c>
      <c r="M3691" t="s">
        <v>32145</v>
      </c>
    </row>
    <row r="3692" spans="1:13" x14ac:dyDescent="0.25">
      <c r="A3692" t="s">
        <v>14644</v>
      </c>
      <c r="B3692" t="s">
        <v>13</v>
      </c>
      <c r="C3692" s="1">
        <v>42502</v>
      </c>
      <c r="D3692" t="s">
        <v>14645</v>
      </c>
      <c r="E3692" t="s">
        <v>32501</v>
      </c>
      <c r="F3692" t="s">
        <v>306</v>
      </c>
      <c r="G3692" t="s">
        <v>14646</v>
      </c>
      <c r="H3692" t="s">
        <v>462</v>
      </c>
      <c r="I3692" t="s">
        <v>19</v>
      </c>
      <c r="J3692" s="3" t="s">
        <v>14647</v>
      </c>
      <c r="K3692" t="s">
        <v>14648</v>
      </c>
      <c r="L3692" t="s">
        <v>14649</v>
      </c>
      <c r="M3692" t="s">
        <v>32145</v>
      </c>
    </row>
    <row r="3693" spans="1:13" x14ac:dyDescent="0.25">
      <c r="A3693" t="s">
        <v>24332</v>
      </c>
      <c r="B3693" t="s">
        <v>13</v>
      </c>
      <c r="C3693" s="1">
        <v>42830</v>
      </c>
      <c r="D3693" t="s">
        <v>24333</v>
      </c>
      <c r="E3693" t="s">
        <v>32502</v>
      </c>
      <c r="F3693" t="s">
        <v>306</v>
      </c>
      <c r="G3693" t="s">
        <v>24334</v>
      </c>
      <c r="H3693" t="s">
        <v>36</v>
      </c>
      <c r="I3693" t="s">
        <v>19</v>
      </c>
      <c r="J3693" s="3">
        <v>551130617259</v>
      </c>
      <c r="K3693" t="s">
        <v>24335</v>
      </c>
      <c r="L3693" t="s">
        <v>24336</v>
      </c>
      <c r="M3693" t="s">
        <v>32145</v>
      </c>
    </row>
    <row r="3694" spans="1:13" x14ac:dyDescent="0.25">
      <c r="A3694" t="s">
        <v>25785</v>
      </c>
      <c r="B3694" t="s">
        <v>13</v>
      </c>
      <c r="C3694" t="s">
        <v>25786</v>
      </c>
      <c r="D3694" t="s">
        <v>25787</v>
      </c>
      <c r="E3694" s="2" t="s">
        <v>32503</v>
      </c>
      <c r="F3694" t="s">
        <v>306</v>
      </c>
      <c r="G3694" t="s">
        <v>25788</v>
      </c>
      <c r="H3694" t="s">
        <v>265</v>
      </c>
      <c r="I3694" t="s">
        <v>19</v>
      </c>
      <c r="J3694" s="3" t="s">
        <v>25789</v>
      </c>
      <c r="K3694" t="s">
        <v>25790</v>
      </c>
      <c r="L3694" t="s">
        <v>25791</v>
      </c>
      <c r="M3694" t="s">
        <v>32145</v>
      </c>
    </row>
    <row r="3695" spans="1:13" x14ac:dyDescent="0.25">
      <c r="A3695" t="s">
        <v>11053</v>
      </c>
      <c r="B3695" t="s">
        <v>13</v>
      </c>
      <c r="C3695" s="1">
        <v>44111</v>
      </c>
      <c r="D3695" t="s">
        <v>11054</v>
      </c>
      <c r="E3695" s="2" t="s">
        <v>32504</v>
      </c>
      <c r="F3695" t="s">
        <v>117</v>
      </c>
      <c r="G3695" t="s">
        <v>11055</v>
      </c>
      <c r="H3695" t="s">
        <v>1037</v>
      </c>
      <c r="I3695" t="s">
        <v>19</v>
      </c>
      <c r="J3695" s="3" t="s">
        <v>11056</v>
      </c>
      <c r="K3695" t="s">
        <v>11057</v>
      </c>
      <c r="L3695" t="s">
        <v>1040</v>
      </c>
      <c r="M3695" t="s">
        <v>32145</v>
      </c>
    </row>
    <row r="3696" spans="1:13" x14ac:dyDescent="0.25">
      <c r="A3696" t="s">
        <v>15220</v>
      </c>
      <c r="B3696" t="s">
        <v>13</v>
      </c>
      <c r="C3696" t="s">
        <v>303</v>
      </c>
      <c r="D3696" t="s">
        <v>15221</v>
      </c>
      <c r="E3696" s="2" t="s">
        <v>32505</v>
      </c>
      <c r="F3696" t="s">
        <v>306</v>
      </c>
      <c r="G3696" t="s">
        <v>15222</v>
      </c>
      <c r="H3696" t="s">
        <v>36</v>
      </c>
      <c r="I3696" t="s">
        <v>19</v>
      </c>
      <c r="J3696" s="3">
        <v>5501130618100</v>
      </c>
      <c r="K3696" t="s">
        <v>15223</v>
      </c>
      <c r="L3696" t="s">
        <v>321</v>
      </c>
      <c r="M3696" t="s">
        <v>32145</v>
      </c>
    </row>
    <row r="3697" spans="1:13" x14ac:dyDescent="0.25">
      <c r="A3697" t="s">
        <v>12471</v>
      </c>
      <c r="B3697" t="s">
        <v>13</v>
      </c>
      <c r="C3697" s="1">
        <v>44016</v>
      </c>
      <c r="D3697" t="s">
        <v>12472</v>
      </c>
      <c r="E3697" s="2" t="s">
        <v>32506</v>
      </c>
      <c r="F3697" t="s">
        <v>306</v>
      </c>
      <c r="G3697" t="s">
        <v>4955</v>
      </c>
      <c r="H3697" t="s">
        <v>8003</v>
      </c>
      <c r="I3697" t="s">
        <v>19</v>
      </c>
      <c r="J3697" s="3" t="s">
        <v>12473</v>
      </c>
      <c r="K3697" t="s">
        <v>4957</v>
      </c>
      <c r="L3697" t="s">
        <v>12474</v>
      </c>
      <c r="M3697" t="s">
        <v>32145</v>
      </c>
    </row>
    <row r="3698" spans="1:13" x14ac:dyDescent="0.25">
      <c r="A3698" t="s">
        <v>9146</v>
      </c>
      <c r="B3698" t="s">
        <v>101</v>
      </c>
      <c r="C3698" s="1">
        <v>43901</v>
      </c>
      <c r="D3698" t="s">
        <v>9147</v>
      </c>
      <c r="E3698" t="s">
        <v>9148</v>
      </c>
      <c r="F3698" t="s">
        <v>306</v>
      </c>
      <c r="G3698" t="s">
        <v>9149</v>
      </c>
      <c r="H3698" t="s">
        <v>1656</v>
      </c>
      <c r="I3698" t="s">
        <v>19</v>
      </c>
      <c r="J3698" s="3">
        <v>5505532201200</v>
      </c>
      <c r="K3698" t="s">
        <v>9150</v>
      </c>
      <c r="L3698" t="s">
        <v>9151</v>
      </c>
      <c r="M3698" t="s">
        <v>32145</v>
      </c>
    </row>
    <row r="3699" spans="1:13" x14ac:dyDescent="0.25">
      <c r="A3699" t="s">
        <v>20697</v>
      </c>
      <c r="B3699" t="s">
        <v>13</v>
      </c>
      <c r="C3699" s="1">
        <v>43258</v>
      </c>
      <c r="D3699" t="s">
        <v>20698</v>
      </c>
      <c r="E3699" t="s">
        <v>20699</v>
      </c>
      <c r="F3699" t="s">
        <v>306</v>
      </c>
      <c r="G3699" t="s">
        <v>20700</v>
      </c>
      <c r="H3699" t="s">
        <v>36</v>
      </c>
      <c r="I3699" t="s">
        <v>19</v>
      </c>
      <c r="J3699" s="3">
        <f>55-11-29256035</f>
        <v>-29255991</v>
      </c>
      <c r="K3699" t="s">
        <v>20701</v>
      </c>
      <c r="L3699" t="s">
        <v>20702</v>
      </c>
      <c r="M3699" t="s">
        <v>32145</v>
      </c>
    </row>
    <row r="3700" spans="1:13" x14ac:dyDescent="0.25">
      <c r="A3700" t="s">
        <v>28341</v>
      </c>
      <c r="B3700" t="s">
        <v>13</v>
      </c>
      <c r="C3700" s="1">
        <v>42189</v>
      </c>
      <c r="D3700" t="s">
        <v>28342</v>
      </c>
      <c r="E3700" t="s">
        <v>32507</v>
      </c>
      <c r="F3700" t="s">
        <v>28343</v>
      </c>
      <c r="G3700" t="s">
        <v>28344</v>
      </c>
      <c r="H3700" t="s">
        <v>4092</v>
      </c>
      <c r="I3700" t="s">
        <v>19</v>
      </c>
      <c r="J3700" s="3" t="s">
        <v>28345</v>
      </c>
      <c r="K3700" t="s">
        <v>28346</v>
      </c>
      <c r="L3700" t="s">
        <v>11114</v>
      </c>
      <c r="M3700" t="s">
        <v>32145</v>
      </c>
    </row>
    <row r="3701" spans="1:13" x14ac:dyDescent="0.25">
      <c r="A3701" t="s">
        <v>24397</v>
      </c>
      <c r="B3701" t="s">
        <v>13</v>
      </c>
      <c r="C3701" s="1">
        <v>43012</v>
      </c>
      <c r="D3701" t="s">
        <v>24398</v>
      </c>
      <c r="E3701" t="s">
        <v>32508</v>
      </c>
      <c r="F3701" t="s">
        <v>1349</v>
      </c>
      <c r="G3701" t="s">
        <v>24399</v>
      </c>
      <c r="H3701" t="s">
        <v>36</v>
      </c>
      <c r="I3701" t="s">
        <v>19</v>
      </c>
      <c r="J3701" s="3" t="s">
        <v>24400</v>
      </c>
      <c r="K3701" t="s">
        <v>24401</v>
      </c>
      <c r="L3701" t="s">
        <v>24402</v>
      </c>
      <c r="M3701" t="s">
        <v>1349</v>
      </c>
    </row>
    <row r="3702" spans="1:13" x14ac:dyDescent="0.25">
      <c r="A3702" t="s">
        <v>18975</v>
      </c>
      <c r="B3702" t="s">
        <v>13</v>
      </c>
      <c r="C3702" t="s">
        <v>18970</v>
      </c>
      <c r="D3702" t="s">
        <v>18976</v>
      </c>
      <c r="E3702" s="2" t="s">
        <v>32509</v>
      </c>
      <c r="F3702" t="s">
        <v>332</v>
      </c>
      <c r="G3702" t="s">
        <v>18977</v>
      </c>
      <c r="H3702" t="s">
        <v>372</v>
      </c>
      <c r="I3702" t="s">
        <v>19</v>
      </c>
      <c r="J3702" s="3" t="s">
        <v>18978</v>
      </c>
      <c r="K3702" t="s">
        <v>18979</v>
      </c>
      <c r="L3702" t="s">
        <v>18980</v>
      </c>
      <c r="M3702" t="s">
        <v>337</v>
      </c>
    </row>
    <row r="3703" spans="1:13" x14ac:dyDescent="0.25">
      <c r="A3703" t="s">
        <v>21126</v>
      </c>
      <c r="B3703" t="s">
        <v>13</v>
      </c>
      <c r="C3703" s="1">
        <v>43257</v>
      </c>
      <c r="D3703" t="s">
        <v>21127</v>
      </c>
      <c r="E3703" t="s">
        <v>32510</v>
      </c>
      <c r="F3703" t="s">
        <v>306</v>
      </c>
      <c r="G3703" t="s">
        <v>21128</v>
      </c>
      <c r="H3703" t="s">
        <v>11685</v>
      </c>
      <c r="I3703" t="s">
        <v>19</v>
      </c>
      <c r="J3703" s="3">
        <f>55-85-999947623</f>
        <v>-999947653</v>
      </c>
      <c r="K3703" t="s">
        <v>21129</v>
      </c>
      <c r="L3703" t="s">
        <v>1909</v>
      </c>
      <c r="M3703" t="s">
        <v>32145</v>
      </c>
    </row>
    <row r="3704" spans="1:13" x14ac:dyDescent="0.25">
      <c r="A3704" t="s">
        <v>16807</v>
      </c>
      <c r="B3704" t="s">
        <v>13</v>
      </c>
      <c r="C3704" s="1">
        <v>43745</v>
      </c>
      <c r="D3704" t="s">
        <v>16808</v>
      </c>
      <c r="E3704" t="s">
        <v>16809</v>
      </c>
      <c r="F3704" t="s">
        <v>1464</v>
      </c>
      <c r="G3704" t="s">
        <v>16810</v>
      </c>
      <c r="H3704" t="s">
        <v>4236</v>
      </c>
      <c r="I3704" t="s">
        <v>19</v>
      </c>
      <c r="J3704" s="3">
        <v>5598981810055</v>
      </c>
      <c r="K3704" t="s">
        <v>16811</v>
      </c>
      <c r="L3704" t="s">
        <v>1727</v>
      </c>
      <c r="M3704" t="s">
        <v>32145</v>
      </c>
    </row>
    <row r="3705" spans="1:13" x14ac:dyDescent="0.25">
      <c r="A3705" t="s">
        <v>1201</v>
      </c>
      <c r="B3705" t="s">
        <v>13</v>
      </c>
      <c r="C3705" t="s">
        <v>1202</v>
      </c>
      <c r="D3705" t="s">
        <v>1203</v>
      </c>
      <c r="E3705" t="s">
        <v>396</v>
      </c>
      <c r="F3705" t="s">
        <v>1204</v>
      </c>
      <c r="G3705" t="s">
        <v>1205</v>
      </c>
      <c r="H3705" t="s">
        <v>1206</v>
      </c>
      <c r="I3705" t="s">
        <v>19</v>
      </c>
      <c r="J3705" s="3" t="s">
        <v>1207</v>
      </c>
      <c r="K3705" t="s">
        <v>1208</v>
      </c>
      <c r="L3705" t="s">
        <v>1209</v>
      </c>
      <c r="M3705" t="s">
        <v>32145</v>
      </c>
    </row>
    <row r="3706" spans="1:13" x14ac:dyDescent="0.25">
      <c r="A3706" t="s">
        <v>13498</v>
      </c>
      <c r="B3706" t="s">
        <v>13</v>
      </c>
      <c r="C3706" t="s">
        <v>6103</v>
      </c>
      <c r="D3706" t="s">
        <v>13499</v>
      </c>
      <c r="E3706" t="s">
        <v>396</v>
      </c>
      <c r="F3706" t="s">
        <v>2947</v>
      </c>
      <c r="G3706" t="s">
        <v>13500</v>
      </c>
      <c r="H3706" t="s">
        <v>105</v>
      </c>
      <c r="I3706" t="s">
        <v>19</v>
      </c>
      <c r="J3706" s="3">
        <f>550212629-2560</f>
        <v>550210069</v>
      </c>
      <c r="K3706" t="s">
        <v>13501</v>
      </c>
      <c r="L3706" t="s">
        <v>108</v>
      </c>
      <c r="M3706" t="s">
        <v>771</v>
      </c>
    </row>
    <row r="3707" spans="1:13" x14ac:dyDescent="0.25">
      <c r="A3707" t="s">
        <v>2147</v>
      </c>
      <c r="B3707" t="s">
        <v>13</v>
      </c>
      <c r="C3707" t="s">
        <v>2139</v>
      </c>
      <c r="D3707" t="s">
        <v>2148</v>
      </c>
      <c r="E3707" t="s">
        <v>396</v>
      </c>
      <c r="F3707" t="s">
        <v>2149</v>
      </c>
      <c r="G3707" t="s">
        <v>2150</v>
      </c>
      <c r="H3707" t="s">
        <v>45</v>
      </c>
      <c r="I3707" t="s">
        <v>19</v>
      </c>
      <c r="J3707" s="3" t="s">
        <v>2151</v>
      </c>
      <c r="K3707" t="s">
        <v>2152</v>
      </c>
      <c r="L3707" t="s">
        <v>2153</v>
      </c>
      <c r="M3707" t="s">
        <v>771</v>
      </c>
    </row>
    <row r="3708" spans="1:13" x14ac:dyDescent="0.25">
      <c r="A3708" t="s">
        <v>24354</v>
      </c>
      <c r="B3708" t="s">
        <v>101</v>
      </c>
      <c r="C3708" s="1">
        <v>42771</v>
      </c>
      <c r="D3708" t="s">
        <v>24355</v>
      </c>
      <c r="E3708" t="s">
        <v>396</v>
      </c>
      <c r="F3708" t="s">
        <v>117</v>
      </c>
      <c r="G3708" t="s">
        <v>11554</v>
      </c>
      <c r="H3708" t="s">
        <v>22157</v>
      </c>
      <c r="I3708" t="s">
        <v>19</v>
      </c>
      <c r="J3708" s="3" t="s">
        <v>14891</v>
      </c>
      <c r="K3708" t="s">
        <v>14892</v>
      </c>
      <c r="L3708" t="s">
        <v>439</v>
      </c>
      <c r="M3708" t="s">
        <v>32145</v>
      </c>
    </row>
    <row r="3709" spans="1:13" x14ac:dyDescent="0.25">
      <c r="A3709" t="s">
        <v>26079</v>
      </c>
      <c r="B3709" t="s">
        <v>13</v>
      </c>
      <c r="C3709" t="s">
        <v>25376</v>
      </c>
      <c r="D3709" t="s">
        <v>26080</v>
      </c>
      <c r="E3709" t="s">
        <v>1373</v>
      </c>
      <c r="F3709" t="s">
        <v>117</v>
      </c>
      <c r="G3709" t="s">
        <v>9900</v>
      </c>
      <c r="H3709" t="s">
        <v>255</v>
      </c>
      <c r="I3709" t="s">
        <v>19</v>
      </c>
      <c r="J3709" s="3" t="s">
        <v>26081</v>
      </c>
      <c r="K3709" t="s">
        <v>26082</v>
      </c>
      <c r="L3709" t="s">
        <v>26083</v>
      </c>
      <c r="M3709" t="s">
        <v>32145</v>
      </c>
    </row>
    <row r="3710" spans="1:13" x14ac:dyDescent="0.25">
      <c r="A3710" t="s">
        <v>28224</v>
      </c>
      <c r="B3710" t="s">
        <v>13</v>
      </c>
      <c r="C3710" s="1">
        <v>42313</v>
      </c>
      <c r="D3710" t="s">
        <v>28225</v>
      </c>
      <c r="E3710" t="s">
        <v>1373</v>
      </c>
      <c r="F3710" t="s">
        <v>117</v>
      </c>
      <c r="G3710" t="s">
        <v>28226</v>
      </c>
      <c r="H3710" t="s">
        <v>798</v>
      </c>
      <c r="I3710" t="s">
        <v>19</v>
      </c>
      <c r="J3710" s="3" t="s">
        <v>28227</v>
      </c>
      <c r="K3710" t="s">
        <v>28228</v>
      </c>
      <c r="L3710" t="s">
        <v>1767</v>
      </c>
      <c r="M3710" t="s">
        <v>32145</v>
      </c>
    </row>
    <row r="3711" spans="1:13" x14ac:dyDescent="0.25">
      <c r="A3711" t="s">
        <v>20478</v>
      </c>
      <c r="B3711" t="s">
        <v>101</v>
      </c>
      <c r="C3711" t="s">
        <v>10511</v>
      </c>
      <c r="D3711" t="s">
        <v>20479</v>
      </c>
      <c r="E3711" t="s">
        <v>396</v>
      </c>
      <c r="F3711" t="s">
        <v>117</v>
      </c>
      <c r="G3711" t="s">
        <v>20480</v>
      </c>
      <c r="H3711" t="s">
        <v>6121</v>
      </c>
      <c r="I3711" t="s">
        <v>19</v>
      </c>
      <c r="J3711" s="3" t="s">
        <v>20481</v>
      </c>
      <c r="K3711" t="s">
        <v>20482</v>
      </c>
      <c r="L3711" t="s">
        <v>20483</v>
      </c>
      <c r="M3711" t="s">
        <v>32145</v>
      </c>
    </row>
    <row r="3712" spans="1:13" x14ac:dyDescent="0.25">
      <c r="A3712" t="s">
        <v>29452</v>
      </c>
      <c r="B3712" t="s">
        <v>13</v>
      </c>
      <c r="C3712" t="s">
        <v>29453</v>
      </c>
      <c r="D3712" t="s">
        <v>29454</v>
      </c>
      <c r="E3712" t="s">
        <v>396</v>
      </c>
      <c r="F3712" t="s">
        <v>117</v>
      </c>
      <c r="G3712" t="s">
        <v>11055</v>
      </c>
      <c r="H3712" t="s">
        <v>1037</v>
      </c>
      <c r="I3712" t="s">
        <v>19</v>
      </c>
      <c r="J3712" s="3" t="s">
        <v>24921</v>
      </c>
      <c r="K3712" t="s">
        <v>11057</v>
      </c>
      <c r="L3712" t="s">
        <v>1040</v>
      </c>
      <c r="M3712" t="s">
        <v>32145</v>
      </c>
    </row>
    <row r="3713" spans="1:13" x14ac:dyDescent="0.25">
      <c r="A3713" t="s">
        <v>28320</v>
      </c>
      <c r="B3713" t="s">
        <v>13</v>
      </c>
      <c r="C3713" t="s">
        <v>25487</v>
      </c>
      <c r="D3713" t="s">
        <v>28321</v>
      </c>
      <c r="E3713" t="s">
        <v>396</v>
      </c>
      <c r="F3713" t="s">
        <v>117</v>
      </c>
      <c r="G3713" t="s">
        <v>28322</v>
      </c>
      <c r="H3713" t="s">
        <v>28323</v>
      </c>
      <c r="I3713" t="s">
        <v>19</v>
      </c>
      <c r="J3713" s="3" t="s">
        <v>28324</v>
      </c>
      <c r="K3713" t="s">
        <v>28325</v>
      </c>
      <c r="L3713" t="s">
        <v>28326</v>
      </c>
      <c r="M3713" t="s">
        <v>32145</v>
      </c>
    </row>
    <row r="3714" spans="1:13" x14ac:dyDescent="0.25">
      <c r="A3714" t="s">
        <v>26804</v>
      </c>
      <c r="B3714" t="s">
        <v>13</v>
      </c>
      <c r="C3714" s="1">
        <v>42585</v>
      </c>
      <c r="D3714" t="s">
        <v>26805</v>
      </c>
      <c r="E3714" t="s">
        <v>396</v>
      </c>
      <c r="F3714" t="s">
        <v>117</v>
      </c>
      <c r="G3714" t="s">
        <v>26784</v>
      </c>
      <c r="H3714" t="s">
        <v>36</v>
      </c>
      <c r="I3714" t="s">
        <v>19</v>
      </c>
      <c r="J3714" s="3" t="s">
        <v>26806</v>
      </c>
      <c r="K3714" t="s">
        <v>26786</v>
      </c>
      <c r="L3714" t="s">
        <v>26807</v>
      </c>
      <c r="M3714" t="s">
        <v>32145</v>
      </c>
    </row>
    <row r="3715" spans="1:13" x14ac:dyDescent="0.25">
      <c r="A3715" t="s">
        <v>20647</v>
      </c>
      <c r="B3715" t="s">
        <v>13</v>
      </c>
      <c r="C3715" t="s">
        <v>20648</v>
      </c>
      <c r="D3715" t="s">
        <v>20649</v>
      </c>
      <c r="E3715" t="s">
        <v>396</v>
      </c>
      <c r="F3715" t="s">
        <v>117</v>
      </c>
      <c r="G3715" t="s">
        <v>20650</v>
      </c>
      <c r="H3715" t="s">
        <v>36</v>
      </c>
      <c r="I3715" t="s">
        <v>19</v>
      </c>
      <c r="J3715" s="3" t="s">
        <v>20651</v>
      </c>
      <c r="K3715" t="s">
        <v>20652</v>
      </c>
      <c r="L3715" t="s">
        <v>439</v>
      </c>
      <c r="M3715" t="s">
        <v>32145</v>
      </c>
    </row>
    <row r="3716" spans="1:13" x14ac:dyDescent="0.25">
      <c r="A3716" t="s">
        <v>22743</v>
      </c>
      <c r="B3716" t="s">
        <v>101</v>
      </c>
      <c r="C3716" t="s">
        <v>22726</v>
      </c>
      <c r="D3716" t="s">
        <v>22744</v>
      </c>
      <c r="E3716" t="s">
        <v>1373</v>
      </c>
      <c r="F3716" t="s">
        <v>117</v>
      </c>
      <c r="G3716" t="s">
        <v>22745</v>
      </c>
      <c r="H3716" t="s">
        <v>299</v>
      </c>
      <c r="I3716" t="s">
        <v>19</v>
      </c>
      <c r="J3716" s="3">
        <v>5514996463842</v>
      </c>
      <c r="K3716" t="s">
        <v>22746</v>
      </c>
      <c r="L3716" t="s">
        <v>21596</v>
      </c>
      <c r="M3716" t="s">
        <v>32145</v>
      </c>
    </row>
    <row r="3717" spans="1:13" x14ac:dyDescent="0.25">
      <c r="A3717" t="s">
        <v>20934</v>
      </c>
      <c r="B3717" t="s">
        <v>13</v>
      </c>
      <c r="C3717" t="s">
        <v>20921</v>
      </c>
      <c r="D3717" t="s">
        <v>20935</v>
      </c>
      <c r="E3717" t="s">
        <v>396</v>
      </c>
      <c r="F3717" t="s">
        <v>117</v>
      </c>
      <c r="G3717" t="s">
        <v>20936</v>
      </c>
      <c r="H3717" t="s">
        <v>1206</v>
      </c>
      <c r="I3717" t="s">
        <v>19</v>
      </c>
      <c r="J3717" s="3">
        <v>558333153300</v>
      </c>
      <c r="K3717" t="s">
        <v>20937</v>
      </c>
      <c r="L3717" t="s">
        <v>1209</v>
      </c>
      <c r="M3717" t="s">
        <v>32145</v>
      </c>
    </row>
    <row r="3718" spans="1:13" x14ac:dyDescent="0.25">
      <c r="A3718" t="s">
        <v>19399</v>
      </c>
      <c r="B3718" t="s">
        <v>13</v>
      </c>
      <c r="C3718" s="1">
        <v>43110</v>
      </c>
      <c r="D3718" t="s">
        <v>19400</v>
      </c>
      <c r="E3718" t="s">
        <v>396</v>
      </c>
      <c r="F3718" t="s">
        <v>117</v>
      </c>
      <c r="G3718" t="s">
        <v>19401</v>
      </c>
      <c r="H3718" t="s">
        <v>1215</v>
      </c>
      <c r="I3718" t="s">
        <v>19</v>
      </c>
      <c r="J3718" s="3">
        <v>551832226913</v>
      </c>
      <c r="K3718" t="s">
        <v>19402</v>
      </c>
      <c r="L3718" t="s">
        <v>19401</v>
      </c>
      <c r="M3718" t="s">
        <v>32145</v>
      </c>
    </row>
    <row r="3719" spans="1:13" x14ac:dyDescent="0.25">
      <c r="A3719" t="s">
        <v>22747</v>
      </c>
      <c r="B3719" t="s">
        <v>13</v>
      </c>
      <c r="C3719" t="s">
        <v>22748</v>
      </c>
      <c r="D3719" t="s">
        <v>22749</v>
      </c>
      <c r="E3719" t="s">
        <v>396</v>
      </c>
      <c r="F3719" t="s">
        <v>117</v>
      </c>
      <c r="G3719" t="s">
        <v>22750</v>
      </c>
      <c r="H3719" t="s">
        <v>18</v>
      </c>
      <c r="I3719" t="s">
        <v>19</v>
      </c>
      <c r="J3719" s="3">
        <f>55-19-35219450</f>
        <v>-35219414</v>
      </c>
      <c r="K3719" t="s">
        <v>22751</v>
      </c>
      <c r="L3719" t="s">
        <v>20017</v>
      </c>
      <c r="M3719" t="s">
        <v>32145</v>
      </c>
    </row>
    <row r="3720" spans="1:13" x14ac:dyDescent="0.25">
      <c r="A3720" t="s">
        <v>15943</v>
      </c>
      <c r="B3720" t="s">
        <v>13</v>
      </c>
      <c r="C3720" t="s">
        <v>12286</v>
      </c>
      <c r="D3720" t="s">
        <v>15944</v>
      </c>
      <c r="E3720" t="s">
        <v>396</v>
      </c>
      <c r="F3720" t="s">
        <v>117</v>
      </c>
      <c r="G3720" t="s">
        <v>14668</v>
      </c>
      <c r="H3720" t="s">
        <v>265</v>
      </c>
      <c r="I3720" t="s">
        <v>19</v>
      </c>
      <c r="J3720" s="3">
        <f>55+16+33150745</f>
        <v>33150816</v>
      </c>
      <c r="K3720" t="s">
        <v>14670</v>
      </c>
      <c r="L3720" t="s">
        <v>3558</v>
      </c>
      <c r="M3720" t="s">
        <v>32145</v>
      </c>
    </row>
    <row r="3721" spans="1:13" x14ac:dyDescent="0.25">
      <c r="A3721" t="s">
        <v>13140</v>
      </c>
      <c r="B3721" t="s">
        <v>13</v>
      </c>
      <c r="C3721" s="1">
        <v>44046</v>
      </c>
      <c r="D3721" t="s">
        <v>13141</v>
      </c>
      <c r="E3721" t="s">
        <v>396</v>
      </c>
      <c r="F3721" t="s">
        <v>117</v>
      </c>
      <c r="G3721" t="s">
        <v>13142</v>
      </c>
      <c r="H3721" t="s">
        <v>489</v>
      </c>
      <c r="I3721" t="s">
        <v>19</v>
      </c>
      <c r="J3721" s="3">
        <v>5504198570111</v>
      </c>
      <c r="K3721" t="s">
        <v>13143</v>
      </c>
      <c r="L3721" t="s">
        <v>625</v>
      </c>
      <c r="M3721" t="s">
        <v>32145</v>
      </c>
    </row>
    <row r="3722" spans="1:13" x14ac:dyDescent="0.25">
      <c r="A3722" t="s">
        <v>11478</v>
      </c>
      <c r="B3722" t="s">
        <v>13</v>
      </c>
      <c r="C3722" s="1">
        <v>44080</v>
      </c>
      <c r="D3722" t="s">
        <v>11479</v>
      </c>
      <c r="E3722" t="s">
        <v>396</v>
      </c>
      <c r="F3722" t="s">
        <v>117</v>
      </c>
      <c r="G3722" t="s">
        <v>11480</v>
      </c>
      <c r="H3722" t="s">
        <v>6344</v>
      </c>
      <c r="I3722" t="s">
        <v>19</v>
      </c>
      <c r="J3722" s="3">
        <v>5598988207845</v>
      </c>
      <c r="K3722" t="s">
        <v>11481</v>
      </c>
      <c r="L3722" t="s">
        <v>11482</v>
      </c>
      <c r="M3722" t="s">
        <v>32145</v>
      </c>
    </row>
    <row r="3723" spans="1:13" x14ac:dyDescent="0.25">
      <c r="A3723" t="s">
        <v>25804</v>
      </c>
      <c r="B3723" t="s">
        <v>13</v>
      </c>
      <c r="C3723" t="s">
        <v>25786</v>
      </c>
      <c r="D3723" t="s">
        <v>25805</v>
      </c>
      <c r="E3723" t="s">
        <v>396</v>
      </c>
      <c r="F3723" t="s">
        <v>2036</v>
      </c>
      <c r="G3723" t="s">
        <v>14209</v>
      </c>
      <c r="H3723" t="s">
        <v>1802</v>
      </c>
      <c r="I3723" t="s">
        <v>19</v>
      </c>
      <c r="J3723" s="3" t="s">
        <v>14210</v>
      </c>
      <c r="K3723" t="s">
        <v>14211</v>
      </c>
      <c r="L3723" t="s">
        <v>14212</v>
      </c>
      <c r="M3723" t="s">
        <v>32145</v>
      </c>
    </row>
    <row r="3724" spans="1:13" x14ac:dyDescent="0.25">
      <c r="A3724" t="s">
        <v>22016</v>
      </c>
      <c r="B3724" t="s">
        <v>13</v>
      </c>
      <c r="C3724" t="s">
        <v>21978</v>
      </c>
      <c r="D3724" t="s">
        <v>22017</v>
      </c>
      <c r="E3724" t="s">
        <v>396</v>
      </c>
      <c r="F3724" t="s">
        <v>306</v>
      </c>
      <c r="G3724" t="s">
        <v>22018</v>
      </c>
      <c r="H3724" t="s">
        <v>229</v>
      </c>
      <c r="I3724" t="s">
        <v>19</v>
      </c>
      <c r="J3724" s="3" t="s">
        <v>22019</v>
      </c>
      <c r="K3724" t="s">
        <v>22020</v>
      </c>
      <c r="L3724" t="s">
        <v>22021</v>
      </c>
      <c r="M3724" t="s">
        <v>32145</v>
      </c>
    </row>
    <row r="3725" spans="1:13" x14ac:dyDescent="0.25">
      <c r="A3725" t="s">
        <v>26041</v>
      </c>
      <c r="B3725" t="s">
        <v>13</v>
      </c>
      <c r="C3725" t="s">
        <v>15010</v>
      </c>
      <c r="D3725" t="s">
        <v>26042</v>
      </c>
      <c r="E3725" t="s">
        <v>396</v>
      </c>
      <c r="F3725" t="s">
        <v>306</v>
      </c>
      <c r="G3725" t="s">
        <v>26043</v>
      </c>
      <c r="H3725" t="s">
        <v>936</v>
      </c>
      <c r="I3725" t="s">
        <v>19</v>
      </c>
      <c r="J3725" s="3" t="s">
        <v>26044</v>
      </c>
      <c r="K3725" t="s">
        <v>26045</v>
      </c>
      <c r="L3725" t="s">
        <v>26046</v>
      </c>
      <c r="M3725" t="s">
        <v>32145</v>
      </c>
    </row>
    <row r="3726" spans="1:13" x14ac:dyDescent="0.25">
      <c r="A3726" t="s">
        <v>22428</v>
      </c>
      <c r="B3726" t="s">
        <v>13</v>
      </c>
      <c r="C3726" t="s">
        <v>16682</v>
      </c>
      <c r="D3726" t="s">
        <v>22429</v>
      </c>
      <c r="E3726" t="s">
        <v>396</v>
      </c>
      <c r="F3726" t="s">
        <v>306</v>
      </c>
      <c r="G3726" t="s">
        <v>1056</v>
      </c>
      <c r="H3726" t="s">
        <v>141</v>
      </c>
      <c r="I3726" t="s">
        <v>19</v>
      </c>
      <c r="J3726" s="3" t="s">
        <v>22430</v>
      </c>
      <c r="K3726" t="s">
        <v>1057</v>
      </c>
      <c r="L3726" t="s">
        <v>1058</v>
      </c>
      <c r="M3726" t="s">
        <v>32145</v>
      </c>
    </row>
    <row r="3727" spans="1:13" x14ac:dyDescent="0.25">
      <c r="A3727" t="s">
        <v>24919</v>
      </c>
      <c r="B3727" t="s">
        <v>13</v>
      </c>
      <c r="C3727" t="s">
        <v>24917</v>
      </c>
      <c r="D3727" t="s">
        <v>24920</v>
      </c>
      <c r="E3727" t="s">
        <v>396</v>
      </c>
      <c r="F3727" t="s">
        <v>306</v>
      </c>
      <c r="G3727" t="s">
        <v>11055</v>
      </c>
      <c r="H3727" t="s">
        <v>1037</v>
      </c>
      <c r="I3727" t="s">
        <v>19</v>
      </c>
      <c r="J3727" s="3" t="s">
        <v>24921</v>
      </c>
      <c r="K3727" t="s">
        <v>11057</v>
      </c>
      <c r="L3727" t="s">
        <v>1040</v>
      </c>
      <c r="M3727" t="s">
        <v>32145</v>
      </c>
    </row>
    <row r="3728" spans="1:13" x14ac:dyDescent="0.25">
      <c r="A3728" t="s">
        <v>23859</v>
      </c>
      <c r="B3728" t="s">
        <v>13</v>
      </c>
      <c r="C3728" s="1">
        <v>42924</v>
      </c>
      <c r="D3728" t="s">
        <v>23860</v>
      </c>
      <c r="E3728" t="s">
        <v>396</v>
      </c>
      <c r="F3728" t="s">
        <v>306</v>
      </c>
      <c r="G3728" t="s">
        <v>23861</v>
      </c>
      <c r="H3728" t="s">
        <v>36</v>
      </c>
      <c r="I3728" t="s">
        <v>19</v>
      </c>
      <c r="J3728" s="3" t="s">
        <v>23862</v>
      </c>
      <c r="K3728" t="s">
        <v>23863</v>
      </c>
      <c r="L3728" t="s">
        <v>23864</v>
      </c>
      <c r="M3728" t="s">
        <v>32145</v>
      </c>
    </row>
    <row r="3729" spans="1:13" x14ac:dyDescent="0.25">
      <c r="A3729" t="s">
        <v>10348</v>
      </c>
      <c r="B3729" t="s">
        <v>13</v>
      </c>
      <c r="C3729" t="s">
        <v>7677</v>
      </c>
      <c r="D3729" t="s">
        <v>10349</v>
      </c>
      <c r="E3729" t="s">
        <v>396</v>
      </c>
      <c r="F3729" t="s">
        <v>306</v>
      </c>
      <c r="G3729" t="s">
        <v>10350</v>
      </c>
      <c r="H3729" t="s">
        <v>255</v>
      </c>
      <c r="I3729" t="s">
        <v>19</v>
      </c>
      <c r="J3729" s="3" t="s">
        <v>10351</v>
      </c>
      <c r="K3729" t="s">
        <v>10352</v>
      </c>
      <c r="L3729" t="s">
        <v>9587</v>
      </c>
      <c r="M3729" t="s">
        <v>32145</v>
      </c>
    </row>
    <row r="3730" spans="1:13" x14ac:dyDescent="0.25">
      <c r="A3730" t="s">
        <v>27904</v>
      </c>
      <c r="B3730" t="s">
        <v>101</v>
      </c>
      <c r="C3730" t="s">
        <v>23258</v>
      </c>
      <c r="D3730" t="s">
        <v>27905</v>
      </c>
      <c r="E3730" t="s">
        <v>396</v>
      </c>
      <c r="F3730" t="s">
        <v>306</v>
      </c>
      <c r="G3730" t="s">
        <v>19769</v>
      </c>
      <c r="H3730" t="s">
        <v>88</v>
      </c>
      <c r="I3730" t="s">
        <v>19</v>
      </c>
      <c r="J3730" s="3" t="s">
        <v>24799</v>
      </c>
      <c r="K3730" t="s">
        <v>24800</v>
      </c>
      <c r="L3730" t="s">
        <v>91</v>
      </c>
      <c r="M3730" t="s">
        <v>32145</v>
      </c>
    </row>
    <row r="3731" spans="1:13" x14ac:dyDescent="0.25">
      <c r="A3731" t="s">
        <v>24797</v>
      </c>
      <c r="B3731" t="s">
        <v>101</v>
      </c>
      <c r="C3731" s="1">
        <v>42887</v>
      </c>
      <c r="D3731" t="s">
        <v>24798</v>
      </c>
      <c r="E3731" t="s">
        <v>1373</v>
      </c>
      <c r="F3731" t="s">
        <v>306</v>
      </c>
      <c r="G3731" t="s">
        <v>19769</v>
      </c>
      <c r="H3731" t="s">
        <v>88</v>
      </c>
      <c r="I3731" t="s">
        <v>19</v>
      </c>
      <c r="J3731" s="3" t="s">
        <v>24799</v>
      </c>
      <c r="K3731" t="s">
        <v>24800</v>
      </c>
      <c r="L3731" t="s">
        <v>91</v>
      </c>
      <c r="M3731" t="s">
        <v>32145</v>
      </c>
    </row>
    <row r="3732" spans="1:13" x14ac:dyDescent="0.25">
      <c r="A3732" t="s">
        <v>28418</v>
      </c>
      <c r="B3732" t="s">
        <v>13</v>
      </c>
      <c r="C3732" t="s">
        <v>28419</v>
      </c>
      <c r="D3732" t="s">
        <v>28420</v>
      </c>
      <c r="E3732" t="s">
        <v>1373</v>
      </c>
      <c r="F3732" t="s">
        <v>306</v>
      </c>
      <c r="G3732" t="s">
        <v>28421</v>
      </c>
      <c r="H3732" t="s">
        <v>428</v>
      </c>
      <c r="I3732" t="s">
        <v>19</v>
      </c>
      <c r="J3732" s="3" t="s">
        <v>28422</v>
      </c>
      <c r="K3732" t="s">
        <v>28423</v>
      </c>
      <c r="L3732" t="s">
        <v>28424</v>
      </c>
      <c r="M3732" t="s">
        <v>32145</v>
      </c>
    </row>
    <row r="3733" spans="1:13" x14ac:dyDescent="0.25">
      <c r="A3733" t="s">
        <v>26820</v>
      </c>
      <c r="B3733" t="s">
        <v>13</v>
      </c>
      <c r="C3733" s="1">
        <v>42463</v>
      </c>
      <c r="D3733" t="s">
        <v>26821</v>
      </c>
      <c r="E3733" t="s">
        <v>1373</v>
      </c>
      <c r="F3733" t="s">
        <v>306</v>
      </c>
      <c r="G3733" t="s">
        <v>26822</v>
      </c>
      <c r="H3733" t="s">
        <v>1037</v>
      </c>
      <c r="I3733" t="s">
        <v>19</v>
      </c>
      <c r="J3733" s="3" t="s">
        <v>26823</v>
      </c>
      <c r="K3733" t="s">
        <v>5236</v>
      </c>
      <c r="L3733" t="s">
        <v>26824</v>
      </c>
      <c r="M3733" t="s">
        <v>32145</v>
      </c>
    </row>
    <row r="3734" spans="1:13" x14ac:dyDescent="0.25">
      <c r="A3734" t="s">
        <v>28200</v>
      </c>
      <c r="B3734" t="s">
        <v>13</v>
      </c>
      <c r="C3734" t="s">
        <v>28201</v>
      </c>
      <c r="D3734" t="s">
        <v>28202</v>
      </c>
      <c r="E3734" t="s">
        <v>1373</v>
      </c>
      <c r="F3734" t="s">
        <v>306</v>
      </c>
      <c r="G3734" t="s">
        <v>28203</v>
      </c>
      <c r="H3734" t="s">
        <v>1037</v>
      </c>
      <c r="I3734" t="s">
        <v>19</v>
      </c>
      <c r="J3734" s="3" t="s">
        <v>28204</v>
      </c>
      <c r="K3734" t="s">
        <v>28205</v>
      </c>
      <c r="L3734" t="s">
        <v>26824</v>
      </c>
      <c r="M3734" t="s">
        <v>32145</v>
      </c>
    </row>
    <row r="3735" spans="1:13" x14ac:dyDescent="0.25">
      <c r="A3735" t="s">
        <v>24270</v>
      </c>
      <c r="B3735" t="s">
        <v>13</v>
      </c>
      <c r="C3735" t="s">
        <v>24271</v>
      </c>
      <c r="D3735" t="s">
        <v>24272</v>
      </c>
      <c r="E3735" t="s">
        <v>396</v>
      </c>
      <c r="F3735" t="s">
        <v>306</v>
      </c>
      <c r="G3735" t="s">
        <v>23307</v>
      </c>
      <c r="H3735" t="s">
        <v>1802</v>
      </c>
      <c r="I3735" t="s">
        <v>19</v>
      </c>
      <c r="J3735" s="3" t="s">
        <v>24273</v>
      </c>
      <c r="K3735" t="s">
        <v>23309</v>
      </c>
      <c r="L3735" t="s">
        <v>14212</v>
      </c>
      <c r="M3735" t="s">
        <v>32145</v>
      </c>
    </row>
    <row r="3736" spans="1:13" x14ac:dyDescent="0.25">
      <c r="A3736" t="s">
        <v>21376</v>
      </c>
      <c r="B3736" t="s">
        <v>13</v>
      </c>
      <c r="C3736" t="s">
        <v>21377</v>
      </c>
      <c r="D3736" t="s">
        <v>21378</v>
      </c>
      <c r="E3736" t="s">
        <v>396</v>
      </c>
      <c r="F3736" t="s">
        <v>306</v>
      </c>
      <c r="G3736" t="s">
        <v>21379</v>
      </c>
      <c r="H3736" t="s">
        <v>927</v>
      </c>
      <c r="I3736" t="s">
        <v>19</v>
      </c>
      <c r="J3736" s="3" t="s">
        <v>21380</v>
      </c>
      <c r="K3736" t="s">
        <v>21381</v>
      </c>
      <c r="L3736" t="s">
        <v>21382</v>
      </c>
      <c r="M3736" t="s">
        <v>32145</v>
      </c>
    </row>
    <row r="3737" spans="1:13" x14ac:dyDescent="0.25">
      <c r="A3737" t="s">
        <v>27799</v>
      </c>
      <c r="B3737" t="s">
        <v>13</v>
      </c>
      <c r="C3737" t="s">
        <v>27797</v>
      </c>
      <c r="D3737" t="s">
        <v>27800</v>
      </c>
      <c r="E3737" t="s">
        <v>396</v>
      </c>
      <c r="F3737" t="s">
        <v>306</v>
      </c>
      <c r="G3737" t="s">
        <v>27801</v>
      </c>
      <c r="H3737" t="s">
        <v>36</v>
      </c>
      <c r="I3737" t="s">
        <v>19</v>
      </c>
      <c r="J3737" s="3" t="s">
        <v>27802</v>
      </c>
      <c r="K3737" t="s">
        <v>24634</v>
      </c>
      <c r="L3737" t="s">
        <v>1058</v>
      </c>
      <c r="M3737" t="s">
        <v>32145</v>
      </c>
    </row>
    <row r="3738" spans="1:13" x14ac:dyDescent="0.25">
      <c r="A3738" t="s">
        <v>21767</v>
      </c>
      <c r="B3738" t="s">
        <v>13</v>
      </c>
      <c r="C3738" t="s">
        <v>21768</v>
      </c>
      <c r="D3738" t="s">
        <v>21769</v>
      </c>
      <c r="E3738" t="s">
        <v>396</v>
      </c>
      <c r="F3738" t="s">
        <v>306</v>
      </c>
      <c r="G3738" t="s">
        <v>21770</v>
      </c>
      <c r="H3738" t="s">
        <v>21771</v>
      </c>
      <c r="I3738" t="s">
        <v>19</v>
      </c>
      <c r="J3738" s="3">
        <v>554836213363</v>
      </c>
      <c r="K3738" t="s">
        <v>21772</v>
      </c>
      <c r="L3738" t="s">
        <v>1030</v>
      </c>
      <c r="M3738" t="s">
        <v>32145</v>
      </c>
    </row>
    <row r="3739" spans="1:13" x14ac:dyDescent="0.25">
      <c r="A3739" t="s">
        <v>20543</v>
      </c>
      <c r="B3739" t="s">
        <v>13</v>
      </c>
      <c r="C3739" t="s">
        <v>10976</v>
      </c>
      <c r="D3739" t="s">
        <v>20544</v>
      </c>
      <c r="E3739" t="s">
        <v>396</v>
      </c>
      <c r="F3739" t="s">
        <v>306</v>
      </c>
      <c r="G3739" t="s">
        <v>3202</v>
      </c>
      <c r="H3739" t="s">
        <v>36</v>
      </c>
      <c r="I3739" t="s">
        <v>19</v>
      </c>
      <c r="J3739" s="3">
        <v>551130913509</v>
      </c>
      <c r="K3739" t="s">
        <v>3203</v>
      </c>
      <c r="L3739" t="s">
        <v>2344</v>
      </c>
      <c r="M3739" t="s">
        <v>32145</v>
      </c>
    </row>
    <row r="3740" spans="1:13" x14ac:dyDescent="0.25">
      <c r="A3740" t="s">
        <v>22308</v>
      </c>
      <c r="B3740" t="s">
        <v>13</v>
      </c>
      <c r="C3740" s="1">
        <v>43222</v>
      </c>
      <c r="D3740" t="s">
        <v>22309</v>
      </c>
      <c r="E3740" t="s">
        <v>396</v>
      </c>
      <c r="F3740" t="s">
        <v>306</v>
      </c>
      <c r="G3740" t="s">
        <v>7094</v>
      </c>
      <c r="H3740" t="s">
        <v>1037</v>
      </c>
      <c r="I3740" t="s">
        <v>19</v>
      </c>
      <c r="J3740" s="3">
        <f>55-31-3899-4193</f>
        <v>-8068</v>
      </c>
      <c r="K3740" t="s">
        <v>7095</v>
      </c>
      <c r="L3740" t="s">
        <v>1040</v>
      </c>
      <c r="M3740" t="s">
        <v>32145</v>
      </c>
    </row>
    <row r="3741" spans="1:13" x14ac:dyDescent="0.25">
      <c r="A3741" t="s">
        <v>12088</v>
      </c>
      <c r="B3741" t="s">
        <v>13</v>
      </c>
      <c r="C3741" t="s">
        <v>9668</v>
      </c>
      <c r="D3741" t="s">
        <v>12089</v>
      </c>
      <c r="E3741" t="s">
        <v>1373</v>
      </c>
      <c r="F3741" t="s">
        <v>306</v>
      </c>
      <c r="G3741" t="s">
        <v>12090</v>
      </c>
      <c r="H3741" t="s">
        <v>6121</v>
      </c>
      <c r="I3741" t="s">
        <v>19</v>
      </c>
      <c r="J3741" s="3">
        <f>55-35-38291995</f>
        <v>-38291975</v>
      </c>
      <c r="K3741" t="s">
        <v>12091</v>
      </c>
      <c r="L3741" t="s">
        <v>9854</v>
      </c>
      <c r="M3741" t="s">
        <v>32145</v>
      </c>
    </row>
    <row r="3742" spans="1:13" x14ac:dyDescent="0.25">
      <c r="A3742" t="s">
        <v>17640</v>
      </c>
      <c r="B3742" t="s">
        <v>13</v>
      </c>
      <c r="C3742" t="s">
        <v>14786</v>
      </c>
      <c r="D3742" t="s">
        <v>17641</v>
      </c>
      <c r="E3742" t="s">
        <v>396</v>
      </c>
      <c r="F3742" t="s">
        <v>306</v>
      </c>
      <c r="G3742" t="s">
        <v>17642</v>
      </c>
      <c r="H3742" t="s">
        <v>36</v>
      </c>
      <c r="I3742" t="s">
        <v>19</v>
      </c>
      <c r="J3742" s="3">
        <f>55-1133764848</f>
        <v>-1133764793</v>
      </c>
      <c r="K3742" t="s">
        <v>17643</v>
      </c>
      <c r="L3742" t="s">
        <v>439</v>
      </c>
      <c r="M3742" t="s">
        <v>32145</v>
      </c>
    </row>
    <row r="3743" spans="1:13" x14ac:dyDescent="0.25">
      <c r="A3743" t="s">
        <v>11115</v>
      </c>
      <c r="B3743" t="s">
        <v>13</v>
      </c>
      <c r="C3743" s="1">
        <v>44081</v>
      </c>
      <c r="D3743" t="s">
        <v>11116</v>
      </c>
      <c r="E3743" t="s">
        <v>396</v>
      </c>
      <c r="F3743" t="s">
        <v>306</v>
      </c>
      <c r="G3743" t="s">
        <v>11117</v>
      </c>
      <c r="H3743" t="s">
        <v>10228</v>
      </c>
      <c r="I3743" t="s">
        <v>19</v>
      </c>
      <c r="J3743" s="3">
        <v>556230951163</v>
      </c>
      <c r="K3743" t="s">
        <v>11118</v>
      </c>
      <c r="L3743" t="s">
        <v>691</v>
      </c>
      <c r="M3743" t="s">
        <v>32145</v>
      </c>
    </row>
    <row r="3744" spans="1:13" x14ac:dyDescent="0.25">
      <c r="A3744" t="s">
        <v>15334</v>
      </c>
      <c r="B3744" t="s">
        <v>13</v>
      </c>
      <c r="C3744" t="s">
        <v>15332</v>
      </c>
      <c r="D3744" t="s">
        <v>15335</v>
      </c>
      <c r="E3744" t="s">
        <v>396</v>
      </c>
      <c r="F3744" t="s">
        <v>306</v>
      </c>
      <c r="G3744" t="s">
        <v>15336</v>
      </c>
      <c r="H3744" t="s">
        <v>936</v>
      </c>
      <c r="I3744" t="s">
        <v>19</v>
      </c>
      <c r="J3744" s="3" t="s">
        <v>15337</v>
      </c>
      <c r="K3744" t="s">
        <v>15338</v>
      </c>
      <c r="L3744" t="s">
        <v>1578</v>
      </c>
      <c r="M3744" t="s">
        <v>32145</v>
      </c>
    </row>
    <row r="3745" spans="1:13" x14ac:dyDescent="0.25">
      <c r="A3745" t="s">
        <v>16053</v>
      </c>
      <c r="B3745" t="s">
        <v>13</v>
      </c>
      <c r="C3745" t="s">
        <v>10388</v>
      </c>
      <c r="D3745" t="s">
        <v>16054</v>
      </c>
      <c r="E3745" t="s">
        <v>396</v>
      </c>
      <c r="F3745" t="s">
        <v>306</v>
      </c>
      <c r="G3745" t="s">
        <v>16055</v>
      </c>
      <c r="H3745" t="s">
        <v>1047</v>
      </c>
      <c r="I3745" t="s">
        <v>19</v>
      </c>
      <c r="J3745" s="3" t="s">
        <v>16056</v>
      </c>
      <c r="K3745" t="s">
        <v>16057</v>
      </c>
      <c r="L3745" t="s">
        <v>1050</v>
      </c>
      <c r="M3745" t="s">
        <v>32145</v>
      </c>
    </row>
    <row r="3746" spans="1:13" x14ac:dyDescent="0.25">
      <c r="A3746" t="s">
        <v>15533</v>
      </c>
      <c r="B3746" t="s">
        <v>13</v>
      </c>
      <c r="C3746" t="s">
        <v>10383</v>
      </c>
      <c r="D3746" t="s">
        <v>15534</v>
      </c>
      <c r="E3746" t="s">
        <v>396</v>
      </c>
      <c r="F3746" t="s">
        <v>306</v>
      </c>
      <c r="G3746" t="s">
        <v>14646</v>
      </c>
      <c r="H3746" t="s">
        <v>462</v>
      </c>
      <c r="I3746" t="s">
        <v>19</v>
      </c>
      <c r="J3746" s="3" t="s">
        <v>14647</v>
      </c>
      <c r="K3746" t="s">
        <v>14648</v>
      </c>
      <c r="L3746" t="s">
        <v>14649</v>
      </c>
      <c r="M3746" t="s">
        <v>32145</v>
      </c>
    </row>
    <row r="3747" spans="1:13" x14ac:dyDescent="0.25">
      <c r="A3747" t="s">
        <v>15651</v>
      </c>
      <c r="B3747" t="s">
        <v>13</v>
      </c>
      <c r="C3747" s="1">
        <v>43718</v>
      </c>
      <c r="D3747" t="s">
        <v>15652</v>
      </c>
      <c r="E3747" t="s">
        <v>396</v>
      </c>
      <c r="F3747" t="s">
        <v>306</v>
      </c>
      <c r="G3747" t="s">
        <v>15653</v>
      </c>
      <c r="H3747" t="s">
        <v>15654</v>
      </c>
      <c r="I3747" t="s">
        <v>19</v>
      </c>
      <c r="J3747" s="3" t="s">
        <v>15655</v>
      </c>
      <c r="K3747" t="s">
        <v>15656</v>
      </c>
      <c r="L3747" t="s">
        <v>15657</v>
      </c>
      <c r="M3747" t="s">
        <v>32145</v>
      </c>
    </row>
    <row r="3748" spans="1:13" x14ac:dyDescent="0.25">
      <c r="A3748" t="s">
        <v>13277</v>
      </c>
      <c r="B3748" t="s">
        <v>13</v>
      </c>
      <c r="C3748" s="1">
        <v>43864</v>
      </c>
      <c r="D3748" t="s">
        <v>13278</v>
      </c>
      <c r="E3748" t="s">
        <v>396</v>
      </c>
      <c r="F3748" t="s">
        <v>306</v>
      </c>
      <c r="G3748" t="s">
        <v>13279</v>
      </c>
      <c r="H3748" t="s">
        <v>4993</v>
      </c>
      <c r="I3748" t="s">
        <v>19</v>
      </c>
      <c r="J3748" s="3">
        <f>55-11-99999-5117</f>
        <v>-105072</v>
      </c>
      <c r="K3748" t="s">
        <v>13280</v>
      </c>
      <c r="L3748" t="s">
        <v>13281</v>
      </c>
      <c r="M3748" t="s">
        <v>32145</v>
      </c>
    </row>
    <row r="3749" spans="1:13" x14ac:dyDescent="0.25">
      <c r="A3749" t="s">
        <v>11527</v>
      </c>
      <c r="B3749" t="s">
        <v>13</v>
      </c>
      <c r="C3749" s="1">
        <v>43896</v>
      </c>
      <c r="D3749" t="s">
        <v>11528</v>
      </c>
      <c r="E3749" t="s">
        <v>396</v>
      </c>
      <c r="F3749" t="s">
        <v>306</v>
      </c>
      <c r="G3749" t="s">
        <v>11529</v>
      </c>
      <c r="H3749" t="s">
        <v>372</v>
      </c>
      <c r="I3749" t="s">
        <v>19</v>
      </c>
      <c r="J3749" s="3" t="s">
        <v>11530</v>
      </c>
      <c r="K3749" t="s">
        <v>11531</v>
      </c>
      <c r="L3749" t="s">
        <v>11426</v>
      </c>
      <c r="M3749" t="s">
        <v>32145</v>
      </c>
    </row>
    <row r="3750" spans="1:13" x14ac:dyDescent="0.25">
      <c r="A3750" t="s">
        <v>10899</v>
      </c>
      <c r="B3750" t="s">
        <v>13</v>
      </c>
      <c r="C3750" t="s">
        <v>10579</v>
      </c>
      <c r="D3750" t="s">
        <v>10900</v>
      </c>
      <c r="E3750" t="s">
        <v>396</v>
      </c>
      <c r="F3750" t="s">
        <v>306</v>
      </c>
      <c r="G3750" t="s">
        <v>10901</v>
      </c>
      <c r="H3750" t="s">
        <v>927</v>
      </c>
      <c r="I3750" t="s">
        <v>19</v>
      </c>
      <c r="J3750" s="3">
        <f>55-11-968925052</f>
        <v>-968925008</v>
      </c>
      <c r="K3750" t="s">
        <v>10902</v>
      </c>
      <c r="L3750" t="s">
        <v>439</v>
      </c>
      <c r="M3750" t="s">
        <v>32145</v>
      </c>
    </row>
    <row r="3751" spans="1:13" x14ac:dyDescent="0.25">
      <c r="A3751" t="s">
        <v>8296</v>
      </c>
      <c r="B3751" t="s">
        <v>13</v>
      </c>
      <c r="C3751" s="1">
        <v>44318</v>
      </c>
      <c r="D3751" t="s">
        <v>8297</v>
      </c>
      <c r="E3751" t="s">
        <v>396</v>
      </c>
      <c r="F3751" t="s">
        <v>306</v>
      </c>
      <c r="G3751" t="s">
        <v>8298</v>
      </c>
      <c r="H3751" t="s">
        <v>195</v>
      </c>
      <c r="I3751" t="s">
        <v>19</v>
      </c>
      <c r="J3751" s="3" t="s">
        <v>8299</v>
      </c>
      <c r="K3751" t="s">
        <v>8300</v>
      </c>
      <c r="L3751" t="s">
        <v>32135</v>
      </c>
      <c r="M3751" t="s">
        <v>32145</v>
      </c>
    </row>
    <row r="3752" spans="1:13" x14ac:dyDescent="0.25">
      <c r="A3752" t="s">
        <v>648</v>
      </c>
      <c r="B3752" t="s">
        <v>13</v>
      </c>
      <c r="C3752" s="1">
        <v>45047</v>
      </c>
      <c r="D3752" t="s">
        <v>649</v>
      </c>
      <c r="E3752" t="s">
        <v>396</v>
      </c>
      <c r="F3752" t="s">
        <v>651</v>
      </c>
      <c r="G3752" t="s">
        <v>652</v>
      </c>
      <c r="H3752" t="s">
        <v>472</v>
      </c>
      <c r="I3752" t="s">
        <v>19</v>
      </c>
      <c r="J3752" s="3" t="s">
        <v>653</v>
      </c>
      <c r="K3752" t="s">
        <v>654</v>
      </c>
      <c r="L3752" t="s">
        <v>655</v>
      </c>
      <c r="M3752" t="s">
        <v>32145</v>
      </c>
    </row>
    <row r="3753" spans="1:13" x14ac:dyDescent="0.25">
      <c r="A3753" t="s">
        <v>7338</v>
      </c>
      <c r="B3753" t="s">
        <v>13</v>
      </c>
      <c r="C3753" t="s">
        <v>7339</v>
      </c>
      <c r="D3753" t="s">
        <v>7340</v>
      </c>
      <c r="E3753" t="s">
        <v>396</v>
      </c>
      <c r="F3753" t="s">
        <v>396</v>
      </c>
      <c r="G3753" t="s">
        <v>6631</v>
      </c>
      <c r="H3753" t="s">
        <v>706</v>
      </c>
      <c r="I3753" t="s">
        <v>19</v>
      </c>
      <c r="J3753" s="3">
        <f>55-31-34099179</f>
        <v>-34099155</v>
      </c>
      <c r="K3753" t="s">
        <v>6632</v>
      </c>
      <c r="L3753" t="s">
        <v>32135</v>
      </c>
      <c r="M3753" t="s">
        <v>32145</v>
      </c>
    </row>
    <row r="3754" spans="1:13" x14ac:dyDescent="0.25">
      <c r="A3754" t="s">
        <v>9664</v>
      </c>
      <c r="B3754" t="s">
        <v>13</v>
      </c>
      <c r="C3754" t="s">
        <v>9659</v>
      </c>
      <c r="D3754" t="s">
        <v>9665</v>
      </c>
      <c r="E3754" t="s">
        <v>396</v>
      </c>
      <c r="F3754" t="s">
        <v>396</v>
      </c>
      <c r="G3754" t="s">
        <v>9666</v>
      </c>
      <c r="H3754" t="s">
        <v>195</v>
      </c>
      <c r="I3754" t="s">
        <v>19</v>
      </c>
      <c r="J3754" s="3">
        <f>55/16/3351-8435</f>
        <v>-8434.9989741868103</v>
      </c>
      <c r="K3754" t="s">
        <v>8300</v>
      </c>
      <c r="L3754" t="s">
        <v>197</v>
      </c>
      <c r="M3754" t="s">
        <v>32145</v>
      </c>
    </row>
    <row r="3755" spans="1:13" x14ac:dyDescent="0.25">
      <c r="A3755" t="s">
        <v>7489</v>
      </c>
      <c r="B3755" t="s">
        <v>13</v>
      </c>
      <c r="C3755" t="s">
        <v>7480</v>
      </c>
      <c r="D3755" t="s">
        <v>32135</v>
      </c>
      <c r="E3755" t="s">
        <v>396</v>
      </c>
      <c r="F3755" t="s">
        <v>395</v>
      </c>
      <c r="G3755" t="s">
        <v>7490</v>
      </c>
      <c r="H3755" t="s">
        <v>36</v>
      </c>
      <c r="I3755" t="s">
        <v>19</v>
      </c>
      <c r="J3755" s="3" t="s">
        <v>7491</v>
      </c>
      <c r="K3755" t="s">
        <v>7298</v>
      </c>
      <c r="L3755" t="s">
        <v>32135</v>
      </c>
      <c r="M3755" t="s">
        <v>32145</v>
      </c>
    </row>
    <row r="3756" spans="1:13" x14ac:dyDescent="0.25">
      <c r="A3756" t="s">
        <v>26881</v>
      </c>
      <c r="B3756" t="s">
        <v>13</v>
      </c>
      <c r="C3756" s="1">
        <v>42372</v>
      </c>
      <c r="D3756" t="s">
        <v>26882</v>
      </c>
      <c r="E3756" t="s">
        <v>396</v>
      </c>
      <c r="F3756" t="s">
        <v>1464</v>
      </c>
      <c r="G3756" t="s">
        <v>26883</v>
      </c>
      <c r="H3756" t="s">
        <v>1037</v>
      </c>
      <c r="I3756" t="s">
        <v>19</v>
      </c>
      <c r="J3756" s="3" t="s">
        <v>26884</v>
      </c>
      <c r="K3756" t="s">
        <v>26885</v>
      </c>
      <c r="L3756" t="s">
        <v>26824</v>
      </c>
      <c r="M3756" t="s">
        <v>32145</v>
      </c>
    </row>
    <row r="3757" spans="1:13" x14ac:dyDescent="0.25">
      <c r="A3757" t="s">
        <v>14971</v>
      </c>
      <c r="B3757" t="s">
        <v>13</v>
      </c>
      <c r="C3757" s="1">
        <v>43283</v>
      </c>
      <c r="D3757" t="s">
        <v>14972</v>
      </c>
      <c r="E3757" t="s">
        <v>396</v>
      </c>
      <c r="F3757" t="s">
        <v>1464</v>
      </c>
      <c r="G3757" t="s">
        <v>14973</v>
      </c>
      <c r="H3757" t="s">
        <v>409</v>
      </c>
      <c r="I3757" t="s">
        <v>19</v>
      </c>
      <c r="J3757" s="3">
        <v>554837219062</v>
      </c>
      <c r="K3757" t="s">
        <v>14974</v>
      </c>
      <c r="L3757" t="s">
        <v>412</v>
      </c>
      <c r="M3757" t="s">
        <v>32145</v>
      </c>
    </row>
    <row r="3758" spans="1:13" x14ac:dyDescent="0.25">
      <c r="A3758" t="s">
        <v>15780</v>
      </c>
      <c r="B3758" t="s">
        <v>13</v>
      </c>
      <c r="C3758" s="1">
        <v>43534</v>
      </c>
      <c r="D3758" t="s">
        <v>15781</v>
      </c>
      <c r="E3758" t="s">
        <v>396</v>
      </c>
      <c r="F3758" t="s">
        <v>1464</v>
      </c>
      <c r="G3758" t="s">
        <v>15782</v>
      </c>
      <c r="H3758" t="s">
        <v>1466</v>
      </c>
      <c r="I3758" t="s">
        <v>19</v>
      </c>
      <c r="J3758" s="3">
        <f>55-35-32991106</f>
        <v>-32991086</v>
      </c>
      <c r="K3758" t="s">
        <v>15783</v>
      </c>
      <c r="L3758" t="s">
        <v>1469</v>
      </c>
      <c r="M3758" t="s">
        <v>32145</v>
      </c>
    </row>
    <row r="3759" spans="1:13" x14ac:dyDescent="0.25">
      <c r="A3759" t="s">
        <v>11532</v>
      </c>
      <c r="B3759" t="s">
        <v>13</v>
      </c>
      <c r="C3759" s="1">
        <v>43896</v>
      </c>
      <c r="D3759" t="s">
        <v>11533</v>
      </c>
      <c r="E3759" t="s">
        <v>396</v>
      </c>
      <c r="F3759" t="s">
        <v>1464</v>
      </c>
      <c r="G3759" t="s">
        <v>11534</v>
      </c>
      <c r="H3759" t="s">
        <v>1090</v>
      </c>
      <c r="I3759" t="s">
        <v>19</v>
      </c>
      <c r="J3759" s="3">
        <f>55-81-998495485</f>
        <v>-998495511</v>
      </c>
      <c r="K3759" t="s">
        <v>11535</v>
      </c>
      <c r="L3759" t="s">
        <v>1092</v>
      </c>
      <c r="M3759" t="s">
        <v>32145</v>
      </c>
    </row>
    <row r="3760" spans="1:13" x14ac:dyDescent="0.25">
      <c r="A3760" t="s">
        <v>9778</v>
      </c>
      <c r="B3760" t="s">
        <v>13</v>
      </c>
      <c r="C3760" s="1">
        <v>44144</v>
      </c>
      <c r="D3760" t="s">
        <v>9779</v>
      </c>
      <c r="E3760" t="s">
        <v>396</v>
      </c>
      <c r="F3760" t="s">
        <v>1464</v>
      </c>
      <c r="G3760" t="s">
        <v>9780</v>
      </c>
      <c r="H3760" t="s">
        <v>489</v>
      </c>
      <c r="I3760" t="s">
        <v>19</v>
      </c>
      <c r="J3760" s="3" t="s">
        <v>9781</v>
      </c>
      <c r="K3760" t="s">
        <v>9782</v>
      </c>
      <c r="L3760" t="s">
        <v>625</v>
      </c>
      <c r="M3760" t="s">
        <v>32145</v>
      </c>
    </row>
    <row r="3761" spans="1:13" x14ac:dyDescent="0.25">
      <c r="A3761" t="s">
        <v>24148</v>
      </c>
      <c r="B3761" t="s">
        <v>13</v>
      </c>
      <c r="C3761" t="s">
        <v>24142</v>
      </c>
      <c r="D3761" t="s">
        <v>24149</v>
      </c>
      <c r="E3761" t="s">
        <v>396</v>
      </c>
      <c r="F3761" t="s">
        <v>4639</v>
      </c>
      <c r="G3761" t="s">
        <v>21252</v>
      </c>
      <c r="H3761" t="s">
        <v>1466</v>
      </c>
      <c r="I3761" t="s">
        <v>19</v>
      </c>
      <c r="J3761" s="3" t="s">
        <v>24150</v>
      </c>
      <c r="K3761" t="s">
        <v>21253</v>
      </c>
      <c r="L3761" t="s">
        <v>21254</v>
      </c>
      <c r="M3761" t="s">
        <v>32145</v>
      </c>
    </row>
    <row r="3762" spans="1:13" x14ac:dyDescent="0.25">
      <c r="A3762" t="s">
        <v>2219</v>
      </c>
      <c r="B3762" t="s">
        <v>13</v>
      </c>
      <c r="C3762" s="1">
        <v>44721</v>
      </c>
      <c r="D3762" t="s">
        <v>32135</v>
      </c>
      <c r="E3762" t="s">
        <v>396</v>
      </c>
      <c r="F3762" t="s">
        <v>2220</v>
      </c>
      <c r="G3762" t="s">
        <v>2221</v>
      </c>
      <c r="H3762" t="s">
        <v>352</v>
      </c>
      <c r="I3762" t="s">
        <v>19</v>
      </c>
      <c r="J3762" s="3" t="s">
        <v>2222</v>
      </c>
      <c r="K3762" t="s">
        <v>2223</v>
      </c>
      <c r="L3762" t="s">
        <v>2224</v>
      </c>
      <c r="M3762" t="s">
        <v>32145</v>
      </c>
    </row>
    <row r="3763" spans="1:13" x14ac:dyDescent="0.25">
      <c r="A3763" t="s">
        <v>27003</v>
      </c>
      <c r="B3763" t="s">
        <v>13</v>
      </c>
      <c r="C3763" t="s">
        <v>23102</v>
      </c>
      <c r="D3763" t="s">
        <v>27004</v>
      </c>
      <c r="E3763" t="s">
        <v>32511</v>
      </c>
      <c r="F3763" t="s">
        <v>1775</v>
      </c>
      <c r="G3763" t="s">
        <v>27005</v>
      </c>
      <c r="H3763" t="s">
        <v>5928</v>
      </c>
      <c r="I3763" t="s">
        <v>19</v>
      </c>
      <c r="J3763" s="3">
        <v>551155764491</v>
      </c>
      <c r="K3763" t="s">
        <v>27006</v>
      </c>
      <c r="L3763" t="s">
        <v>439</v>
      </c>
      <c r="M3763" t="s">
        <v>1775</v>
      </c>
    </row>
    <row r="3764" spans="1:13" x14ac:dyDescent="0.25">
      <c r="A3764" t="s">
        <v>29562</v>
      </c>
      <c r="B3764" t="s">
        <v>13</v>
      </c>
      <c r="C3764" t="s">
        <v>15706</v>
      </c>
      <c r="D3764" t="s">
        <v>29563</v>
      </c>
      <c r="E3764" t="s">
        <v>32512</v>
      </c>
      <c r="F3764" t="s">
        <v>306</v>
      </c>
      <c r="G3764" t="s">
        <v>29564</v>
      </c>
      <c r="H3764" t="s">
        <v>1215</v>
      </c>
      <c r="I3764" t="s">
        <v>19</v>
      </c>
      <c r="J3764" s="3" t="s">
        <v>29565</v>
      </c>
      <c r="K3764" t="s">
        <v>29566</v>
      </c>
      <c r="L3764" t="s">
        <v>17459</v>
      </c>
      <c r="M3764" t="s">
        <v>32145</v>
      </c>
    </row>
    <row r="3765" spans="1:13" x14ac:dyDescent="0.25">
      <c r="A3765" t="s">
        <v>29435</v>
      </c>
      <c r="B3765" t="s">
        <v>13</v>
      </c>
      <c r="C3765" t="s">
        <v>29436</v>
      </c>
      <c r="D3765" t="s">
        <v>29437</v>
      </c>
      <c r="E3765" t="s">
        <v>29438</v>
      </c>
      <c r="F3765" t="s">
        <v>1464</v>
      </c>
      <c r="G3765" t="s">
        <v>29439</v>
      </c>
      <c r="H3765" t="s">
        <v>5292</v>
      </c>
      <c r="I3765" t="s">
        <v>19</v>
      </c>
      <c r="J3765" s="3">
        <v>5121034858</v>
      </c>
      <c r="K3765" t="s">
        <v>29440</v>
      </c>
      <c r="L3765" t="s">
        <v>29441</v>
      </c>
      <c r="M3765" t="s">
        <v>32145</v>
      </c>
    </row>
    <row r="3766" spans="1:13" x14ac:dyDescent="0.25">
      <c r="A3766" t="s">
        <v>13437</v>
      </c>
      <c r="B3766" t="s">
        <v>13</v>
      </c>
      <c r="C3766" s="1">
        <v>43467</v>
      </c>
      <c r="D3766" t="s">
        <v>13438</v>
      </c>
      <c r="E3766" s="2" t="s">
        <v>31074</v>
      </c>
      <c r="F3766" t="s">
        <v>117</v>
      </c>
      <c r="G3766" t="s">
        <v>13439</v>
      </c>
      <c r="H3766" t="s">
        <v>615</v>
      </c>
      <c r="I3766" t="s">
        <v>19</v>
      </c>
      <c r="J3766" s="3">
        <f>55-34-32390288</f>
        <v>-32390267</v>
      </c>
      <c r="K3766" t="s">
        <v>13440</v>
      </c>
      <c r="L3766" t="s">
        <v>13441</v>
      </c>
      <c r="M3766" t="s">
        <v>32145</v>
      </c>
    </row>
    <row r="3767" spans="1:13" x14ac:dyDescent="0.25">
      <c r="A3767" t="s">
        <v>19854</v>
      </c>
      <c r="B3767" t="s">
        <v>13</v>
      </c>
      <c r="C3767" t="s">
        <v>19855</v>
      </c>
      <c r="D3767" t="s">
        <v>19856</v>
      </c>
      <c r="E3767" s="2" t="s">
        <v>31237</v>
      </c>
      <c r="F3767" t="s">
        <v>117</v>
      </c>
      <c r="G3767" t="s">
        <v>19857</v>
      </c>
      <c r="H3767" t="s">
        <v>352</v>
      </c>
      <c r="I3767" t="s">
        <v>19</v>
      </c>
      <c r="J3767" s="3">
        <v>5521972784909</v>
      </c>
      <c r="K3767" t="s">
        <v>19858</v>
      </c>
      <c r="L3767" t="s">
        <v>19859</v>
      </c>
      <c r="M3767" t="s">
        <v>32145</v>
      </c>
    </row>
    <row r="3768" spans="1:13" x14ac:dyDescent="0.25">
      <c r="A3768" t="s">
        <v>9897</v>
      </c>
      <c r="B3768" t="s">
        <v>13</v>
      </c>
      <c r="C3768" s="1">
        <v>43899</v>
      </c>
      <c r="D3768" t="s">
        <v>9898</v>
      </c>
      <c r="E3768" t="s">
        <v>9899</v>
      </c>
      <c r="F3768" t="s">
        <v>337</v>
      </c>
      <c r="G3768" t="s">
        <v>9900</v>
      </c>
      <c r="H3768" t="s">
        <v>255</v>
      </c>
      <c r="I3768" t="s">
        <v>19</v>
      </c>
      <c r="J3768" s="3">
        <v>556232099917</v>
      </c>
      <c r="K3768" t="s">
        <v>9901</v>
      </c>
      <c r="L3768" t="s">
        <v>9902</v>
      </c>
      <c r="M3768" t="s">
        <v>32145</v>
      </c>
    </row>
    <row r="3769" spans="1:13" x14ac:dyDescent="0.25">
      <c r="A3769" t="s">
        <v>7559</v>
      </c>
      <c r="B3769" t="s">
        <v>13</v>
      </c>
      <c r="C3769" t="s">
        <v>6097</v>
      </c>
      <c r="D3769" t="s">
        <v>7560</v>
      </c>
      <c r="E3769" s="2" t="s">
        <v>31778</v>
      </c>
      <c r="F3769" t="s">
        <v>396</v>
      </c>
      <c r="G3769" t="s">
        <v>7561</v>
      </c>
      <c r="H3769" t="s">
        <v>1037</v>
      </c>
      <c r="I3769" t="s">
        <v>19</v>
      </c>
      <c r="J3769" s="3" t="s">
        <v>7562</v>
      </c>
      <c r="K3769" t="s">
        <v>7563</v>
      </c>
      <c r="L3769" t="s">
        <v>32135</v>
      </c>
      <c r="M3769" t="s">
        <v>32145</v>
      </c>
    </row>
    <row r="3770" spans="1:13" x14ac:dyDescent="0.25">
      <c r="A3770" t="s">
        <v>26239</v>
      </c>
      <c r="B3770" t="s">
        <v>13</v>
      </c>
      <c r="C3770" t="s">
        <v>26240</v>
      </c>
      <c r="D3770" t="s">
        <v>26241</v>
      </c>
      <c r="E3770" t="s">
        <v>26242</v>
      </c>
      <c r="F3770" t="s">
        <v>117</v>
      </c>
      <c r="G3770" t="s">
        <v>26243</v>
      </c>
      <c r="H3770" t="s">
        <v>2395</v>
      </c>
      <c r="I3770" t="s">
        <v>19</v>
      </c>
      <c r="J3770" s="3" t="s">
        <v>26244</v>
      </c>
      <c r="K3770" t="s">
        <v>26245</v>
      </c>
      <c r="L3770" t="s">
        <v>1880</v>
      </c>
      <c r="M3770" t="s">
        <v>32145</v>
      </c>
    </row>
    <row r="3771" spans="1:13" x14ac:dyDescent="0.25">
      <c r="A3771" t="s">
        <v>8283</v>
      </c>
      <c r="B3771" t="s">
        <v>13</v>
      </c>
      <c r="C3771" s="1">
        <v>44410</v>
      </c>
      <c r="D3771" t="s">
        <v>8284</v>
      </c>
      <c r="E3771" t="s">
        <v>8285</v>
      </c>
      <c r="F3771" t="s">
        <v>1464</v>
      </c>
      <c r="G3771" t="s">
        <v>8286</v>
      </c>
      <c r="H3771" t="s">
        <v>4039</v>
      </c>
      <c r="I3771" t="s">
        <v>19</v>
      </c>
      <c r="J3771" s="3">
        <v>5545999791534</v>
      </c>
      <c r="K3771" t="s">
        <v>8287</v>
      </c>
      <c r="L3771" t="s">
        <v>321</v>
      </c>
      <c r="M3771" t="s">
        <v>32145</v>
      </c>
    </row>
    <row r="3772" spans="1:13" x14ac:dyDescent="0.25">
      <c r="A3772" t="s">
        <v>9675</v>
      </c>
      <c r="B3772" t="s">
        <v>13</v>
      </c>
      <c r="C3772" t="s">
        <v>5087</v>
      </c>
      <c r="D3772" t="s">
        <v>9676</v>
      </c>
      <c r="E3772" s="2" t="s">
        <v>30978</v>
      </c>
      <c r="F3772" t="s">
        <v>306</v>
      </c>
      <c r="G3772" t="s">
        <v>9677</v>
      </c>
      <c r="H3772" t="s">
        <v>927</v>
      </c>
      <c r="I3772" t="s">
        <v>19</v>
      </c>
      <c r="J3772" s="3">
        <v>13991406453</v>
      </c>
      <c r="K3772" t="s">
        <v>9678</v>
      </c>
      <c r="L3772" t="s">
        <v>9170</v>
      </c>
      <c r="M3772" t="s">
        <v>32145</v>
      </c>
    </row>
    <row r="3773" spans="1:13" x14ac:dyDescent="0.25">
      <c r="A3773" t="s">
        <v>22272</v>
      </c>
      <c r="B3773" t="s">
        <v>13</v>
      </c>
      <c r="C3773" s="1">
        <v>43283</v>
      </c>
      <c r="D3773" t="s">
        <v>22273</v>
      </c>
      <c r="E3773" t="s">
        <v>22274</v>
      </c>
      <c r="F3773" t="s">
        <v>306</v>
      </c>
      <c r="G3773" t="s">
        <v>22275</v>
      </c>
      <c r="H3773" t="s">
        <v>299</v>
      </c>
      <c r="I3773" t="s">
        <v>19</v>
      </c>
      <c r="J3773" s="3">
        <v>551438800162</v>
      </c>
      <c r="K3773" t="s">
        <v>22276</v>
      </c>
      <c r="L3773" t="s">
        <v>22277</v>
      </c>
      <c r="M3773" t="s">
        <v>32145</v>
      </c>
    </row>
    <row r="3774" spans="1:13" x14ac:dyDescent="0.25">
      <c r="A3774" t="s">
        <v>24650</v>
      </c>
      <c r="B3774" t="s">
        <v>13</v>
      </c>
      <c r="C3774" t="s">
        <v>10491</v>
      </c>
      <c r="D3774" t="s">
        <v>24651</v>
      </c>
      <c r="E3774" t="s">
        <v>24652</v>
      </c>
      <c r="F3774" t="s">
        <v>6686</v>
      </c>
      <c r="G3774" t="s">
        <v>24653</v>
      </c>
      <c r="H3774" t="s">
        <v>472</v>
      </c>
      <c r="I3774" t="s">
        <v>19</v>
      </c>
      <c r="J3774" s="3" t="s">
        <v>24654</v>
      </c>
      <c r="K3774" t="s">
        <v>24655</v>
      </c>
      <c r="L3774" t="s">
        <v>3281</v>
      </c>
      <c r="M3774" t="s">
        <v>32145</v>
      </c>
    </row>
    <row r="3775" spans="1:13" x14ac:dyDescent="0.25">
      <c r="A3775" t="s">
        <v>17634</v>
      </c>
      <c r="B3775" t="s">
        <v>13</v>
      </c>
      <c r="C3775" t="s">
        <v>14786</v>
      </c>
      <c r="D3775" t="s">
        <v>17635</v>
      </c>
      <c r="E3775" t="s">
        <v>17636</v>
      </c>
      <c r="F3775" t="s">
        <v>306</v>
      </c>
      <c r="G3775" t="s">
        <v>17637</v>
      </c>
      <c r="H3775" t="s">
        <v>45</v>
      </c>
      <c r="I3775" t="s">
        <v>19</v>
      </c>
      <c r="J3775" s="3" t="s">
        <v>17638</v>
      </c>
      <c r="K3775" t="s">
        <v>17639</v>
      </c>
      <c r="L3775" t="s">
        <v>14461</v>
      </c>
      <c r="M3775" t="s">
        <v>32145</v>
      </c>
    </row>
    <row r="3776" spans="1:13" x14ac:dyDescent="0.25">
      <c r="A3776" t="s">
        <v>22666</v>
      </c>
      <c r="B3776" t="s">
        <v>13</v>
      </c>
      <c r="C3776" s="1">
        <v>43221</v>
      </c>
      <c r="D3776" t="s">
        <v>22667</v>
      </c>
      <c r="E3776" s="2" t="s">
        <v>31316</v>
      </c>
      <c r="F3776" t="s">
        <v>1464</v>
      </c>
      <c r="G3776" t="s">
        <v>15782</v>
      </c>
      <c r="H3776" t="s">
        <v>1466</v>
      </c>
      <c r="I3776" t="s">
        <v>19</v>
      </c>
      <c r="J3776" s="3">
        <f>55-35-32991106</f>
        <v>-32991086</v>
      </c>
      <c r="K3776" t="s">
        <v>15783</v>
      </c>
      <c r="L3776" t="s">
        <v>1469</v>
      </c>
      <c r="M3776" t="s">
        <v>32145</v>
      </c>
    </row>
    <row r="3777" spans="1:13" x14ac:dyDescent="0.25">
      <c r="A3777" t="s">
        <v>28713</v>
      </c>
      <c r="B3777" t="s">
        <v>13</v>
      </c>
      <c r="C3777" s="1">
        <v>42339</v>
      </c>
      <c r="D3777" t="s">
        <v>28714</v>
      </c>
      <c r="E3777" t="s">
        <v>28715</v>
      </c>
      <c r="F3777" t="s">
        <v>117</v>
      </c>
      <c r="G3777" t="s">
        <v>28716</v>
      </c>
      <c r="H3777" t="s">
        <v>428</v>
      </c>
      <c r="I3777" t="s">
        <v>19</v>
      </c>
      <c r="J3777" s="3" t="s">
        <v>28717</v>
      </c>
      <c r="K3777" t="s">
        <v>28718</v>
      </c>
      <c r="L3777" t="s">
        <v>28719</v>
      </c>
      <c r="M3777" t="s">
        <v>32145</v>
      </c>
    </row>
    <row r="3778" spans="1:13" x14ac:dyDescent="0.25">
      <c r="A3778" t="s">
        <v>20191</v>
      </c>
      <c r="B3778" t="s">
        <v>13</v>
      </c>
      <c r="C3778" s="1">
        <v>43139</v>
      </c>
      <c r="D3778" t="s">
        <v>20192</v>
      </c>
      <c r="E3778" s="2" t="s">
        <v>31526</v>
      </c>
      <c r="F3778" t="s">
        <v>117</v>
      </c>
      <c r="G3778" t="s">
        <v>20194</v>
      </c>
      <c r="H3778" t="s">
        <v>3222</v>
      </c>
      <c r="I3778" t="s">
        <v>19</v>
      </c>
      <c r="J3778" s="3">
        <f>55-22-992259694</f>
        <v>-992259661</v>
      </c>
      <c r="K3778" t="s">
        <v>20195</v>
      </c>
      <c r="L3778" t="s">
        <v>20196</v>
      </c>
      <c r="M3778" t="s">
        <v>32145</v>
      </c>
    </row>
    <row r="3779" spans="1:13" x14ac:dyDescent="0.25">
      <c r="A3779" t="s">
        <v>16799</v>
      </c>
      <c r="B3779" t="s">
        <v>13</v>
      </c>
      <c r="C3779" s="1">
        <v>43222</v>
      </c>
      <c r="D3779" t="s">
        <v>16800</v>
      </c>
      <c r="E3779" t="s">
        <v>16801</v>
      </c>
      <c r="F3779" t="s">
        <v>306</v>
      </c>
      <c r="G3779" t="s">
        <v>16802</v>
      </c>
      <c r="H3779" t="s">
        <v>16803</v>
      </c>
      <c r="I3779" t="s">
        <v>19</v>
      </c>
      <c r="J3779" s="3" t="s">
        <v>16804</v>
      </c>
      <c r="K3779" t="s">
        <v>16805</v>
      </c>
      <c r="L3779" t="s">
        <v>16806</v>
      </c>
      <c r="M3779" t="s">
        <v>32145</v>
      </c>
    </row>
    <row r="3780" spans="1:13" x14ac:dyDescent="0.25">
      <c r="A3780" t="s">
        <v>19362</v>
      </c>
      <c r="B3780" t="s">
        <v>13</v>
      </c>
      <c r="C3780" s="1">
        <v>43200</v>
      </c>
      <c r="D3780" t="s">
        <v>19363</v>
      </c>
      <c r="E3780" s="2" t="s">
        <v>31225</v>
      </c>
      <c r="F3780" t="s">
        <v>117</v>
      </c>
      <c r="G3780" t="s">
        <v>19364</v>
      </c>
      <c r="H3780" t="s">
        <v>36</v>
      </c>
      <c r="I3780" t="s">
        <v>19</v>
      </c>
      <c r="J3780" s="3">
        <f>55-11-32846951</f>
        <v>-32846907</v>
      </c>
      <c r="K3780" t="s">
        <v>19365</v>
      </c>
      <c r="L3780" t="s">
        <v>19366</v>
      </c>
      <c r="M3780" t="s">
        <v>32145</v>
      </c>
    </row>
    <row r="3781" spans="1:13" x14ac:dyDescent="0.25">
      <c r="A3781" t="s">
        <v>27699</v>
      </c>
      <c r="B3781" t="s">
        <v>13</v>
      </c>
      <c r="C3781" t="s">
        <v>27682</v>
      </c>
      <c r="D3781" t="s">
        <v>27700</v>
      </c>
      <c r="E3781" t="s">
        <v>27701</v>
      </c>
      <c r="F3781" t="s">
        <v>306</v>
      </c>
      <c r="G3781" t="s">
        <v>27702</v>
      </c>
      <c r="H3781" t="s">
        <v>88</v>
      </c>
      <c r="I3781" t="s">
        <v>19</v>
      </c>
      <c r="J3781" s="3" t="s">
        <v>27703</v>
      </c>
      <c r="K3781" t="s">
        <v>27704</v>
      </c>
      <c r="L3781" t="s">
        <v>91</v>
      </c>
      <c r="M3781" t="s">
        <v>32145</v>
      </c>
    </row>
    <row r="3782" spans="1:13" x14ac:dyDescent="0.25">
      <c r="A3782" t="s">
        <v>7822</v>
      </c>
      <c r="B3782" t="s">
        <v>13</v>
      </c>
      <c r="C3782" s="1">
        <v>44320</v>
      </c>
      <c r="D3782" t="s">
        <v>32135</v>
      </c>
      <c r="E3782" t="s">
        <v>7823</v>
      </c>
      <c r="F3782" t="s">
        <v>7824</v>
      </c>
      <c r="G3782" t="s">
        <v>7825</v>
      </c>
      <c r="H3782" t="s">
        <v>489</v>
      </c>
      <c r="I3782" t="s">
        <v>19</v>
      </c>
      <c r="J3782" s="3">
        <f>55-41-999352165</f>
        <v>-999352151</v>
      </c>
      <c r="K3782" t="s">
        <v>7826</v>
      </c>
      <c r="L3782" t="s">
        <v>32135</v>
      </c>
      <c r="M3782" t="s">
        <v>32145</v>
      </c>
    </row>
    <row r="3783" spans="1:13" x14ac:dyDescent="0.25">
      <c r="A3783" t="s">
        <v>24490</v>
      </c>
      <c r="B3783" t="s">
        <v>13</v>
      </c>
      <c r="C3783" t="s">
        <v>22001</v>
      </c>
      <c r="D3783" t="s">
        <v>24491</v>
      </c>
      <c r="E3783" t="s">
        <v>24492</v>
      </c>
      <c r="F3783" t="s">
        <v>1464</v>
      </c>
      <c r="G3783" t="s">
        <v>24493</v>
      </c>
      <c r="H3783" t="s">
        <v>265</v>
      </c>
      <c r="I3783" t="s">
        <v>19</v>
      </c>
      <c r="J3783" s="3" t="s">
        <v>24494</v>
      </c>
      <c r="K3783" t="s">
        <v>24495</v>
      </c>
      <c r="L3783" t="s">
        <v>1569</v>
      </c>
      <c r="M3783" t="s">
        <v>32145</v>
      </c>
    </row>
    <row r="3784" spans="1:13" x14ac:dyDescent="0.25">
      <c r="A3784" t="s">
        <v>19165</v>
      </c>
      <c r="B3784" t="s">
        <v>13</v>
      </c>
      <c r="C3784" t="s">
        <v>19166</v>
      </c>
      <c r="D3784" t="s">
        <v>19167</v>
      </c>
      <c r="E3784" t="s">
        <v>19168</v>
      </c>
      <c r="F3784" t="s">
        <v>117</v>
      </c>
      <c r="G3784" t="s">
        <v>19169</v>
      </c>
      <c r="H3784" t="s">
        <v>45</v>
      </c>
      <c r="I3784" t="s">
        <v>19</v>
      </c>
      <c r="J3784" s="3">
        <f>55-85-31019600</f>
        <v>-31019630</v>
      </c>
      <c r="K3784" t="s">
        <v>19170</v>
      </c>
      <c r="L3784" t="s">
        <v>48</v>
      </c>
      <c r="M3784" t="s">
        <v>32145</v>
      </c>
    </row>
    <row r="3785" spans="1:13" x14ac:dyDescent="0.25">
      <c r="A3785" t="s">
        <v>24458</v>
      </c>
      <c r="B3785" t="s">
        <v>13</v>
      </c>
      <c r="C3785" t="s">
        <v>24451</v>
      </c>
      <c r="D3785" t="s">
        <v>24459</v>
      </c>
      <c r="E3785" t="s">
        <v>24460</v>
      </c>
      <c r="F3785" t="s">
        <v>306</v>
      </c>
      <c r="G3785" t="s">
        <v>24461</v>
      </c>
      <c r="H3785" t="s">
        <v>88</v>
      </c>
      <c r="I3785" t="s">
        <v>19</v>
      </c>
      <c r="J3785" s="3" t="s">
        <v>24462</v>
      </c>
      <c r="K3785" t="s">
        <v>24463</v>
      </c>
      <c r="L3785" t="s">
        <v>91</v>
      </c>
      <c r="M3785" t="s">
        <v>32145</v>
      </c>
    </row>
    <row r="3786" spans="1:13" x14ac:dyDescent="0.25">
      <c r="A3786" t="s">
        <v>14903</v>
      </c>
      <c r="B3786" t="s">
        <v>13</v>
      </c>
      <c r="C3786" s="1">
        <v>43681</v>
      </c>
      <c r="D3786" t="s">
        <v>14904</v>
      </c>
      <c r="E3786" s="2" t="s">
        <v>31111</v>
      </c>
      <c r="F3786" t="s">
        <v>771</v>
      </c>
      <c r="G3786" t="s">
        <v>14905</v>
      </c>
      <c r="H3786" t="s">
        <v>2120</v>
      </c>
      <c r="I3786" t="s">
        <v>19</v>
      </c>
      <c r="J3786" s="3">
        <f>55-51-996690302</f>
        <v>-996690298</v>
      </c>
      <c r="K3786" t="s">
        <v>14906</v>
      </c>
      <c r="L3786" t="s">
        <v>1658</v>
      </c>
      <c r="M3786" t="s">
        <v>771</v>
      </c>
    </row>
    <row r="3787" spans="1:13" x14ac:dyDescent="0.25">
      <c r="A3787" t="s">
        <v>10624</v>
      </c>
      <c r="B3787" t="s">
        <v>13</v>
      </c>
      <c r="C3787" s="1">
        <v>43929</v>
      </c>
      <c r="D3787" t="s">
        <v>10625</v>
      </c>
      <c r="E3787" s="2" t="s">
        <v>31001</v>
      </c>
      <c r="F3787" t="s">
        <v>117</v>
      </c>
      <c r="G3787" t="s">
        <v>10626</v>
      </c>
      <c r="H3787" t="s">
        <v>10627</v>
      </c>
      <c r="I3787" t="s">
        <v>19</v>
      </c>
      <c r="J3787" s="3" t="s">
        <v>10628</v>
      </c>
      <c r="K3787" t="s">
        <v>10629</v>
      </c>
      <c r="L3787" t="s">
        <v>10630</v>
      </c>
      <c r="M3787" t="s">
        <v>32145</v>
      </c>
    </row>
    <row r="3788" spans="1:13" x14ac:dyDescent="0.25">
      <c r="A3788" t="s">
        <v>3822</v>
      </c>
      <c r="B3788" t="s">
        <v>13</v>
      </c>
      <c r="C3788" t="s">
        <v>3780</v>
      </c>
      <c r="D3788" t="s">
        <v>3823</v>
      </c>
      <c r="E3788" s="2" t="s">
        <v>30790</v>
      </c>
      <c r="F3788" t="s">
        <v>3824</v>
      </c>
      <c r="G3788" t="s">
        <v>3825</v>
      </c>
      <c r="H3788" t="s">
        <v>462</v>
      </c>
      <c r="I3788" t="s">
        <v>19</v>
      </c>
      <c r="J3788" s="3">
        <v>554430276360</v>
      </c>
      <c r="K3788" t="s">
        <v>3826</v>
      </c>
      <c r="L3788" t="s">
        <v>3827</v>
      </c>
      <c r="M3788" t="s">
        <v>32145</v>
      </c>
    </row>
    <row r="3789" spans="1:13" x14ac:dyDescent="0.25">
      <c r="A3789" t="s">
        <v>18219</v>
      </c>
      <c r="B3789" t="s">
        <v>13</v>
      </c>
      <c r="C3789" s="1">
        <v>43558</v>
      </c>
      <c r="D3789" t="s">
        <v>18220</v>
      </c>
      <c r="E3789" s="2" t="s">
        <v>31196</v>
      </c>
      <c r="F3789" t="s">
        <v>9519</v>
      </c>
      <c r="G3789" t="s">
        <v>18221</v>
      </c>
      <c r="H3789" t="s">
        <v>1656</v>
      </c>
      <c r="I3789" t="s">
        <v>19</v>
      </c>
      <c r="J3789" s="3">
        <v>53981090937</v>
      </c>
      <c r="K3789" t="s">
        <v>9612</v>
      </c>
      <c r="L3789" t="s">
        <v>18222</v>
      </c>
      <c r="M3789" t="s">
        <v>32145</v>
      </c>
    </row>
    <row r="3790" spans="1:13" x14ac:dyDescent="0.25">
      <c r="A3790" t="s">
        <v>13397</v>
      </c>
      <c r="B3790" t="s">
        <v>13</v>
      </c>
      <c r="C3790" t="s">
        <v>12133</v>
      </c>
      <c r="D3790" t="s">
        <v>13398</v>
      </c>
      <c r="E3790" s="2" t="s">
        <v>31070</v>
      </c>
      <c r="F3790" t="s">
        <v>306</v>
      </c>
      <c r="G3790" t="s">
        <v>2465</v>
      </c>
      <c r="H3790" t="s">
        <v>255</v>
      </c>
      <c r="I3790" t="s">
        <v>19</v>
      </c>
      <c r="J3790" s="3">
        <f>55-62-996300080</f>
        <v>-996300087</v>
      </c>
      <c r="K3790" t="s">
        <v>2466</v>
      </c>
      <c r="L3790" t="s">
        <v>2467</v>
      </c>
      <c r="M3790" t="s">
        <v>32145</v>
      </c>
    </row>
    <row r="3791" spans="1:13" x14ac:dyDescent="0.25">
      <c r="A3791" t="s">
        <v>32121</v>
      </c>
      <c r="B3791" t="s">
        <v>13</v>
      </c>
      <c r="C3791" s="1">
        <v>44872</v>
      </c>
      <c r="D3791" t="s">
        <v>3058</v>
      </c>
      <c r="E3791" s="2" t="s">
        <v>30764</v>
      </c>
      <c r="F3791" t="s">
        <v>3059</v>
      </c>
      <c r="G3791" t="s">
        <v>3060</v>
      </c>
      <c r="H3791" t="s">
        <v>428</v>
      </c>
      <c r="I3791" t="s">
        <v>19</v>
      </c>
      <c r="J3791" s="3">
        <f>55-51-37796400</f>
        <v>-37796396</v>
      </c>
      <c r="K3791" t="s">
        <v>3061</v>
      </c>
      <c r="L3791" t="s">
        <v>1269</v>
      </c>
      <c r="M3791" t="s">
        <v>32145</v>
      </c>
    </row>
    <row r="3792" spans="1:13" x14ac:dyDescent="0.25">
      <c r="A3792" t="s">
        <v>3546</v>
      </c>
      <c r="B3792" t="s">
        <v>13</v>
      </c>
      <c r="C3792" t="s">
        <v>3531</v>
      </c>
      <c r="D3792" t="s">
        <v>3547</v>
      </c>
      <c r="E3792" s="2" t="s">
        <v>31855</v>
      </c>
      <c r="F3792" t="s">
        <v>1372</v>
      </c>
      <c r="G3792" t="s">
        <v>3549</v>
      </c>
      <c r="H3792" t="s">
        <v>28</v>
      </c>
      <c r="I3792" t="s">
        <v>19</v>
      </c>
      <c r="J3792" s="3" t="s">
        <v>3550</v>
      </c>
      <c r="K3792" t="s">
        <v>3551</v>
      </c>
      <c r="L3792" t="s">
        <v>923</v>
      </c>
      <c r="M3792" t="s">
        <v>32145</v>
      </c>
    </row>
    <row r="3793" spans="1:13" x14ac:dyDescent="0.25">
      <c r="A3793" t="s">
        <v>20137</v>
      </c>
      <c r="B3793" t="s">
        <v>13</v>
      </c>
      <c r="C3793" s="1">
        <v>43259</v>
      </c>
      <c r="D3793" t="s">
        <v>20138</v>
      </c>
      <c r="E3793" s="2" t="s">
        <v>31243</v>
      </c>
      <c r="F3793" t="s">
        <v>1464</v>
      </c>
      <c r="G3793" t="s">
        <v>20139</v>
      </c>
      <c r="H3793" t="s">
        <v>20140</v>
      </c>
      <c r="I3793" t="s">
        <v>19</v>
      </c>
      <c r="J3793" s="3">
        <f>55-11-4044-500</f>
        <v>-4500</v>
      </c>
      <c r="K3793" t="s">
        <v>20141</v>
      </c>
      <c r="L3793" t="s">
        <v>1851</v>
      </c>
      <c r="M3793" t="s">
        <v>32145</v>
      </c>
    </row>
    <row r="3794" spans="1:13" x14ac:dyDescent="0.25">
      <c r="A3794" t="s">
        <v>109</v>
      </c>
      <c r="B3794" t="s">
        <v>13</v>
      </c>
      <c r="C3794" s="1">
        <v>44928</v>
      </c>
      <c r="D3794" t="s">
        <v>110</v>
      </c>
      <c r="E3794" t="s">
        <v>111</v>
      </c>
      <c r="F3794" t="s">
        <v>112</v>
      </c>
      <c r="G3794" t="s">
        <v>113</v>
      </c>
      <c r="H3794" t="s">
        <v>114</v>
      </c>
      <c r="I3794" t="s">
        <v>19</v>
      </c>
      <c r="J3794" s="3" t="s">
        <v>115</v>
      </c>
      <c r="K3794" t="s">
        <v>116</v>
      </c>
      <c r="L3794" t="s">
        <v>82</v>
      </c>
      <c r="M3794" t="s">
        <v>32145</v>
      </c>
    </row>
    <row r="3795" spans="1:13" x14ac:dyDescent="0.25">
      <c r="A3795" t="s">
        <v>23809</v>
      </c>
      <c r="B3795" t="s">
        <v>13</v>
      </c>
      <c r="C3795" t="s">
        <v>23805</v>
      </c>
      <c r="D3795" t="s">
        <v>23810</v>
      </c>
      <c r="E3795" t="s">
        <v>23811</v>
      </c>
      <c r="F3795" t="s">
        <v>117</v>
      </c>
      <c r="G3795" t="s">
        <v>23812</v>
      </c>
      <c r="H3795" t="s">
        <v>927</v>
      </c>
      <c r="I3795" t="s">
        <v>19</v>
      </c>
      <c r="J3795" s="3" t="s">
        <v>23813</v>
      </c>
      <c r="K3795" t="s">
        <v>23814</v>
      </c>
      <c r="L3795" t="s">
        <v>439</v>
      </c>
      <c r="M3795" t="s">
        <v>32145</v>
      </c>
    </row>
    <row r="3796" spans="1:13" x14ac:dyDescent="0.25">
      <c r="A3796" t="s">
        <v>15411</v>
      </c>
      <c r="B3796" t="s">
        <v>13</v>
      </c>
      <c r="C3796" t="s">
        <v>15406</v>
      </c>
      <c r="D3796" t="s">
        <v>15412</v>
      </c>
      <c r="E3796" t="s">
        <v>15413</v>
      </c>
      <c r="F3796" t="s">
        <v>306</v>
      </c>
      <c r="G3796" t="s">
        <v>15414</v>
      </c>
      <c r="H3796" t="s">
        <v>352</v>
      </c>
      <c r="I3796" t="s">
        <v>19</v>
      </c>
      <c r="J3796" s="3">
        <f>55-21-979627600</f>
        <v>-979627566</v>
      </c>
      <c r="K3796" t="s">
        <v>15415</v>
      </c>
      <c r="L3796" t="s">
        <v>15416</v>
      </c>
      <c r="M3796" t="s">
        <v>32145</v>
      </c>
    </row>
    <row r="3797" spans="1:13" x14ac:dyDescent="0.25">
      <c r="A3797" t="s">
        <v>20498</v>
      </c>
      <c r="B3797" t="s">
        <v>13</v>
      </c>
      <c r="C3797" t="s">
        <v>20499</v>
      </c>
      <c r="D3797" t="s">
        <v>20500</v>
      </c>
      <c r="E3797" s="2" t="s">
        <v>31252</v>
      </c>
      <c r="F3797" t="s">
        <v>2947</v>
      </c>
      <c r="G3797" t="s">
        <v>20501</v>
      </c>
      <c r="H3797" t="s">
        <v>352</v>
      </c>
      <c r="I3797" t="s">
        <v>19</v>
      </c>
      <c r="J3797" s="3">
        <f>55-21-971413646</f>
        <v>-971413612</v>
      </c>
      <c r="K3797" t="s">
        <v>20502</v>
      </c>
      <c r="L3797" t="s">
        <v>9948</v>
      </c>
      <c r="M3797" t="s">
        <v>32145</v>
      </c>
    </row>
    <row r="3798" spans="1:13" x14ac:dyDescent="0.25">
      <c r="A3798" t="s">
        <v>15357</v>
      </c>
      <c r="B3798" t="s">
        <v>13</v>
      </c>
      <c r="C3798" t="s">
        <v>15332</v>
      </c>
      <c r="D3798" t="s">
        <v>15358</v>
      </c>
      <c r="E3798" s="2" t="s">
        <v>31742</v>
      </c>
      <c r="F3798" t="s">
        <v>306</v>
      </c>
      <c r="G3798" t="s">
        <v>15359</v>
      </c>
      <c r="H3798" t="s">
        <v>36</v>
      </c>
      <c r="I3798" t="s">
        <v>19</v>
      </c>
      <c r="J3798" s="3">
        <f>55-11-26616467</f>
        <v>-26616423</v>
      </c>
      <c r="K3798" t="s">
        <v>15360</v>
      </c>
      <c r="L3798" t="s">
        <v>14656</v>
      </c>
      <c r="M3798" t="s">
        <v>32145</v>
      </c>
    </row>
    <row r="3799" spans="1:13" x14ac:dyDescent="0.25">
      <c r="A3799" t="s">
        <v>8430</v>
      </c>
      <c r="B3799" t="s">
        <v>13</v>
      </c>
      <c r="C3799" s="1">
        <v>43138</v>
      </c>
      <c r="D3799" t="s">
        <v>8431</v>
      </c>
      <c r="E3799" s="2" t="s">
        <v>31456</v>
      </c>
      <c r="F3799" t="s">
        <v>306</v>
      </c>
      <c r="G3799" t="s">
        <v>8432</v>
      </c>
      <c r="H3799" t="s">
        <v>489</v>
      </c>
      <c r="I3799" t="s">
        <v>19</v>
      </c>
      <c r="J3799" s="3">
        <f>55-41-996876677</f>
        <v>-996876663</v>
      </c>
      <c r="K3799" t="s">
        <v>8433</v>
      </c>
      <c r="L3799" t="s">
        <v>625</v>
      </c>
      <c r="M3799" t="s">
        <v>32145</v>
      </c>
    </row>
    <row r="3800" spans="1:13" x14ac:dyDescent="0.25">
      <c r="A3800" t="s">
        <v>20431</v>
      </c>
      <c r="B3800" t="s">
        <v>13</v>
      </c>
      <c r="C3800" t="s">
        <v>20432</v>
      </c>
      <c r="D3800" t="s">
        <v>20433</v>
      </c>
      <c r="E3800" s="2" t="s">
        <v>31544</v>
      </c>
      <c r="F3800" t="s">
        <v>2947</v>
      </c>
      <c r="G3800" t="s">
        <v>20434</v>
      </c>
      <c r="H3800" t="s">
        <v>983</v>
      </c>
      <c r="I3800" t="s">
        <v>19</v>
      </c>
      <c r="J3800" s="3">
        <f>55-19-37016732</f>
        <v>-37016696</v>
      </c>
      <c r="K3800" t="s">
        <v>20435</v>
      </c>
      <c r="L3800" t="s">
        <v>20436</v>
      </c>
      <c r="M3800" t="s">
        <v>32145</v>
      </c>
    </row>
    <row r="3801" spans="1:13" x14ac:dyDescent="0.25">
      <c r="A3801" t="s">
        <v>12968</v>
      </c>
      <c r="B3801" t="s">
        <v>13</v>
      </c>
      <c r="C3801" s="1">
        <v>44138</v>
      </c>
      <c r="D3801" t="s">
        <v>12969</v>
      </c>
      <c r="E3801" s="2" t="s">
        <v>31504</v>
      </c>
      <c r="F3801" t="s">
        <v>306</v>
      </c>
      <c r="G3801" t="s">
        <v>2465</v>
      </c>
      <c r="H3801" t="s">
        <v>255</v>
      </c>
      <c r="I3801" t="s">
        <v>19</v>
      </c>
      <c r="J3801" s="3">
        <f>55-62-996300080</f>
        <v>-996300087</v>
      </c>
      <c r="K3801" t="s">
        <v>2466</v>
      </c>
      <c r="L3801" t="s">
        <v>2467</v>
      </c>
      <c r="M3801" t="s">
        <v>32145</v>
      </c>
    </row>
    <row r="3802" spans="1:13" x14ac:dyDescent="0.25">
      <c r="A3802" t="s">
        <v>27034</v>
      </c>
      <c r="B3802" t="s">
        <v>13</v>
      </c>
      <c r="C3802" t="s">
        <v>26006</v>
      </c>
      <c r="D3802" t="s">
        <v>27035</v>
      </c>
      <c r="E3802" t="s">
        <v>27036</v>
      </c>
      <c r="F3802" t="s">
        <v>27037</v>
      </c>
      <c r="G3802" t="s">
        <v>27038</v>
      </c>
      <c r="H3802" t="s">
        <v>1215</v>
      </c>
      <c r="I3802" t="s">
        <v>19</v>
      </c>
      <c r="J3802" s="3" t="s">
        <v>27039</v>
      </c>
      <c r="K3802" t="s">
        <v>27040</v>
      </c>
      <c r="L3802" t="s">
        <v>4094</v>
      </c>
      <c r="M3802" t="s">
        <v>32145</v>
      </c>
    </row>
    <row r="3803" spans="1:13" x14ac:dyDescent="0.25">
      <c r="A3803" t="s">
        <v>12670</v>
      </c>
      <c r="B3803" t="s">
        <v>13</v>
      </c>
      <c r="C3803" t="s">
        <v>7663</v>
      </c>
      <c r="D3803" t="s">
        <v>12671</v>
      </c>
      <c r="E3803" t="s">
        <v>12672</v>
      </c>
      <c r="F3803" t="s">
        <v>1464</v>
      </c>
      <c r="G3803" t="s">
        <v>12673</v>
      </c>
      <c r="H3803" t="s">
        <v>2164</v>
      </c>
      <c r="I3803" t="s">
        <v>19</v>
      </c>
      <c r="J3803" s="3">
        <v>5573999741449</v>
      </c>
      <c r="K3803" t="s">
        <v>12674</v>
      </c>
      <c r="L3803" t="s">
        <v>12673</v>
      </c>
      <c r="M3803" t="s">
        <v>32145</v>
      </c>
    </row>
    <row r="3804" spans="1:13" x14ac:dyDescent="0.25">
      <c r="A3804" t="s">
        <v>12367</v>
      </c>
      <c r="B3804" t="s">
        <v>13</v>
      </c>
      <c r="C3804" s="1">
        <v>44078</v>
      </c>
      <c r="D3804" t="s">
        <v>12368</v>
      </c>
      <c r="E3804" s="2" t="s">
        <v>31831</v>
      </c>
      <c r="F3804" t="s">
        <v>2947</v>
      </c>
      <c r="G3804" t="s">
        <v>12369</v>
      </c>
      <c r="H3804" t="s">
        <v>489</v>
      </c>
      <c r="I3804" t="s">
        <v>19</v>
      </c>
      <c r="J3804" s="3" t="s">
        <v>12370</v>
      </c>
      <c r="K3804" t="s">
        <v>12371</v>
      </c>
      <c r="L3804" t="s">
        <v>625</v>
      </c>
      <c r="M3804" t="s">
        <v>771</v>
      </c>
    </row>
    <row r="3805" spans="1:13" x14ac:dyDescent="0.25">
      <c r="A3805" t="s">
        <v>12571</v>
      </c>
      <c r="B3805" t="s">
        <v>13</v>
      </c>
      <c r="C3805" t="s">
        <v>12556</v>
      </c>
      <c r="D3805" t="s">
        <v>12572</v>
      </c>
      <c r="E3805" s="2" t="s">
        <v>31994</v>
      </c>
      <c r="F3805" t="s">
        <v>2947</v>
      </c>
      <c r="G3805" t="s">
        <v>12369</v>
      </c>
      <c r="H3805" t="s">
        <v>489</v>
      </c>
      <c r="I3805" t="s">
        <v>19</v>
      </c>
      <c r="J3805" s="3" t="s">
        <v>12370</v>
      </c>
      <c r="K3805" t="s">
        <v>12371</v>
      </c>
      <c r="L3805" t="s">
        <v>625</v>
      </c>
      <c r="M3805" t="s">
        <v>32145</v>
      </c>
    </row>
    <row r="3806" spans="1:13" x14ac:dyDescent="0.25">
      <c r="A3806" t="s">
        <v>23305</v>
      </c>
      <c r="B3806" t="s">
        <v>13</v>
      </c>
      <c r="C3806" t="s">
        <v>23294</v>
      </c>
      <c r="D3806" t="s">
        <v>23306</v>
      </c>
      <c r="E3806" s="2" t="s">
        <v>31326</v>
      </c>
      <c r="F3806" t="s">
        <v>306</v>
      </c>
      <c r="G3806" t="s">
        <v>23307</v>
      </c>
      <c r="H3806" t="s">
        <v>1802</v>
      </c>
      <c r="I3806" t="s">
        <v>19</v>
      </c>
      <c r="J3806" s="3" t="s">
        <v>23308</v>
      </c>
      <c r="K3806" t="s">
        <v>23309</v>
      </c>
      <c r="L3806" t="s">
        <v>14212</v>
      </c>
      <c r="M3806" t="s">
        <v>32145</v>
      </c>
    </row>
    <row r="3807" spans="1:13" x14ac:dyDescent="0.25">
      <c r="A3807" t="s">
        <v>6886</v>
      </c>
      <c r="B3807" t="s">
        <v>13</v>
      </c>
      <c r="C3807" t="s">
        <v>6868</v>
      </c>
      <c r="D3807" t="s">
        <v>6887</v>
      </c>
      <c r="E3807" s="2" t="s">
        <v>30911</v>
      </c>
      <c r="F3807" t="s">
        <v>6888</v>
      </c>
      <c r="G3807" t="s">
        <v>6889</v>
      </c>
      <c r="H3807" t="s">
        <v>489</v>
      </c>
      <c r="I3807" t="s">
        <v>19</v>
      </c>
      <c r="J3807" s="3">
        <f>55-41-988164051</f>
        <v>-988164037</v>
      </c>
      <c r="K3807" t="s">
        <v>6890</v>
      </c>
      <c r="L3807" t="s">
        <v>32135</v>
      </c>
      <c r="M3807" t="s">
        <v>32145</v>
      </c>
    </row>
    <row r="3808" spans="1:13" x14ac:dyDescent="0.25">
      <c r="A3808" t="s">
        <v>14551</v>
      </c>
      <c r="B3808" t="s">
        <v>13</v>
      </c>
      <c r="C3808" t="s">
        <v>7069</v>
      </c>
      <c r="D3808" t="s">
        <v>14552</v>
      </c>
      <c r="E3808" s="2" t="s">
        <v>32006</v>
      </c>
      <c r="F3808" t="s">
        <v>1464</v>
      </c>
      <c r="G3808" t="s">
        <v>14553</v>
      </c>
      <c r="H3808" t="s">
        <v>255</v>
      </c>
      <c r="I3808" t="s">
        <v>19</v>
      </c>
      <c r="J3808" s="3" t="s">
        <v>14554</v>
      </c>
      <c r="K3808" t="s">
        <v>14555</v>
      </c>
      <c r="L3808" t="s">
        <v>14556</v>
      </c>
      <c r="M3808" t="s">
        <v>32145</v>
      </c>
    </row>
    <row r="3809" spans="1:13" x14ac:dyDescent="0.25">
      <c r="A3809" t="s">
        <v>22378</v>
      </c>
      <c r="B3809" t="s">
        <v>13</v>
      </c>
      <c r="C3809" t="s">
        <v>7092</v>
      </c>
      <c r="D3809" t="s">
        <v>22379</v>
      </c>
      <c r="E3809" s="2" t="s">
        <v>31310</v>
      </c>
      <c r="F3809" t="s">
        <v>306</v>
      </c>
      <c r="G3809" t="s">
        <v>16005</v>
      </c>
      <c r="H3809" t="s">
        <v>706</v>
      </c>
      <c r="I3809" t="s">
        <v>19</v>
      </c>
      <c r="J3809" s="3" t="s">
        <v>16006</v>
      </c>
      <c r="K3809" t="s">
        <v>6632</v>
      </c>
      <c r="L3809" t="s">
        <v>3966</v>
      </c>
      <c r="M3809" t="s">
        <v>32145</v>
      </c>
    </row>
    <row r="3810" spans="1:13" x14ac:dyDescent="0.25">
      <c r="A3810" t="s">
        <v>22663</v>
      </c>
      <c r="B3810" t="s">
        <v>13</v>
      </c>
      <c r="C3810" s="1">
        <v>43221</v>
      </c>
      <c r="D3810" t="s">
        <v>22664</v>
      </c>
      <c r="E3810" t="s">
        <v>22665</v>
      </c>
      <c r="F3810" t="s">
        <v>1464</v>
      </c>
      <c r="G3810" t="s">
        <v>22448</v>
      </c>
      <c r="H3810" t="s">
        <v>10228</v>
      </c>
      <c r="I3810" t="s">
        <v>19</v>
      </c>
      <c r="J3810" s="3" t="s">
        <v>22449</v>
      </c>
      <c r="K3810" t="s">
        <v>22450</v>
      </c>
      <c r="L3810" t="s">
        <v>9587</v>
      </c>
      <c r="M3810" t="s">
        <v>32145</v>
      </c>
    </row>
    <row r="3811" spans="1:13" x14ac:dyDescent="0.25">
      <c r="A3811" t="s">
        <v>18917</v>
      </c>
      <c r="B3811" t="s">
        <v>13</v>
      </c>
      <c r="C3811" s="1">
        <v>43112</v>
      </c>
      <c r="D3811" t="s">
        <v>18918</v>
      </c>
      <c r="E3811" t="s">
        <v>18919</v>
      </c>
      <c r="F3811" t="s">
        <v>306</v>
      </c>
      <c r="G3811" t="s">
        <v>18920</v>
      </c>
      <c r="H3811" t="s">
        <v>18921</v>
      </c>
      <c r="I3811" t="s">
        <v>19</v>
      </c>
      <c r="J3811" s="3" t="s">
        <v>18922</v>
      </c>
      <c r="K3811" t="s">
        <v>18923</v>
      </c>
      <c r="L3811" t="s">
        <v>18924</v>
      </c>
      <c r="M3811" t="s">
        <v>32145</v>
      </c>
    </row>
    <row r="3812" spans="1:13" x14ac:dyDescent="0.25">
      <c r="A3812" t="s">
        <v>18573</v>
      </c>
      <c r="B3812" t="s">
        <v>13</v>
      </c>
      <c r="C3812" s="1">
        <v>43647</v>
      </c>
      <c r="D3812" t="s">
        <v>18574</v>
      </c>
      <c r="E3812" s="2" t="s">
        <v>31922</v>
      </c>
      <c r="F3812" t="s">
        <v>1464</v>
      </c>
      <c r="G3812" t="s">
        <v>18575</v>
      </c>
      <c r="H3812" t="s">
        <v>352</v>
      </c>
      <c r="I3812" t="s">
        <v>19</v>
      </c>
      <c r="J3812" s="3">
        <f>55-21-23340775</f>
        <v>-23340741</v>
      </c>
      <c r="K3812" t="s">
        <v>18576</v>
      </c>
      <c r="L3812" t="s">
        <v>2527</v>
      </c>
      <c r="M3812" t="s">
        <v>32145</v>
      </c>
    </row>
    <row r="3813" spans="1:13" x14ac:dyDescent="0.25">
      <c r="A3813" t="s">
        <v>6406</v>
      </c>
      <c r="B3813" t="s">
        <v>13</v>
      </c>
      <c r="C3813" t="s">
        <v>6401</v>
      </c>
      <c r="D3813" t="s">
        <v>32135</v>
      </c>
      <c r="E3813" s="2" t="s">
        <v>31912</v>
      </c>
      <c r="F3813" t="s">
        <v>6408</v>
      </c>
      <c r="G3813" t="s">
        <v>6409</v>
      </c>
      <c r="H3813" t="s">
        <v>352</v>
      </c>
      <c r="I3813" t="s">
        <v>19</v>
      </c>
      <c r="J3813" s="3" t="s">
        <v>6410</v>
      </c>
      <c r="K3813" t="s">
        <v>6411</v>
      </c>
      <c r="L3813" t="s">
        <v>32135</v>
      </c>
      <c r="M3813" t="s">
        <v>32145</v>
      </c>
    </row>
    <row r="3814" spans="1:13" x14ac:dyDescent="0.25">
      <c r="A3814" t="s">
        <v>27767</v>
      </c>
      <c r="B3814" t="s">
        <v>13</v>
      </c>
      <c r="C3814" t="s">
        <v>27768</v>
      </c>
      <c r="D3814" t="s">
        <v>27769</v>
      </c>
      <c r="E3814" t="s">
        <v>27770</v>
      </c>
      <c r="F3814" t="s">
        <v>1464</v>
      </c>
      <c r="G3814" t="s">
        <v>17354</v>
      </c>
      <c r="H3814" t="s">
        <v>2440</v>
      </c>
      <c r="I3814" t="s">
        <v>19</v>
      </c>
      <c r="J3814" s="3" t="s">
        <v>20524</v>
      </c>
      <c r="K3814" t="s">
        <v>27771</v>
      </c>
      <c r="L3814" t="s">
        <v>27772</v>
      </c>
      <c r="M3814" t="s">
        <v>32145</v>
      </c>
    </row>
    <row r="3815" spans="1:13" x14ac:dyDescent="0.25">
      <c r="A3815" t="s">
        <v>25454</v>
      </c>
      <c r="B3815" t="s">
        <v>13</v>
      </c>
      <c r="C3815" t="s">
        <v>25122</v>
      </c>
      <c r="D3815" t="s">
        <v>25455</v>
      </c>
      <c r="E3815" t="s">
        <v>25456</v>
      </c>
      <c r="F3815" t="s">
        <v>306</v>
      </c>
      <c r="G3815" t="s">
        <v>25457</v>
      </c>
      <c r="H3815" t="s">
        <v>53</v>
      </c>
      <c r="I3815" t="s">
        <v>19</v>
      </c>
      <c r="J3815" s="3" t="s">
        <v>25458</v>
      </c>
      <c r="K3815" t="s">
        <v>25459</v>
      </c>
      <c r="L3815" t="s">
        <v>56</v>
      </c>
      <c r="M3815" t="s">
        <v>32145</v>
      </c>
    </row>
    <row r="3816" spans="1:13" x14ac:dyDescent="0.25">
      <c r="A3816" t="s">
        <v>22388</v>
      </c>
      <c r="B3816" t="s">
        <v>13</v>
      </c>
      <c r="C3816" t="s">
        <v>7092</v>
      </c>
      <c r="D3816" t="s">
        <v>22389</v>
      </c>
      <c r="E3816" s="2" t="s">
        <v>31311</v>
      </c>
      <c r="F3816" t="s">
        <v>1464</v>
      </c>
      <c r="G3816" t="s">
        <v>15653</v>
      </c>
      <c r="H3816" t="s">
        <v>10179</v>
      </c>
      <c r="I3816" t="s">
        <v>19</v>
      </c>
      <c r="J3816" s="3" t="s">
        <v>22390</v>
      </c>
      <c r="K3816" t="s">
        <v>15656</v>
      </c>
      <c r="L3816" t="s">
        <v>22391</v>
      </c>
      <c r="M3816" t="s">
        <v>32145</v>
      </c>
    </row>
    <row r="3817" spans="1:13" x14ac:dyDescent="0.25">
      <c r="A3817" t="s">
        <v>28989</v>
      </c>
      <c r="B3817" t="s">
        <v>13</v>
      </c>
      <c r="C3817" t="s">
        <v>28990</v>
      </c>
      <c r="D3817" t="s">
        <v>28991</v>
      </c>
      <c r="E3817" s="2" t="s">
        <v>31361</v>
      </c>
      <c r="F3817" t="s">
        <v>306</v>
      </c>
      <c r="G3817" t="s">
        <v>28992</v>
      </c>
      <c r="H3817" t="s">
        <v>36</v>
      </c>
      <c r="I3817" t="s">
        <v>19</v>
      </c>
      <c r="J3817" s="3" t="s">
        <v>28993</v>
      </c>
      <c r="K3817" t="s">
        <v>28994</v>
      </c>
      <c r="L3817" t="s">
        <v>439</v>
      </c>
      <c r="M3817" t="s">
        <v>32145</v>
      </c>
    </row>
    <row r="3818" spans="1:13" x14ac:dyDescent="0.25">
      <c r="A3818" t="s">
        <v>21332</v>
      </c>
      <c r="B3818" t="s">
        <v>13</v>
      </c>
      <c r="C3818" t="s">
        <v>7645</v>
      </c>
      <c r="D3818" t="s">
        <v>21333</v>
      </c>
      <c r="E3818" t="s">
        <v>32513</v>
      </c>
      <c r="F3818" t="s">
        <v>306</v>
      </c>
      <c r="G3818" t="s">
        <v>21334</v>
      </c>
      <c r="H3818" t="s">
        <v>472</v>
      </c>
      <c r="I3818" t="s">
        <v>19</v>
      </c>
      <c r="J3818" s="3">
        <f>55-81-994609225</f>
        <v>-994609251</v>
      </c>
      <c r="K3818" t="s">
        <v>21335</v>
      </c>
      <c r="L3818" t="s">
        <v>2101</v>
      </c>
      <c r="M3818" t="s">
        <v>32145</v>
      </c>
    </row>
    <row r="3819" spans="1:13" x14ac:dyDescent="0.25">
      <c r="A3819" t="s">
        <v>718</v>
      </c>
      <c r="B3819" t="s">
        <v>101</v>
      </c>
      <c r="C3819" t="s">
        <v>701</v>
      </c>
      <c r="D3819" t="s">
        <v>719</v>
      </c>
      <c r="E3819" t="s">
        <v>30688</v>
      </c>
      <c r="F3819" t="s">
        <v>211</v>
      </c>
      <c r="G3819" t="s">
        <v>720</v>
      </c>
      <c r="H3819" t="s">
        <v>721</v>
      </c>
      <c r="I3819" t="s">
        <v>19</v>
      </c>
      <c r="J3819" s="3" t="s">
        <v>722</v>
      </c>
      <c r="K3819" t="s">
        <v>723</v>
      </c>
      <c r="L3819" t="s">
        <v>724</v>
      </c>
      <c r="M3819" t="s">
        <v>32145</v>
      </c>
    </row>
    <row r="3820" spans="1:13" x14ac:dyDescent="0.25">
      <c r="A3820" t="s">
        <v>19422</v>
      </c>
      <c r="B3820" t="s">
        <v>13</v>
      </c>
      <c r="C3820" t="s">
        <v>19413</v>
      </c>
      <c r="D3820" t="s">
        <v>19423</v>
      </c>
      <c r="E3820" s="2" t="s">
        <v>31923</v>
      </c>
      <c r="F3820" t="s">
        <v>9519</v>
      </c>
      <c r="G3820" t="s">
        <v>19424</v>
      </c>
      <c r="H3820" t="s">
        <v>352</v>
      </c>
      <c r="I3820" t="s">
        <v>19</v>
      </c>
      <c r="J3820" s="3">
        <v>5521981517689</v>
      </c>
      <c r="K3820" t="s">
        <v>19425</v>
      </c>
      <c r="L3820" t="s">
        <v>19426</v>
      </c>
      <c r="M3820" t="s">
        <v>32145</v>
      </c>
    </row>
    <row r="3821" spans="1:13" x14ac:dyDescent="0.25">
      <c r="A3821" t="s">
        <v>20553</v>
      </c>
      <c r="B3821" t="s">
        <v>13</v>
      </c>
      <c r="C3821" t="s">
        <v>10976</v>
      </c>
      <c r="D3821" t="s">
        <v>20554</v>
      </c>
      <c r="E3821" s="2" t="s">
        <v>31254</v>
      </c>
      <c r="F3821" t="s">
        <v>1464</v>
      </c>
      <c r="G3821" t="s">
        <v>15782</v>
      </c>
      <c r="H3821" t="s">
        <v>1466</v>
      </c>
      <c r="I3821" t="s">
        <v>19</v>
      </c>
      <c r="J3821" s="3">
        <f>55-35-32991106</f>
        <v>-32991086</v>
      </c>
      <c r="K3821" t="s">
        <v>15783</v>
      </c>
      <c r="L3821" t="s">
        <v>1469</v>
      </c>
      <c r="M3821" t="s">
        <v>32145</v>
      </c>
    </row>
    <row r="3822" spans="1:13" x14ac:dyDescent="0.25">
      <c r="A3822" t="s">
        <v>14734</v>
      </c>
      <c r="B3822" t="s">
        <v>13</v>
      </c>
      <c r="C3822" s="1">
        <v>43536</v>
      </c>
      <c r="D3822" t="s">
        <v>14735</v>
      </c>
      <c r="E3822" s="2" t="s">
        <v>31106</v>
      </c>
      <c r="F3822" t="s">
        <v>1464</v>
      </c>
      <c r="G3822" t="s">
        <v>14736</v>
      </c>
      <c r="H3822" t="s">
        <v>615</v>
      </c>
      <c r="I3822" t="s">
        <v>19</v>
      </c>
      <c r="J3822" s="3" t="s">
        <v>14737</v>
      </c>
      <c r="K3822" t="s">
        <v>14738</v>
      </c>
      <c r="L3822" t="s">
        <v>14739</v>
      </c>
      <c r="M3822" t="s">
        <v>32145</v>
      </c>
    </row>
    <row r="3823" spans="1:13" x14ac:dyDescent="0.25">
      <c r="A3823" t="s">
        <v>18191</v>
      </c>
      <c r="B3823" t="s">
        <v>13</v>
      </c>
      <c r="C3823" s="1">
        <v>43649</v>
      </c>
      <c r="D3823" t="s">
        <v>18192</v>
      </c>
      <c r="E3823" s="2" t="s">
        <v>31631</v>
      </c>
      <c r="F3823" t="s">
        <v>1464</v>
      </c>
      <c r="G3823" t="s">
        <v>18193</v>
      </c>
      <c r="H3823" t="s">
        <v>1215</v>
      </c>
      <c r="I3823" t="s">
        <v>19</v>
      </c>
      <c r="J3823" s="3">
        <v>5518981750018</v>
      </c>
      <c r="K3823" t="s">
        <v>18194</v>
      </c>
      <c r="L3823" t="s">
        <v>18195</v>
      </c>
      <c r="M3823" t="s">
        <v>32145</v>
      </c>
    </row>
    <row r="3824" spans="1:13" x14ac:dyDescent="0.25">
      <c r="A3824" t="s">
        <v>26924</v>
      </c>
      <c r="B3824" t="s">
        <v>13</v>
      </c>
      <c r="C3824" t="s">
        <v>26925</v>
      </c>
      <c r="D3824" t="s">
        <v>26926</v>
      </c>
      <c r="E3824" t="s">
        <v>26927</v>
      </c>
      <c r="F3824" t="s">
        <v>117</v>
      </c>
      <c r="G3824" t="s">
        <v>26928</v>
      </c>
      <c r="H3824" t="s">
        <v>661</v>
      </c>
      <c r="I3824" t="s">
        <v>19</v>
      </c>
      <c r="J3824" s="3" t="s">
        <v>26929</v>
      </c>
      <c r="K3824" t="s">
        <v>20695</v>
      </c>
      <c r="L3824" t="s">
        <v>904</v>
      </c>
      <c r="M3824" t="s">
        <v>32145</v>
      </c>
    </row>
    <row r="3825" spans="1:13" x14ac:dyDescent="0.25">
      <c r="A3825" t="s">
        <v>19289</v>
      </c>
      <c r="B3825" t="s">
        <v>13</v>
      </c>
      <c r="C3825" s="1">
        <v>42895</v>
      </c>
      <c r="D3825" t="s">
        <v>19290</v>
      </c>
      <c r="E3825" t="s">
        <v>19291</v>
      </c>
      <c r="F3825" t="s">
        <v>1464</v>
      </c>
      <c r="G3825" t="s">
        <v>9881</v>
      </c>
      <c r="H3825" t="s">
        <v>88</v>
      </c>
      <c r="I3825" t="s">
        <v>19</v>
      </c>
      <c r="J3825" s="3" t="s">
        <v>762</v>
      </c>
      <c r="K3825" t="s">
        <v>9882</v>
      </c>
      <c r="L3825" t="s">
        <v>764</v>
      </c>
      <c r="M3825" t="s">
        <v>32145</v>
      </c>
    </row>
    <row r="3826" spans="1:13" x14ac:dyDescent="0.25">
      <c r="A3826" t="s">
        <v>8144</v>
      </c>
      <c r="B3826" t="s">
        <v>101</v>
      </c>
      <c r="C3826" s="1">
        <v>44532</v>
      </c>
      <c r="D3826" t="s">
        <v>32135</v>
      </c>
      <c r="E3826" s="2" t="s">
        <v>32514</v>
      </c>
      <c r="F3826" t="s">
        <v>306</v>
      </c>
      <c r="G3826" t="s">
        <v>8145</v>
      </c>
      <c r="H3826" t="s">
        <v>36</v>
      </c>
      <c r="I3826" t="s">
        <v>19</v>
      </c>
      <c r="J3826" s="3" t="s">
        <v>8146</v>
      </c>
      <c r="K3826" t="s">
        <v>8147</v>
      </c>
      <c r="L3826" t="s">
        <v>32135</v>
      </c>
      <c r="M3826" t="s">
        <v>32145</v>
      </c>
    </row>
    <row r="3827" spans="1:13" x14ac:dyDescent="0.25">
      <c r="A3827" t="s">
        <v>26860</v>
      </c>
      <c r="B3827" t="s">
        <v>13</v>
      </c>
      <c r="C3827" s="1">
        <v>42372</v>
      </c>
      <c r="D3827" t="s">
        <v>26861</v>
      </c>
      <c r="E3827" t="s">
        <v>26862</v>
      </c>
      <c r="F3827" t="s">
        <v>117</v>
      </c>
      <c r="G3827" t="s">
        <v>26863</v>
      </c>
      <c r="H3827" t="s">
        <v>3391</v>
      </c>
      <c r="I3827" t="s">
        <v>19</v>
      </c>
      <c r="J3827" s="3" t="s">
        <v>26864</v>
      </c>
      <c r="K3827" t="s">
        <v>26865</v>
      </c>
      <c r="L3827" t="s">
        <v>285</v>
      </c>
      <c r="M3827" t="s">
        <v>32145</v>
      </c>
    </row>
    <row r="3828" spans="1:13" x14ac:dyDescent="0.25">
      <c r="A3828" t="s">
        <v>16107</v>
      </c>
      <c r="B3828" t="s">
        <v>13</v>
      </c>
      <c r="C3828" t="s">
        <v>15792</v>
      </c>
      <c r="D3828" t="s">
        <v>16108</v>
      </c>
      <c r="E3828" s="2" t="s">
        <v>31702</v>
      </c>
      <c r="F3828" t="s">
        <v>117</v>
      </c>
      <c r="G3828" t="s">
        <v>16109</v>
      </c>
      <c r="H3828" t="s">
        <v>927</v>
      </c>
      <c r="I3828" t="s">
        <v>19</v>
      </c>
      <c r="J3828" s="3" t="s">
        <v>16110</v>
      </c>
      <c r="K3828" t="s">
        <v>16111</v>
      </c>
      <c r="L3828" t="s">
        <v>16112</v>
      </c>
      <c r="M3828" t="s">
        <v>32145</v>
      </c>
    </row>
    <row r="3829" spans="1:13" x14ac:dyDescent="0.25">
      <c r="A3829" t="s">
        <v>12729</v>
      </c>
      <c r="B3829" t="s">
        <v>13</v>
      </c>
      <c r="C3829" t="s">
        <v>8942</v>
      </c>
      <c r="D3829" t="s">
        <v>12730</v>
      </c>
      <c r="E3829" s="2" t="s">
        <v>31052</v>
      </c>
      <c r="F3829" t="s">
        <v>6686</v>
      </c>
      <c r="G3829" t="s">
        <v>12731</v>
      </c>
      <c r="H3829" t="s">
        <v>10434</v>
      </c>
      <c r="I3829" t="s">
        <v>19</v>
      </c>
      <c r="J3829" s="3">
        <f>55-11-26617560</f>
        <v>-26617516</v>
      </c>
      <c r="K3829" t="s">
        <v>12732</v>
      </c>
      <c r="L3829" t="s">
        <v>344</v>
      </c>
      <c r="M3829" t="s">
        <v>32145</v>
      </c>
    </row>
    <row r="3830" spans="1:13" x14ac:dyDescent="0.25">
      <c r="A3830" t="s">
        <v>17366</v>
      </c>
      <c r="B3830" t="s">
        <v>13</v>
      </c>
      <c r="C3830" s="1">
        <v>43561</v>
      </c>
      <c r="D3830" t="s">
        <v>17367</v>
      </c>
      <c r="E3830" s="2" t="s">
        <v>31924</v>
      </c>
      <c r="F3830" t="s">
        <v>117</v>
      </c>
      <c r="G3830" t="s">
        <v>17368</v>
      </c>
      <c r="H3830" t="s">
        <v>352</v>
      </c>
      <c r="I3830" t="s">
        <v>19</v>
      </c>
      <c r="J3830" s="3">
        <v>552139382789</v>
      </c>
      <c r="K3830" t="s">
        <v>17369</v>
      </c>
      <c r="L3830" t="s">
        <v>1232</v>
      </c>
      <c r="M3830" t="s">
        <v>32145</v>
      </c>
    </row>
    <row r="3831" spans="1:13" x14ac:dyDescent="0.25">
      <c r="A3831" t="s">
        <v>21743</v>
      </c>
      <c r="B3831" t="s">
        <v>13</v>
      </c>
      <c r="C3831" t="s">
        <v>9776</v>
      </c>
      <c r="D3831" t="s">
        <v>21744</v>
      </c>
      <c r="E3831" s="2" t="s">
        <v>32515</v>
      </c>
      <c r="F3831" t="s">
        <v>306</v>
      </c>
      <c r="G3831" t="s">
        <v>8940</v>
      </c>
      <c r="H3831" t="s">
        <v>1215</v>
      </c>
      <c r="I3831" t="s">
        <v>19</v>
      </c>
      <c r="J3831" s="3">
        <v>551832295906</v>
      </c>
      <c r="K3831" t="s">
        <v>21745</v>
      </c>
      <c r="L3831" t="s">
        <v>21746</v>
      </c>
      <c r="M3831" t="s">
        <v>32145</v>
      </c>
    </row>
    <row r="3832" spans="1:13" x14ac:dyDescent="0.25">
      <c r="A3832" t="s">
        <v>9892</v>
      </c>
      <c r="B3832" t="s">
        <v>13</v>
      </c>
      <c r="C3832" s="1">
        <v>43899</v>
      </c>
      <c r="D3832" t="s">
        <v>9893</v>
      </c>
      <c r="E3832" t="s">
        <v>32516</v>
      </c>
      <c r="F3832" t="s">
        <v>306</v>
      </c>
      <c r="G3832" t="s">
        <v>9894</v>
      </c>
      <c r="H3832" t="s">
        <v>9895</v>
      </c>
      <c r="I3832" t="s">
        <v>19</v>
      </c>
      <c r="J3832" s="3">
        <f>55-71-32768225</f>
        <v>-32768241</v>
      </c>
      <c r="K3832" t="s">
        <v>9896</v>
      </c>
      <c r="L3832" t="s">
        <v>9443</v>
      </c>
      <c r="M3832" t="s">
        <v>32145</v>
      </c>
    </row>
    <row r="3833" spans="1:13" x14ac:dyDescent="0.25">
      <c r="A3833" t="s">
        <v>18813</v>
      </c>
      <c r="B3833" t="s">
        <v>13</v>
      </c>
      <c r="C3833" s="1">
        <v>43416</v>
      </c>
      <c r="D3833" t="s">
        <v>18814</v>
      </c>
      <c r="E3833" s="2" t="s">
        <v>31944</v>
      </c>
      <c r="F3833" t="s">
        <v>117</v>
      </c>
      <c r="G3833" t="s">
        <v>18815</v>
      </c>
      <c r="H3833" t="s">
        <v>150</v>
      </c>
      <c r="I3833" t="s">
        <v>19</v>
      </c>
      <c r="J3833" s="3">
        <f>55-1150847463</f>
        <v>-1150847408</v>
      </c>
      <c r="K3833" t="s">
        <v>18816</v>
      </c>
      <c r="L3833" t="s">
        <v>8569</v>
      </c>
      <c r="M3833" t="s">
        <v>32145</v>
      </c>
    </row>
    <row r="3834" spans="1:13" x14ac:dyDescent="0.25">
      <c r="A3834" t="s">
        <v>13388</v>
      </c>
      <c r="B3834" t="s">
        <v>13</v>
      </c>
      <c r="C3834" t="s">
        <v>6103</v>
      </c>
      <c r="D3834" t="s">
        <v>13389</v>
      </c>
      <c r="E3834" t="s">
        <v>32517</v>
      </c>
      <c r="F3834" t="s">
        <v>1464</v>
      </c>
      <c r="G3834" t="s">
        <v>13390</v>
      </c>
      <c r="H3834" t="s">
        <v>6121</v>
      </c>
      <c r="I3834" t="s">
        <v>19</v>
      </c>
      <c r="J3834" s="3">
        <f>55 - 35 - 38299781</f>
        <v>-38299761</v>
      </c>
      <c r="K3834" t="s">
        <v>13391</v>
      </c>
      <c r="L3834" t="s">
        <v>9854</v>
      </c>
      <c r="M3834" t="s">
        <v>32145</v>
      </c>
    </row>
    <row r="3835" spans="1:13" x14ac:dyDescent="0.25">
      <c r="A3835" t="s">
        <v>22608</v>
      </c>
      <c r="B3835" t="s">
        <v>13</v>
      </c>
      <c r="C3835" s="1">
        <v>43405</v>
      </c>
      <c r="D3835" t="s">
        <v>22609</v>
      </c>
      <c r="E3835" s="2" t="s">
        <v>21803</v>
      </c>
      <c r="F3835" t="s">
        <v>117</v>
      </c>
      <c r="G3835" t="s">
        <v>22610</v>
      </c>
      <c r="H3835" t="s">
        <v>1802</v>
      </c>
      <c r="I3835" t="s">
        <v>19</v>
      </c>
      <c r="J3835" s="3" t="s">
        <v>22611</v>
      </c>
      <c r="K3835" t="s">
        <v>22612</v>
      </c>
      <c r="L3835" t="s">
        <v>14212</v>
      </c>
      <c r="M3835" t="s">
        <v>32145</v>
      </c>
    </row>
    <row r="3836" spans="1:13" x14ac:dyDescent="0.25">
      <c r="A3836" t="s">
        <v>21618</v>
      </c>
      <c r="B3836" t="s">
        <v>13</v>
      </c>
      <c r="C3836" s="1">
        <v>43317</v>
      </c>
      <c r="D3836" t="s">
        <v>21619</v>
      </c>
      <c r="E3836" s="2" t="s">
        <v>29549</v>
      </c>
      <c r="F3836" t="s">
        <v>3186</v>
      </c>
      <c r="G3836" t="s">
        <v>21620</v>
      </c>
      <c r="H3836" t="s">
        <v>10271</v>
      </c>
      <c r="I3836" t="s">
        <v>19</v>
      </c>
      <c r="J3836" s="3">
        <f>55-84-988945993</f>
        <v>-988946022</v>
      </c>
      <c r="K3836" t="s">
        <v>21621</v>
      </c>
      <c r="L3836" t="s">
        <v>21622</v>
      </c>
      <c r="M3836" t="s">
        <v>32145</v>
      </c>
    </row>
    <row r="3837" spans="1:13" x14ac:dyDescent="0.25">
      <c r="A3837" t="s">
        <v>2984</v>
      </c>
      <c r="B3837" t="s">
        <v>13</v>
      </c>
      <c r="C3837" t="s">
        <v>2972</v>
      </c>
      <c r="D3837" t="s">
        <v>32135</v>
      </c>
      <c r="E3837" s="2" t="s">
        <v>30759</v>
      </c>
      <c r="F3837" t="s">
        <v>2985</v>
      </c>
      <c r="G3837" t="s">
        <v>2986</v>
      </c>
      <c r="H3837" t="s">
        <v>195</v>
      </c>
      <c r="I3837" t="s">
        <v>19</v>
      </c>
      <c r="J3837" s="3" t="s">
        <v>2987</v>
      </c>
      <c r="K3837" t="s">
        <v>2988</v>
      </c>
      <c r="L3837" t="s">
        <v>197</v>
      </c>
      <c r="M3837" t="s">
        <v>32145</v>
      </c>
    </row>
    <row r="3838" spans="1:13" x14ac:dyDescent="0.25">
      <c r="A3838" t="s">
        <v>27441</v>
      </c>
      <c r="B3838" t="s">
        <v>13</v>
      </c>
      <c r="C3838" t="s">
        <v>27435</v>
      </c>
      <c r="D3838" t="s">
        <v>27442</v>
      </c>
      <c r="E3838" t="s">
        <v>21803</v>
      </c>
      <c r="F3838" t="s">
        <v>1129</v>
      </c>
      <c r="G3838" t="s">
        <v>27443</v>
      </c>
      <c r="H3838" t="s">
        <v>36</v>
      </c>
      <c r="I3838" t="s">
        <v>19</v>
      </c>
      <c r="J3838" s="3" t="s">
        <v>27444</v>
      </c>
      <c r="K3838" t="s">
        <v>27445</v>
      </c>
      <c r="L3838" t="s">
        <v>153</v>
      </c>
      <c r="M3838" t="s">
        <v>224</v>
      </c>
    </row>
    <row r="3839" spans="1:13" x14ac:dyDescent="0.25">
      <c r="A3839" t="s">
        <v>29546</v>
      </c>
      <c r="B3839" t="s">
        <v>13</v>
      </c>
      <c r="C3839" t="s">
        <v>29547</v>
      </c>
      <c r="D3839" t="s">
        <v>29548</v>
      </c>
      <c r="E3839" t="s">
        <v>29549</v>
      </c>
      <c r="F3839" t="s">
        <v>306</v>
      </c>
      <c r="G3839" t="s">
        <v>29550</v>
      </c>
      <c r="H3839" t="s">
        <v>706</v>
      </c>
      <c r="I3839" t="s">
        <v>19</v>
      </c>
      <c r="J3839" s="3" t="s">
        <v>29551</v>
      </c>
      <c r="K3839" t="s">
        <v>29552</v>
      </c>
      <c r="L3839" t="s">
        <v>565</v>
      </c>
      <c r="M3839" t="s">
        <v>32145</v>
      </c>
    </row>
    <row r="3840" spans="1:13" x14ac:dyDescent="0.25">
      <c r="A3840" t="s">
        <v>16844</v>
      </c>
      <c r="B3840" t="s">
        <v>13</v>
      </c>
      <c r="C3840" s="1">
        <v>43592</v>
      </c>
      <c r="D3840" t="s">
        <v>16845</v>
      </c>
      <c r="E3840" s="2" t="s">
        <v>21803</v>
      </c>
      <c r="F3840" t="s">
        <v>1464</v>
      </c>
      <c r="G3840" t="s">
        <v>16846</v>
      </c>
      <c r="H3840" t="s">
        <v>462</v>
      </c>
      <c r="I3840" t="s">
        <v>19</v>
      </c>
      <c r="J3840" s="3">
        <f>55-44-999210220</f>
        <v>-999210209</v>
      </c>
      <c r="K3840" t="s">
        <v>16847</v>
      </c>
      <c r="L3840" t="s">
        <v>904</v>
      </c>
      <c r="M3840" t="s">
        <v>32145</v>
      </c>
    </row>
    <row r="3841" spans="1:13" x14ac:dyDescent="0.25">
      <c r="A3841" t="s">
        <v>22647</v>
      </c>
      <c r="B3841" t="s">
        <v>13</v>
      </c>
      <c r="C3841" s="1">
        <v>43313</v>
      </c>
      <c r="D3841" t="s">
        <v>22648</v>
      </c>
      <c r="E3841" t="s">
        <v>22649</v>
      </c>
      <c r="F3841" t="s">
        <v>2947</v>
      </c>
      <c r="G3841" t="s">
        <v>22650</v>
      </c>
      <c r="H3841" t="s">
        <v>7904</v>
      </c>
      <c r="I3841" t="s">
        <v>19</v>
      </c>
      <c r="J3841" s="3">
        <v>5538984232099</v>
      </c>
      <c r="K3841" t="s">
        <v>22651</v>
      </c>
      <c r="L3841" t="s">
        <v>22652</v>
      </c>
      <c r="M3841" t="s">
        <v>32145</v>
      </c>
    </row>
    <row r="3842" spans="1:13" x14ac:dyDescent="0.25">
      <c r="A3842" t="s">
        <v>7091</v>
      </c>
      <c r="B3842" t="s">
        <v>13</v>
      </c>
      <c r="C3842" t="s">
        <v>7092</v>
      </c>
      <c r="D3842" t="s">
        <v>7093</v>
      </c>
      <c r="E3842" t="s">
        <v>32518</v>
      </c>
      <c r="F3842" t="s">
        <v>117</v>
      </c>
      <c r="G3842" t="s">
        <v>7094</v>
      </c>
      <c r="H3842" t="s">
        <v>1037</v>
      </c>
      <c r="I3842" t="s">
        <v>19</v>
      </c>
      <c r="J3842">
        <f>55-31-3899-4193</f>
        <v>-8068</v>
      </c>
      <c r="K3842" s="3" t="s">
        <v>7095</v>
      </c>
      <c r="L3842" t="s">
        <v>1040</v>
      </c>
      <c r="M3842" t="s">
        <v>32145</v>
      </c>
    </row>
    <row r="3843" spans="1:13" x14ac:dyDescent="0.25">
      <c r="A3843" t="s">
        <v>3183</v>
      </c>
      <c r="B3843" t="s">
        <v>13</v>
      </c>
      <c r="C3843" t="s">
        <v>3184</v>
      </c>
      <c r="D3843" t="s">
        <v>3185</v>
      </c>
      <c r="E3843" s="2" t="s">
        <v>31489</v>
      </c>
      <c r="F3843" t="s">
        <v>3186</v>
      </c>
      <c r="G3843" t="s">
        <v>3187</v>
      </c>
      <c r="H3843" t="s">
        <v>45</v>
      </c>
      <c r="I3843" t="s">
        <v>19</v>
      </c>
      <c r="J3843" s="3">
        <f>55-85-31019803</f>
        <v>-31019833</v>
      </c>
      <c r="K3843" t="s">
        <v>3188</v>
      </c>
      <c r="L3843" t="s">
        <v>48</v>
      </c>
      <c r="M3843" t="s">
        <v>32145</v>
      </c>
    </row>
    <row r="3844" spans="1:13" x14ac:dyDescent="0.25">
      <c r="A3844" t="s">
        <v>21800</v>
      </c>
      <c r="B3844" t="s">
        <v>13</v>
      </c>
      <c r="C3844" t="s">
        <v>21801</v>
      </c>
      <c r="D3844" t="s">
        <v>21802</v>
      </c>
      <c r="E3844" s="2" t="s">
        <v>31300</v>
      </c>
      <c r="F3844" t="s">
        <v>1464</v>
      </c>
      <c r="G3844" t="s">
        <v>21804</v>
      </c>
      <c r="H3844" t="s">
        <v>936</v>
      </c>
      <c r="I3844" t="s">
        <v>19</v>
      </c>
      <c r="J3844" s="3" t="s">
        <v>21805</v>
      </c>
      <c r="K3844" t="s">
        <v>21806</v>
      </c>
      <c r="L3844" t="s">
        <v>21807</v>
      </c>
      <c r="M3844" t="s">
        <v>32145</v>
      </c>
    </row>
    <row r="3845" spans="1:13" x14ac:dyDescent="0.25">
      <c r="A3845" t="s">
        <v>10319</v>
      </c>
      <c r="B3845" t="s">
        <v>13</v>
      </c>
      <c r="C3845" s="1">
        <v>42746</v>
      </c>
      <c r="D3845" t="s">
        <v>10320</v>
      </c>
      <c r="E3845" t="s">
        <v>10321</v>
      </c>
      <c r="F3845" t="s">
        <v>306</v>
      </c>
      <c r="G3845" t="s">
        <v>10322</v>
      </c>
      <c r="H3845" t="s">
        <v>18</v>
      </c>
      <c r="I3845" t="s">
        <v>19</v>
      </c>
      <c r="J3845" s="3" t="s">
        <v>10323</v>
      </c>
      <c r="K3845" t="s">
        <v>10324</v>
      </c>
      <c r="L3845" t="s">
        <v>10325</v>
      </c>
      <c r="M3845" t="s">
        <v>32145</v>
      </c>
    </row>
    <row r="3846" spans="1:13" x14ac:dyDescent="0.25">
      <c r="A3846" t="s">
        <v>20051</v>
      </c>
      <c r="B3846" t="s">
        <v>13</v>
      </c>
      <c r="C3846" s="1">
        <v>43381</v>
      </c>
      <c r="D3846" t="s">
        <v>20052</v>
      </c>
      <c r="E3846" s="2" t="s">
        <v>31921</v>
      </c>
      <c r="F3846" t="s">
        <v>117</v>
      </c>
      <c r="G3846" t="s">
        <v>20053</v>
      </c>
      <c r="H3846" t="s">
        <v>352</v>
      </c>
      <c r="I3846" t="s">
        <v>19</v>
      </c>
      <c r="J3846" s="3" t="s">
        <v>20054</v>
      </c>
      <c r="K3846" t="s">
        <v>20055</v>
      </c>
      <c r="L3846" t="s">
        <v>20056</v>
      </c>
      <c r="M3846" t="s">
        <v>32145</v>
      </c>
    </row>
    <row r="3847" spans="1:13" x14ac:dyDescent="0.25">
      <c r="A3847" t="s">
        <v>28941</v>
      </c>
      <c r="B3847" t="s">
        <v>13</v>
      </c>
      <c r="C3847" t="s">
        <v>28942</v>
      </c>
      <c r="D3847" t="s">
        <v>28943</v>
      </c>
      <c r="E3847" t="s">
        <v>28944</v>
      </c>
      <c r="F3847" t="s">
        <v>306</v>
      </c>
      <c r="G3847" t="s">
        <v>28945</v>
      </c>
      <c r="H3847" t="s">
        <v>428</v>
      </c>
      <c r="I3847" t="s">
        <v>19</v>
      </c>
      <c r="J3847" s="3" t="s">
        <v>28946</v>
      </c>
      <c r="K3847" t="s">
        <v>28947</v>
      </c>
      <c r="L3847" t="s">
        <v>28948</v>
      </c>
      <c r="M3847" t="s">
        <v>32145</v>
      </c>
    </row>
    <row r="3848" spans="1:13" x14ac:dyDescent="0.25">
      <c r="A3848" t="s">
        <v>1958</v>
      </c>
      <c r="B3848" t="s">
        <v>101</v>
      </c>
      <c r="C3848" t="s">
        <v>1283</v>
      </c>
      <c r="D3848" t="s">
        <v>1959</v>
      </c>
      <c r="E3848" s="2" t="s">
        <v>30720</v>
      </c>
      <c r="F3848" t="s">
        <v>1960</v>
      </c>
      <c r="G3848" t="s">
        <v>1961</v>
      </c>
      <c r="H3848" t="s">
        <v>1802</v>
      </c>
      <c r="I3848" t="s">
        <v>19</v>
      </c>
      <c r="J3848" s="3">
        <v>551432358256</v>
      </c>
      <c r="K3848" t="s">
        <v>1962</v>
      </c>
      <c r="L3848" t="s">
        <v>1963</v>
      </c>
      <c r="M3848" t="s">
        <v>337</v>
      </c>
    </row>
    <row r="3849" spans="1:13" x14ac:dyDescent="0.25">
      <c r="A3849" t="s">
        <v>18329</v>
      </c>
      <c r="B3849" t="s">
        <v>13</v>
      </c>
      <c r="C3849" t="s">
        <v>18324</v>
      </c>
      <c r="D3849" t="s">
        <v>18330</v>
      </c>
      <c r="E3849" s="2" t="s">
        <v>31198</v>
      </c>
      <c r="F3849" t="s">
        <v>306</v>
      </c>
      <c r="G3849" t="s">
        <v>18331</v>
      </c>
      <c r="H3849" t="s">
        <v>36</v>
      </c>
      <c r="I3849" t="s">
        <v>19</v>
      </c>
      <c r="J3849" s="3">
        <f>55-11-50847463</f>
        <v>-50847419</v>
      </c>
      <c r="K3849" t="s">
        <v>18332</v>
      </c>
      <c r="L3849" t="s">
        <v>18333</v>
      </c>
      <c r="M3849" t="s">
        <v>32145</v>
      </c>
    </row>
    <row r="3850" spans="1:13" x14ac:dyDescent="0.25">
      <c r="A3850" t="s">
        <v>26699</v>
      </c>
      <c r="B3850" t="s">
        <v>13</v>
      </c>
      <c r="C3850" t="s">
        <v>14864</v>
      </c>
      <c r="D3850" t="s">
        <v>26700</v>
      </c>
      <c r="E3850" t="s">
        <v>32519</v>
      </c>
      <c r="F3850" t="s">
        <v>306</v>
      </c>
      <c r="G3850" t="s">
        <v>7936</v>
      </c>
      <c r="H3850" t="s">
        <v>299</v>
      </c>
      <c r="I3850" t="s">
        <v>19</v>
      </c>
      <c r="J3850" s="3" t="s">
        <v>26701</v>
      </c>
      <c r="K3850" t="s">
        <v>7938</v>
      </c>
      <c r="L3850" t="s">
        <v>26702</v>
      </c>
      <c r="M3850" t="s">
        <v>32145</v>
      </c>
    </row>
    <row r="3851" spans="1:13" x14ac:dyDescent="0.25">
      <c r="A3851" t="s">
        <v>4198</v>
      </c>
      <c r="B3851" t="s">
        <v>13</v>
      </c>
      <c r="C3851" t="s">
        <v>4171</v>
      </c>
      <c r="D3851" t="s">
        <v>4199</v>
      </c>
      <c r="E3851" s="2" t="s">
        <v>32520</v>
      </c>
      <c r="F3851" t="s">
        <v>4201</v>
      </c>
      <c r="G3851" t="s">
        <v>4202</v>
      </c>
      <c r="H3851" t="s">
        <v>489</v>
      </c>
      <c r="I3851" t="s">
        <v>19</v>
      </c>
      <c r="J3851" s="3" t="s">
        <v>4203</v>
      </c>
      <c r="K3851" t="s">
        <v>4204</v>
      </c>
      <c r="L3851" t="s">
        <v>625</v>
      </c>
      <c r="M3851" t="s">
        <v>337</v>
      </c>
    </row>
    <row r="3852" spans="1:13" x14ac:dyDescent="0.25">
      <c r="A3852" t="s">
        <v>12433</v>
      </c>
      <c r="B3852" t="s">
        <v>13</v>
      </c>
      <c r="C3852" s="1">
        <v>44047</v>
      </c>
      <c r="D3852" t="s">
        <v>12434</v>
      </c>
      <c r="E3852" t="s">
        <v>12435</v>
      </c>
      <c r="F3852" t="s">
        <v>306</v>
      </c>
      <c r="G3852" t="s">
        <v>12436</v>
      </c>
      <c r="H3852" t="s">
        <v>2598</v>
      </c>
      <c r="I3852" t="s">
        <v>19</v>
      </c>
      <c r="J3852" s="3">
        <v>554792300191</v>
      </c>
      <c r="K3852" t="s">
        <v>12437</v>
      </c>
      <c r="L3852" t="s">
        <v>12438</v>
      </c>
      <c r="M3852" t="s">
        <v>32183</v>
      </c>
    </row>
    <row r="3853" spans="1:13" x14ac:dyDescent="0.25">
      <c r="A3853" t="s">
        <v>7222</v>
      </c>
      <c r="B3853" t="s">
        <v>101</v>
      </c>
      <c r="C3853" s="1">
        <v>44292</v>
      </c>
      <c r="D3853" t="s">
        <v>32135</v>
      </c>
      <c r="E3853" s="2" t="s">
        <v>31591</v>
      </c>
      <c r="F3853" t="s">
        <v>3705</v>
      </c>
      <c r="G3853" t="s">
        <v>7223</v>
      </c>
      <c r="H3853" t="s">
        <v>444</v>
      </c>
      <c r="I3853" t="s">
        <v>19</v>
      </c>
      <c r="J3853" s="3">
        <f>+ 55 - 87 - 999790732</f>
        <v>-999790764</v>
      </c>
      <c r="K3853" t="s">
        <v>7224</v>
      </c>
      <c r="L3853" t="s">
        <v>32135</v>
      </c>
      <c r="M3853" t="s">
        <v>32145</v>
      </c>
    </row>
    <row r="3854" spans="1:13" x14ac:dyDescent="0.25">
      <c r="A3854" t="s">
        <v>14623</v>
      </c>
      <c r="B3854" t="s">
        <v>13</v>
      </c>
      <c r="C3854" s="1">
        <v>43781</v>
      </c>
      <c r="D3854" t="s">
        <v>14624</v>
      </c>
      <c r="E3854" s="2" t="s">
        <v>31869</v>
      </c>
      <c r="F3854" t="s">
        <v>2947</v>
      </c>
      <c r="G3854" t="s">
        <v>14625</v>
      </c>
      <c r="H3854" t="s">
        <v>88</v>
      </c>
      <c r="I3854" t="s">
        <v>19</v>
      </c>
      <c r="J3854" s="3">
        <f>55-84-33422275</f>
        <v>-33422304</v>
      </c>
      <c r="K3854" t="s">
        <v>14626</v>
      </c>
      <c r="L3854" t="s">
        <v>91</v>
      </c>
      <c r="M3854" t="s">
        <v>771</v>
      </c>
    </row>
    <row r="3855" spans="1:13" x14ac:dyDescent="0.25">
      <c r="A3855" t="s">
        <v>23667</v>
      </c>
      <c r="B3855" t="s">
        <v>13</v>
      </c>
      <c r="C3855" t="s">
        <v>8680</v>
      </c>
      <c r="D3855" t="s">
        <v>23668</v>
      </c>
      <c r="E3855" t="s">
        <v>23669</v>
      </c>
      <c r="F3855" t="s">
        <v>2758</v>
      </c>
      <c r="G3855" t="s">
        <v>23670</v>
      </c>
      <c r="H3855" t="s">
        <v>1090</v>
      </c>
      <c r="I3855" t="s">
        <v>19</v>
      </c>
      <c r="J3855" s="3">
        <v>5583999771090</v>
      </c>
      <c r="K3855" t="s">
        <v>23671</v>
      </c>
      <c r="L3855" t="s">
        <v>14126</v>
      </c>
      <c r="M3855" t="s">
        <v>32145</v>
      </c>
    </row>
    <row r="3856" spans="1:13" x14ac:dyDescent="0.25">
      <c r="A3856" t="s">
        <v>23854</v>
      </c>
      <c r="B3856" t="s">
        <v>13</v>
      </c>
      <c r="C3856" s="1">
        <v>42924</v>
      </c>
      <c r="D3856" t="s">
        <v>23855</v>
      </c>
      <c r="E3856" t="s">
        <v>23856</v>
      </c>
      <c r="F3856" t="s">
        <v>306</v>
      </c>
      <c r="G3856" t="s">
        <v>11210</v>
      </c>
      <c r="H3856" t="s">
        <v>88</v>
      </c>
      <c r="I3856" t="s">
        <v>19</v>
      </c>
      <c r="J3856" s="3" t="s">
        <v>23857</v>
      </c>
      <c r="K3856" t="s">
        <v>23858</v>
      </c>
      <c r="L3856" t="s">
        <v>91</v>
      </c>
      <c r="M3856" t="s">
        <v>32145</v>
      </c>
    </row>
    <row r="3857" spans="1:13" x14ac:dyDescent="0.25">
      <c r="A3857" t="s">
        <v>19520</v>
      </c>
      <c r="B3857" t="s">
        <v>13</v>
      </c>
      <c r="C3857" t="s">
        <v>13535</v>
      </c>
      <c r="D3857" t="s">
        <v>19521</v>
      </c>
      <c r="E3857" t="s">
        <v>19522</v>
      </c>
      <c r="F3857" t="s">
        <v>117</v>
      </c>
      <c r="G3857" t="s">
        <v>19523</v>
      </c>
      <c r="H3857" t="s">
        <v>265</v>
      </c>
      <c r="I3857" t="s">
        <v>19</v>
      </c>
      <c r="J3857" s="3">
        <f>55-16-997524065</f>
        <v>-997524026</v>
      </c>
      <c r="K3857" t="s">
        <v>19524</v>
      </c>
      <c r="L3857" t="s">
        <v>19523</v>
      </c>
      <c r="M3857" t="s">
        <v>32145</v>
      </c>
    </row>
    <row r="3858" spans="1:13" x14ac:dyDescent="0.25">
      <c r="A3858" t="s">
        <v>7326</v>
      </c>
      <c r="B3858" t="s">
        <v>13</v>
      </c>
      <c r="C3858" t="s">
        <v>7075</v>
      </c>
      <c r="D3858" t="s">
        <v>7327</v>
      </c>
      <c r="E3858" s="2" t="s">
        <v>30928</v>
      </c>
      <c r="F3858" t="s">
        <v>117</v>
      </c>
      <c r="G3858" t="s">
        <v>7328</v>
      </c>
      <c r="H3858" t="s">
        <v>36</v>
      </c>
      <c r="I3858" t="s">
        <v>19</v>
      </c>
      <c r="J3858" s="3" t="s">
        <v>7329</v>
      </c>
      <c r="K3858" t="s">
        <v>7330</v>
      </c>
      <c r="L3858" t="s">
        <v>32135</v>
      </c>
      <c r="M3858" t="s">
        <v>32145</v>
      </c>
    </row>
    <row r="3859" spans="1:13" x14ac:dyDescent="0.25">
      <c r="A3859" t="s">
        <v>20343</v>
      </c>
      <c r="B3859" t="s">
        <v>13</v>
      </c>
      <c r="C3859" t="s">
        <v>20322</v>
      </c>
      <c r="D3859" t="s">
        <v>20344</v>
      </c>
      <c r="E3859" t="s">
        <v>20345</v>
      </c>
      <c r="F3859" t="s">
        <v>3084</v>
      </c>
      <c r="G3859" t="s">
        <v>20346</v>
      </c>
      <c r="H3859" t="s">
        <v>428</v>
      </c>
      <c r="I3859" t="s">
        <v>19</v>
      </c>
      <c r="J3859" s="3">
        <v>5505133038804</v>
      </c>
      <c r="K3859" t="s">
        <v>20347</v>
      </c>
      <c r="L3859" t="s">
        <v>1113</v>
      </c>
      <c r="M3859" t="s">
        <v>32144</v>
      </c>
    </row>
    <row r="3860" spans="1:13" x14ac:dyDescent="0.25">
      <c r="A3860" t="s">
        <v>1516</v>
      </c>
      <c r="B3860" t="s">
        <v>13</v>
      </c>
      <c r="C3860" t="s">
        <v>1513</v>
      </c>
      <c r="D3860" t="s">
        <v>1517</v>
      </c>
      <c r="E3860" t="s">
        <v>1518</v>
      </c>
      <c r="F3860" t="s">
        <v>1519</v>
      </c>
      <c r="G3860" t="s">
        <v>1520</v>
      </c>
      <c r="H3860" t="s">
        <v>936</v>
      </c>
      <c r="I3860" t="s">
        <v>19</v>
      </c>
      <c r="J3860" s="3" t="s">
        <v>1521</v>
      </c>
      <c r="K3860" t="s">
        <v>1522</v>
      </c>
      <c r="L3860" t="s">
        <v>1523</v>
      </c>
      <c r="M3860" t="s">
        <v>32144</v>
      </c>
    </row>
    <row r="3861" spans="1:13" x14ac:dyDescent="0.25">
      <c r="A3861" t="s">
        <v>28315</v>
      </c>
      <c r="B3861" t="s">
        <v>13</v>
      </c>
      <c r="C3861" t="s">
        <v>25487</v>
      </c>
      <c r="D3861" t="s">
        <v>28316</v>
      </c>
      <c r="E3861" t="s">
        <v>11394</v>
      </c>
      <c r="F3861" t="s">
        <v>3084</v>
      </c>
      <c r="G3861" t="s">
        <v>28317</v>
      </c>
      <c r="H3861" t="s">
        <v>352</v>
      </c>
      <c r="I3861" t="s">
        <v>19</v>
      </c>
      <c r="J3861" s="3" t="s">
        <v>28318</v>
      </c>
      <c r="K3861" t="s">
        <v>28319</v>
      </c>
      <c r="L3861" t="s">
        <v>2500</v>
      </c>
      <c r="M3861" t="s">
        <v>32144</v>
      </c>
    </row>
    <row r="3862" spans="1:13" x14ac:dyDescent="0.25">
      <c r="A3862" t="s">
        <v>4317</v>
      </c>
      <c r="B3862" t="s">
        <v>13</v>
      </c>
      <c r="C3862" t="s">
        <v>4312</v>
      </c>
      <c r="D3862" t="s">
        <v>4318</v>
      </c>
      <c r="E3862" s="2" t="s">
        <v>32521</v>
      </c>
      <c r="F3862" t="s">
        <v>4319</v>
      </c>
      <c r="G3862" t="s">
        <v>4320</v>
      </c>
      <c r="H3862" t="s">
        <v>36</v>
      </c>
      <c r="I3862" t="s">
        <v>19</v>
      </c>
      <c r="J3862" s="3">
        <f>55-11-2661-6972</f>
        <v>-9589</v>
      </c>
      <c r="K3862" t="s">
        <v>4321</v>
      </c>
      <c r="L3862" t="s">
        <v>4322</v>
      </c>
      <c r="M3862" t="s">
        <v>32144</v>
      </c>
    </row>
    <row r="3863" spans="1:13" x14ac:dyDescent="0.25">
      <c r="A3863" t="s">
        <v>10411</v>
      </c>
      <c r="B3863" t="s">
        <v>13</v>
      </c>
      <c r="C3863" t="s">
        <v>9982</v>
      </c>
      <c r="D3863" t="s">
        <v>10412</v>
      </c>
      <c r="E3863" t="s">
        <v>1189</v>
      </c>
      <c r="F3863" t="s">
        <v>1464</v>
      </c>
      <c r="G3863" t="s">
        <v>10413</v>
      </c>
      <c r="H3863" t="s">
        <v>18</v>
      </c>
      <c r="I3863" t="s">
        <v>19</v>
      </c>
      <c r="J3863" s="3">
        <v>5519991903625</v>
      </c>
      <c r="K3863" t="s">
        <v>10414</v>
      </c>
      <c r="L3863" t="s">
        <v>10415</v>
      </c>
      <c r="M3863" t="s">
        <v>432</v>
      </c>
    </row>
    <row r="3864" spans="1:13" x14ac:dyDescent="0.25">
      <c r="A3864" t="s">
        <v>29948</v>
      </c>
      <c r="B3864" t="s">
        <v>101</v>
      </c>
      <c r="C3864" t="s">
        <v>14184</v>
      </c>
      <c r="D3864" t="s">
        <v>29949</v>
      </c>
      <c r="E3864" t="s">
        <v>507</v>
      </c>
      <c r="F3864" t="s">
        <v>1190</v>
      </c>
      <c r="G3864" t="s">
        <v>29950</v>
      </c>
      <c r="H3864" t="s">
        <v>195</v>
      </c>
      <c r="I3864" t="s">
        <v>19</v>
      </c>
      <c r="J3864" s="3" t="s">
        <v>29951</v>
      </c>
      <c r="K3864" t="s">
        <v>29952</v>
      </c>
      <c r="L3864" t="s">
        <v>197</v>
      </c>
      <c r="M3864" t="s">
        <v>432</v>
      </c>
    </row>
    <row r="3865" spans="1:13" x14ac:dyDescent="0.25">
      <c r="A3865" t="s">
        <v>12764</v>
      </c>
      <c r="B3865" t="s">
        <v>13</v>
      </c>
      <c r="C3865" t="s">
        <v>12765</v>
      </c>
      <c r="D3865" t="s">
        <v>12766</v>
      </c>
      <c r="E3865" t="s">
        <v>507</v>
      </c>
      <c r="F3865" t="s">
        <v>1190</v>
      </c>
      <c r="G3865" t="s">
        <v>12767</v>
      </c>
      <c r="H3865" t="s">
        <v>472</v>
      </c>
      <c r="I3865" t="s">
        <v>19</v>
      </c>
      <c r="J3865" s="3">
        <f>55-81-21268000</f>
        <v>-21268026</v>
      </c>
      <c r="K3865" t="s">
        <v>12768</v>
      </c>
      <c r="L3865" t="s">
        <v>2101</v>
      </c>
      <c r="M3865" t="s">
        <v>432</v>
      </c>
    </row>
    <row r="3866" spans="1:13" x14ac:dyDescent="0.25">
      <c r="A3866" t="s">
        <v>1187</v>
      </c>
      <c r="B3866" t="s">
        <v>13</v>
      </c>
      <c r="C3866" s="1">
        <v>44322</v>
      </c>
      <c r="D3866" t="s">
        <v>1188</v>
      </c>
      <c r="E3866" t="s">
        <v>1189</v>
      </c>
      <c r="F3866" t="s">
        <v>1190</v>
      </c>
      <c r="G3866" t="s">
        <v>1191</v>
      </c>
      <c r="H3866" t="s">
        <v>472</v>
      </c>
      <c r="I3866" t="s">
        <v>19</v>
      </c>
      <c r="J3866" s="3">
        <v>5581988506972</v>
      </c>
      <c r="K3866" t="s">
        <v>1192</v>
      </c>
      <c r="L3866" t="s">
        <v>1193</v>
      </c>
      <c r="M3866" t="s">
        <v>432</v>
      </c>
    </row>
    <row r="3867" spans="1:13" x14ac:dyDescent="0.25">
      <c r="A3867" t="s">
        <v>6117</v>
      </c>
      <c r="B3867" t="s">
        <v>13</v>
      </c>
      <c r="C3867" s="1">
        <v>44326</v>
      </c>
      <c r="D3867" t="s">
        <v>32135</v>
      </c>
      <c r="E3867" t="s">
        <v>6118</v>
      </c>
      <c r="F3867" t="s">
        <v>6119</v>
      </c>
      <c r="G3867" t="s">
        <v>6120</v>
      </c>
      <c r="H3867" t="s">
        <v>6121</v>
      </c>
      <c r="I3867" t="s">
        <v>19</v>
      </c>
      <c r="J3867" s="3">
        <v>553599299731</v>
      </c>
      <c r="K3867" t="s">
        <v>6122</v>
      </c>
      <c r="L3867" t="s">
        <v>32135</v>
      </c>
      <c r="M3867" t="s">
        <v>432</v>
      </c>
    </row>
    <row r="3868" spans="1:13" x14ac:dyDescent="0.25">
      <c r="A3868" t="s">
        <v>24808</v>
      </c>
      <c r="B3868" t="s">
        <v>13</v>
      </c>
      <c r="C3868" s="1">
        <v>42795</v>
      </c>
      <c r="D3868" t="s">
        <v>24809</v>
      </c>
      <c r="E3868" t="s">
        <v>23281</v>
      </c>
      <c r="F3868" t="s">
        <v>1190</v>
      </c>
      <c r="G3868" t="s">
        <v>24810</v>
      </c>
      <c r="H3868" t="s">
        <v>265</v>
      </c>
      <c r="I3868" t="s">
        <v>19</v>
      </c>
      <c r="J3868" s="3" t="s">
        <v>24811</v>
      </c>
      <c r="K3868" t="s">
        <v>14532</v>
      </c>
      <c r="L3868" t="s">
        <v>3558</v>
      </c>
      <c r="M3868" t="s">
        <v>432</v>
      </c>
    </row>
    <row r="3869" spans="1:13" x14ac:dyDescent="0.25">
      <c r="A3869" t="s">
        <v>29012</v>
      </c>
      <c r="B3869" t="s">
        <v>13</v>
      </c>
      <c r="C3869" s="1">
        <v>41889</v>
      </c>
      <c r="D3869" t="s">
        <v>29013</v>
      </c>
      <c r="E3869" t="s">
        <v>29014</v>
      </c>
      <c r="F3869" t="s">
        <v>1464</v>
      </c>
      <c r="G3869" t="s">
        <v>29015</v>
      </c>
      <c r="H3869" t="s">
        <v>1090</v>
      </c>
      <c r="I3869" t="s">
        <v>19</v>
      </c>
      <c r="J3869" s="3" t="s">
        <v>29016</v>
      </c>
      <c r="K3869" t="s">
        <v>29017</v>
      </c>
      <c r="L3869" t="s">
        <v>29018</v>
      </c>
      <c r="M3869" t="s">
        <v>432</v>
      </c>
    </row>
    <row r="3870" spans="1:13" x14ac:dyDescent="0.25">
      <c r="A3870" t="s">
        <v>23279</v>
      </c>
      <c r="B3870" t="s">
        <v>13</v>
      </c>
      <c r="C3870" t="s">
        <v>15010</v>
      </c>
      <c r="D3870" t="s">
        <v>23280</v>
      </c>
      <c r="E3870" s="2" t="s">
        <v>31325</v>
      </c>
      <c r="F3870" t="s">
        <v>2947</v>
      </c>
      <c r="G3870" t="s">
        <v>23174</v>
      </c>
      <c r="H3870" t="s">
        <v>1090</v>
      </c>
      <c r="I3870" t="s">
        <v>19</v>
      </c>
      <c r="J3870" s="3" t="s">
        <v>23175</v>
      </c>
      <c r="K3870" t="s">
        <v>23176</v>
      </c>
      <c r="L3870" t="s">
        <v>1092</v>
      </c>
      <c r="M3870" t="s">
        <v>771</v>
      </c>
    </row>
    <row r="3871" spans="1:13" x14ac:dyDescent="0.25">
      <c r="A3871" t="s">
        <v>16717</v>
      </c>
      <c r="B3871" t="s">
        <v>13</v>
      </c>
      <c r="C3871" t="s">
        <v>7631</v>
      </c>
      <c r="D3871" t="s">
        <v>16718</v>
      </c>
      <c r="E3871" s="2" t="s">
        <v>31641</v>
      </c>
      <c r="F3871" t="s">
        <v>1190</v>
      </c>
      <c r="G3871" t="s">
        <v>16719</v>
      </c>
      <c r="H3871" t="s">
        <v>472</v>
      </c>
      <c r="I3871" t="s">
        <v>19</v>
      </c>
      <c r="J3871" s="3" t="s">
        <v>16720</v>
      </c>
      <c r="K3871" t="s">
        <v>16721</v>
      </c>
      <c r="L3871" t="s">
        <v>16722</v>
      </c>
      <c r="M3871" t="s">
        <v>432</v>
      </c>
    </row>
    <row r="3872" spans="1:13" x14ac:dyDescent="0.25">
      <c r="A3872" t="s">
        <v>30402</v>
      </c>
      <c r="B3872" t="s">
        <v>13</v>
      </c>
      <c r="C3872" s="1">
        <v>41000</v>
      </c>
      <c r="D3872" t="s">
        <v>30403</v>
      </c>
      <c r="E3872" t="s">
        <v>30404</v>
      </c>
      <c r="F3872" t="s">
        <v>1190</v>
      </c>
      <c r="G3872" t="s">
        <v>30405</v>
      </c>
      <c r="H3872" t="s">
        <v>36</v>
      </c>
      <c r="I3872" t="s">
        <v>19</v>
      </c>
      <c r="J3872" s="3" t="s">
        <v>30406</v>
      </c>
      <c r="K3872" t="s">
        <v>22217</v>
      </c>
      <c r="L3872" t="s">
        <v>22218</v>
      </c>
      <c r="M3872" t="s">
        <v>432</v>
      </c>
    </row>
    <row r="3873" spans="1:13" x14ac:dyDescent="0.25">
      <c r="A3873" t="s">
        <v>21488</v>
      </c>
      <c r="B3873" t="s">
        <v>13</v>
      </c>
      <c r="C3873" t="s">
        <v>21479</v>
      </c>
      <c r="D3873" t="s">
        <v>21489</v>
      </c>
      <c r="E3873" s="2" t="s">
        <v>32522</v>
      </c>
      <c r="F3873" t="s">
        <v>771</v>
      </c>
      <c r="G3873" t="s">
        <v>21490</v>
      </c>
      <c r="H3873" t="s">
        <v>608</v>
      </c>
      <c r="I3873" t="s">
        <v>19</v>
      </c>
      <c r="J3873" s="3">
        <f>55-54-33117011</f>
        <v>-33117010</v>
      </c>
      <c r="K3873" t="s">
        <v>21491</v>
      </c>
      <c r="L3873" t="s">
        <v>21492</v>
      </c>
      <c r="M3873" t="s">
        <v>771</v>
      </c>
    </row>
    <row r="3874" spans="1:13" x14ac:dyDescent="0.25">
      <c r="A3874" t="s">
        <v>23589</v>
      </c>
      <c r="B3874" t="s">
        <v>13</v>
      </c>
      <c r="C3874" s="1">
        <v>43048</v>
      </c>
      <c r="D3874" t="s">
        <v>23590</v>
      </c>
      <c r="E3874" t="s">
        <v>7963</v>
      </c>
      <c r="F3874" t="s">
        <v>2104</v>
      </c>
      <c r="G3874" t="s">
        <v>23041</v>
      </c>
      <c r="H3874" t="s">
        <v>299</v>
      </c>
      <c r="I3874" t="s">
        <v>19</v>
      </c>
      <c r="J3874" s="3" t="s">
        <v>23591</v>
      </c>
      <c r="K3874" t="s">
        <v>23042</v>
      </c>
      <c r="L3874" t="s">
        <v>2621</v>
      </c>
      <c r="M3874" t="s">
        <v>1775</v>
      </c>
    </row>
    <row r="3875" spans="1:13" x14ac:dyDescent="0.25">
      <c r="A3875" t="s">
        <v>18156</v>
      </c>
      <c r="B3875" t="s">
        <v>13</v>
      </c>
      <c r="C3875" t="s">
        <v>18157</v>
      </c>
      <c r="D3875" t="s">
        <v>18158</v>
      </c>
      <c r="E3875" s="2" t="s">
        <v>31192</v>
      </c>
      <c r="F3875" t="s">
        <v>2104</v>
      </c>
      <c r="G3875" t="s">
        <v>18159</v>
      </c>
      <c r="H3875" t="s">
        <v>936</v>
      </c>
      <c r="I3875" t="s">
        <v>19</v>
      </c>
      <c r="J3875" s="3" t="s">
        <v>18160</v>
      </c>
      <c r="K3875" t="s">
        <v>18161</v>
      </c>
      <c r="L3875" t="s">
        <v>18162</v>
      </c>
      <c r="M3875" t="s">
        <v>1775</v>
      </c>
    </row>
    <row r="3876" spans="1:13" x14ac:dyDescent="0.25">
      <c r="A3876" t="s">
        <v>10218</v>
      </c>
      <c r="B3876" t="s">
        <v>101</v>
      </c>
      <c r="C3876" t="s">
        <v>10219</v>
      </c>
      <c r="D3876" t="s">
        <v>10220</v>
      </c>
      <c r="E3876" t="s">
        <v>10221</v>
      </c>
      <c r="F3876" t="s">
        <v>1464</v>
      </c>
      <c r="G3876" t="s">
        <v>10222</v>
      </c>
      <c r="H3876" t="s">
        <v>299</v>
      </c>
      <c r="I3876" t="s">
        <v>19</v>
      </c>
      <c r="J3876" s="3">
        <f>55-14-3880-1001</f>
        <v>-4840</v>
      </c>
      <c r="K3876" t="s">
        <v>10223</v>
      </c>
      <c r="L3876" t="s">
        <v>10224</v>
      </c>
      <c r="M3876" t="s">
        <v>1775</v>
      </c>
    </row>
    <row r="3877" spans="1:13" x14ac:dyDescent="0.25">
      <c r="A3877" t="s">
        <v>10555</v>
      </c>
      <c r="B3877" t="s">
        <v>101</v>
      </c>
      <c r="C3877" s="1">
        <v>44020</v>
      </c>
      <c r="D3877" t="s">
        <v>10556</v>
      </c>
      <c r="E3877" s="2" t="s">
        <v>31807</v>
      </c>
      <c r="F3877" t="s">
        <v>1464</v>
      </c>
      <c r="G3877" t="s">
        <v>5604</v>
      </c>
      <c r="H3877" t="s">
        <v>299</v>
      </c>
      <c r="I3877" t="s">
        <v>19</v>
      </c>
      <c r="J3877" s="3">
        <f>55-14-997757936</f>
        <v>-997757895</v>
      </c>
      <c r="K3877" t="s">
        <v>5605</v>
      </c>
      <c r="L3877" t="s">
        <v>10557</v>
      </c>
      <c r="M3877" t="s">
        <v>1775</v>
      </c>
    </row>
    <row r="3878" spans="1:13" x14ac:dyDescent="0.25">
      <c r="A3878" t="s">
        <v>28821</v>
      </c>
      <c r="B3878" t="s">
        <v>101</v>
      </c>
      <c r="C3878" s="1">
        <v>41831</v>
      </c>
      <c r="D3878" t="s">
        <v>28822</v>
      </c>
      <c r="E3878" t="s">
        <v>28823</v>
      </c>
      <c r="F3878" t="s">
        <v>1775</v>
      </c>
      <c r="G3878" t="s">
        <v>5604</v>
      </c>
      <c r="H3878" t="s">
        <v>299</v>
      </c>
      <c r="I3878" t="s">
        <v>19</v>
      </c>
      <c r="J3878" s="3" t="s">
        <v>28824</v>
      </c>
      <c r="K3878" t="s">
        <v>5605</v>
      </c>
      <c r="L3878" t="s">
        <v>13988</v>
      </c>
      <c r="M3878" t="s">
        <v>1775</v>
      </c>
    </row>
    <row r="3879" spans="1:13" x14ac:dyDescent="0.25">
      <c r="A3879" t="s">
        <v>30109</v>
      </c>
      <c r="B3879" t="s">
        <v>101</v>
      </c>
      <c r="C3879" t="s">
        <v>14184</v>
      </c>
      <c r="D3879" t="s">
        <v>30110</v>
      </c>
      <c r="E3879" t="s">
        <v>30111</v>
      </c>
      <c r="F3879" t="s">
        <v>30112</v>
      </c>
      <c r="G3879" t="s">
        <v>30113</v>
      </c>
      <c r="H3879" t="s">
        <v>489</v>
      </c>
      <c r="I3879" t="s">
        <v>19</v>
      </c>
      <c r="J3879" s="3" t="s">
        <v>30114</v>
      </c>
      <c r="K3879" t="s">
        <v>30115</v>
      </c>
      <c r="L3879" t="s">
        <v>30116</v>
      </c>
      <c r="M3879" t="s">
        <v>57</v>
      </c>
    </row>
    <row r="3880" spans="1:13" x14ac:dyDescent="0.25">
      <c r="A3880" t="s">
        <v>7961</v>
      </c>
      <c r="B3880" t="s">
        <v>13</v>
      </c>
      <c r="C3880" t="s">
        <v>7957</v>
      </c>
      <c r="D3880" t="s">
        <v>32135</v>
      </c>
      <c r="E3880" t="s">
        <v>7962</v>
      </c>
      <c r="F3880" t="s">
        <v>7963</v>
      </c>
      <c r="G3880" t="s">
        <v>7964</v>
      </c>
      <c r="H3880" t="s">
        <v>936</v>
      </c>
      <c r="I3880" t="s">
        <v>19</v>
      </c>
      <c r="J3880" s="3" t="s">
        <v>7965</v>
      </c>
      <c r="K3880" t="s">
        <v>7966</v>
      </c>
      <c r="L3880" t="s">
        <v>32135</v>
      </c>
      <c r="M3880" t="s">
        <v>32144</v>
      </c>
    </row>
    <row r="3881" spans="1:13" x14ac:dyDescent="0.25">
      <c r="A3881" t="s">
        <v>14441</v>
      </c>
      <c r="B3881" t="s">
        <v>13</v>
      </c>
      <c r="C3881" t="s">
        <v>14435</v>
      </c>
      <c r="D3881" t="s">
        <v>14442</v>
      </c>
      <c r="E3881" t="s">
        <v>3534</v>
      </c>
      <c r="F3881" t="s">
        <v>2104</v>
      </c>
      <c r="G3881" t="s">
        <v>14443</v>
      </c>
      <c r="H3881" t="s">
        <v>36</v>
      </c>
      <c r="I3881" t="s">
        <v>19</v>
      </c>
      <c r="J3881" s="3">
        <f>55-11-980326229</f>
        <v>-980326185</v>
      </c>
      <c r="K3881" t="s">
        <v>14444</v>
      </c>
      <c r="L3881" t="s">
        <v>9723</v>
      </c>
      <c r="M3881" t="s">
        <v>32144</v>
      </c>
    </row>
    <row r="3882" spans="1:13" x14ac:dyDescent="0.25">
      <c r="A3882" t="s">
        <v>5618</v>
      </c>
      <c r="B3882" t="s">
        <v>13</v>
      </c>
      <c r="C3882" t="s">
        <v>5619</v>
      </c>
      <c r="D3882" t="s">
        <v>5620</v>
      </c>
      <c r="E3882" t="s">
        <v>3534</v>
      </c>
      <c r="F3882" t="s">
        <v>2104</v>
      </c>
      <c r="G3882" t="s">
        <v>5621</v>
      </c>
      <c r="H3882" t="s">
        <v>1486</v>
      </c>
      <c r="I3882" t="s">
        <v>19</v>
      </c>
      <c r="J3882" s="3">
        <f>55-34-37006607</f>
        <v>-37006586</v>
      </c>
      <c r="K3882" t="s">
        <v>5622</v>
      </c>
      <c r="L3882" t="s">
        <v>5623</v>
      </c>
      <c r="M3882" t="s">
        <v>32144</v>
      </c>
    </row>
    <row r="3883" spans="1:13" x14ac:dyDescent="0.25">
      <c r="A3883" t="s">
        <v>5972</v>
      </c>
      <c r="B3883" t="s">
        <v>13</v>
      </c>
      <c r="C3883" s="1">
        <v>44540</v>
      </c>
      <c r="D3883" t="s">
        <v>32135</v>
      </c>
      <c r="E3883" s="2" t="s">
        <v>30868</v>
      </c>
      <c r="F3883" t="s">
        <v>5973</v>
      </c>
      <c r="G3883" t="s">
        <v>5974</v>
      </c>
      <c r="H3883" t="s">
        <v>2305</v>
      </c>
      <c r="I3883" t="s">
        <v>19</v>
      </c>
      <c r="J3883" s="3" t="s">
        <v>5975</v>
      </c>
      <c r="K3883" t="s">
        <v>5976</v>
      </c>
      <c r="L3883" t="s">
        <v>32135</v>
      </c>
      <c r="M3883" t="s">
        <v>32144</v>
      </c>
    </row>
    <row r="3884" spans="1:13" x14ac:dyDescent="0.25">
      <c r="A3884" t="s">
        <v>15107</v>
      </c>
      <c r="B3884" t="s">
        <v>13</v>
      </c>
      <c r="C3884" s="1">
        <v>43627</v>
      </c>
      <c r="D3884" t="s">
        <v>15108</v>
      </c>
      <c r="E3884" t="s">
        <v>15109</v>
      </c>
      <c r="F3884" t="s">
        <v>1129</v>
      </c>
      <c r="G3884" t="s">
        <v>15110</v>
      </c>
      <c r="H3884" t="s">
        <v>5279</v>
      </c>
      <c r="I3884" t="s">
        <v>19</v>
      </c>
      <c r="J3884" s="3">
        <f>55-31-35591001</f>
        <v>-35590977</v>
      </c>
      <c r="K3884" t="s">
        <v>15111</v>
      </c>
      <c r="L3884" t="s">
        <v>15112</v>
      </c>
      <c r="M3884" t="s">
        <v>224</v>
      </c>
    </row>
    <row r="3885" spans="1:13" x14ac:dyDescent="0.25">
      <c r="A3885" t="s">
        <v>19494</v>
      </c>
      <c r="B3885" t="s">
        <v>13</v>
      </c>
      <c r="C3885" t="s">
        <v>19478</v>
      </c>
      <c r="D3885" t="s">
        <v>19495</v>
      </c>
      <c r="E3885" t="s">
        <v>16579</v>
      </c>
      <c r="F3885" t="s">
        <v>4338</v>
      </c>
      <c r="G3885" t="s">
        <v>19041</v>
      </c>
      <c r="H3885" t="s">
        <v>352</v>
      </c>
      <c r="I3885" t="s">
        <v>19</v>
      </c>
      <c r="J3885" s="3">
        <v>55999119955</v>
      </c>
      <c r="K3885" t="s">
        <v>19042</v>
      </c>
      <c r="L3885" t="s">
        <v>4668</v>
      </c>
      <c r="M3885" t="s">
        <v>1432</v>
      </c>
    </row>
    <row r="3886" spans="1:13" x14ac:dyDescent="0.25">
      <c r="A3886" t="s">
        <v>19039</v>
      </c>
      <c r="B3886" t="s">
        <v>13</v>
      </c>
      <c r="C3886" s="1">
        <v>43354</v>
      </c>
      <c r="D3886" t="s">
        <v>19040</v>
      </c>
      <c r="E3886" t="s">
        <v>14097</v>
      </c>
      <c r="F3886" t="s">
        <v>4338</v>
      </c>
      <c r="G3886" t="s">
        <v>19041</v>
      </c>
      <c r="H3886" t="s">
        <v>352</v>
      </c>
      <c r="I3886" t="s">
        <v>19</v>
      </c>
      <c r="J3886" s="3">
        <v>55999119955</v>
      </c>
      <c r="K3886" t="s">
        <v>19042</v>
      </c>
      <c r="L3886" t="s">
        <v>4668</v>
      </c>
      <c r="M3886" t="s">
        <v>1432</v>
      </c>
    </row>
    <row r="3887" spans="1:13" x14ac:dyDescent="0.25">
      <c r="A3887" t="s">
        <v>16577</v>
      </c>
      <c r="B3887" t="s">
        <v>13</v>
      </c>
      <c r="C3887" s="1">
        <v>43624</v>
      </c>
      <c r="D3887" t="s">
        <v>16578</v>
      </c>
      <c r="E3887" t="s">
        <v>16579</v>
      </c>
      <c r="F3887" t="s">
        <v>4338</v>
      </c>
      <c r="G3887" t="s">
        <v>16580</v>
      </c>
      <c r="H3887" t="s">
        <v>352</v>
      </c>
      <c r="I3887" t="s">
        <v>19</v>
      </c>
      <c r="J3887" s="3">
        <v>55021995047755</v>
      </c>
      <c r="K3887" t="s">
        <v>16581</v>
      </c>
      <c r="L3887" t="s">
        <v>4668</v>
      </c>
      <c r="M3887" t="s">
        <v>1432</v>
      </c>
    </row>
    <row r="3888" spans="1:13" x14ac:dyDescent="0.25">
      <c r="A3888" t="s">
        <v>29953</v>
      </c>
      <c r="B3888" t="s">
        <v>13</v>
      </c>
      <c r="C3888" t="s">
        <v>14184</v>
      </c>
      <c r="D3888" t="s">
        <v>29954</v>
      </c>
      <c r="E3888" t="s">
        <v>29955</v>
      </c>
      <c r="F3888" t="s">
        <v>1432</v>
      </c>
      <c r="G3888" t="s">
        <v>29956</v>
      </c>
      <c r="H3888" t="s">
        <v>150</v>
      </c>
      <c r="I3888" t="s">
        <v>19</v>
      </c>
      <c r="J3888" s="3" t="s">
        <v>29957</v>
      </c>
      <c r="K3888" t="s">
        <v>29958</v>
      </c>
      <c r="L3888" t="s">
        <v>29959</v>
      </c>
      <c r="M3888" t="s">
        <v>1432</v>
      </c>
    </row>
    <row r="3889" spans="1:13" x14ac:dyDescent="0.25">
      <c r="A3889" t="s">
        <v>24046</v>
      </c>
      <c r="B3889" t="s">
        <v>13</v>
      </c>
      <c r="C3889" s="1">
        <v>42862</v>
      </c>
      <c r="D3889" t="s">
        <v>24047</v>
      </c>
      <c r="E3889" t="s">
        <v>24048</v>
      </c>
      <c r="F3889" t="s">
        <v>1432</v>
      </c>
      <c r="G3889" t="s">
        <v>24049</v>
      </c>
      <c r="H3889" t="s">
        <v>2112</v>
      </c>
      <c r="I3889" t="s">
        <v>19</v>
      </c>
      <c r="J3889" s="3">
        <v>554532291558</v>
      </c>
      <c r="K3889" t="s">
        <v>8542</v>
      </c>
      <c r="L3889" t="s">
        <v>24050</v>
      </c>
      <c r="M3889" t="s">
        <v>1432</v>
      </c>
    </row>
    <row r="3890" spans="1:13" x14ac:dyDescent="0.25">
      <c r="A3890" t="s">
        <v>20273</v>
      </c>
      <c r="B3890" t="s">
        <v>13</v>
      </c>
      <c r="C3890" t="s">
        <v>20252</v>
      </c>
      <c r="D3890" t="s">
        <v>20274</v>
      </c>
      <c r="E3890" t="s">
        <v>20275</v>
      </c>
      <c r="F3890" t="s">
        <v>2765</v>
      </c>
      <c r="G3890" t="s">
        <v>20276</v>
      </c>
      <c r="H3890" t="s">
        <v>1802</v>
      </c>
      <c r="I3890" t="s">
        <v>19</v>
      </c>
      <c r="J3890" s="3" t="s">
        <v>20277</v>
      </c>
      <c r="K3890" t="s">
        <v>20278</v>
      </c>
      <c r="L3890" t="s">
        <v>20279</v>
      </c>
      <c r="M3890" t="s">
        <v>771</v>
      </c>
    </row>
    <row r="3891" spans="1:13" x14ac:dyDescent="0.25">
      <c r="A3891" t="s">
        <v>23469</v>
      </c>
      <c r="B3891" t="s">
        <v>13</v>
      </c>
      <c r="C3891" t="s">
        <v>8668</v>
      </c>
      <c r="D3891" t="s">
        <v>23470</v>
      </c>
      <c r="E3891" s="2" t="s">
        <v>31331</v>
      </c>
      <c r="F3891" t="s">
        <v>1464</v>
      </c>
      <c r="G3891" t="s">
        <v>23471</v>
      </c>
      <c r="H3891" t="s">
        <v>71</v>
      </c>
      <c r="I3891" t="s">
        <v>19</v>
      </c>
      <c r="J3891" s="3" t="s">
        <v>23472</v>
      </c>
      <c r="K3891" t="s">
        <v>23473</v>
      </c>
      <c r="L3891" t="s">
        <v>22228</v>
      </c>
      <c r="M3891" t="s">
        <v>1775</v>
      </c>
    </row>
    <row r="3892" spans="1:13" x14ac:dyDescent="0.25">
      <c r="A3892" t="s">
        <v>9538</v>
      </c>
      <c r="B3892" t="s">
        <v>13</v>
      </c>
      <c r="C3892" t="s">
        <v>191</v>
      </c>
      <c r="D3892" t="s">
        <v>9539</v>
      </c>
      <c r="E3892" t="s">
        <v>9540</v>
      </c>
      <c r="F3892" t="s">
        <v>1464</v>
      </c>
      <c r="G3892" t="s">
        <v>9541</v>
      </c>
      <c r="H3892" t="s">
        <v>71</v>
      </c>
      <c r="I3892" t="s">
        <v>19</v>
      </c>
      <c r="J3892" s="3">
        <f>55-86-32320384</f>
        <v>-32320415</v>
      </c>
      <c r="K3892" t="s">
        <v>9542</v>
      </c>
      <c r="L3892" t="s">
        <v>74</v>
      </c>
      <c r="M3892" t="s">
        <v>1775</v>
      </c>
    </row>
    <row r="3893" spans="1:13" x14ac:dyDescent="0.25">
      <c r="A3893" t="s">
        <v>14582</v>
      </c>
      <c r="B3893" t="s">
        <v>13</v>
      </c>
      <c r="C3893" s="1">
        <v>43811</v>
      </c>
      <c r="D3893" t="s">
        <v>14583</v>
      </c>
      <c r="E3893" t="s">
        <v>14584</v>
      </c>
      <c r="F3893" t="s">
        <v>1464</v>
      </c>
      <c r="G3893" t="s">
        <v>3854</v>
      </c>
      <c r="H3893" t="s">
        <v>489</v>
      </c>
      <c r="I3893" t="s">
        <v>19</v>
      </c>
      <c r="J3893" s="3">
        <f>55-41-996404919</f>
        <v>-996404905</v>
      </c>
      <c r="K3893" t="s">
        <v>14585</v>
      </c>
      <c r="L3893" t="s">
        <v>625</v>
      </c>
      <c r="M3893" t="s">
        <v>32185</v>
      </c>
    </row>
    <row r="3894" spans="1:13" x14ac:dyDescent="0.25">
      <c r="A3894" t="s">
        <v>30448</v>
      </c>
      <c r="B3894" t="s">
        <v>13</v>
      </c>
      <c r="C3894" s="1">
        <v>41000</v>
      </c>
      <c r="D3894" t="s">
        <v>30449</v>
      </c>
      <c r="E3894" t="s">
        <v>30450</v>
      </c>
      <c r="F3894" t="s">
        <v>2036</v>
      </c>
      <c r="G3894" t="s">
        <v>30062</v>
      </c>
      <c r="H3894" t="s">
        <v>409</v>
      </c>
      <c r="I3894" t="s">
        <v>19</v>
      </c>
      <c r="J3894" s="3">
        <v>33218610</v>
      </c>
      <c r="K3894" t="s">
        <v>30063</v>
      </c>
      <c r="L3894" t="s">
        <v>1823</v>
      </c>
      <c r="M3894" t="s">
        <v>57</v>
      </c>
    </row>
    <row r="3895" spans="1:13" x14ac:dyDescent="0.25">
      <c r="A3895" t="s">
        <v>22739</v>
      </c>
      <c r="B3895" t="s">
        <v>13</v>
      </c>
      <c r="C3895" t="s">
        <v>22726</v>
      </c>
      <c r="D3895" t="s">
        <v>22740</v>
      </c>
      <c r="E3895" s="2" t="s">
        <v>31318</v>
      </c>
      <c r="F3895" t="s">
        <v>1464</v>
      </c>
      <c r="G3895" t="s">
        <v>22741</v>
      </c>
      <c r="H3895" t="s">
        <v>489</v>
      </c>
      <c r="I3895" t="s">
        <v>19</v>
      </c>
      <c r="J3895" s="3">
        <f>55-41-991836040</f>
        <v>-991836026</v>
      </c>
      <c r="K3895" t="s">
        <v>22742</v>
      </c>
      <c r="L3895" t="s">
        <v>625</v>
      </c>
      <c r="M3895" t="s">
        <v>1775</v>
      </c>
    </row>
    <row r="3896" spans="1:13" x14ac:dyDescent="0.25">
      <c r="A3896" t="s">
        <v>15574</v>
      </c>
      <c r="B3896" t="s">
        <v>13</v>
      </c>
      <c r="C3896" t="s">
        <v>2617</v>
      </c>
      <c r="D3896" t="s">
        <v>19561</v>
      </c>
      <c r="E3896" t="s">
        <v>19562</v>
      </c>
      <c r="F3896" t="s">
        <v>2036</v>
      </c>
      <c r="G3896" t="s">
        <v>19563</v>
      </c>
      <c r="H3896" t="s">
        <v>195</v>
      </c>
      <c r="I3896" t="s">
        <v>19</v>
      </c>
      <c r="J3896" s="3">
        <f>55-19-996989977</f>
        <v>-996989941</v>
      </c>
      <c r="K3896" t="s">
        <v>19564</v>
      </c>
      <c r="L3896" t="s">
        <v>197</v>
      </c>
      <c r="M3896" t="s">
        <v>57</v>
      </c>
    </row>
    <row r="3897" spans="1:13" x14ac:dyDescent="0.25">
      <c r="A3897" t="s">
        <v>3851</v>
      </c>
      <c r="B3897" t="s">
        <v>13</v>
      </c>
      <c r="C3897" t="s">
        <v>3845</v>
      </c>
      <c r="D3897" t="s">
        <v>3852</v>
      </c>
      <c r="E3897" t="s">
        <v>3853</v>
      </c>
      <c r="F3897" t="s">
        <v>3036</v>
      </c>
      <c r="G3897" t="s">
        <v>3854</v>
      </c>
      <c r="H3897" t="s">
        <v>489</v>
      </c>
      <c r="I3897" t="s">
        <v>19</v>
      </c>
      <c r="J3897" s="3" t="s">
        <v>3855</v>
      </c>
      <c r="K3897" t="s">
        <v>3856</v>
      </c>
      <c r="L3897" t="s">
        <v>625</v>
      </c>
      <c r="M3897" t="s">
        <v>57</v>
      </c>
    </row>
    <row r="3898" spans="1:13" x14ac:dyDescent="0.25">
      <c r="A3898" t="s">
        <v>6767</v>
      </c>
      <c r="B3898" t="s">
        <v>13</v>
      </c>
      <c r="C3898" s="1">
        <v>44294</v>
      </c>
      <c r="D3898" t="s">
        <v>6768</v>
      </c>
      <c r="E3898" t="s">
        <v>6769</v>
      </c>
      <c r="F3898" t="s">
        <v>6770</v>
      </c>
      <c r="G3898" t="s">
        <v>6771</v>
      </c>
      <c r="H3898" t="s">
        <v>36</v>
      </c>
      <c r="I3898" t="s">
        <v>19</v>
      </c>
      <c r="J3898" s="3">
        <v>5511999153675</v>
      </c>
      <c r="K3898" t="s">
        <v>6772</v>
      </c>
      <c r="L3898" t="s">
        <v>32135</v>
      </c>
      <c r="M3898" t="s">
        <v>129</v>
      </c>
    </row>
    <row r="3899" spans="1:13" x14ac:dyDescent="0.25">
      <c r="A3899" t="s">
        <v>8317</v>
      </c>
      <c r="B3899" t="s">
        <v>13</v>
      </c>
      <c r="C3899" s="1">
        <v>44318</v>
      </c>
      <c r="D3899" t="s">
        <v>8318</v>
      </c>
      <c r="E3899" s="2" t="s">
        <v>31989</v>
      </c>
      <c r="F3899" t="s">
        <v>8320</v>
      </c>
      <c r="G3899" t="s">
        <v>8321</v>
      </c>
      <c r="H3899" t="s">
        <v>798</v>
      </c>
      <c r="I3899" t="s">
        <v>19</v>
      </c>
      <c r="J3899" s="3">
        <v>5561984055957</v>
      </c>
      <c r="K3899" t="s">
        <v>8322</v>
      </c>
      <c r="L3899" t="s">
        <v>1767</v>
      </c>
      <c r="M3899" t="s">
        <v>32172</v>
      </c>
    </row>
    <row r="3900" spans="1:13" x14ac:dyDescent="0.25">
      <c r="A3900" t="s">
        <v>21104</v>
      </c>
      <c r="B3900" t="s">
        <v>13</v>
      </c>
      <c r="C3900" s="1">
        <v>43287</v>
      </c>
      <c r="D3900" t="s">
        <v>21105</v>
      </c>
      <c r="E3900" s="2" t="s">
        <v>31276</v>
      </c>
      <c r="F3900" t="s">
        <v>1464</v>
      </c>
      <c r="G3900" t="s">
        <v>21106</v>
      </c>
      <c r="H3900" t="s">
        <v>255</v>
      </c>
      <c r="I3900" t="s">
        <v>19</v>
      </c>
      <c r="J3900" s="3">
        <f>55-62-998189-2070</f>
        <v>-1000266</v>
      </c>
      <c r="K3900" t="s">
        <v>21107</v>
      </c>
      <c r="L3900" t="s">
        <v>2467</v>
      </c>
      <c r="M3900" t="s">
        <v>1775</v>
      </c>
    </row>
    <row r="3901" spans="1:13" x14ac:dyDescent="0.25">
      <c r="A3901" t="s">
        <v>11310</v>
      </c>
      <c r="B3901" t="s">
        <v>13</v>
      </c>
      <c r="C3901" t="s">
        <v>11304</v>
      </c>
      <c r="D3901" t="s">
        <v>11311</v>
      </c>
      <c r="E3901" t="s">
        <v>11312</v>
      </c>
      <c r="F3901" t="s">
        <v>1432</v>
      </c>
      <c r="G3901" t="s">
        <v>11313</v>
      </c>
      <c r="H3901" t="s">
        <v>255</v>
      </c>
      <c r="I3901" t="s">
        <v>19</v>
      </c>
      <c r="J3901" s="3">
        <f>55-62-81586202</f>
        <v>-81586209</v>
      </c>
      <c r="K3901" t="s">
        <v>11314</v>
      </c>
      <c r="L3901" t="s">
        <v>11315</v>
      </c>
      <c r="M3901" t="s">
        <v>1432</v>
      </c>
    </row>
    <row r="3902" spans="1:13" x14ac:dyDescent="0.25">
      <c r="A3902" t="s">
        <v>7217</v>
      </c>
      <c r="B3902" t="s">
        <v>13</v>
      </c>
      <c r="C3902" s="1">
        <v>44383</v>
      </c>
      <c r="D3902" t="s">
        <v>32135</v>
      </c>
      <c r="E3902" t="s">
        <v>7218</v>
      </c>
      <c r="F3902" t="s">
        <v>7219</v>
      </c>
      <c r="G3902" t="s">
        <v>7220</v>
      </c>
      <c r="H3902" t="s">
        <v>706</v>
      </c>
      <c r="I3902" t="s">
        <v>19</v>
      </c>
      <c r="J3902" s="3">
        <f>55-31-984461221</f>
        <v>-984461197</v>
      </c>
      <c r="K3902" t="s">
        <v>7221</v>
      </c>
      <c r="L3902" t="s">
        <v>32135</v>
      </c>
      <c r="M3902" t="s">
        <v>1432</v>
      </c>
    </row>
    <row r="3903" spans="1:13" x14ac:dyDescent="0.25">
      <c r="A3903" t="s">
        <v>3294</v>
      </c>
      <c r="B3903" t="s">
        <v>13</v>
      </c>
      <c r="C3903" t="s">
        <v>3270</v>
      </c>
      <c r="D3903" t="s">
        <v>3295</v>
      </c>
      <c r="E3903" t="s">
        <v>459</v>
      </c>
      <c r="F3903" t="s">
        <v>460</v>
      </c>
      <c r="G3903" t="s">
        <v>3296</v>
      </c>
      <c r="H3903" t="s">
        <v>428</v>
      </c>
      <c r="I3903" t="s">
        <v>19</v>
      </c>
      <c r="J3903" s="3" t="s">
        <v>3297</v>
      </c>
      <c r="K3903" t="s">
        <v>3298</v>
      </c>
      <c r="L3903" t="s">
        <v>3299</v>
      </c>
      <c r="M3903" t="s">
        <v>57</v>
      </c>
    </row>
    <row r="3904" spans="1:13" x14ac:dyDescent="0.25">
      <c r="A3904" t="s">
        <v>456</v>
      </c>
      <c r="B3904" t="s">
        <v>13</v>
      </c>
      <c r="C3904" t="s">
        <v>457</v>
      </c>
      <c r="D3904" t="s">
        <v>458</v>
      </c>
      <c r="E3904" t="s">
        <v>459</v>
      </c>
      <c r="F3904" t="s">
        <v>460</v>
      </c>
      <c r="G3904" t="s">
        <v>461</v>
      </c>
      <c r="H3904" t="s">
        <v>462</v>
      </c>
      <c r="I3904" t="s">
        <v>19</v>
      </c>
      <c r="J3904" s="3" t="s">
        <v>463</v>
      </c>
      <c r="K3904" t="s">
        <v>464</v>
      </c>
      <c r="L3904" t="s">
        <v>465</v>
      </c>
      <c r="M3904" t="s">
        <v>57</v>
      </c>
    </row>
    <row r="3905" spans="1:13" x14ac:dyDescent="0.25">
      <c r="A3905" t="s">
        <v>3193</v>
      </c>
      <c r="B3905" t="s">
        <v>13</v>
      </c>
      <c r="C3905" t="s">
        <v>3184</v>
      </c>
      <c r="D3905" t="s">
        <v>3194</v>
      </c>
      <c r="E3905" t="s">
        <v>459</v>
      </c>
      <c r="F3905" t="s">
        <v>1464</v>
      </c>
      <c r="G3905" t="s">
        <v>3195</v>
      </c>
      <c r="H3905" t="s">
        <v>706</v>
      </c>
      <c r="I3905" t="s">
        <v>19</v>
      </c>
      <c r="J3905" s="3" t="s">
        <v>3196</v>
      </c>
      <c r="K3905" t="s">
        <v>3197</v>
      </c>
      <c r="L3905" t="s">
        <v>565</v>
      </c>
      <c r="M3905" t="s">
        <v>337</v>
      </c>
    </row>
    <row r="3906" spans="1:13" x14ac:dyDescent="0.25">
      <c r="A3906" t="s">
        <v>3067</v>
      </c>
      <c r="B3906" t="s">
        <v>13</v>
      </c>
      <c r="C3906" s="1">
        <v>44841</v>
      </c>
      <c r="D3906" t="s">
        <v>3068</v>
      </c>
      <c r="E3906" s="2" t="s">
        <v>31397</v>
      </c>
      <c r="F3906" t="s">
        <v>1006</v>
      </c>
      <c r="G3906" t="s">
        <v>3070</v>
      </c>
      <c r="H3906" t="s">
        <v>540</v>
      </c>
      <c r="I3906" t="s">
        <v>19</v>
      </c>
      <c r="J3906" s="3" t="s">
        <v>3071</v>
      </c>
      <c r="K3906" t="s">
        <v>3072</v>
      </c>
      <c r="L3906" t="s">
        <v>1531</v>
      </c>
      <c r="M3906" t="s">
        <v>337</v>
      </c>
    </row>
    <row r="3907" spans="1:13" x14ac:dyDescent="0.25">
      <c r="A3907" t="s">
        <v>17336</v>
      </c>
      <c r="B3907" t="s">
        <v>13</v>
      </c>
      <c r="C3907" s="1">
        <v>43561</v>
      </c>
      <c r="D3907" t="s">
        <v>17337</v>
      </c>
      <c r="E3907" s="2" t="s">
        <v>31656</v>
      </c>
      <c r="F3907" t="s">
        <v>1775</v>
      </c>
      <c r="G3907" t="s">
        <v>17338</v>
      </c>
      <c r="H3907" t="s">
        <v>265</v>
      </c>
      <c r="I3907" t="s">
        <v>19</v>
      </c>
      <c r="J3907" s="3" t="s">
        <v>17339</v>
      </c>
      <c r="K3907" t="s">
        <v>17340</v>
      </c>
      <c r="L3907" t="s">
        <v>1246</v>
      </c>
      <c r="M3907" t="s">
        <v>1775</v>
      </c>
    </row>
    <row r="3908" spans="1:13" x14ac:dyDescent="0.25">
      <c r="A3908" t="s">
        <v>12092</v>
      </c>
      <c r="B3908" t="s">
        <v>13</v>
      </c>
      <c r="C3908" t="s">
        <v>9668</v>
      </c>
      <c r="D3908" t="s">
        <v>12093</v>
      </c>
      <c r="E3908" s="2" t="s">
        <v>31899</v>
      </c>
      <c r="F3908" t="s">
        <v>1464</v>
      </c>
      <c r="G3908" t="s">
        <v>12094</v>
      </c>
      <c r="H3908" t="s">
        <v>472</v>
      </c>
      <c r="I3908" t="s">
        <v>19</v>
      </c>
      <c r="J3908" s="3" t="s">
        <v>12095</v>
      </c>
      <c r="K3908" t="s">
        <v>12096</v>
      </c>
      <c r="L3908" t="s">
        <v>12097</v>
      </c>
      <c r="M3908" t="s">
        <v>1775</v>
      </c>
    </row>
    <row r="3909" spans="1:13" x14ac:dyDescent="0.25">
      <c r="A3909" t="s">
        <v>20222</v>
      </c>
      <c r="B3909" t="s">
        <v>13</v>
      </c>
      <c r="C3909" s="1">
        <v>43108</v>
      </c>
      <c r="D3909" t="s">
        <v>20223</v>
      </c>
      <c r="E3909" t="s">
        <v>20224</v>
      </c>
      <c r="F3909" t="s">
        <v>4338</v>
      </c>
      <c r="G3909" t="s">
        <v>20225</v>
      </c>
      <c r="H3909" t="s">
        <v>88</v>
      </c>
      <c r="I3909" t="s">
        <v>19</v>
      </c>
      <c r="J3909" s="3">
        <v>5584991213006</v>
      </c>
      <c r="K3909" t="s">
        <v>20226</v>
      </c>
      <c r="L3909" t="s">
        <v>20227</v>
      </c>
      <c r="M3909" t="s">
        <v>1432</v>
      </c>
    </row>
    <row r="3910" spans="1:13" x14ac:dyDescent="0.25">
      <c r="A3910" t="s">
        <v>17297</v>
      </c>
      <c r="B3910" t="s">
        <v>13</v>
      </c>
      <c r="C3910" s="1">
        <v>43591</v>
      </c>
      <c r="D3910" t="s">
        <v>17298</v>
      </c>
      <c r="E3910" t="s">
        <v>17299</v>
      </c>
      <c r="F3910" t="s">
        <v>2758</v>
      </c>
      <c r="G3910" t="s">
        <v>1621</v>
      </c>
      <c r="H3910" t="s">
        <v>1622</v>
      </c>
      <c r="I3910" t="s">
        <v>19</v>
      </c>
      <c r="J3910" s="3" t="s">
        <v>1623</v>
      </c>
      <c r="K3910" t="s">
        <v>1624</v>
      </c>
      <c r="L3910" t="s">
        <v>10697</v>
      </c>
      <c r="M3910" t="s">
        <v>32149</v>
      </c>
    </row>
    <row r="3911" spans="1:13" x14ac:dyDescent="0.25">
      <c r="A3911" t="s">
        <v>3251</v>
      </c>
      <c r="B3911" t="s">
        <v>13</v>
      </c>
      <c r="C3911" t="s">
        <v>3244</v>
      </c>
      <c r="D3911" t="s">
        <v>32135</v>
      </c>
      <c r="E3911" t="s">
        <v>3252</v>
      </c>
      <c r="F3911" t="s">
        <v>3253</v>
      </c>
      <c r="G3911" t="s">
        <v>3254</v>
      </c>
      <c r="H3911" t="s">
        <v>798</v>
      </c>
      <c r="I3911" t="s">
        <v>19</v>
      </c>
      <c r="J3911" s="3">
        <v>556134424136</v>
      </c>
      <c r="K3911" t="s">
        <v>3255</v>
      </c>
      <c r="L3911" t="s">
        <v>3256</v>
      </c>
      <c r="M3911" t="s">
        <v>1432</v>
      </c>
    </row>
    <row r="3912" spans="1:13" x14ac:dyDescent="0.25">
      <c r="A3912" t="s">
        <v>15069</v>
      </c>
      <c r="B3912" t="s">
        <v>13</v>
      </c>
      <c r="C3912" s="1">
        <v>43810</v>
      </c>
      <c r="D3912" t="s">
        <v>15070</v>
      </c>
      <c r="E3912" t="s">
        <v>32523</v>
      </c>
      <c r="F3912" t="s">
        <v>1349</v>
      </c>
      <c r="G3912" t="s">
        <v>7071</v>
      </c>
      <c r="H3912" t="s">
        <v>36</v>
      </c>
      <c r="I3912" t="s">
        <v>19</v>
      </c>
      <c r="J3912" s="3">
        <f>55-19-21892129</f>
        <v>-21892093</v>
      </c>
      <c r="K3912" t="s">
        <v>15071</v>
      </c>
      <c r="L3912" t="s">
        <v>15072</v>
      </c>
      <c r="M3912" t="s">
        <v>1349</v>
      </c>
    </row>
    <row r="3913" spans="1:13" x14ac:dyDescent="0.25">
      <c r="A3913" t="s">
        <v>19896</v>
      </c>
      <c r="B3913" t="s">
        <v>13</v>
      </c>
      <c r="C3913" t="s">
        <v>12776</v>
      </c>
      <c r="D3913" t="s">
        <v>19897</v>
      </c>
      <c r="E3913" t="s">
        <v>32524</v>
      </c>
      <c r="F3913" t="s">
        <v>432</v>
      </c>
      <c r="G3913" t="s">
        <v>19898</v>
      </c>
      <c r="H3913" t="s">
        <v>255</v>
      </c>
      <c r="I3913" t="s">
        <v>19</v>
      </c>
      <c r="J3913" s="3">
        <v>62982024374</v>
      </c>
      <c r="K3913" t="s">
        <v>19899</v>
      </c>
      <c r="L3913" t="s">
        <v>4713</v>
      </c>
      <c r="M3913" t="s">
        <v>32162</v>
      </c>
    </row>
    <row r="3914" spans="1:13" x14ac:dyDescent="0.25">
      <c r="A3914" t="s">
        <v>28811</v>
      </c>
      <c r="B3914" t="s">
        <v>13</v>
      </c>
      <c r="C3914" t="s">
        <v>28812</v>
      </c>
      <c r="D3914" t="s">
        <v>28813</v>
      </c>
      <c r="E3914" t="s">
        <v>28814</v>
      </c>
      <c r="F3914" t="s">
        <v>1190</v>
      </c>
      <c r="G3914" t="s">
        <v>28749</v>
      </c>
      <c r="H3914" t="s">
        <v>1466</v>
      </c>
      <c r="I3914" t="s">
        <v>19</v>
      </c>
      <c r="J3914" s="3" t="s">
        <v>28750</v>
      </c>
      <c r="K3914" t="s">
        <v>28751</v>
      </c>
      <c r="L3914" t="s">
        <v>28752</v>
      </c>
      <c r="M3914" t="s">
        <v>432</v>
      </c>
    </row>
    <row r="3915" spans="1:13" x14ac:dyDescent="0.25">
      <c r="A3915" t="s">
        <v>28527</v>
      </c>
      <c r="B3915" t="s">
        <v>101</v>
      </c>
      <c r="C3915" t="s">
        <v>28521</v>
      </c>
      <c r="D3915" t="s">
        <v>28528</v>
      </c>
      <c r="E3915" t="s">
        <v>32525</v>
      </c>
      <c r="F3915" t="s">
        <v>1349</v>
      </c>
      <c r="G3915" t="s">
        <v>28529</v>
      </c>
      <c r="H3915" t="s">
        <v>255</v>
      </c>
      <c r="I3915" t="s">
        <v>19</v>
      </c>
      <c r="J3915" s="3" t="s">
        <v>28530</v>
      </c>
      <c r="K3915" t="s">
        <v>28531</v>
      </c>
      <c r="L3915" t="s">
        <v>258</v>
      </c>
      <c r="M3915" t="s">
        <v>1349</v>
      </c>
    </row>
    <row r="3916" spans="1:13" x14ac:dyDescent="0.25">
      <c r="A3916" t="s">
        <v>17205</v>
      </c>
      <c r="B3916" t="s">
        <v>13</v>
      </c>
      <c r="C3916" s="1">
        <v>43652</v>
      </c>
      <c r="D3916" t="s">
        <v>17206</v>
      </c>
      <c r="E3916" t="s">
        <v>17207</v>
      </c>
      <c r="F3916" t="s">
        <v>332</v>
      </c>
      <c r="G3916" t="s">
        <v>17208</v>
      </c>
      <c r="H3916" t="s">
        <v>1090</v>
      </c>
      <c r="I3916" t="s">
        <v>19</v>
      </c>
      <c r="J3916" s="3">
        <v>5508332167742</v>
      </c>
      <c r="K3916" t="s">
        <v>17209</v>
      </c>
      <c r="L3916" t="s">
        <v>1092</v>
      </c>
      <c r="M3916" t="s">
        <v>337</v>
      </c>
    </row>
    <row r="3917" spans="1:13" x14ac:dyDescent="0.25">
      <c r="A3917" t="s">
        <v>11898</v>
      </c>
      <c r="B3917" t="s">
        <v>13</v>
      </c>
      <c r="C3917" s="1">
        <v>43781</v>
      </c>
      <c r="D3917" t="s">
        <v>11899</v>
      </c>
      <c r="E3917" s="2" t="s">
        <v>31473</v>
      </c>
      <c r="F3917" t="s">
        <v>306</v>
      </c>
      <c r="G3917" t="s">
        <v>5435</v>
      </c>
      <c r="H3917" t="s">
        <v>1503</v>
      </c>
      <c r="I3917" t="s">
        <v>19</v>
      </c>
      <c r="J3917" s="3">
        <f>55-75-998226086</f>
        <v>-998226106</v>
      </c>
      <c r="K3917" t="s">
        <v>5437</v>
      </c>
      <c r="L3917" t="s">
        <v>11900</v>
      </c>
      <c r="M3917" t="s">
        <v>32160</v>
      </c>
    </row>
    <row r="3918" spans="1:13" x14ac:dyDescent="0.25">
      <c r="A3918" t="s">
        <v>8335</v>
      </c>
      <c r="B3918" t="s">
        <v>13</v>
      </c>
      <c r="C3918" s="1">
        <v>44288</v>
      </c>
      <c r="D3918" t="s">
        <v>8336</v>
      </c>
      <c r="E3918" s="2" t="s">
        <v>31611</v>
      </c>
      <c r="F3918" t="s">
        <v>1396</v>
      </c>
      <c r="G3918" t="s">
        <v>8337</v>
      </c>
      <c r="H3918" t="s">
        <v>428</v>
      </c>
      <c r="I3918" t="s">
        <v>19</v>
      </c>
      <c r="J3918" s="3">
        <v>555133085023</v>
      </c>
      <c r="K3918" t="s">
        <v>8338</v>
      </c>
      <c r="L3918" t="s">
        <v>8339</v>
      </c>
      <c r="M3918" t="s">
        <v>337</v>
      </c>
    </row>
    <row r="3919" spans="1:13" x14ac:dyDescent="0.25">
      <c r="A3919" t="s">
        <v>8855</v>
      </c>
      <c r="B3919" t="s">
        <v>13</v>
      </c>
      <c r="C3919" s="1">
        <v>44147</v>
      </c>
      <c r="D3919" t="s">
        <v>32135</v>
      </c>
      <c r="E3919" s="2" t="s">
        <v>32035</v>
      </c>
      <c r="F3919" t="s">
        <v>8856</v>
      </c>
      <c r="G3919" t="s">
        <v>8857</v>
      </c>
      <c r="H3919" t="s">
        <v>195</v>
      </c>
      <c r="I3919" t="s">
        <v>19</v>
      </c>
      <c r="J3919" s="3" t="s">
        <v>8858</v>
      </c>
      <c r="K3919" t="s">
        <v>8859</v>
      </c>
      <c r="L3919" t="s">
        <v>32135</v>
      </c>
      <c r="M3919" t="s">
        <v>337</v>
      </c>
    </row>
    <row r="3920" spans="1:13" x14ac:dyDescent="0.25">
      <c r="A3920" t="s">
        <v>4008</v>
      </c>
      <c r="B3920" t="s">
        <v>13</v>
      </c>
      <c r="C3920" s="1">
        <v>44716</v>
      </c>
      <c r="D3920" t="s">
        <v>4009</v>
      </c>
      <c r="E3920" s="2" t="s">
        <v>30798</v>
      </c>
      <c r="F3920" t="s">
        <v>4010</v>
      </c>
      <c r="G3920" t="s">
        <v>4011</v>
      </c>
      <c r="H3920" t="s">
        <v>2215</v>
      </c>
      <c r="I3920" t="s">
        <v>19</v>
      </c>
      <c r="J3920" s="3">
        <f>55-42-3220-3282</f>
        <v>-6489</v>
      </c>
      <c r="K3920" t="s">
        <v>4012</v>
      </c>
      <c r="L3920" t="s">
        <v>2218</v>
      </c>
      <c r="M3920" t="s">
        <v>337</v>
      </c>
    </row>
    <row r="3921" spans="1:13" x14ac:dyDescent="0.25">
      <c r="A3921" t="s">
        <v>14357</v>
      </c>
      <c r="B3921" t="s">
        <v>13</v>
      </c>
      <c r="C3921" s="1">
        <v>43983</v>
      </c>
      <c r="D3921" t="s">
        <v>14358</v>
      </c>
      <c r="E3921" s="2" t="s">
        <v>31089</v>
      </c>
      <c r="F3921" t="s">
        <v>1464</v>
      </c>
      <c r="G3921" t="s">
        <v>14359</v>
      </c>
      <c r="H3921" t="s">
        <v>5844</v>
      </c>
      <c r="I3921" t="s">
        <v>19</v>
      </c>
      <c r="J3921" s="3" t="s">
        <v>14360</v>
      </c>
      <c r="K3921" t="s">
        <v>14361</v>
      </c>
      <c r="L3921" t="s">
        <v>13337</v>
      </c>
      <c r="M3921" t="s">
        <v>337</v>
      </c>
    </row>
    <row r="3922" spans="1:13" x14ac:dyDescent="0.25">
      <c r="A3922" t="s">
        <v>4684</v>
      </c>
      <c r="B3922" t="s">
        <v>13</v>
      </c>
      <c r="C3922" t="s">
        <v>4495</v>
      </c>
      <c r="D3922" t="s">
        <v>4685</v>
      </c>
      <c r="E3922" s="2" t="s">
        <v>30817</v>
      </c>
      <c r="F3922" t="s">
        <v>2213</v>
      </c>
      <c r="G3922" t="s">
        <v>4686</v>
      </c>
      <c r="H3922" t="s">
        <v>472</v>
      </c>
      <c r="I3922" t="s">
        <v>19</v>
      </c>
      <c r="J3922" s="3" t="s">
        <v>4687</v>
      </c>
      <c r="K3922" t="s">
        <v>4688</v>
      </c>
      <c r="L3922" t="s">
        <v>4689</v>
      </c>
      <c r="M3922" t="s">
        <v>337</v>
      </c>
    </row>
    <row r="3923" spans="1:13" x14ac:dyDescent="0.25">
      <c r="A3923" t="s">
        <v>8230</v>
      </c>
      <c r="B3923" t="s">
        <v>13</v>
      </c>
      <c r="C3923" s="1">
        <v>44441</v>
      </c>
      <c r="D3923" t="s">
        <v>8231</v>
      </c>
      <c r="E3923" t="s">
        <v>8232</v>
      </c>
      <c r="F3923" t="s">
        <v>8233</v>
      </c>
      <c r="G3923" t="s">
        <v>8234</v>
      </c>
      <c r="H3923" t="s">
        <v>608</v>
      </c>
      <c r="I3923" t="s">
        <v>19</v>
      </c>
      <c r="J3923" s="3" t="s">
        <v>8235</v>
      </c>
      <c r="K3923" t="s">
        <v>8236</v>
      </c>
      <c r="L3923" t="s">
        <v>32135</v>
      </c>
      <c r="M3923" t="s">
        <v>337</v>
      </c>
    </row>
    <row r="3924" spans="1:13" x14ac:dyDescent="0.25">
      <c r="A3924" t="s">
        <v>24656</v>
      </c>
      <c r="B3924" t="s">
        <v>13</v>
      </c>
      <c r="C3924" t="s">
        <v>10491</v>
      </c>
      <c r="D3924" t="s">
        <v>24657</v>
      </c>
      <c r="E3924" t="s">
        <v>8233</v>
      </c>
      <c r="F3924" t="s">
        <v>1464</v>
      </c>
      <c r="G3924" t="s">
        <v>24658</v>
      </c>
      <c r="H3924" t="s">
        <v>472</v>
      </c>
      <c r="I3924" t="s">
        <v>19</v>
      </c>
      <c r="J3924" s="3" t="s">
        <v>24659</v>
      </c>
      <c r="K3924" t="s">
        <v>24660</v>
      </c>
      <c r="L3924" t="s">
        <v>2101</v>
      </c>
      <c r="M3924" t="s">
        <v>337</v>
      </c>
    </row>
    <row r="3925" spans="1:13" x14ac:dyDescent="0.25">
      <c r="A3925" t="s">
        <v>18689</v>
      </c>
      <c r="B3925" t="s">
        <v>13</v>
      </c>
      <c r="C3925" t="s">
        <v>18678</v>
      </c>
      <c r="D3925" t="s">
        <v>18690</v>
      </c>
      <c r="E3925" t="s">
        <v>8232</v>
      </c>
      <c r="F3925" t="s">
        <v>332</v>
      </c>
      <c r="G3925" t="s">
        <v>18691</v>
      </c>
      <c r="H3925" t="s">
        <v>170</v>
      </c>
      <c r="I3925" t="s">
        <v>19</v>
      </c>
      <c r="J3925" s="3" t="s">
        <v>18692</v>
      </c>
      <c r="K3925" t="s">
        <v>18693</v>
      </c>
      <c r="L3925" t="s">
        <v>18694</v>
      </c>
      <c r="M3925" t="s">
        <v>337</v>
      </c>
    </row>
    <row r="3926" spans="1:13" x14ac:dyDescent="0.25">
      <c r="A3926" t="s">
        <v>24434</v>
      </c>
      <c r="B3926" t="s">
        <v>13</v>
      </c>
      <c r="C3926" s="1">
        <v>42829</v>
      </c>
      <c r="D3926" t="s">
        <v>24435</v>
      </c>
      <c r="E3926" t="s">
        <v>24436</v>
      </c>
      <c r="F3926" t="s">
        <v>337</v>
      </c>
      <c r="G3926" t="s">
        <v>20949</v>
      </c>
      <c r="H3926" t="s">
        <v>255</v>
      </c>
      <c r="I3926" t="s">
        <v>19</v>
      </c>
      <c r="J3926" s="3" t="s">
        <v>20950</v>
      </c>
      <c r="K3926" t="s">
        <v>20951</v>
      </c>
      <c r="L3926" t="s">
        <v>20952</v>
      </c>
      <c r="M3926" t="s">
        <v>337</v>
      </c>
    </row>
    <row r="3927" spans="1:13" x14ac:dyDescent="0.25">
      <c r="A3927" t="s">
        <v>14746</v>
      </c>
      <c r="B3927" t="s">
        <v>13</v>
      </c>
      <c r="C3927" s="1">
        <v>43536</v>
      </c>
      <c r="D3927" t="s">
        <v>14747</v>
      </c>
      <c r="E3927" t="s">
        <v>14748</v>
      </c>
      <c r="F3927" t="s">
        <v>332</v>
      </c>
      <c r="G3927" t="s">
        <v>14749</v>
      </c>
      <c r="H3927" t="s">
        <v>14750</v>
      </c>
      <c r="I3927" t="s">
        <v>19</v>
      </c>
      <c r="J3927" s="3" t="s">
        <v>14751</v>
      </c>
      <c r="K3927" t="s">
        <v>14752</v>
      </c>
      <c r="L3927" t="s">
        <v>14753</v>
      </c>
      <c r="M3927" t="s">
        <v>337</v>
      </c>
    </row>
    <row r="3928" spans="1:13" x14ac:dyDescent="0.25">
      <c r="A3928" t="s">
        <v>21541</v>
      </c>
      <c r="B3928" t="s">
        <v>13</v>
      </c>
      <c r="C3928" s="1">
        <v>43439</v>
      </c>
      <c r="D3928" t="s">
        <v>21542</v>
      </c>
      <c r="E3928" s="2" t="s">
        <v>31486</v>
      </c>
      <c r="F3928" t="s">
        <v>332</v>
      </c>
      <c r="G3928" t="s">
        <v>21544</v>
      </c>
      <c r="H3928" t="s">
        <v>409</v>
      </c>
      <c r="I3928" t="s">
        <v>19</v>
      </c>
      <c r="J3928" s="3">
        <f>55-483721-6132</f>
        <v>-489798</v>
      </c>
      <c r="K3928" t="s">
        <v>21545</v>
      </c>
      <c r="L3928" t="s">
        <v>7763</v>
      </c>
      <c r="M3928" t="s">
        <v>337</v>
      </c>
    </row>
    <row r="3929" spans="1:13" x14ac:dyDescent="0.25">
      <c r="A3929" t="s">
        <v>3937</v>
      </c>
      <c r="B3929" t="s">
        <v>101</v>
      </c>
      <c r="C3929" t="s">
        <v>559</v>
      </c>
      <c r="D3929" t="s">
        <v>3938</v>
      </c>
      <c r="E3929" t="s">
        <v>3939</v>
      </c>
      <c r="F3929" t="s">
        <v>460</v>
      </c>
      <c r="G3929" t="s">
        <v>3940</v>
      </c>
      <c r="H3929" t="s">
        <v>706</v>
      </c>
      <c r="I3929" t="s">
        <v>19</v>
      </c>
      <c r="J3929" s="3" t="s">
        <v>3941</v>
      </c>
      <c r="K3929" t="s">
        <v>3942</v>
      </c>
      <c r="L3929" t="s">
        <v>565</v>
      </c>
      <c r="M3929" t="s">
        <v>57</v>
      </c>
    </row>
    <row r="3930" spans="1:13" x14ac:dyDescent="0.25">
      <c r="A3930" t="s">
        <v>20674</v>
      </c>
      <c r="B3930" t="s">
        <v>13</v>
      </c>
      <c r="C3930" s="1">
        <v>43350</v>
      </c>
      <c r="D3930" t="s">
        <v>20675</v>
      </c>
      <c r="E3930" s="2" t="s">
        <v>31721</v>
      </c>
      <c r="F3930" t="s">
        <v>1464</v>
      </c>
      <c r="G3930" t="s">
        <v>461</v>
      </c>
      <c r="H3930" t="s">
        <v>893</v>
      </c>
      <c r="I3930" t="s">
        <v>19</v>
      </c>
      <c r="J3930" s="3">
        <v>5509832144277</v>
      </c>
      <c r="K3930" t="s">
        <v>464</v>
      </c>
      <c r="L3930" t="s">
        <v>20676</v>
      </c>
      <c r="M3930" t="s">
        <v>337</v>
      </c>
    </row>
    <row r="3931" spans="1:13" x14ac:dyDescent="0.25">
      <c r="A3931" t="s">
        <v>709</v>
      </c>
      <c r="B3931" t="s">
        <v>13</v>
      </c>
      <c r="C3931" t="s">
        <v>701</v>
      </c>
      <c r="D3931" t="s">
        <v>710</v>
      </c>
      <c r="E3931" t="s">
        <v>711</v>
      </c>
      <c r="F3931" t="s">
        <v>712</v>
      </c>
      <c r="G3931" t="s">
        <v>713</v>
      </c>
      <c r="H3931" t="s">
        <v>714</v>
      </c>
      <c r="I3931" t="s">
        <v>19</v>
      </c>
      <c r="J3931" s="3" t="s">
        <v>715</v>
      </c>
      <c r="K3931" t="s">
        <v>716</v>
      </c>
      <c r="L3931" t="s">
        <v>717</v>
      </c>
      <c r="M3931" t="s">
        <v>337</v>
      </c>
    </row>
    <row r="3932" spans="1:13" x14ac:dyDescent="0.25">
      <c r="A3932" t="s">
        <v>11818</v>
      </c>
      <c r="B3932" t="s">
        <v>13</v>
      </c>
      <c r="C3932" t="s">
        <v>11807</v>
      </c>
      <c r="D3932" t="s">
        <v>11819</v>
      </c>
      <c r="E3932" t="s">
        <v>11820</v>
      </c>
      <c r="F3932" t="s">
        <v>332</v>
      </c>
      <c r="G3932" t="s">
        <v>11821</v>
      </c>
      <c r="H3932" t="s">
        <v>265</v>
      </c>
      <c r="I3932" t="s">
        <v>19</v>
      </c>
      <c r="J3932" s="3" t="s">
        <v>11822</v>
      </c>
      <c r="K3932" t="s">
        <v>11823</v>
      </c>
      <c r="L3932" t="s">
        <v>11824</v>
      </c>
      <c r="M3932" t="s">
        <v>337</v>
      </c>
    </row>
    <row r="3933" spans="1:13" x14ac:dyDescent="0.25">
      <c r="A3933" t="s">
        <v>16888</v>
      </c>
      <c r="B3933" t="s">
        <v>13</v>
      </c>
      <c r="C3933" s="1">
        <v>43503</v>
      </c>
      <c r="D3933" t="s">
        <v>16889</v>
      </c>
      <c r="E3933" t="s">
        <v>14085</v>
      </c>
      <c r="F3933" t="s">
        <v>332</v>
      </c>
      <c r="G3933" t="s">
        <v>16890</v>
      </c>
      <c r="H3933" t="s">
        <v>472</v>
      </c>
      <c r="I3933" t="s">
        <v>19</v>
      </c>
      <c r="J3933" s="3">
        <v>81996236585</v>
      </c>
      <c r="K3933" t="s">
        <v>16891</v>
      </c>
      <c r="L3933" t="s">
        <v>8661</v>
      </c>
      <c r="M3933" t="s">
        <v>337</v>
      </c>
    </row>
    <row r="3934" spans="1:13" x14ac:dyDescent="0.25">
      <c r="A3934" t="s">
        <v>23474</v>
      </c>
      <c r="B3934" t="s">
        <v>13</v>
      </c>
      <c r="C3934" t="s">
        <v>8668</v>
      </c>
      <c r="D3934" t="s">
        <v>23475</v>
      </c>
      <c r="E3934" t="s">
        <v>32526</v>
      </c>
      <c r="F3934" t="s">
        <v>10500</v>
      </c>
      <c r="G3934" t="s">
        <v>14256</v>
      </c>
      <c r="H3934" t="s">
        <v>150</v>
      </c>
      <c r="I3934" t="s">
        <v>19</v>
      </c>
      <c r="J3934" s="3" t="s">
        <v>23476</v>
      </c>
      <c r="K3934" t="s">
        <v>23477</v>
      </c>
      <c r="L3934" t="s">
        <v>3512</v>
      </c>
      <c r="M3934" t="s">
        <v>6656</v>
      </c>
    </row>
    <row r="3935" spans="1:13" x14ac:dyDescent="0.25">
      <c r="A3935" t="s">
        <v>14083</v>
      </c>
      <c r="B3935" t="s">
        <v>13</v>
      </c>
      <c r="C3935" t="s">
        <v>7928</v>
      </c>
      <c r="D3935" t="s">
        <v>14084</v>
      </c>
      <c r="E3935" s="2" t="s">
        <v>32050</v>
      </c>
      <c r="F3935" t="s">
        <v>332</v>
      </c>
      <c r="G3935" t="s">
        <v>14086</v>
      </c>
      <c r="H3935" t="s">
        <v>14087</v>
      </c>
      <c r="I3935" t="s">
        <v>19</v>
      </c>
      <c r="J3935" s="3" t="s">
        <v>14088</v>
      </c>
      <c r="K3935" t="s">
        <v>14089</v>
      </c>
      <c r="L3935" t="s">
        <v>14090</v>
      </c>
      <c r="M3935" t="s">
        <v>337</v>
      </c>
    </row>
    <row r="3936" spans="1:13" x14ac:dyDescent="0.25">
      <c r="A3936" t="s">
        <v>9128</v>
      </c>
      <c r="B3936" t="s">
        <v>13</v>
      </c>
      <c r="C3936" s="1">
        <v>43962</v>
      </c>
      <c r="D3936" t="s">
        <v>9129</v>
      </c>
      <c r="E3936" s="2" t="s">
        <v>31768</v>
      </c>
      <c r="F3936" t="s">
        <v>9130</v>
      </c>
      <c r="G3936" t="s">
        <v>9131</v>
      </c>
      <c r="H3936" t="s">
        <v>1486</v>
      </c>
      <c r="I3936" t="s">
        <v>19</v>
      </c>
      <c r="J3936" s="3">
        <f>55-34-3700-6606</f>
        <v>-10285</v>
      </c>
      <c r="K3936" t="s">
        <v>2137</v>
      </c>
      <c r="L3936" t="s">
        <v>1489</v>
      </c>
      <c r="M3936" s="4" t="s">
        <v>57</v>
      </c>
    </row>
    <row r="3937" spans="1:13" x14ac:dyDescent="0.25">
      <c r="A3937" t="s">
        <v>25417</v>
      </c>
      <c r="B3937" t="s">
        <v>13</v>
      </c>
      <c r="C3937" t="s">
        <v>25410</v>
      </c>
      <c r="D3937" t="s">
        <v>25418</v>
      </c>
      <c r="E3937" t="s">
        <v>25419</v>
      </c>
      <c r="F3937" t="s">
        <v>2036</v>
      </c>
      <c r="G3937" t="s">
        <v>25420</v>
      </c>
      <c r="H3937" t="s">
        <v>2829</v>
      </c>
      <c r="I3937" t="s">
        <v>19</v>
      </c>
      <c r="J3937" s="3" t="s">
        <v>25421</v>
      </c>
      <c r="K3937" t="s">
        <v>25422</v>
      </c>
      <c r="L3937" t="s">
        <v>25423</v>
      </c>
      <c r="M3937" t="s">
        <v>57</v>
      </c>
    </row>
    <row r="3938" spans="1:13" x14ac:dyDescent="0.25">
      <c r="A3938" t="s">
        <v>16097</v>
      </c>
      <c r="B3938" t="s">
        <v>13</v>
      </c>
      <c r="C3938" t="s">
        <v>7263</v>
      </c>
      <c r="D3938" t="s">
        <v>16098</v>
      </c>
      <c r="E3938" t="s">
        <v>3036</v>
      </c>
      <c r="F3938" t="s">
        <v>57</v>
      </c>
      <c r="G3938" t="s">
        <v>16099</v>
      </c>
      <c r="H3938" t="s">
        <v>36</v>
      </c>
      <c r="I3938" t="s">
        <v>19</v>
      </c>
      <c r="J3938" s="3">
        <f>55-11-991831978</f>
        <v>-991831934</v>
      </c>
      <c r="K3938" t="s">
        <v>16100</v>
      </c>
      <c r="L3938" t="s">
        <v>16101</v>
      </c>
      <c r="M3938" s="4" t="s">
        <v>57</v>
      </c>
    </row>
    <row r="3939" spans="1:13" x14ac:dyDescent="0.25">
      <c r="A3939" t="s">
        <v>9303</v>
      </c>
      <c r="B3939" t="s">
        <v>13</v>
      </c>
      <c r="C3939" s="1">
        <v>44053</v>
      </c>
      <c r="D3939" t="s">
        <v>9304</v>
      </c>
      <c r="E3939" t="s">
        <v>3036</v>
      </c>
      <c r="F3939" t="s">
        <v>32177</v>
      </c>
      <c r="G3939" t="s">
        <v>3987</v>
      </c>
      <c r="H3939" t="s">
        <v>352</v>
      </c>
      <c r="I3939" t="s">
        <v>19</v>
      </c>
      <c r="J3939" s="3">
        <v>5524992764872</v>
      </c>
      <c r="K3939" t="s">
        <v>3988</v>
      </c>
      <c r="L3939" t="s">
        <v>3989</v>
      </c>
      <c r="M3939" t="s">
        <v>57</v>
      </c>
    </row>
    <row r="3940" spans="1:13" x14ac:dyDescent="0.25">
      <c r="A3940" t="s">
        <v>20569</v>
      </c>
      <c r="B3940" t="s">
        <v>13</v>
      </c>
      <c r="C3940" s="1">
        <v>43441</v>
      </c>
      <c r="D3940" t="s">
        <v>20570</v>
      </c>
      <c r="E3940" t="s">
        <v>5075</v>
      </c>
      <c r="F3940" t="s">
        <v>2036</v>
      </c>
      <c r="G3940" t="s">
        <v>18252</v>
      </c>
      <c r="H3940" t="s">
        <v>753</v>
      </c>
      <c r="I3940" t="s">
        <v>19</v>
      </c>
      <c r="J3940" s="3" t="s">
        <v>18253</v>
      </c>
      <c r="K3940" t="s">
        <v>18254</v>
      </c>
      <c r="L3940" t="s">
        <v>2762</v>
      </c>
      <c r="M3940" t="s">
        <v>57</v>
      </c>
    </row>
    <row r="3941" spans="1:13" x14ac:dyDescent="0.25">
      <c r="A3941" t="s">
        <v>19994</v>
      </c>
      <c r="B3941" t="s">
        <v>13</v>
      </c>
      <c r="C3941" t="s">
        <v>5016</v>
      </c>
      <c r="D3941" t="s">
        <v>19995</v>
      </c>
      <c r="E3941" t="s">
        <v>3036</v>
      </c>
      <c r="F3941" t="s">
        <v>2036</v>
      </c>
      <c r="G3941" t="s">
        <v>13473</v>
      </c>
      <c r="H3941" t="s">
        <v>88</v>
      </c>
      <c r="I3941" t="s">
        <v>19</v>
      </c>
      <c r="J3941" s="3">
        <f>55-84-3342-2018</f>
        <v>-5389</v>
      </c>
      <c r="K3941" t="s">
        <v>13474</v>
      </c>
      <c r="L3941" t="s">
        <v>91</v>
      </c>
      <c r="M3941" t="s">
        <v>57</v>
      </c>
    </row>
    <row r="3942" spans="1:13" x14ac:dyDescent="0.25">
      <c r="A3942" t="s">
        <v>17867</v>
      </c>
      <c r="B3942" t="s">
        <v>13</v>
      </c>
      <c r="C3942" s="1">
        <v>43528</v>
      </c>
      <c r="D3942" t="s">
        <v>17868</v>
      </c>
      <c r="E3942" t="s">
        <v>3036</v>
      </c>
      <c r="F3942" t="s">
        <v>2036</v>
      </c>
      <c r="G3942" t="s">
        <v>17869</v>
      </c>
      <c r="H3942" t="s">
        <v>195</v>
      </c>
      <c r="I3942" t="s">
        <v>19</v>
      </c>
      <c r="J3942" s="3" t="s">
        <v>17870</v>
      </c>
      <c r="K3942" t="s">
        <v>7635</v>
      </c>
      <c r="L3942" t="s">
        <v>197</v>
      </c>
      <c r="M3942" t="s">
        <v>57</v>
      </c>
    </row>
    <row r="3943" spans="1:13" x14ac:dyDescent="0.25">
      <c r="A3943" t="s">
        <v>18250</v>
      </c>
      <c r="B3943" t="s">
        <v>13</v>
      </c>
      <c r="C3943" s="1">
        <v>43468</v>
      </c>
      <c r="D3943" t="s">
        <v>18251</v>
      </c>
      <c r="E3943" t="s">
        <v>5075</v>
      </c>
      <c r="F3943" t="s">
        <v>2036</v>
      </c>
      <c r="G3943" t="s">
        <v>18252</v>
      </c>
      <c r="H3943" t="s">
        <v>753</v>
      </c>
      <c r="I3943" t="s">
        <v>19</v>
      </c>
      <c r="J3943" s="3" t="s">
        <v>18253</v>
      </c>
      <c r="K3943" t="s">
        <v>18254</v>
      </c>
      <c r="L3943" t="s">
        <v>2762</v>
      </c>
      <c r="M3943" t="s">
        <v>57</v>
      </c>
    </row>
    <row r="3944" spans="1:13" x14ac:dyDescent="0.25">
      <c r="A3944" t="s">
        <v>13539</v>
      </c>
      <c r="B3944" t="s">
        <v>13</v>
      </c>
      <c r="C3944" t="s">
        <v>6103</v>
      </c>
      <c r="D3944" t="s">
        <v>13540</v>
      </c>
      <c r="E3944" t="s">
        <v>3036</v>
      </c>
      <c r="F3944" t="s">
        <v>2036</v>
      </c>
      <c r="G3944" t="s">
        <v>13541</v>
      </c>
      <c r="H3944" t="s">
        <v>141</v>
      </c>
      <c r="I3944" t="s">
        <v>19</v>
      </c>
      <c r="J3944" s="3" t="s">
        <v>13542</v>
      </c>
      <c r="K3944" t="s">
        <v>13543</v>
      </c>
      <c r="L3944" t="s">
        <v>13544</v>
      </c>
      <c r="M3944" t="s">
        <v>57</v>
      </c>
    </row>
    <row r="3945" spans="1:13" x14ac:dyDescent="0.25">
      <c r="A3945" t="s">
        <v>7636</v>
      </c>
      <c r="B3945" t="s">
        <v>13</v>
      </c>
      <c r="C3945" s="1">
        <v>43561</v>
      </c>
      <c r="D3945" t="s">
        <v>7637</v>
      </c>
      <c r="E3945" t="s">
        <v>3036</v>
      </c>
      <c r="F3945" t="s">
        <v>2036</v>
      </c>
      <c r="G3945" t="s">
        <v>32135</v>
      </c>
      <c r="H3945" t="s">
        <v>32135</v>
      </c>
      <c r="I3945" t="s">
        <v>32135</v>
      </c>
      <c r="J3945" s="3" t="s">
        <v>32135</v>
      </c>
      <c r="K3945" t="s">
        <v>32135</v>
      </c>
      <c r="L3945" t="s">
        <v>32135</v>
      </c>
      <c r="M3945" t="s">
        <v>57</v>
      </c>
    </row>
    <row r="3946" spans="1:13" x14ac:dyDescent="0.25">
      <c r="A3946" t="s">
        <v>5730</v>
      </c>
      <c r="B3946" t="s">
        <v>13</v>
      </c>
      <c r="C3946" s="1">
        <v>44419</v>
      </c>
      <c r="D3946" t="s">
        <v>32135</v>
      </c>
      <c r="E3946" t="s">
        <v>5075</v>
      </c>
      <c r="F3946" t="s">
        <v>3036</v>
      </c>
      <c r="G3946" t="s">
        <v>5731</v>
      </c>
      <c r="H3946" t="s">
        <v>71</v>
      </c>
      <c r="I3946" t="s">
        <v>19</v>
      </c>
      <c r="J3946" s="3" t="s">
        <v>5732</v>
      </c>
      <c r="K3946" t="s">
        <v>5733</v>
      </c>
      <c r="L3946" t="s">
        <v>32135</v>
      </c>
      <c r="M3946" t="s">
        <v>57</v>
      </c>
    </row>
    <row r="3947" spans="1:13" x14ac:dyDescent="0.25">
      <c r="A3947" t="s">
        <v>27007</v>
      </c>
      <c r="B3947" t="s">
        <v>13</v>
      </c>
      <c r="C3947" t="s">
        <v>23102</v>
      </c>
      <c r="D3947" t="s">
        <v>27008</v>
      </c>
      <c r="E3947" t="s">
        <v>5075</v>
      </c>
      <c r="F3947" t="s">
        <v>1464</v>
      </c>
      <c r="G3947" t="s">
        <v>23307</v>
      </c>
      <c r="H3947" t="s">
        <v>1802</v>
      </c>
      <c r="I3947" t="s">
        <v>19</v>
      </c>
      <c r="J3947" s="3" t="s">
        <v>27009</v>
      </c>
      <c r="K3947" t="s">
        <v>23309</v>
      </c>
      <c r="L3947" t="s">
        <v>14212</v>
      </c>
      <c r="M3947" t="s">
        <v>57</v>
      </c>
    </row>
    <row r="3948" spans="1:13" x14ac:dyDescent="0.25">
      <c r="A3948" t="s">
        <v>22337</v>
      </c>
      <c r="B3948" t="s">
        <v>13</v>
      </c>
      <c r="C3948" s="1">
        <v>43133</v>
      </c>
      <c r="D3948" t="s">
        <v>22338</v>
      </c>
      <c r="E3948" t="s">
        <v>3036</v>
      </c>
      <c r="F3948" t="s">
        <v>1464</v>
      </c>
      <c r="G3948" t="s">
        <v>22210</v>
      </c>
      <c r="H3948" t="s">
        <v>36</v>
      </c>
      <c r="I3948" t="s">
        <v>19</v>
      </c>
      <c r="J3948" s="3" t="s">
        <v>22211</v>
      </c>
      <c r="K3948" t="s">
        <v>22212</v>
      </c>
      <c r="L3948" t="s">
        <v>39</v>
      </c>
      <c r="M3948" t="s">
        <v>57</v>
      </c>
    </row>
    <row r="3949" spans="1:13" x14ac:dyDescent="0.25">
      <c r="A3949" t="s">
        <v>16838</v>
      </c>
      <c r="B3949" t="s">
        <v>13</v>
      </c>
      <c r="C3949" s="1">
        <v>43684</v>
      </c>
      <c r="D3949" t="s">
        <v>16839</v>
      </c>
      <c r="E3949" t="s">
        <v>3036</v>
      </c>
      <c r="F3949" t="s">
        <v>1464</v>
      </c>
      <c r="G3949" t="s">
        <v>14216</v>
      </c>
      <c r="H3949" t="s">
        <v>2678</v>
      </c>
      <c r="I3949" t="s">
        <v>19</v>
      </c>
      <c r="J3949" s="3" t="s">
        <v>14217</v>
      </c>
      <c r="K3949" t="s">
        <v>14218</v>
      </c>
      <c r="L3949" t="s">
        <v>993</v>
      </c>
      <c r="M3949" s="4" t="s">
        <v>57</v>
      </c>
    </row>
    <row r="3950" spans="1:13" x14ac:dyDescent="0.25">
      <c r="A3950" t="s">
        <v>21947</v>
      </c>
      <c r="B3950" t="s">
        <v>13</v>
      </c>
      <c r="C3950" s="1">
        <v>43347</v>
      </c>
      <c r="D3950" t="s">
        <v>21948</v>
      </c>
      <c r="E3950" t="s">
        <v>21949</v>
      </c>
      <c r="F3950" t="s">
        <v>2036</v>
      </c>
      <c r="G3950" t="s">
        <v>21950</v>
      </c>
      <c r="H3950" t="s">
        <v>21951</v>
      </c>
      <c r="I3950" t="s">
        <v>19</v>
      </c>
      <c r="J3950" s="3">
        <f>55-34-99144-3043</f>
        <v>-102166</v>
      </c>
      <c r="K3950" t="s">
        <v>21952</v>
      </c>
      <c r="L3950" t="s">
        <v>618</v>
      </c>
      <c r="M3950" t="s">
        <v>57</v>
      </c>
    </row>
    <row r="3951" spans="1:13" x14ac:dyDescent="0.25">
      <c r="A3951" t="s">
        <v>15705</v>
      </c>
      <c r="B3951" t="s">
        <v>13</v>
      </c>
      <c r="C3951" t="s">
        <v>15706</v>
      </c>
      <c r="D3951" t="s">
        <v>15707</v>
      </c>
      <c r="E3951" s="2" t="s">
        <v>31137</v>
      </c>
      <c r="F3951" t="s">
        <v>2036</v>
      </c>
      <c r="G3951" t="s">
        <v>15708</v>
      </c>
      <c r="H3951" t="s">
        <v>615</v>
      </c>
      <c r="I3951" t="s">
        <v>19</v>
      </c>
      <c r="J3951" s="3">
        <v>553432182910</v>
      </c>
      <c r="K3951" t="s">
        <v>15709</v>
      </c>
      <c r="L3951" t="s">
        <v>618</v>
      </c>
      <c r="M3951" t="s">
        <v>57</v>
      </c>
    </row>
    <row r="3952" spans="1:13" x14ac:dyDescent="0.25">
      <c r="A3952" t="s">
        <v>25527</v>
      </c>
      <c r="B3952" t="s">
        <v>13</v>
      </c>
      <c r="C3952" s="1">
        <v>42713</v>
      </c>
      <c r="D3952" t="s">
        <v>25528</v>
      </c>
      <c r="E3952" t="s">
        <v>25529</v>
      </c>
      <c r="F3952" t="s">
        <v>2036</v>
      </c>
      <c r="G3952" t="s">
        <v>25530</v>
      </c>
      <c r="H3952" t="s">
        <v>25531</v>
      </c>
      <c r="I3952" t="s">
        <v>19</v>
      </c>
      <c r="J3952" s="3" t="s">
        <v>25532</v>
      </c>
      <c r="K3952" t="s">
        <v>25533</v>
      </c>
      <c r="L3952" t="s">
        <v>1767</v>
      </c>
      <c r="M3952" t="s">
        <v>57</v>
      </c>
    </row>
    <row r="3953" spans="1:13" x14ac:dyDescent="0.25">
      <c r="A3953" t="s">
        <v>551</v>
      </c>
      <c r="B3953" t="s">
        <v>13</v>
      </c>
      <c r="C3953" s="1">
        <v>45261</v>
      </c>
      <c r="D3953" t="s">
        <v>552</v>
      </c>
      <c r="E3953" t="s">
        <v>553</v>
      </c>
      <c r="F3953" t="s">
        <v>554</v>
      </c>
      <c r="G3953" t="s">
        <v>555</v>
      </c>
      <c r="H3953" t="s">
        <v>53</v>
      </c>
      <c r="I3953" t="s">
        <v>19</v>
      </c>
      <c r="J3953" s="3" t="s">
        <v>556</v>
      </c>
      <c r="K3953" t="s">
        <v>557</v>
      </c>
      <c r="L3953" t="s">
        <v>56</v>
      </c>
      <c r="M3953" t="s">
        <v>57</v>
      </c>
    </row>
    <row r="3954" spans="1:13" x14ac:dyDescent="0.25">
      <c r="A3954" t="s">
        <v>5629</v>
      </c>
      <c r="B3954" t="s">
        <v>13</v>
      </c>
      <c r="C3954" t="s">
        <v>5630</v>
      </c>
      <c r="D3954" t="s">
        <v>32135</v>
      </c>
      <c r="E3954" t="s">
        <v>1016</v>
      </c>
      <c r="F3954" t="s">
        <v>5631</v>
      </c>
      <c r="G3954" t="s">
        <v>5632</v>
      </c>
      <c r="H3954" t="s">
        <v>753</v>
      </c>
      <c r="I3954" t="s">
        <v>19</v>
      </c>
      <c r="J3954" s="3" t="s">
        <v>5633</v>
      </c>
      <c r="K3954" t="s">
        <v>5634</v>
      </c>
      <c r="L3954" t="s">
        <v>32135</v>
      </c>
      <c r="M3954" t="s">
        <v>57</v>
      </c>
    </row>
    <row r="3955" spans="1:13" x14ac:dyDescent="0.25">
      <c r="A3955" t="s">
        <v>27729</v>
      </c>
      <c r="B3955" t="s">
        <v>13</v>
      </c>
      <c r="C3955" t="s">
        <v>27710</v>
      </c>
      <c r="D3955" t="s">
        <v>27730</v>
      </c>
      <c r="E3955" s="2" t="s">
        <v>31351</v>
      </c>
      <c r="F3955" t="s">
        <v>2036</v>
      </c>
      <c r="G3955" t="s">
        <v>13008</v>
      </c>
      <c r="H3955" t="s">
        <v>265</v>
      </c>
      <c r="I3955" t="s">
        <v>19</v>
      </c>
      <c r="J3955" s="3" t="s">
        <v>27731</v>
      </c>
      <c r="K3955" t="s">
        <v>13010</v>
      </c>
      <c r="L3955" t="s">
        <v>391</v>
      </c>
      <c r="M3955" t="s">
        <v>57</v>
      </c>
    </row>
    <row r="3956" spans="1:13" x14ac:dyDescent="0.25">
      <c r="A3956" t="s">
        <v>1952</v>
      </c>
      <c r="B3956" t="s">
        <v>13</v>
      </c>
      <c r="C3956" t="s">
        <v>1283</v>
      </c>
      <c r="D3956" t="s">
        <v>1953</v>
      </c>
      <c r="E3956" s="2" t="s">
        <v>31665</v>
      </c>
      <c r="F3956" t="s">
        <v>211</v>
      </c>
      <c r="G3956" t="s">
        <v>1954</v>
      </c>
      <c r="H3956" t="s">
        <v>352</v>
      </c>
      <c r="I3956" t="s">
        <v>19</v>
      </c>
      <c r="J3956" s="3" t="s">
        <v>1955</v>
      </c>
      <c r="K3956" t="s">
        <v>1956</v>
      </c>
      <c r="L3956" t="s">
        <v>1957</v>
      </c>
      <c r="M3956" s="4" t="s">
        <v>57</v>
      </c>
    </row>
    <row r="3957" spans="1:13" x14ac:dyDescent="0.25">
      <c r="A3957" t="s">
        <v>6074</v>
      </c>
      <c r="B3957" t="s">
        <v>13</v>
      </c>
      <c r="C3957" s="1">
        <v>44418</v>
      </c>
      <c r="D3957" t="s">
        <v>32135</v>
      </c>
      <c r="E3957" s="2" t="s">
        <v>31545</v>
      </c>
      <c r="F3957" t="s">
        <v>6076</v>
      </c>
      <c r="G3957" t="s">
        <v>6077</v>
      </c>
      <c r="H3957" t="s">
        <v>6078</v>
      </c>
      <c r="I3957" t="s">
        <v>19</v>
      </c>
      <c r="J3957" s="3">
        <v>5514997670165</v>
      </c>
      <c r="K3957" t="s">
        <v>6079</v>
      </c>
      <c r="L3957" t="s">
        <v>32135</v>
      </c>
      <c r="M3957" t="s">
        <v>57</v>
      </c>
    </row>
    <row r="3958" spans="1:13" x14ac:dyDescent="0.25">
      <c r="A3958" t="s">
        <v>8628</v>
      </c>
      <c r="B3958" t="s">
        <v>13</v>
      </c>
      <c r="C3958" s="1">
        <v>44287</v>
      </c>
      <c r="D3958" t="s">
        <v>8629</v>
      </c>
      <c r="E3958" s="2" t="s">
        <v>30956</v>
      </c>
      <c r="F3958" t="s">
        <v>8630</v>
      </c>
      <c r="G3958" t="s">
        <v>8631</v>
      </c>
      <c r="H3958" t="s">
        <v>32135</v>
      </c>
      <c r="I3958" t="s">
        <v>19</v>
      </c>
      <c r="J3958" s="3">
        <f>55-51-33598340</f>
        <v>-33598336</v>
      </c>
      <c r="K3958" t="s">
        <v>32135</v>
      </c>
      <c r="L3958" t="s">
        <v>32135</v>
      </c>
      <c r="M3958" s="4" t="s">
        <v>57</v>
      </c>
    </row>
    <row r="3959" spans="1:13" x14ac:dyDescent="0.25">
      <c r="A3959" t="s">
        <v>3868</v>
      </c>
      <c r="B3959" t="s">
        <v>13</v>
      </c>
      <c r="C3959" t="s">
        <v>3862</v>
      </c>
      <c r="D3959" t="s">
        <v>3869</v>
      </c>
      <c r="E3959" s="2" t="s">
        <v>30791</v>
      </c>
      <c r="F3959" t="s">
        <v>3871</v>
      </c>
      <c r="G3959" t="s">
        <v>3872</v>
      </c>
      <c r="H3959" t="s">
        <v>36</v>
      </c>
      <c r="I3959" t="s">
        <v>19</v>
      </c>
      <c r="J3959" s="3">
        <v>551145738000</v>
      </c>
      <c r="K3959" t="s">
        <v>3873</v>
      </c>
      <c r="L3959" t="s">
        <v>3874</v>
      </c>
      <c r="M3959" t="s">
        <v>57</v>
      </c>
    </row>
    <row r="3960" spans="1:13" x14ac:dyDescent="0.25">
      <c r="A3960" t="s">
        <v>9984</v>
      </c>
      <c r="B3960" t="s">
        <v>13</v>
      </c>
      <c r="C3960" s="1">
        <v>43839</v>
      </c>
      <c r="D3960" t="s">
        <v>9985</v>
      </c>
      <c r="E3960" s="2" t="s">
        <v>31678</v>
      </c>
      <c r="F3960" t="s">
        <v>2036</v>
      </c>
      <c r="G3960" t="s">
        <v>9986</v>
      </c>
      <c r="H3960" t="s">
        <v>352</v>
      </c>
      <c r="I3960" t="s">
        <v>19</v>
      </c>
      <c r="J3960" s="3" t="s">
        <v>9987</v>
      </c>
      <c r="K3960" t="s">
        <v>9988</v>
      </c>
      <c r="L3960" t="s">
        <v>9989</v>
      </c>
      <c r="M3960" t="s">
        <v>57</v>
      </c>
    </row>
    <row r="3961" spans="1:13" x14ac:dyDescent="0.25">
      <c r="A3961" t="s">
        <v>14893</v>
      </c>
      <c r="B3961" t="s">
        <v>13</v>
      </c>
      <c r="C3961" s="1">
        <v>42403</v>
      </c>
      <c r="D3961" t="s">
        <v>14894</v>
      </c>
      <c r="E3961" t="s">
        <v>14895</v>
      </c>
      <c r="F3961" t="s">
        <v>2036</v>
      </c>
      <c r="G3961" t="s">
        <v>14896</v>
      </c>
      <c r="H3961" t="s">
        <v>1802</v>
      </c>
      <c r="I3961" t="s">
        <v>19</v>
      </c>
      <c r="J3961" s="3" t="s">
        <v>14897</v>
      </c>
      <c r="K3961" t="s">
        <v>14898</v>
      </c>
      <c r="L3961" t="s">
        <v>14212</v>
      </c>
      <c r="M3961" t="s">
        <v>57</v>
      </c>
    </row>
    <row r="3962" spans="1:13" x14ac:dyDescent="0.25">
      <c r="A3962" t="s">
        <v>26937</v>
      </c>
      <c r="B3962" t="s">
        <v>13</v>
      </c>
      <c r="C3962" t="s">
        <v>26938</v>
      </c>
      <c r="D3962" t="s">
        <v>26939</v>
      </c>
      <c r="E3962" t="s">
        <v>14895</v>
      </c>
      <c r="F3962" t="s">
        <v>2036</v>
      </c>
      <c r="G3962" t="s">
        <v>23307</v>
      </c>
      <c r="H3962" t="s">
        <v>1802</v>
      </c>
      <c r="I3962" t="s">
        <v>19</v>
      </c>
      <c r="J3962" s="3" t="s">
        <v>24273</v>
      </c>
      <c r="K3962" t="s">
        <v>23309</v>
      </c>
      <c r="L3962" t="s">
        <v>14212</v>
      </c>
      <c r="M3962" t="s">
        <v>57</v>
      </c>
    </row>
    <row r="3963" spans="1:13" x14ac:dyDescent="0.25">
      <c r="A3963" t="s">
        <v>13871</v>
      </c>
      <c r="B3963" t="s">
        <v>13</v>
      </c>
      <c r="C3963" t="s">
        <v>7230</v>
      </c>
      <c r="D3963" t="s">
        <v>13872</v>
      </c>
      <c r="E3963" t="s">
        <v>13873</v>
      </c>
      <c r="F3963" t="s">
        <v>2036</v>
      </c>
      <c r="G3963" t="s">
        <v>10720</v>
      </c>
      <c r="H3963" t="s">
        <v>706</v>
      </c>
      <c r="I3963" t="s">
        <v>19</v>
      </c>
      <c r="J3963" s="3" t="s">
        <v>10721</v>
      </c>
      <c r="K3963" t="s">
        <v>10722</v>
      </c>
      <c r="L3963" t="s">
        <v>10723</v>
      </c>
      <c r="M3963" t="s">
        <v>57</v>
      </c>
    </row>
    <row r="3964" spans="1:13" x14ac:dyDescent="0.25">
      <c r="A3964" t="s">
        <v>21526</v>
      </c>
      <c r="B3964" t="s">
        <v>13</v>
      </c>
      <c r="C3964" t="s">
        <v>16205</v>
      </c>
      <c r="D3964" t="s">
        <v>21527</v>
      </c>
      <c r="E3964" t="s">
        <v>32527</v>
      </c>
      <c r="F3964" t="s">
        <v>57</v>
      </c>
      <c r="G3964" t="s">
        <v>21528</v>
      </c>
      <c r="H3964" t="s">
        <v>21529</v>
      </c>
      <c r="I3964" t="s">
        <v>19</v>
      </c>
      <c r="J3964" s="3">
        <v>5554999686181</v>
      </c>
      <c r="K3964" t="s">
        <v>21530</v>
      </c>
      <c r="L3964" t="s">
        <v>610</v>
      </c>
      <c r="M3964" t="s">
        <v>57</v>
      </c>
    </row>
    <row r="3965" spans="1:13" x14ac:dyDescent="0.25">
      <c r="A3965" t="s">
        <v>15885</v>
      </c>
      <c r="B3965" t="s">
        <v>13</v>
      </c>
      <c r="C3965" t="s">
        <v>15876</v>
      </c>
      <c r="D3965" t="s">
        <v>15886</v>
      </c>
      <c r="E3965" t="s">
        <v>15887</v>
      </c>
      <c r="F3965" t="s">
        <v>12383</v>
      </c>
      <c r="G3965" t="s">
        <v>2017</v>
      </c>
      <c r="H3965" t="s">
        <v>1027</v>
      </c>
      <c r="I3965" t="s">
        <v>19</v>
      </c>
      <c r="J3965" s="3" t="s">
        <v>15888</v>
      </c>
      <c r="K3965" t="s">
        <v>2018</v>
      </c>
      <c r="L3965" t="s">
        <v>1030</v>
      </c>
      <c r="M3965" t="s">
        <v>32155</v>
      </c>
    </row>
    <row r="3966" spans="1:13" x14ac:dyDescent="0.25">
      <c r="A3966" t="s">
        <v>24724</v>
      </c>
      <c r="B3966" t="s">
        <v>13</v>
      </c>
      <c r="C3966" s="1">
        <v>43070</v>
      </c>
      <c r="D3966" t="s">
        <v>24725</v>
      </c>
      <c r="E3966" t="s">
        <v>32528</v>
      </c>
      <c r="F3966" t="s">
        <v>57</v>
      </c>
      <c r="G3966" t="s">
        <v>24726</v>
      </c>
      <c r="H3966" t="s">
        <v>53</v>
      </c>
      <c r="I3966" t="s">
        <v>19</v>
      </c>
      <c r="J3966" s="3" t="s">
        <v>24727</v>
      </c>
      <c r="K3966" t="s">
        <v>24728</v>
      </c>
      <c r="L3966" t="s">
        <v>56</v>
      </c>
      <c r="M3966" t="s">
        <v>57</v>
      </c>
    </row>
    <row r="3967" spans="1:13" x14ac:dyDescent="0.25">
      <c r="A3967" t="s">
        <v>3278</v>
      </c>
      <c r="B3967" t="s">
        <v>13</v>
      </c>
      <c r="C3967" t="s">
        <v>3270</v>
      </c>
      <c r="D3967" t="s">
        <v>3279</v>
      </c>
      <c r="E3967" s="2" t="s">
        <v>30772</v>
      </c>
      <c r="F3967" t="s">
        <v>1006</v>
      </c>
      <c r="G3967" t="s">
        <v>3281</v>
      </c>
      <c r="H3967" t="s">
        <v>472</v>
      </c>
      <c r="I3967" t="s">
        <v>19</v>
      </c>
      <c r="J3967" s="3">
        <f>55-81-21224756</f>
        <v>-21224782</v>
      </c>
      <c r="K3967" t="s">
        <v>3282</v>
      </c>
      <c r="L3967" t="s">
        <v>3283</v>
      </c>
      <c r="M3967" t="s">
        <v>337</v>
      </c>
    </row>
    <row r="3968" spans="1:13" x14ac:dyDescent="0.25">
      <c r="A3968" t="s">
        <v>27647</v>
      </c>
      <c r="B3968" t="s">
        <v>13</v>
      </c>
      <c r="C3968" s="1">
        <v>42346</v>
      </c>
      <c r="D3968" t="s">
        <v>27648</v>
      </c>
      <c r="E3968" t="s">
        <v>27649</v>
      </c>
      <c r="F3968" t="s">
        <v>2036</v>
      </c>
      <c r="G3968" t="s">
        <v>27650</v>
      </c>
      <c r="H3968" t="s">
        <v>9829</v>
      </c>
      <c r="I3968" t="s">
        <v>19</v>
      </c>
      <c r="J3968" s="3" t="s">
        <v>27651</v>
      </c>
      <c r="K3968" t="s">
        <v>27652</v>
      </c>
      <c r="L3968" t="s">
        <v>5709</v>
      </c>
      <c r="M3968" t="s">
        <v>57</v>
      </c>
    </row>
    <row r="3969" spans="1:13" x14ac:dyDescent="0.25">
      <c r="A3969" t="s">
        <v>27790</v>
      </c>
      <c r="B3969" t="s">
        <v>13</v>
      </c>
      <c r="C3969" t="s">
        <v>27785</v>
      </c>
      <c r="D3969" t="s">
        <v>27791</v>
      </c>
      <c r="E3969" t="s">
        <v>27792</v>
      </c>
      <c r="F3969" t="s">
        <v>2036</v>
      </c>
      <c r="G3969" t="s">
        <v>27793</v>
      </c>
      <c r="H3969" t="s">
        <v>352</v>
      </c>
      <c r="I3969" t="s">
        <v>19</v>
      </c>
      <c r="J3969" s="3" t="s">
        <v>27794</v>
      </c>
      <c r="K3969" t="s">
        <v>27795</v>
      </c>
      <c r="L3969" t="s">
        <v>16413</v>
      </c>
      <c r="M3969" t="s">
        <v>57</v>
      </c>
    </row>
    <row r="3970" spans="1:13" x14ac:dyDescent="0.25">
      <c r="A3970" t="s">
        <v>742</v>
      </c>
      <c r="B3970" t="s">
        <v>13</v>
      </c>
      <c r="C3970" t="s">
        <v>701</v>
      </c>
      <c r="D3970" t="s">
        <v>743</v>
      </c>
      <c r="E3970" t="s">
        <v>744</v>
      </c>
      <c r="F3970" t="s">
        <v>745</v>
      </c>
      <c r="G3970" t="s">
        <v>746</v>
      </c>
      <c r="H3970" t="s">
        <v>36</v>
      </c>
      <c r="I3970" t="s">
        <v>19</v>
      </c>
      <c r="J3970" s="3">
        <f>55112661-0</f>
        <v>55112661</v>
      </c>
      <c r="K3970" t="s">
        <v>747</v>
      </c>
      <c r="L3970" t="s">
        <v>321</v>
      </c>
      <c r="M3970" s="4" t="s">
        <v>57</v>
      </c>
    </row>
    <row r="3971" spans="1:13" x14ac:dyDescent="0.25">
      <c r="A3971" t="s">
        <v>9757</v>
      </c>
      <c r="B3971" t="s">
        <v>13</v>
      </c>
      <c r="C3971" t="s">
        <v>9752</v>
      </c>
      <c r="D3971" t="s">
        <v>9758</v>
      </c>
      <c r="E3971" t="s">
        <v>744</v>
      </c>
      <c r="F3971" t="s">
        <v>2036</v>
      </c>
      <c r="G3971" t="s">
        <v>9759</v>
      </c>
      <c r="H3971" t="s">
        <v>9760</v>
      </c>
      <c r="I3971" t="s">
        <v>19</v>
      </c>
      <c r="J3971" s="3" t="s">
        <v>9761</v>
      </c>
      <c r="K3971" t="s">
        <v>9762</v>
      </c>
      <c r="L3971" t="s">
        <v>3810</v>
      </c>
      <c r="M3971" t="s">
        <v>57</v>
      </c>
    </row>
    <row r="3972" spans="1:13" x14ac:dyDescent="0.25">
      <c r="A3972" t="s">
        <v>27225</v>
      </c>
      <c r="B3972" t="s">
        <v>13</v>
      </c>
      <c r="C3972" t="s">
        <v>27226</v>
      </c>
      <c r="D3972" t="s">
        <v>27227</v>
      </c>
      <c r="E3972" t="s">
        <v>27228</v>
      </c>
      <c r="F3972" t="s">
        <v>306</v>
      </c>
      <c r="G3972" t="s">
        <v>27229</v>
      </c>
      <c r="H3972" t="s">
        <v>299</v>
      </c>
      <c r="I3972" t="s">
        <v>19</v>
      </c>
      <c r="J3972" s="3" t="s">
        <v>27230</v>
      </c>
      <c r="K3972" t="s">
        <v>27231</v>
      </c>
      <c r="L3972" t="s">
        <v>8732</v>
      </c>
      <c r="M3972" t="s">
        <v>32145</v>
      </c>
    </row>
    <row r="3973" spans="1:13" x14ac:dyDescent="0.25">
      <c r="A3973" t="s">
        <v>11786</v>
      </c>
      <c r="B3973" t="s">
        <v>13</v>
      </c>
      <c r="C3973" t="s">
        <v>5698</v>
      </c>
      <c r="D3973" t="s">
        <v>11787</v>
      </c>
      <c r="E3973" s="2" t="s">
        <v>31025</v>
      </c>
      <c r="F3973" t="s">
        <v>306</v>
      </c>
      <c r="G3973" t="s">
        <v>11788</v>
      </c>
      <c r="H3973" t="s">
        <v>11789</v>
      </c>
      <c r="I3973" t="s">
        <v>19</v>
      </c>
      <c r="J3973" s="3">
        <v>5581995082891</v>
      </c>
      <c r="K3973" t="s">
        <v>2896</v>
      </c>
      <c r="L3973" t="s">
        <v>2101</v>
      </c>
      <c r="M3973" t="s">
        <v>32145</v>
      </c>
    </row>
    <row r="3974" spans="1:13" x14ac:dyDescent="0.25">
      <c r="A3974" t="s">
        <v>5719</v>
      </c>
      <c r="B3974" t="s">
        <v>13</v>
      </c>
      <c r="C3974" s="1">
        <v>44450</v>
      </c>
      <c r="D3974" t="s">
        <v>32135</v>
      </c>
      <c r="E3974" s="2" t="s">
        <v>32792</v>
      </c>
      <c r="F3974" t="s">
        <v>658</v>
      </c>
      <c r="G3974" t="s">
        <v>5721</v>
      </c>
      <c r="H3974" t="s">
        <v>489</v>
      </c>
      <c r="I3974" t="s">
        <v>19</v>
      </c>
      <c r="J3974" s="3" t="s">
        <v>5722</v>
      </c>
      <c r="K3974" t="s">
        <v>5723</v>
      </c>
      <c r="L3974" t="s">
        <v>625</v>
      </c>
      <c r="M3974" t="s">
        <v>1775</v>
      </c>
    </row>
    <row r="3975" spans="1:13" x14ac:dyDescent="0.25">
      <c r="A3975" t="s">
        <v>26529</v>
      </c>
      <c r="B3975" t="s">
        <v>13</v>
      </c>
      <c r="C3975" t="s">
        <v>23102</v>
      </c>
      <c r="D3975" t="s">
        <v>26530</v>
      </c>
      <c r="E3975" t="s">
        <v>26531</v>
      </c>
      <c r="F3975" t="s">
        <v>2036</v>
      </c>
      <c r="G3975" t="s">
        <v>26532</v>
      </c>
      <c r="H3975" t="s">
        <v>4092</v>
      </c>
      <c r="I3975" t="s">
        <v>19</v>
      </c>
      <c r="J3975" s="3" t="s">
        <v>26533</v>
      </c>
      <c r="K3975" t="s">
        <v>26534</v>
      </c>
      <c r="L3975" t="s">
        <v>26535</v>
      </c>
      <c r="M3975" t="s">
        <v>57</v>
      </c>
    </row>
    <row r="3976" spans="1:13" x14ac:dyDescent="0.25">
      <c r="A3976" t="s">
        <v>23707</v>
      </c>
      <c r="B3976" t="s">
        <v>13</v>
      </c>
      <c r="C3976" t="s">
        <v>23692</v>
      </c>
      <c r="D3976" t="s">
        <v>23708</v>
      </c>
      <c r="E3976" t="s">
        <v>23709</v>
      </c>
      <c r="F3976" t="s">
        <v>2036</v>
      </c>
      <c r="G3976" t="s">
        <v>23710</v>
      </c>
      <c r="H3976" t="s">
        <v>1090</v>
      </c>
      <c r="I3976" t="s">
        <v>19</v>
      </c>
      <c r="J3976" s="3" t="s">
        <v>23711</v>
      </c>
      <c r="K3976" t="s">
        <v>23712</v>
      </c>
      <c r="L3976" t="s">
        <v>1092</v>
      </c>
      <c r="M3976" t="s">
        <v>57</v>
      </c>
    </row>
    <row r="3977" spans="1:13" x14ac:dyDescent="0.25">
      <c r="A3977" t="s">
        <v>20787</v>
      </c>
      <c r="B3977" t="s">
        <v>13</v>
      </c>
      <c r="C3977" s="1">
        <v>43138</v>
      </c>
      <c r="D3977" t="s">
        <v>20788</v>
      </c>
      <c r="E3977" t="s">
        <v>17109</v>
      </c>
      <c r="F3977" t="s">
        <v>1464</v>
      </c>
      <c r="G3977" t="s">
        <v>20789</v>
      </c>
      <c r="H3977" t="s">
        <v>36</v>
      </c>
      <c r="I3977" t="s">
        <v>19</v>
      </c>
      <c r="J3977" s="3" t="s">
        <v>20790</v>
      </c>
      <c r="K3977" t="s">
        <v>20791</v>
      </c>
      <c r="L3977" t="s">
        <v>14062</v>
      </c>
      <c r="M3977" t="s">
        <v>57</v>
      </c>
    </row>
    <row r="3978" spans="1:13" x14ac:dyDescent="0.25">
      <c r="A3978" t="s">
        <v>17107</v>
      </c>
      <c r="B3978" t="s">
        <v>13</v>
      </c>
      <c r="C3978" s="1">
        <v>43775</v>
      </c>
      <c r="D3978" t="s">
        <v>17108</v>
      </c>
      <c r="E3978" s="2" t="s">
        <v>31170</v>
      </c>
      <c r="F3978" t="s">
        <v>17109</v>
      </c>
      <c r="G3978" t="s">
        <v>17110</v>
      </c>
      <c r="H3978" t="s">
        <v>472</v>
      </c>
      <c r="I3978" t="s">
        <v>19</v>
      </c>
      <c r="J3978" s="3" t="s">
        <v>17111</v>
      </c>
      <c r="K3978" t="s">
        <v>17112</v>
      </c>
      <c r="L3978" t="s">
        <v>2101</v>
      </c>
      <c r="M3978" t="s">
        <v>57</v>
      </c>
    </row>
    <row r="3979" spans="1:13" x14ac:dyDescent="0.25">
      <c r="A3979" t="s">
        <v>6823</v>
      </c>
      <c r="B3979" t="s">
        <v>13</v>
      </c>
      <c r="C3979" t="s">
        <v>6816</v>
      </c>
      <c r="D3979" t="s">
        <v>6824</v>
      </c>
      <c r="E3979" s="2" t="s">
        <v>30909</v>
      </c>
      <c r="F3979" t="s">
        <v>6825</v>
      </c>
      <c r="G3979" t="s">
        <v>6826</v>
      </c>
      <c r="H3979" t="s">
        <v>428</v>
      </c>
      <c r="I3979" t="s">
        <v>19</v>
      </c>
      <c r="J3979" s="3">
        <f>55-51-33038700</f>
        <v>-33038696</v>
      </c>
      <c r="K3979" t="s">
        <v>6827</v>
      </c>
      <c r="L3979" t="s">
        <v>32135</v>
      </c>
      <c r="M3979" t="s">
        <v>337</v>
      </c>
    </row>
    <row r="3980" spans="1:13" x14ac:dyDescent="0.25">
      <c r="A3980" t="s">
        <v>21614</v>
      </c>
      <c r="B3980" t="s">
        <v>13</v>
      </c>
      <c r="C3980" s="1">
        <v>43317</v>
      </c>
      <c r="D3980" t="s">
        <v>21615</v>
      </c>
      <c r="E3980" s="2" t="s">
        <v>32529</v>
      </c>
      <c r="F3980" t="s">
        <v>32121</v>
      </c>
      <c r="G3980" t="s">
        <v>21616</v>
      </c>
      <c r="H3980" t="s">
        <v>472</v>
      </c>
      <c r="I3980" t="s">
        <v>19</v>
      </c>
      <c r="J3980" s="3">
        <f>55-81-21224739</f>
        <v>-21224765</v>
      </c>
      <c r="K3980" t="s">
        <v>21617</v>
      </c>
      <c r="L3980" t="s">
        <v>3281</v>
      </c>
      <c r="M3980" t="s">
        <v>32121</v>
      </c>
    </row>
    <row r="3981" spans="1:13" x14ac:dyDescent="0.25">
      <c r="A3981" t="s">
        <v>10602</v>
      </c>
      <c r="B3981" t="s">
        <v>13</v>
      </c>
      <c r="C3981" s="1">
        <v>43959</v>
      </c>
      <c r="D3981" t="s">
        <v>10603</v>
      </c>
      <c r="E3981" s="2" t="s">
        <v>32530</v>
      </c>
      <c r="F3981" t="s">
        <v>2765</v>
      </c>
      <c r="G3981" t="s">
        <v>10604</v>
      </c>
      <c r="H3981" t="s">
        <v>10605</v>
      </c>
      <c r="I3981" t="s">
        <v>19</v>
      </c>
      <c r="J3981" s="3">
        <f>55-21-999418001</f>
        <v>-999417967</v>
      </c>
      <c r="K3981" t="s">
        <v>10606</v>
      </c>
      <c r="L3981" t="s">
        <v>10607</v>
      </c>
      <c r="M3981" t="s">
        <v>771</v>
      </c>
    </row>
    <row r="3982" spans="1:13" x14ac:dyDescent="0.25">
      <c r="A3982" t="s">
        <v>2719</v>
      </c>
      <c r="B3982" t="s">
        <v>13</v>
      </c>
      <c r="C3982" t="s">
        <v>2420</v>
      </c>
      <c r="D3982" t="s">
        <v>2720</v>
      </c>
      <c r="E3982" s="2" t="s">
        <v>32531</v>
      </c>
      <c r="F3982" t="s">
        <v>2721</v>
      </c>
      <c r="G3982" t="s">
        <v>2722</v>
      </c>
      <c r="H3982" t="s">
        <v>36</v>
      </c>
      <c r="I3982" t="s">
        <v>19</v>
      </c>
      <c r="J3982" s="3" t="s">
        <v>2723</v>
      </c>
      <c r="K3982" t="s">
        <v>2724</v>
      </c>
      <c r="L3982" t="s">
        <v>2725</v>
      </c>
      <c r="M3982" t="s">
        <v>224</v>
      </c>
    </row>
    <row r="3983" spans="1:13" x14ac:dyDescent="0.25">
      <c r="A3983" t="s">
        <v>7442</v>
      </c>
      <c r="B3983" t="s">
        <v>13</v>
      </c>
      <c r="C3983" t="s">
        <v>7041</v>
      </c>
      <c r="D3983" t="s">
        <v>32135</v>
      </c>
      <c r="E3983" s="2" t="s">
        <v>32532</v>
      </c>
      <c r="F3983" t="s">
        <v>7443</v>
      </c>
      <c r="G3983" t="s">
        <v>7444</v>
      </c>
      <c r="H3983" t="s">
        <v>28</v>
      </c>
      <c r="I3983" t="s">
        <v>19</v>
      </c>
      <c r="J3983" s="3" t="s">
        <v>7445</v>
      </c>
      <c r="K3983" t="s">
        <v>7446</v>
      </c>
      <c r="L3983" t="s">
        <v>32135</v>
      </c>
      <c r="M3983" t="s">
        <v>32144</v>
      </c>
    </row>
    <row r="3984" spans="1:13" x14ac:dyDescent="0.25">
      <c r="A3984" t="s">
        <v>17094</v>
      </c>
      <c r="B3984" t="s">
        <v>13</v>
      </c>
      <c r="C3984" s="1">
        <v>43805</v>
      </c>
      <c r="D3984" t="s">
        <v>17095</v>
      </c>
      <c r="E3984" s="2" t="s">
        <v>31169</v>
      </c>
      <c r="F3984" t="s">
        <v>6686</v>
      </c>
      <c r="G3984" t="s">
        <v>17096</v>
      </c>
      <c r="H3984" t="s">
        <v>936</v>
      </c>
      <c r="I3984" t="s">
        <v>19</v>
      </c>
      <c r="J3984" s="3">
        <v>5571981334336</v>
      </c>
      <c r="K3984" t="s">
        <v>17097</v>
      </c>
      <c r="L3984" t="s">
        <v>17098</v>
      </c>
      <c r="M3984" t="s">
        <v>337</v>
      </c>
    </row>
    <row r="3985" spans="1:13" x14ac:dyDescent="0.25">
      <c r="A3985" t="s">
        <v>7008</v>
      </c>
      <c r="B3985" t="s">
        <v>13</v>
      </c>
      <c r="C3985" t="s">
        <v>7009</v>
      </c>
      <c r="D3985" t="s">
        <v>7010</v>
      </c>
      <c r="E3985" t="s">
        <v>7011</v>
      </c>
      <c r="F3985" t="s">
        <v>57</v>
      </c>
      <c r="G3985" t="s">
        <v>7012</v>
      </c>
      <c r="H3985" t="s">
        <v>36</v>
      </c>
      <c r="I3985" t="s">
        <v>19</v>
      </c>
      <c r="J3985" s="3" t="s">
        <v>7013</v>
      </c>
      <c r="K3985" t="s">
        <v>7014</v>
      </c>
      <c r="L3985" t="s">
        <v>32135</v>
      </c>
      <c r="M3985" t="s">
        <v>57</v>
      </c>
    </row>
    <row r="3986" spans="1:13" x14ac:dyDescent="0.25">
      <c r="A3986" t="s">
        <v>24895</v>
      </c>
      <c r="B3986" t="s">
        <v>13</v>
      </c>
      <c r="C3986" t="s">
        <v>17925</v>
      </c>
      <c r="D3986" t="s">
        <v>24896</v>
      </c>
      <c r="E3986" t="s">
        <v>24897</v>
      </c>
      <c r="F3986" t="s">
        <v>1464</v>
      </c>
      <c r="G3986" t="s">
        <v>24898</v>
      </c>
      <c r="H3986" t="s">
        <v>428</v>
      </c>
      <c r="I3986" t="s">
        <v>19</v>
      </c>
      <c r="J3986" s="3">
        <v>555199678585</v>
      </c>
      <c r="K3986" t="s">
        <v>24899</v>
      </c>
      <c r="L3986" t="s">
        <v>1126</v>
      </c>
      <c r="M3986" t="s">
        <v>432</v>
      </c>
    </row>
    <row r="3987" spans="1:13" x14ac:dyDescent="0.25">
      <c r="A3987" t="s">
        <v>17175</v>
      </c>
      <c r="B3987" t="s">
        <v>13</v>
      </c>
      <c r="C3987" t="s">
        <v>17176</v>
      </c>
      <c r="D3987" t="s">
        <v>17177</v>
      </c>
      <c r="E3987" s="2" t="s">
        <v>31520</v>
      </c>
      <c r="F3987" t="s">
        <v>2947</v>
      </c>
      <c r="G3987" t="s">
        <v>3483</v>
      </c>
      <c r="H3987" t="s">
        <v>1949</v>
      </c>
      <c r="I3987" t="s">
        <v>19</v>
      </c>
      <c r="J3987" s="3">
        <f>55-55-999224402</f>
        <v>-999224402</v>
      </c>
      <c r="K3987" t="s">
        <v>3484</v>
      </c>
      <c r="L3987" t="s">
        <v>3485</v>
      </c>
      <c r="M3987" t="s">
        <v>771</v>
      </c>
    </row>
    <row r="3988" spans="1:13" x14ac:dyDescent="0.25">
      <c r="A3988" t="s">
        <v>19844</v>
      </c>
      <c r="B3988" t="s">
        <v>13</v>
      </c>
      <c r="C3988" t="s">
        <v>19830</v>
      </c>
      <c r="D3988" t="s">
        <v>19845</v>
      </c>
      <c r="E3988" t="s">
        <v>19846</v>
      </c>
      <c r="F3988" t="s">
        <v>3084</v>
      </c>
      <c r="G3988" t="s">
        <v>19847</v>
      </c>
      <c r="H3988" t="s">
        <v>88</v>
      </c>
      <c r="I3988" t="s">
        <v>19</v>
      </c>
      <c r="J3988" s="3" t="s">
        <v>19848</v>
      </c>
      <c r="K3988" t="s">
        <v>19849</v>
      </c>
      <c r="L3988" t="s">
        <v>91</v>
      </c>
      <c r="M3988" t="s">
        <v>32144</v>
      </c>
    </row>
    <row r="3989" spans="1:13" x14ac:dyDescent="0.25">
      <c r="A3989" t="s">
        <v>4466</v>
      </c>
      <c r="B3989" t="s">
        <v>13</v>
      </c>
      <c r="C3989" s="1">
        <v>44623</v>
      </c>
      <c r="D3989" t="s">
        <v>4467</v>
      </c>
      <c r="E3989" t="s">
        <v>4468</v>
      </c>
      <c r="F3989" t="s">
        <v>4469</v>
      </c>
      <c r="G3989" t="s">
        <v>4470</v>
      </c>
      <c r="H3989" t="s">
        <v>299</v>
      </c>
      <c r="I3989" t="s">
        <v>19</v>
      </c>
      <c r="J3989" s="3" t="s">
        <v>4471</v>
      </c>
      <c r="K3989" t="s">
        <v>4472</v>
      </c>
      <c r="L3989" t="s">
        <v>4473</v>
      </c>
      <c r="M3989" t="s">
        <v>129</v>
      </c>
    </row>
    <row r="3990" spans="1:13" x14ac:dyDescent="0.25">
      <c r="A3990" t="s">
        <v>19870</v>
      </c>
      <c r="B3990" t="s">
        <v>13</v>
      </c>
      <c r="C3990" t="s">
        <v>9251</v>
      </c>
      <c r="D3990" t="s">
        <v>19871</v>
      </c>
      <c r="E3990" t="s">
        <v>19872</v>
      </c>
      <c r="F3990" t="s">
        <v>337</v>
      </c>
      <c r="G3990" t="s">
        <v>19873</v>
      </c>
      <c r="H3990" t="s">
        <v>714</v>
      </c>
      <c r="I3990" t="s">
        <v>19</v>
      </c>
      <c r="J3990" s="3" t="s">
        <v>19874</v>
      </c>
      <c r="K3990" t="s">
        <v>19875</v>
      </c>
      <c r="L3990" t="s">
        <v>4094</v>
      </c>
      <c r="M3990" t="s">
        <v>337</v>
      </c>
    </row>
    <row r="3991" spans="1:13" x14ac:dyDescent="0.25">
      <c r="A3991" t="s">
        <v>3393</v>
      </c>
      <c r="B3991" t="s">
        <v>13</v>
      </c>
      <c r="C3991" s="1">
        <v>44840</v>
      </c>
      <c r="D3991" t="s">
        <v>3394</v>
      </c>
      <c r="E3991" t="s">
        <v>32533</v>
      </c>
      <c r="F3991" t="s">
        <v>3395</v>
      </c>
      <c r="G3991" t="s">
        <v>3396</v>
      </c>
      <c r="H3991" t="s">
        <v>105</v>
      </c>
      <c r="I3991" t="s">
        <v>19</v>
      </c>
      <c r="J3991" s="3">
        <v>5521972047755</v>
      </c>
      <c r="K3991" t="s">
        <v>3397</v>
      </c>
      <c r="L3991" t="s">
        <v>3398</v>
      </c>
      <c r="M3991" t="s">
        <v>337</v>
      </c>
    </row>
    <row r="3992" spans="1:13" x14ac:dyDescent="0.25">
      <c r="A3992" t="s">
        <v>15745</v>
      </c>
      <c r="B3992" t="s">
        <v>13</v>
      </c>
      <c r="C3992" t="s">
        <v>2534</v>
      </c>
      <c r="D3992" t="s">
        <v>15746</v>
      </c>
      <c r="E3992" t="s">
        <v>32534</v>
      </c>
      <c r="F3992" t="s">
        <v>432</v>
      </c>
      <c r="G3992" t="s">
        <v>1621</v>
      </c>
      <c r="H3992" t="s">
        <v>1622</v>
      </c>
      <c r="I3992" t="s">
        <v>19</v>
      </c>
      <c r="J3992" s="3" t="s">
        <v>1623</v>
      </c>
      <c r="K3992" t="s">
        <v>1624</v>
      </c>
      <c r="L3992" t="s">
        <v>10697</v>
      </c>
      <c r="M3992" t="s">
        <v>432</v>
      </c>
    </row>
    <row r="3993" spans="1:13" x14ac:dyDescent="0.25">
      <c r="A3993" t="s">
        <v>16561</v>
      </c>
      <c r="B3993" t="s">
        <v>13</v>
      </c>
      <c r="C3993" s="1">
        <v>43654</v>
      </c>
      <c r="D3993" t="s">
        <v>16562</v>
      </c>
      <c r="E3993" t="s">
        <v>32535</v>
      </c>
      <c r="F3993" t="s">
        <v>6308</v>
      </c>
      <c r="G3993" t="s">
        <v>16563</v>
      </c>
      <c r="H3993" t="s">
        <v>517</v>
      </c>
      <c r="I3993" t="s">
        <v>19</v>
      </c>
      <c r="J3993" s="3">
        <f>55-21-38659670</f>
        <v>-38659636</v>
      </c>
      <c r="K3993" t="s">
        <v>16564</v>
      </c>
      <c r="L3993" t="s">
        <v>16565</v>
      </c>
      <c r="M3993" t="s">
        <v>432</v>
      </c>
    </row>
    <row r="3994" spans="1:13" x14ac:dyDescent="0.25">
      <c r="A3994" t="s">
        <v>23212</v>
      </c>
      <c r="B3994" t="s">
        <v>13</v>
      </c>
      <c r="C3994" t="s">
        <v>12593</v>
      </c>
      <c r="D3994" t="s">
        <v>23213</v>
      </c>
      <c r="E3994" t="s">
        <v>23214</v>
      </c>
      <c r="F3994" t="s">
        <v>2947</v>
      </c>
      <c r="G3994" t="s">
        <v>23215</v>
      </c>
      <c r="H3994" t="s">
        <v>2395</v>
      </c>
      <c r="I3994" t="s">
        <v>19</v>
      </c>
      <c r="J3994" s="3" t="s">
        <v>23216</v>
      </c>
      <c r="K3994" t="s">
        <v>23217</v>
      </c>
      <c r="L3994" t="s">
        <v>23218</v>
      </c>
      <c r="M3994" t="s">
        <v>771</v>
      </c>
    </row>
    <row r="3995" spans="1:13" x14ac:dyDescent="0.25">
      <c r="A3995" t="s">
        <v>13814</v>
      </c>
      <c r="B3995" t="s">
        <v>13</v>
      </c>
      <c r="C3995" s="1">
        <v>44075</v>
      </c>
      <c r="D3995" t="s">
        <v>13815</v>
      </c>
      <c r="E3995" t="s">
        <v>32536</v>
      </c>
      <c r="F3995" t="s">
        <v>129</v>
      </c>
      <c r="G3995" t="s">
        <v>13816</v>
      </c>
      <c r="H3995" t="s">
        <v>88</v>
      </c>
      <c r="I3995" t="s">
        <v>19</v>
      </c>
      <c r="J3995" s="3">
        <f>55-84-99828237</f>
        <v>-99828266</v>
      </c>
      <c r="K3995" t="s">
        <v>7253</v>
      </c>
      <c r="L3995" t="s">
        <v>91</v>
      </c>
      <c r="M3995" t="s">
        <v>129</v>
      </c>
    </row>
    <row r="3996" spans="1:13" x14ac:dyDescent="0.25">
      <c r="A3996" t="s">
        <v>15312</v>
      </c>
      <c r="B3996" t="s">
        <v>13</v>
      </c>
      <c r="C3996" t="s">
        <v>15293</v>
      </c>
      <c r="D3996" t="s">
        <v>15313</v>
      </c>
      <c r="E3996" t="s">
        <v>15314</v>
      </c>
      <c r="F3996" t="s">
        <v>6656</v>
      </c>
      <c r="G3996" t="s">
        <v>15315</v>
      </c>
      <c r="H3996" t="s">
        <v>409</v>
      </c>
      <c r="I3996" t="s">
        <v>19</v>
      </c>
      <c r="J3996" s="3">
        <f>55-48-36648627</f>
        <v>-36648620</v>
      </c>
      <c r="K3996" t="s">
        <v>15316</v>
      </c>
      <c r="L3996" t="s">
        <v>1823</v>
      </c>
      <c r="M3996" t="s">
        <v>741</v>
      </c>
    </row>
    <row r="3997" spans="1:13" x14ac:dyDescent="0.25">
      <c r="A3997" t="s">
        <v>6653</v>
      </c>
      <c r="B3997" t="s">
        <v>13</v>
      </c>
      <c r="C3997" s="1">
        <v>43839</v>
      </c>
      <c r="D3997" t="s">
        <v>6654</v>
      </c>
      <c r="E3997" t="s">
        <v>6655</v>
      </c>
      <c r="F3997" t="s">
        <v>6656</v>
      </c>
      <c r="G3997" t="s">
        <v>6657</v>
      </c>
      <c r="H3997" t="s">
        <v>195</v>
      </c>
      <c r="I3997" t="s">
        <v>19</v>
      </c>
      <c r="J3997" s="3">
        <f>55-11-957838540</f>
        <v>-957838496</v>
      </c>
      <c r="K3997" t="s">
        <v>6658</v>
      </c>
      <c r="L3997" t="s">
        <v>197</v>
      </c>
      <c r="M3997" t="s">
        <v>741</v>
      </c>
    </row>
    <row r="3998" spans="1:13" x14ac:dyDescent="0.25">
      <c r="A3998" t="s">
        <v>4346</v>
      </c>
      <c r="B3998" t="s">
        <v>13</v>
      </c>
      <c r="C3998" t="s">
        <v>4347</v>
      </c>
      <c r="D3998" t="s">
        <v>4348</v>
      </c>
      <c r="E3998" s="2" t="s">
        <v>31547</v>
      </c>
      <c r="F3998" t="s">
        <v>4350</v>
      </c>
      <c r="G3998" t="s">
        <v>4351</v>
      </c>
      <c r="H3998" t="s">
        <v>1335</v>
      </c>
      <c r="I3998" t="s">
        <v>19</v>
      </c>
      <c r="J3998" s="3" t="s">
        <v>4352</v>
      </c>
      <c r="K3998" t="s">
        <v>4353</v>
      </c>
      <c r="L3998" t="s">
        <v>4354</v>
      </c>
      <c r="M3998" t="s">
        <v>6656</v>
      </c>
    </row>
    <row r="3999" spans="1:13" x14ac:dyDescent="0.25">
      <c r="A3999" t="s">
        <v>21388</v>
      </c>
      <c r="B3999" t="s">
        <v>13</v>
      </c>
      <c r="C3999" t="s">
        <v>7645</v>
      </c>
      <c r="D3999" t="s">
        <v>21389</v>
      </c>
      <c r="E3999" t="s">
        <v>21390</v>
      </c>
      <c r="F3999" t="s">
        <v>6656</v>
      </c>
      <c r="G3999" t="s">
        <v>9723</v>
      </c>
      <c r="H3999" t="s">
        <v>36</v>
      </c>
      <c r="I3999" t="s">
        <v>19</v>
      </c>
      <c r="J3999" s="3">
        <f>55-(11)-3061-8858</f>
        <v>-11875</v>
      </c>
      <c r="K3999" t="s">
        <v>2358</v>
      </c>
      <c r="L3999" t="s">
        <v>9723</v>
      </c>
      <c r="M3999" t="s">
        <v>6656</v>
      </c>
    </row>
    <row r="4000" spans="1:13" x14ac:dyDescent="0.25">
      <c r="A4000" t="s">
        <v>18861</v>
      </c>
      <c r="B4000" t="s">
        <v>13</v>
      </c>
      <c r="C4000" s="1">
        <v>43105</v>
      </c>
      <c r="D4000" t="s">
        <v>18862</v>
      </c>
      <c r="E4000" t="s">
        <v>18863</v>
      </c>
      <c r="F4000" t="s">
        <v>432</v>
      </c>
      <c r="G4000" t="s">
        <v>18864</v>
      </c>
      <c r="H4000" t="s">
        <v>1090</v>
      </c>
      <c r="I4000" t="s">
        <v>19</v>
      </c>
      <c r="J4000" s="3">
        <v>5583987043124</v>
      </c>
      <c r="K4000" t="s">
        <v>18865</v>
      </c>
      <c r="L4000" t="s">
        <v>1092</v>
      </c>
      <c r="M4000" t="s">
        <v>432</v>
      </c>
    </row>
    <row r="4001" spans="1:13" x14ac:dyDescent="0.25">
      <c r="A4001" t="s">
        <v>20070</v>
      </c>
      <c r="B4001" t="s">
        <v>13</v>
      </c>
      <c r="C4001" s="1">
        <v>43381</v>
      </c>
      <c r="D4001" t="s">
        <v>20071</v>
      </c>
      <c r="E4001" t="s">
        <v>20072</v>
      </c>
      <c r="F4001" t="s">
        <v>332</v>
      </c>
      <c r="G4001" t="s">
        <v>20073</v>
      </c>
      <c r="H4001" t="s">
        <v>615</v>
      </c>
      <c r="I4001" t="s">
        <v>19</v>
      </c>
      <c r="J4001" s="3">
        <f>55-34-3225-8148</f>
        <v>-11352</v>
      </c>
      <c r="K4001" t="s">
        <v>20074</v>
      </c>
      <c r="L4001" t="s">
        <v>20075</v>
      </c>
      <c r="M4001" t="s">
        <v>337</v>
      </c>
    </row>
    <row r="4002" spans="1:13" x14ac:dyDescent="0.25">
      <c r="A4002" t="s">
        <v>12740</v>
      </c>
      <c r="B4002" t="s">
        <v>13</v>
      </c>
      <c r="C4002" t="s">
        <v>8942</v>
      </c>
      <c r="D4002" t="s">
        <v>12741</v>
      </c>
      <c r="E4002" s="2" t="s">
        <v>31053</v>
      </c>
      <c r="F4002" t="s">
        <v>6686</v>
      </c>
      <c r="G4002" t="s">
        <v>12742</v>
      </c>
      <c r="H4002" t="s">
        <v>1503</v>
      </c>
      <c r="I4002" t="s">
        <v>19</v>
      </c>
      <c r="J4002" s="3" t="s">
        <v>12743</v>
      </c>
      <c r="K4002" t="s">
        <v>12744</v>
      </c>
      <c r="L4002" t="s">
        <v>12745</v>
      </c>
      <c r="M4002" t="s">
        <v>337</v>
      </c>
    </row>
    <row r="4003" spans="1:13" x14ac:dyDescent="0.25">
      <c r="A4003" t="s">
        <v>17143</v>
      </c>
      <c r="B4003" t="s">
        <v>13</v>
      </c>
      <c r="C4003" s="1">
        <v>43744</v>
      </c>
      <c r="D4003" t="s">
        <v>17144</v>
      </c>
      <c r="E4003" t="s">
        <v>17145</v>
      </c>
      <c r="F4003" t="s">
        <v>1190</v>
      </c>
      <c r="G4003" t="s">
        <v>2803</v>
      </c>
      <c r="H4003" t="s">
        <v>753</v>
      </c>
      <c r="I4003" t="s">
        <v>19</v>
      </c>
      <c r="J4003" s="3" t="s">
        <v>17146</v>
      </c>
      <c r="K4003" t="s">
        <v>2805</v>
      </c>
      <c r="L4003" t="s">
        <v>17147</v>
      </c>
      <c r="M4003" t="s">
        <v>432</v>
      </c>
    </row>
    <row r="4004" spans="1:13" x14ac:dyDescent="0.25">
      <c r="A4004" t="s">
        <v>17464</v>
      </c>
      <c r="B4004" t="s">
        <v>13</v>
      </c>
      <c r="C4004" s="1">
        <v>43561</v>
      </c>
      <c r="D4004" t="s">
        <v>17465</v>
      </c>
      <c r="E4004" t="s">
        <v>17466</v>
      </c>
      <c r="F4004" t="s">
        <v>1464</v>
      </c>
      <c r="G4004" t="s">
        <v>2178</v>
      </c>
      <c r="H4004" t="s">
        <v>2112</v>
      </c>
      <c r="I4004" t="s">
        <v>19</v>
      </c>
      <c r="J4004" s="3">
        <f>55-45-32207344</f>
        <v>-32207334</v>
      </c>
      <c r="K4004" t="s">
        <v>14019</v>
      </c>
      <c r="L4004" t="s">
        <v>14020</v>
      </c>
      <c r="M4004" t="s">
        <v>57</v>
      </c>
    </row>
    <row r="4005" spans="1:13" x14ac:dyDescent="0.25">
      <c r="A4005" t="s">
        <v>18282</v>
      </c>
      <c r="B4005" t="s">
        <v>13</v>
      </c>
      <c r="C4005" t="s">
        <v>11846</v>
      </c>
      <c r="D4005" t="s">
        <v>18283</v>
      </c>
      <c r="E4005" t="s">
        <v>15553</v>
      </c>
      <c r="F4005" t="s">
        <v>337</v>
      </c>
      <c r="G4005" t="s">
        <v>11363</v>
      </c>
      <c r="H4005" t="s">
        <v>2112</v>
      </c>
      <c r="I4005" t="s">
        <v>19</v>
      </c>
      <c r="J4005" s="3">
        <v>554532203130</v>
      </c>
      <c r="K4005" t="s">
        <v>11364</v>
      </c>
      <c r="L4005" t="s">
        <v>2115</v>
      </c>
      <c r="M4005" t="s">
        <v>337</v>
      </c>
    </row>
    <row r="4006" spans="1:13" x14ac:dyDescent="0.25">
      <c r="A4006" t="s">
        <v>1871</v>
      </c>
      <c r="B4006" t="s">
        <v>13</v>
      </c>
      <c r="C4006" t="s">
        <v>1872</v>
      </c>
      <c r="D4006" t="s">
        <v>1873</v>
      </c>
      <c r="E4006" t="s">
        <v>1874</v>
      </c>
      <c r="F4006" t="s">
        <v>1875</v>
      </c>
      <c r="G4006" t="s">
        <v>1876</v>
      </c>
      <c r="H4006" t="s">
        <v>1877</v>
      </c>
      <c r="I4006" t="s">
        <v>19</v>
      </c>
      <c r="J4006" s="3" t="s">
        <v>1878</v>
      </c>
      <c r="K4006" t="s">
        <v>1879</v>
      </c>
      <c r="L4006" t="s">
        <v>1880</v>
      </c>
      <c r="M4006" t="s">
        <v>337</v>
      </c>
    </row>
    <row r="4007" spans="1:13" x14ac:dyDescent="0.25">
      <c r="A4007" t="s">
        <v>17887</v>
      </c>
      <c r="B4007" t="s">
        <v>13</v>
      </c>
      <c r="C4007" s="1">
        <v>43500</v>
      </c>
      <c r="D4007" t="s">
        <v>17888</v>
      </c>
      <c r="E4007" t="s">
        <v>17557</v>
      </c>
      <c r="F4007" t="s">
        <v>432</v>
      </c>
      <c r="G4007" t="s">
        <v>15194</v>
      </c>
      <c r="H4007" t="s">
        <v>18</v>
      </c>
      <c r="I4007" t="s">
        <v>19</v>
      </c>
      <c r="J4007" s="3">
        <f>55-19-37566877</f>
        <v>-37566841</v>
      </c>
      <c r="K4007" t="s">
        <v>7925</v>
      </c>
      <c r="L4007" t="s">
        <v>7926</v>
      </c>
      <c r="M4007" t="s">
        <v>432</v>
      </c>
    </row>
    <row r="4008" spans="1:13" x14ac:dyDescent="0.25">
      <c r="A4008" t="s">
        <v>17555</v>
      </c>
      <c r="B4008" t="s">
        <v>13</v>
      </c>
      <c r="C4008" s="1">
        <v>43501</v>
      </c>
      <c r="D4008" t="s">
        <v>17556</v>
      </c>
      <c r="E4008" t="s">
        <v>17557</v>
      </c>
      <c r="F4008" t="s">
        <v>432</v>
      </c>
      <c r="G4008" t="s">
        <v>17558</v>
      </c>
      <c r="H4008" t="s">
        <v>18</v>
      </c>
      <c r="I4008" t="s">
        <v>19</v>
      </c>
      <c r="J4008" s="3">
        <f>55-19-981218440</f>
        <v>-981218404</v>
      </c>
      <c r="K4008" t="s">
        <v>17559</v>
      </c>
      <c r="L4008" t="s">
        <v>3520</v>
      </c>
      <c r="M4008" t="s">
        <v>432</v>
      </c>
    </row>
    <row r="4009" spans="1:13" x14ac:dyDescent="0.25">
      <c r="A4009" t="s">
        <v>8241</v>
      </c>
      <c r="B4009" t="s">
        <v>13</v>
      </c>
      <c r="C4009" t="s">
        <v>8242</v>
      </c>
      <c r="D4009" t="s">
        <v>8243</v>
      </c>
      <c r="E4009" t="s">
        <v>32537</v>
      </c>
      <c r="F4009" t="s">
        <v>332</v>
      </c>
      <c r="G4009" t="s">
        <v>8244</v>
      </c>
      <c r="H4009" t="s">
        <v>409</v>
      </c>
      <c r="I4009" t="s">
        <v>19</v>
      </c>
      <c r="J4009" s="3" t="s">
        <v>8245</v>
      </c>
      <c r="K4009" t="s">
        <v>589</v>
      </c>
      <c r="L4009" t="s">
        <v>412</v>
      </c>
      <c r="M4009" t="s">
        <v>337</v>
      </c>
    </row>
    <row r="4010" spans="1:13" x14ac:dyDescent="0.25">
      <c r="A4010" t="s">
        <v>5478</v>
      </c>
      <c r="B4010" t="s">
        <v>101</v>
      </c>
      <c r="C4010" s="1">
        <v>44359</v>
      </c>
      <c r="D4010" t="s">
        <v>5479</v>
      </c>
      <c r="E4010" t="s">
        <v>32538</v>
      </c>
      <c r="F4010" t="s">
        <v>5480</v>
      </c>
      <c r="G4010" t="s">
        <v>5481</v>
      </c>
      <c r="H4010" t="s">
        <v>2598</v>
      </c>
      <c r="I4010" t="s">
        <v>19</v>
      </c>
      <c r="J4010" s="3" t="s">
        <v>5482</v>
      </c>
      <c r="K4010" t="s">
        <v>5483</v>
      </c>
      <c r="L4010" t="s">
        <v>32135</v>
      </c>
      <c r="M4010" t="s">
        <v>432</v>
      </c>
    </row>
    <row r="4011" spans="1:13" x14ac:dyDescent="0.25">
      <c r="A4011" t="s">
        <v>6354</v>
      </c>
      <c r="B4011" t="s">
        <v>13</v>
      </c>
      <c r="C4011" t="s">
        <v>6347</v>
      </c>
      <c r="D4011" t="s">
        <v>32135</v>
      </c>
      <c r="E4011" s="2" t="s">
        <v>30888</v>
      </c>
      <c r="F4011" t="s">
        <v>6355</v>
      </c>
      <c r="G4011" t="s">
        <v>6356</v>
      </c>
      <c r="H4011" t="s">
        <v>517</v>
      </c>
      <c r="I4011" t="s">
        <v>19</v>
      </c>
      <c r="J4011" s="3" t="s">
        <v>6357</v>
      </c>
      <c r="K4011" t="s">
        <v>6358</v>
      </c>
      <c r="L4011" t="s">
        <v>32135</v>
      </c>
      <c r="M4011" t="s">
        <v>57</v>
      </c>
    </row>
    <row r="4012" spans="1:13" x14ac:dyDescent="0.25">
      <c r="A4012" t="s">
        <v>24010</v>
      </c>
      <c r="B4012" t="s">
        <v>13</v>
      </c>
      <c r="C4012" t="s">
        <v>24230</v>
      </c>
      <c r="D4012" t="s">
        <v>24234</v>
      </c>
      <c r="E4012" t="s">
        <v>128</v>
      </c>
      <c r="F4012" t="s">
        <v>129</v>
      </c>
      <c r="G4012" t="s">
        <v>1621</v>
      </c>
      <c r="H4012" t="s">
        <v>1622</v>
      </c>
      <c r="I4012" t="s">
        <v>19</v>
      </c>
      <c r="J4012" s="3" t="s">
        <v>18998</v>
      </c>
      <c r="K4012" t="s">
        <v>1624</v>
      </c>
      <c r="L4012" t="s">
        <v>10697</v>
      </c>
      <c r="M4012" t="s">
        <v>129</v>
      </c>
    </row>
    <row r="4013" spans="1:13" x14ac:dyDescent="0.25">
      <c r="A4013" t="s">
        <v>18996</v>
      </c>
      <c r="B4013" t="s">
        <v>13</v>
      </c>
      <c r="C4013" t="s">
        <v>12812</v>
      </c>
      <c r="D4013" t="s">
        <v>18997</v>
      </c>
      <c r="E4013" t="s">
        <v>128</v>
      </c>
      <c r="F4013" t="s">
        <v>129</v>
      </c>
      <c r="G4013" t="s">
        <v>1621</v>
      </c>
      <c r="H4013" t="s">
        <v>1622</v>
      </c>
      <c r="I4013" t="s">
        <v>19</v>
      </c>
      <c r="J4013" s="3" t="s">
        <v>18998</v>
      </c>
      <c r="K4013" t="s">
        <v>1624</v>
      </c>
      <c r="L4013" t="s">
        <v>10697</v>
      </c>
      <c r="M4013" t="s">
        <v>129</v>
      </c>
    </row>
    <row r="4014" spans="1:13" x14ac:dyDescent="0.25">
      <c r="A4014" t="s">
        <v>126</v>
      </c>
      <c r="B4014" t="s">
        <v>13</v>
      </c>
      <c r="C4014" t="s">
        <v>127</v>
      </c>
      <c r="D4014" t="s">
        <v>14</v>
      </c>
      <c r="E4014" t="s">
        <v>128</v>
      </c>
      <c r="F4014" t="s">
        <v>129</v>
      </c>
      <c r="G4014" t="s">
        <v>130</v>
      </c>
      <c r="H4014" t="s">
        <v>131</v>
      </c>
      <c r="I4014" t="s">
        <v>19</v>
      </c>
      <c r="J4014" s="3" t="s">
        <v>132</v>
      </c>
      <c r="K4014" t="s">
        <v>133</v>
      </c>
      <c r="L4014" t="s">
        <v>134</v>
      </c>
      <c r="M4014" t="s">
        <v>129</v>
      </c>
    </row>
    <row r="4015" spans="1:13" x14ac:dyDescent="0.25">
      <c r="A4015" t="s">
        <v>13021</v>
      </c>
      <c r="B4015" t="s">
        <v>13</v>
      </c>
      <c r="C4015" s="1">
        <v>44107</v>
      </c>
      <c r="D4015" t="s">
        <v>13022</v>
      </c>
      <c r="E4015" t="s">
        <v>10118</v>
      </c>
      <c r="F4015" t="s">
        <v>129</v>
      </c>
      <c r="G4015" t="s">
        <v>10119</v>
      </c>
      <c r="H4015" t="s">
        <v>472</v>
      </c>
      <c r="I4015" t="s">
        <v>19</v>
      </c>
      <c r="J4015" s="3">
        <f>55-21-21268492</f>
        <v>-21268458</v>
      </c>
      <c r="K4015" t="s">
        <v>10120</v>
      </c>
      <c r="L4015" t="s">
        <v>2101</v>
      </c>
      <c r="M4015" t="s">
        <v>129</v>
      </c>
    </row>
    <row r="4016" spans="1:13" x14ac:dyDescent="0.25">
      <c r="A4016" t="s">
        <v>10116</v>
      </c>
      <c r="B4016" t="s">
        <v>13</v>
      </c>
      <c r="C4016" s="1">
        <v>44107</v>
      </c>
      <c r="D4016" t="s">
        <v>10117</v>
      </c>
      <c r="E4016" t="s">
        <v>10118</v>
      </c>
      <c r="F4016" t="s">
        <v>129</v>
      </c>
      <c r="G4016" t="s">
        <v>10119</v>
      </c>
      <c r="H4016" t="s">
        <v>472</v>
      </c>
      <c r="I4016" t="s">
        <v>19</v>
      </c>
      <c r="J4016" s="3">
        <f>55-21-21268492</f>
        <v>-21268458</v>
      </c>
      <c r="K4016" t="s">
        <v>10120</v>
      </c>
      <c r="L4016" t="s">
        <v>2101</v>
      </c>
      <c r="M4016" t="s">
        <v>129</v>
      </c>
    </row>
    <row r="4017" spans="1:13" x14ac:dyDescent="0.25">
      <c r="A4017" t="s">
        <v>9883</v>
      </c>
      <c r="B4017" t="s">
        <v>13</v>
      </c>
      <c r="C4017" s="1">
        <v>44143</v>
      </c>
      <c r="D4017" t="s">
        <v>9884</v>
      </c>
      <c r="E4017" t="s">
        <v>9885</v>
      </c>
      <c r="F4017" t="s">
        <v>432</v>
      </c>
      <c r="G4017" t="s">
        <v>9886</v>
      </c>
      <c r="H4017" t="s">
        <v>28</v>
      </c>
      <c r="I4017" t="s">
        <v>19</v>
      </c>
      <c r="J4017" s="3">
        <f>55-31-999120909</f>
        <v>-999120885</v>
      </c>
      <c r="K4017" t="s">
        <v>9887</v>
      </c>
      <c r="L4017" t="s">
        <v>923</v>
      </c>
      <c r="M4017" t="s">
        <v>32162</v>
      </c>
    </row>
    <row r="4018" spans="1:13" x14ac:dyDescent="0.25">
      <c r="A4018" t="s">
        <v>18213</v>
      </c>
      <c r="B4018" t="s">
        <v>13</v>
      </c>
      <c r="C4018" s="1">
        <v>43558</v>
      </c>
      <c r="D4018" t="s">
        <v>18214</v>
      </c>
      <c r="E4018" t="s">
        <v>18215</v>
      </c>
      <c r="F4018" t="s">
        <v>1432</v>
      </c>
      <c r="G4018" t="s">
        <v>18216</v>
      </c>
      <c r="H4018" t="s">
        <v>36</v>
      </c>
      <c r="I4018" t="s">
        <v>19</v>
      </c>
      <c r="J4018" s="3">
        <f>55-11-5549-2937</f>
        <v>-8442</v>
      </c>
      <c r="K4018" t="s">
        <v>18217</v>
      </c>
      <c r="L4018" t="s">
        <v>18218</v>
      </c>
      <c r="M4018" t="s">
        <v>1432</v>
      </c>
    </row>
    <row r="4019" spans="1:13" x14ac:dyDescent="0.25">
      <c r="A4019" t="s">
        <v>10399</v>
      </c>
      <c r="B4019" t="s">
        <v>101</v>
      </c>
      <c r="C4019" t="s">
        <v>9982</v>
      </c>
      <c r="D4019" t="s">
        <v>10400</v>
      </c>
      <c r="E4019" t="s">
        <v>10401</v>
      </c>
      <c r="F4019" t="s">
        <v>741</v>
      </c>
      <c r="G4019" t="s">
        <v>10402</v>
      </c>
      <c r="H4019" t="s">
        <v>36</v>
      </c>
      <c r="I4019" t="s">
        <v>19</v>
      </c>
      <c r="J4019" s="3" t="s">
        <v>10403</v>
      </c>
      <c r="K4019" t="s">
        <v>10404</v>
      </c>
      <c r="L4019" t="s">
        <v>10405</v>
      </c>
      <c r="M4019" t="s">
        <v>741</v>
      </c>
    </row>
    <row r="4020" spans="1:13" x14ac:dyDescent="0.25">
      <c r="A4020" t="s">
        <v>12733</v>
      </c>
      <c r="B4020" t="s">
        <v>13</v>
      </c>
      <c r="C4020" t="s">
        <v>8942</v>
      </c>
      <c r="D4020" t="s">
        <v>12734</v>
      </c>
      <c r="E4020" t="s">
        <v>12735</v>
      </c>
      <c r="F4020" t="s">
        <v>337</v>
      </c>
      <c r="G4020" t="s">
        <v>12736</v>
      </c>
      <c r="H4020" t="s">
        <v>12737</v>
      </c>
      <c r="I4020" t="s">
        <v>19</v>
      </c>
      <c r="J4020" s="3">
        <v>5584996825094</v>
      </c>
      <c r="K4020" t="s">
        <v>12738</v>
      </c>
      <c r="L4020" t="s">
        <v>12739</v>
      </c>
      <c r="M4020" t="s">
        <v>337</v>
      </c>
    </row>
    <row r="4021" spans="1:13" x14ac:dyDescent="0.25">
      <c r="A4021" t="s">
        <v>29100</v>
      </c>
      <c r="B4021" t="s">
        <v>13</v>
      </c>
      <c r="C4021" t="s">
        <v>29101</v>
      </c>
      <c r="D4021" t="s">
        <v>29102</v>
      </c>
      <c r="E4021" t="s">
        <v>29103</v>
      </c>
      <c r="F4021" t="s">
        <v>129</v>
      </c>
      <c r="G4021" t="s">
        <v>29104</v>
      </c>
      <c r="H4021" t="s">
        <v>25850</v>
      </c>
      <c r="I4021" t="s">
        <v>19</v>
      </c>
      <c r="J4021" s="3">
        <v>556181160161</v>
      </c>
      <c r="K4021" t="s">
        <v>29105</v>
      </c>
      <c r="L4021" t="s">
        <v>29106</v>
      </c>
      <c r="M4021" t="s">
        <v>129</v>
      </c>
    </row>
    <row r="4022" spans="1:13" x14ac:dyDescent="0.25">
      <c r="A4022" t="s">
        <v>9116</v>
      </c>
      <c r="B4022" t="s">
        <v>13</v>
      </c>
      <c r="C4022" s="1">
        <v>44115</v>
      </c>
      <c r="D4022" t="s">
        <v>9117</v>
      </c>
      <c r="E4022" t="s">
        <v>395</v>
      </c>
      <c r="F4022" t="s">
        <v>306</v>
      </c>
      <c r="G4022" t="s">
        <v>1438</v>
      </c>
      <c r="H4022" t="s">
        <v>1090</v>
      </c>
      <c r="I4022" t="s">
        <v>19</v>
      </c>
      <c r="J4022" s="3">
        <v>8332167183</v>
      </c>
      <c r="K4022" t="s">
        <v>7189</v>
      </c>
      <c r="L4022" t="s">
        <v>1092</v>
      </c>
      <c r="M4022" t="s">
        <v>32145</v>
      </c>
    </row>
    <row r="4023" spans="1:13" x14ac:dyDescent="0.25">
      <c r="A4023" t="s">
        <v>8040</v>
      </c>
      <c r="B4023" t="s">
        <v>13</v>
      </c>
      <c r="C4023" s="1">
        <v>44289</v>
      </c>
      <c r="D4023" t="s">
        <v>8041</v>
      </c>
      <c r="E4023" t="s">
        <v>395</v>
      </c>
      <c r="F4023" t="s">
        <v>306</v>
      </c>
      <c r="G4023" t="s">
        <v>8042</v>
      </c>
      <c r="H4023" t="s">
        <v>36</v>
      </c>
      <c r="I4023" t="s">
        <v>19</v>
      </c>
      <c r="J4023" s="3">
        <f>55-11-30617850</f>
        <v>-30617806</v>
      </c>
      <c r="K4023" t="s">
        <v>8043</v>
      </c>
      <c r="L4023" t="s">
        <v>8044</v>
      </c>
      <c r="M4023" t="s">
        <v>32145</v>
      </c>
    </row>
    <row r="4024" spans="1:13" x14ac:dyDescent="0.25">
      <c r="A4024" t="s">
        <v>392</v>
      </c>
      <c r="B4024" t="s">
        <v>13</v>
      </c>
      <c r="C4024" t="s">
        <v>393</v>
      </c>
      <c r="D4024" t="s">
        <v>394</v>
      </c>
      <c r="E4024" t="s">
        <v>395</v>
      </c>
      <c r="F4024" t="s">
        <v>397</v>
      </c>
      <c r="G4024" t="s">
        <v>398</v>
      </c>
      <c r="H4024" t="s">
        <v>399</v>
      </c>
      <c r="I4024" t="s">
        <v>19</v>
      </c>
      <c r="J4024" s="3" t="s">
        <v>400</v>
      </c>
      <c r="K4024" t="s">
        <v>401</v>
      </c>
      <c r="L4024" t="s">
        <v>402</v>
      </c>
      <c r="M4024" t="s">
        <v>32145</v>
      </c>
    </row>
    <row r="4025" spans="1:13" x14ac:dyDescent="0.25">
      <c r="A4025" t="s">
        <v>3779</v>
      </c>
      <c r="B4025" t="s">
        <v>13</v>
      </c>
      <c r="C4025" t="s">
        <v>3780</v>
      </c>
      <c r="D4025" t="s">
        <v>32135</v>
      </c>
      <c r="E4025" t="s">
        <v>395</v>
      </c>
      <c r="F4025" t="s">
        <v>1373</v>
      </c>
      <c r="G4025" t="s">
        <v>3781</v>
      </c>
      <c r="H4025" t="s">
        <v>428</v>
      </c>
      <c r="I4025" t="s">
        <v>19</v>
      </c>
      <c r="J4025" s="3" t="s">
        <v>3782</v>
      </c>
      <c r="K4025" t="s">
        <v>3783</v>
      </c>
      <c r="L4025" t="s">
        <v>1113</v>
      </c>
      <c r="M4025" t="s">
        <v>32145</v>
      </c>
    </row>
    <row r="4026" spans="1:13" x14ac:dyDescent="0.25">
      <c r="A4026" t="s">
        <v>27705</v>
      </c>
      <c r="B4026" t="s">
        <v>13</v>
      </c>
      <c r="C4026" t="s">
        <v>27682</v>
      </c>
      <c r="D4026" t="s">
        <v>27706</v>
      </c>
      <c r="E4026" t="s">
        <v>30879</v>
      </c>
      <c r="F4026" t="s">
        <v>9519</v>
      </c>
      <c r="G4026" t="s">
        <v>27707</v>
      </c>
      <c r="H4026" t="s">
        <v>255</v>
      </c>
      <c r="I4026" t="s">
        <v>19</v>
      </c>
      <c r="J4026" s="3">
        <v>556281767888</v>
      </c>
      <c r="K4026" t="s">
        <v>27708</v>
      </c>
      <c r="L4026" t="s">
        <v>2467</v>
      </c>
      <c r="M4026" t="s">
        <v>32145</v>
      </c>
    </row>
    <row r="4027" spans="1:13" x14ac:dyDescent="0.25">
      <c r="A4027" t="s">
        <v>27374</v>
      </c>
      <c r="B4027" t="s">
        <v>13</v>
      </c>
      <c r="C4027" s="1">
        <v>42283</v>
      </c>
      <c r="D4027" t="s">
        <v>27375</v>
      </c>
      <c r="E4027" t="s">
        <v>30879</v>
      </c>
      <c r="F4027" t="s">
        <v>1464</v>
      </c>
      <c r="G4027" t="s">
        <v>27376</v>
      </c>
      <c r="H4027" t="s">
        <v>428</v>
      </c>
      <c r="I4027" t="s">
        <v>19</v>
      </c>
      <c r="J4027" s="3" t="s">
        <v>27377</v>
      </c>
      <c r="K4027" t="s">
        <v>27378</v>
      </c>
      <c r="L4027" t="s">
        <v>5709</v>
      </c>
      <c r="M4027" t="s">
        <v>32145</v>
      </c>
    </row>
    <row r="4028" spans="1:13" x14ac:dyDescent="0.25">
      <c r="A4028" t="s">
        <v>8327</v>
      </c>
      <c r="B4028" t="s">
        <v>13</v>
      </c>
      <c r="C4028" s="1">
        <v>44318</v>
      </c>
      <c r="D4028" t="s">
        <v>8328</v>
      </c>
      <c r="E4028" t="s">
        <v>8329</v>
      </c>
      <c r="F4028" t="s">
        <v>306</v>
      </c>
      <c r="G4028" t="s">
        <v>8042</v>
      </c>
      <c r="H4028" t="s">
        <v>36</v>
      </c>
      <c r="I4028" t="s">
        <v>19</v>
      </c>
      <c r="J4028" s="3">
        <f>55-11-30617850</f>
        <v>-30617806</v>
      </c>
      <c r="K4028" t="s">
        <v>8043</v>
      </c>
      <c r="L4028" t="s">
        <v>8044</v>
      </c>
      <c r="M4028" t="s">
        <v>32145</v>
      </c>
    </row>
    <row r="4029" spans="1:13" x14ac:dyDescent="0.25">
      <c r="A4029" t="s">
        <v>17986</v>
      </c>
      <c r="B4029" t="s">
        <v>13</v>
      </c>
      <c r="C4029" t="s">
        <v>16588</v>
      </c>
      <c r="D4029" t="s">
        <v>17987</v>
      </c>
      <c r="E4029" s="2" t="s">
        <v>32154</v>
      </c>
      <c r="F4029" t="s">
        <v>1464</v>
      </c>
      <c r="G4029" t="s">
        <v>16277</v>
      </c>
      <c r="H4029" t="s">
        <v>4092</v>
      </c>
      <c r="I4029" t="s">
        <v>19</v>
      </c>
      <c r="J4029" s="3" t="s">
        <v>17988</v>
      </c>
      <c r="K4029" t="s">
        <v>16279</v>
      </c>
      <c r="L4029" t="s">
        <v>17989</v>
      </c>
      <c r="M4029" t="s">
        <v>32145</v>
      </c>
    </row>
    <row r="4030" spans="1:13" x14ac:dyDescent="0.25">
      <c r="A4030" t="s">
        <v>23804</v>
      </c>
      <c r="B4030" t="s">
        <v>13</v>
      </c>
      <c r="C4030" t="s">
        <v>23805</v>
      </c>
      <c r="D4030" t="s">
        <v>23806</v>
      </c>
      <c r="E4030" s="2" t="s">
        <v>31781</v>
      </c>
      <c r="F4030" t="s">
        <v>306</v>
      </c>
      <c r="G4030" t="s">
        <v>23807</v>
      </c>
      <c r="H4030" t="s">
        <v>1047</v>
      </c>
      <c r="I4030" t="s">
        <v>19</v>
      </c>
      <c r="J4030" s="3" t="s">
        <v>23808</v>
      </c>
      <c r="K4030" t="s">
        <v>16057</v>
      </c>
      <c r="L4030" t="s">
        <v>1050</v>
      </c>
      <c r="M4030" t="s">
        <v>32145</v>
      </c>
    </row>
    <row r="4031" spans="1:13" x14ac:dyDescent="0.25">
      <c r="A4031" t="s">
        <v>19942</v>
      </c>
      <c r="B4031" t="s">
        <v>13</v>
      </c>
      <c r="C4031" s="1">
        <v>42283</v>
      </c>
      <c r="D4031" t="s">
        <v>19943</v>
      </c>
      <c r="E4031" t="s">
        <v>19944</v>
      </c>
      <c r="F4031" t="s">
        <v>306</v>
      </c>
      <c r="G4031" t="s">
        <v>19810</v>
      </c>
      <c r="H4031" t="s">
        <v>255</v>
      </c>
      <c r="I4031" t="s">
        <v>19</v>
      </c>
      <c r="J4031" s="3" t="s">
        <v>19811</v>
      </c>
      <c r="K4031" t="s">
        <v>19812</v>
      </c>
      <c r="L4031" t="s">
        <v>2467</v>
      </c>
      <c r="M4031" t="s">
        <v>32145</v>
      </c>
    </row>
    <row r="4032" spans="1:13" x14ac:dyDescent="0.25">
      <c r="A4032" t="s">
        <v>9775</v>
      </c>
      <c r="B4032" t="s">
        <v>13</v>
      </c>
      <c r="C4032" t="s">
        <v>9776</v>
      </c>
      <c r="D4032" t="s">
        <v>9777</v>
      </c>
      <c r="E4032" s="2" t="s">
        <v>30837</v>
      </c>
      <c r="F4032" t="s">
        <v>306</v>
      </c>
      <c r="G4032" t="s">
        <v>5234</v>
      </c>
      <c r="H4032" t="s">
        <v>1037</v>
      </c>
      <c r="I4032" t="s">
        <v>19</v>
      </c>
      <c r="J4032" s="3" t="s">
        <v>5235</v>
      </c>
      <c r="K4032" t="s">
        <v>5236</v>
      </c>
      <c r="L4032" t="s">
        <v>1040</v>
      </c>
      <c r="M4032" t="s">
        <v>32145</v>
      </c>
    </row>
    <row r="4033" spans="1:13" x14ac:dyDescent="0.25">
      <c r="A4033" t="s">
        <v>21326</v>
      </c>
      <c r="B4033" t="s">
        <v>13</v>
      </c>
      <c r="C4033" t="s">
        <v>7645</v>
      </c>
      <c r="D4033" t="s">
        <v>21327</v>
      </c>
      <c r="E4033" s="2" t="s">
        <v>30837</v>
      </c>
      <c r="F4033" t="s">
        <v>306</v>
      </c>
      <c r="G4033" t="s">
        <v>21328</v>
      </c>
      <c r="H4033" t="s">
        <v>18</v>
      </c>
      <c r="I4033" t="s">
        <v>19</v>
      </c>
      <c r="J4033" s="3">
        <f>55-19-35216625</f>
        <v>-35216589</v>
      </c>
      <c r="K4033" t="s">
        <v>21329</v>
      </c>
      <c r="L4033" t="s">
        <v>10325</v>
      </c>
      <c r="M4033" t="s">
        <v>32145</v>
      </c>
    </row>
    <row r="4034" spans="1:13" x14ac:dyDescent="0.25">
      <c r="A4034" t="s">
        <v>5231</v>
      </c>
      <c r="B4034" t="s">
        <v>13</v>
      </c>
      <c r="C4034" t="s">
        <v>5232</v>
      </c>
      <c r="D4034" t="s">
        <v>5233</v>
      </c>
      <c r="E4034" s="2" t="s">
        <v>30837</v>
      </c>
      <c r="F4034" t="s">
        <v>306</v>
      </c>
      <c r="G4034" t="s">
        <v>5234</v>
      </c>
      <c r="H4034" t="s">
        <v>1037</v>
      </c>
      <c r="I4034" t="s">
        <v>19</v>
      </c>
      <c r="J4034" s="3" t="s">
        <v>5235</v>
      </c>
      <c r="K4034" t="s">
        <v>5236</v>
      </c>
      <c r="L4034" t="s">
        <v>1040</v>
      </c>
      <c r="M4034" t="s">
        <v>32145</v>
      </c>
    </row>
    <row r="4035" spans="1:13" x14ac:dyDescent="0.25">
      <c r="A4035" t="s">
        <v>15911</v>
      </c>
      <c r="B4035" t="s">
        <v>13</v>
      </c>
      <c r="C4035" t="s">
        <v>15322</v>
      </c>
      <c r="D4035" t="s">
        <v>15912</v>
      </c>
      <c r="E4035" s="2" t="s">
        <v>31141</v>
      </c>
      <c r="F4035" t="s">
        <v>306</v>
      </c>
      <c r="G4035" t="s">
        <v>1056</v>
      </c>
      <c r="H4035" t="s">
        <v>141</v>
      </c>
      <c r="I4035" t="s">
        <v>19</v>
      </c>
      <c r="J4035" s="3">
        <f>55-82-32141041</f>
        <v>-32141068</v>
      </c>
      <c r="K4035" t="s">
        <v>1057</v>
      </c>
      <c r="L4035" t="s">
        <v>1058</v>
      </c>
      <c r="M4035" t="s">
        <v>32145</v>
      </c>
    </row>
    <row r="4036" spans="1:13" x14ac:dyDescent="0.25">
      <c r="A4036" t="s">
        <v>15473</v>
      </c>
      <c r="B4036" t="s">
        <v>13</v>
      </c>
      <c r="C4036" t="s">
        <v>8873</v>
      </c>
      <c r="D4036" t="s">
        <v>15474</v>
      </c>
      <c r="E4036" s="2" t="s">
        <v>30879</v>
      </c>
      <c r="F4036" t="s">
        <v>306</v>
      </c>
      <c r="G4036" t="s">
        <v>15475</v>
      </c>
      <c r="H4036" t="s">
        <v>608</v>
      </c>
      <c r="I4036" t="s">
        <v>19</v>
      </c>
      <c r="J4036" s="3">
        <v>55054996568190</v>
      </c>
      <c r="K4036" t="s">
        <v>15476</v>
      </c>
      <c r="L4036" t="s">
        <v>15477</v>
      </c>
      <c r="M4036" t="s">
        <v>32145</v>
      </c>
    </row>
    <row r="4037" spans="1:13" x14ac:dyDescent="0.25">
      <c r="A4037" t="s">
        <v>6169</v>
      </c>
      <c r="B4037" t="s">
        <v>13</v>
      </c>
      <c r="C4037" s="1">
        <v>44206</v>
      </c>
      <c r="D4037" t="s">
        <v>32135</v>
      </c>
      <c r="E4037" s="2" t="s">
        <v>30879</v>
      </c>
      <c r="F4037" t="s">
        <v>396</v>
      </c>
      <c r="G4037" t="s">
        <v>6170</v>
      </c>
      <c r="H4037" t="s">
        <v>53</v>
      </c>
      <c r="I4037" t="s">
        <v>19</v>
      </c>
      <c r="J4037" s="3" t="s">
        <v>6171</v>
      </c>
      <c r="K4037" t="s">
        <v>6172</v>
      </c>
      <c r="L4037" t="s">
        <v>32135</v>
      </c>
      <c r="M4037" t="s">
        <v>32145</v>
      </c>
    </row>
    <row r="4038" spans="1:13" x14ac:dyDescent="0.25">
      <c r="A4038" t="s">
        <v>13884</v>
      </c>
      <c r="B4038" t="s">
        <v>13</v>
      </c>
      <c r="C4038" t="s">
        <v>7230</v>
      </c>
      <c r="D4038" t="s">
        <v>13885</v>
      </c>
      <c r="E4038" s="2" t="s">
        <v>30879</v>
      </c>
      <c r="F4038" t="s">
        <v>1464</v>
      </c>
      <c r="G4038" t="s">
        <v>13886</v>
      </c>
      <c r="H4038" t="s">
        <v>2678</v>
      </c>
      <c r="I4038" t="s">
        <v>19</v>
      </c>
      <c r="J4038" s="3" t="s">
        <v>13887</v>
      </c>
      <c r="K4038" t="s">
        <v>13888</v>
      </c>
      <c r="L4038" t="s">
        <v>2677</v>
      </c>
      <c r="M4038" t="s">
        <v>32145</v>
      </c>
    </row>
    <row r="4039" spans="1:13" x14ac:dyDescent="0.25">
      <c r="A4039" t="s">
        <v>20692</v>
      </c>
      <c r="B4039" t="s">
        <v>13</v>
      </c>
      <c r="C4039" s="1">
        <v>43258</v>
      </c>
      <c r="D4039" t="s">
        <v>20693</v>
      </c>
      <c r="E4039" s="2" t="s">
        <v>32017</v>
      </c>
      <c r="F4039" t="s">
        <v>1464</v>
      </c>
      <c r="G4039" t="s">
        <v>20694</v>
      </c>
      <c r="H4039" t="s">
        <v>462</v>
      </c>
      <c r="I4039" t="s">
        <v>19</v>
      </c>
      <c r="J4039" s="3">
        <f>55-44-30115026</f>
        <v>-30115015</v>
      </c>
      <c r="K4039" t="s">
        <v>20695</v>
      </c>
      <c r="L4039" t="s">
        <v>20696</v>
      </c>
      <c r="M4039" t="s">
        <v>32145</v>
      </c>
    </row>
    <row r="4040" spans="1:13" x14ac:dyDescent="0.25">
      <c r="A4040" t="s">
        <v>5564</v>
      </c>
      <c r="B4040" t="s">
        <v>13</v>
      </c>
      <c r="C4040" t="s">
        <v>5565</v>
      </c>
      <c r="D4040" t="s">
        <v>32135</v>
      </c>
      <c r="E4040" s="2" t="s">
        <v>31777</v>
      </c>
      <c r="F4040" t="s">
        <v>5566</v>
      </c>
      <c r="G4040" t="s">
        <v>5567</v>
      </c>
      <c r="H4040" t="s">
        <v>1037</v>
      </c>
      <c r="I4040" t="s">
        <v>19</v>
      </c>
      <c r="J4040" s="3">
        <f>55-32-988560803</f>
        <v>-988560780</v>
      </c>
      <c r="K4040" t="s">
        <v>5568</v>
      </c>
      <c r="L4040" t="s">
        <v>32135</v>
      </c>
      <c r="M4040" t="s">
        <v>32145</v>
      </c>
    </row>
    <row r="4041" spans="1:13" x14ac:dyDescent="0.25">
      <c r="A4041" t="s">
        <v>29230</v>
      </c>
      <c r="B4041" t="s">
        <v>13</v>
      </c>
      <c r="C4041" s="1">
        <v>41529</v>
      </c>
      <c r="D4041" t="s">
        <v>29231</v>
      </c>
      <c r="E4041" t="s">
        <v>29232</v>
      </c>
      <c r="F4041" t="s">
        <v>2947</v>
      </c>
      <c r="G4041" t="s">
        <v>29233</v>
      </c>
      <c r="H4041" t="s">
        <v>428</v>
      </c>
      <c r="I4041" t="s">
        <v>19</v>
      </c>
      <c r="J4041" s="3" t="s">
        <v>29234</v>
      </c>
      <c r="K4041" t="s">
        <v>29235</v>
      </c>
      <c r="L4041" t="s">
        <v>29236</v>
      </c>
      <c r="M4041" t="s">
        <v>32145</v>
      </c>
    </row>
    <row r="4042" spans="1:13" x14ac:dyDescent="0.25">
      <c r="A4042" t="s">
        <v>21601</v>
      </c>
      <c r="B4042" t="s">
        <v>13</v>
      </c>
      <c r="C4042" s="1">
        <v>43317</v>
      </c>
      <c r="D4042" t="s">
        <v>21602</v>
      </c>
      <c r="E4042" s="2" t="s">
        <v>31877</v>
      </c>
      <c r="F4042" t="s">
        <v>306</v>
      </c>
      <c r="G4042" t="s">
        <v>21603</v>
      </c>
      <c r="H4042" t="s">
        <v>7612</v>
      </c>
      <c r="I4042" t="s">
        <v>19</v>
      </c>
      <c r="J4042" s="3" t="s">
        <v>21604</v>
      </c>
      <c r="K4042" t="s">
        <v>21605</v>
      </c>
      <c r="L4042" t="s">
        <v>21606</v>
      </c>
      <c r="M4042" t="s">
        <v>32145</v>
      </c>
    </row>
    <row r="4043" spans="1:13" x14ac:dyDescent="0.25">
      <c r="A4043" t="s">
        <v>7086</v>
      </c>
      <c r="B4043" t="s">
        <v>13</v>
      </c>
      <c r="C4043" t="s">
        <v>6006</v>
      </c>
      <c r="D4043" t="s">
        <v>32135</v>
      </c>
      <c r="E4043" t="s">
        <v>7087</v>
      </c>
      <c r="F4043" t="s">
        <v>395</v>
      </c>
      <c r="G4043" t="s">
        <v>7088</v>
      </c>
      <c r="H4043" t="s">
        <v>7089</v>
      </c>
      <c r="I4043" t="s">
        <v>19</v>
      </c>
      <c r="J4043" s="3">
        <f>55-37-988456679</f>
        <v>-988456661</v>
      </c>
      <c r="K4043" t="s">
        <v>7090</v>
      </c>
      <c r="L4043" t="s">
        <v>32135</v>
      </c>
      <c r="M4043" t="s">
        <v>32145</v>
      </c>
    </row>
    <row r="4044" spans="1:13" x14ac:dyDescent="0.25">
      <c r="A4044" t="s">
        <v>1172</v>
      </c>
      <c r="B4044" t="s">
        <v>13</v>
      </c>
      <c r="C4044" t="s">
        <v>1173</v>
      </c>
      <c r="D4044" t="s">
        <v>1174</v>
      </c>
      <c r="E4044" s="2" t="s">
        <v>30700</v>
      </c>
      <c r="F4044" t="s">
        <v>396</v>
      </c>
      <c r="G4044" t="s">
        <v>1175</v>
      </c>
      <c r="H4044" t="s">
        <v>927</v>
      </c>
      <c r="I4044" t="s">
        <v>19</v>
      </c>
      <c r="J4044" s="3" t="s">
        <v>1176</v>
      </c>
      <c r="K4044" t="s">
        <v>1177</v>
      </c>
      <c r="L4044" t="s">
        <v>439</v>
      </c>
      <c r="M4044" t="s">
        <v>32145</v>
      </c>
    </row>
    <row r="4045" spans="1:13" x14ac:dyDescent="0.25">
      <c r="A4045" t="s">
        <v>25825</v>
      </c>
      <c r="B4045" t="s">
        <v>13</v>
      </c>
      <c r="C4045" t="s">
        <v>25821</v>
      </c>
      <c r="D4045" t="s">
        <v>25826</v>
      </c>
      <c r="E4045" t="s">
        <v>25827</v>
      </c>
      <c r="F4045" t="s">
        <v>2947</v>
      </c>
      <c r="G4045" t="s">
        <v>25828</v>
      </c>
      <c r="H4045" t="s">
        <v>36</v>
      </c>
      <c r="I4045" t="s">
        <v>19</v>
      </c>
      <c r="J4045" s="3" t="s">
        <v>25829</v>
      </c>
      <c r="K4045" t="s">
        <v>25830</v>
      </c>
      <c r="L4045" t="s">
        <v>8044</v>
      </c>
      <c r="M4045" t="s">
        <v>32145</v>
      </c>
    </row>
    <row r="4046" spans="1:13" x14ac:dyDescent="0.25">
      <c r="A4046" t="s">
        <v>3419</v>
      </c>
      <c r="B4046" t="s">
        <v>13</v>
      </c>
      <c r="C4046" s="1">
        <v>44810</v>
      </c>
      <c r="D4046" t="s">
        <v>3420</v>
      </c>
      <c r="E4046" t="s">
        <v>3421</v>
      </c>
      <c r="F4046" t="s">
        <v>3422</v>
      </c>
      <c r="G4046" t="s">
        <v>2752</v>
      </c>
      <c r="H4046" t="s">
        <v>1090</v>
      </c>
      <c r="I4046" t="s">
        <v>19</v>
      </c>
      <c r="J4046" s="3" t="s">
        <v>3423</v>
      </c>
      <c r="K4046" t="s">
        <v>2753</v>
      </c>
      <c r="L4046" t="s">
        <v>1092</v>
      </c>
      <c r="M4046" t="s">
        <v>1775</v>
      </c>
    </row>
    <row r="4047" spans="1:13" x14ac:dyDescent="0.25">
      <c r="A4047" t="s">
        <v>10188</v>
      </c>
      <c r="B4047" t="s">
        <v>13</v>
      </c>
      <c r="C4047" t="s">
        <v>8861</v>
      </c>
      <c r="D4047" t="s">
        <v>10189</v>
      </c>
      <c r="E4047" s="2" t="s">
        <v>30985</v>
      </c>
      <c r="F4047" t="s">
        <v>1464</v>
      </c>
      <c r="G4047" t="s">
        <v>9585</v>
      </c>
      <c r="H4047" t="s">
        <v>2440</v>
      </c>
      <c r="I4047" t="s">
        <v>19</v>
      </c>
      <c r="J4047" s="3">
        <f>55-62-996748632</f>
        <v>-996748639</v>
      </c>
      <c r="K4047" t="s">
        <v>9586</v>
      </c>
      <c r="L4047" t="s">
        <v>9587</v>
      </c>
      <c r="M4047" t="s">
        <v>32144</v>
      </c>
    </row>
    <row r="4048" spans="1:13" x14ac:dyDescent="0.25">
      <c r="A4048" t="s">
        <v>7758</v>
      </c>
      <c r="B4048" t="s">
        <v>13</v>
      </c>
      <c r="C4048" s="1">
        <v>43652</v>
      </c>
      <c r="D4048" t="s">
        <v>7759</v>
      </c>
      <c r="E4048" s="2" t="s">
        <v>32104</v>
      </c>
      <c r="F4048" t="s">
        <v>2947</v>
      </c>
      <c r="G4048" t="s">
        <v>7760</v>
      </c>
      <c r="H4048" t="s">
        <v>409</v>
      </c>
      <c r="I4048" t="s">
        <v>19</v>
      </c>
      <c r="J4048" s="3" t="s">
        <v>7761</v>
      </c>
      <c r="K4048" t="s">
        <v>7762</v>
      </c>
      <c r="L4048" t="s">
        <v>7763</v>
      </c>
      <c r="M4048" t="s">
        <v>771</v>
      </c>
    </row>
    <row r="4049" spans="1:13" x14ac:dyDescent="0.25">
      <c r="A4049" t="s">
        <v>13081</v>
      </c>
      <c r="B4049" t="s">
        <v>13</v>
      </c>
      <c r="C4049" s="1">
        <v>44077</v>
      </c>
      <c r="D4049" t="s">
        <v>13082</v>
      </c>
      <c r="E4049" s="2" t="s">
        <v>31548</v>
      </c>
      <c r="F4049" t="s">
        <v>1464</v>
      </c>
      <c r="G4049" t="s">
        <v>13083</v>
      </c>
      <c r="H4049" t="s">
        <v>1335</v>
      </c>
      <c r="I4049" t="s">
        <v>19</v>
      </c>
      <c r="J4049" s="3">
        <f>55433371-5455</f>
        <v>55427916</v>
      </c>
      <c r="K4049" t="s">
        <v>13084</v>
      </c>
      <c r="L4049" t="s">
        <v>1461</v>
      </c>
      <c r="M4049" t="s">
        <v>129</v>
      </c>
    </row>
    <row r="4050" spans="1:13" x14ac:dyDescent="0.25">
      <c r="A4050" t="s">
        <v>10584</v>
      </c>
      <c r="B4050" t="s">
        <v>13</v>
      </c>
      <c r="C4050" s="1">
        <v>43990</v>
      </c>
      <c r="D4050" t="s">
        <v>10585</v>
      </c>
      <c r="E4050" s="2" t="s">
        <v>30999</v>
      </c>
      <c r="F4050" t="s">
        <v>306</v>
      </c>
      <c r="G4050" t="s">
        <v>10586</v>
      </c>
      <c r="H4050" t="s">
        <v>352</v>
      </c>
      <c r="I4050" t="s">
        <v>19</v>
      </c>
      <c r="J4050" s="3">
        <v>552125995452</v>
      </c>
      <c r="K4050" t="s">
        <v>10587</v>
      </c>
      <c r="L4050" t="s">
        <v>10588</v>
      </c>
      <c r="M4050" t="s">
        <v>32145</v>
      </c>
    </row>
    <row r="4051" spans="1:13" x14ac:dyDescent="0.25">
      <c r="A4051" t="s">
        <v>18131</v>
      </c>
      <c r="B4051" t="s">
        <v>13</v>
      </c>
      <c r="C4051" t="s">
        <v>9547</v>
      </c>
      <c r="D4051" t="s">
        <v>18132</v>
      </c>
      <c r="E4051" s="2" t="s">
        <v>32066</v>
      </c>
      <c r="F4051" t="s">
        <v>2758</v>
      </c>
      <c r="G4051" t="s">
        <v>7760</v>
      </c>
      <c r="H4051" t="s">
        <v>409</v>
      </c>
      <c r="I4051" t="s">
        <v>19</v>
      </c>
      <c r="J4051" s="3" t="s">
        <v>7761</v>
      </c>
      <c r="K4051" t="s">
        <v>7762</v>
      </c>
      <c r="L4051" t="s">
        <v>7763</v>
      </c>
      <c r="M4051" t="s">
        <v>32149</v>
      </c>
    </row>
    <row r="4052" spans="1:13" x14ac:dyDescent="0.25">
      <c r="A4052" t="s">
        <v>16361</v>
      </c>
      <c r="B4052" t="s">
        <v>101</v>
      </c>
      <c r="C4052" s="1">
        <v>43078</v>
      </c>
      <c r="D4052" t="s">
        <v>16362</v>
      </c>
      <c r="E4052" s="2" t="s">
        <v>31794</v>
      </c>
      <c r="F4052" t="s">
        <v>1464</v>
      </c>
      <c r="G4052" t="s">
        <v>16363</v>
      </c>
      <c r="H4052" t="s">
        <v>1802</v>
      </c>
      <c r="I4052" t="s">
        <v>19</v>
      </c>
      <c r="J4052" s="3">
        <v>5514997933860</v>
      </c>
      <c r="K4052" t="s">
        <v>16364</v>
      </c>
      <c r="L4052" t="s">
        <v>2621</v>
      </c>
      <c r="M4052" t="s">
        <v>32145</v>
      </c>
    </row>
    <row r="4053" spans="1:13" x14ac:dyDescent="0.25">
      <c r="A4053" t="s">
        <v>20634</v>
      </c>
      <c r="B4053" t="s">
        <v>13</v>
      </c>
      <c r="C4053" s="1">
        <v>43380</v>
      </c>
      <c r="D4053" t="s">
        <v>20635</v>
      </c>
      <c r="E4053" s="2" t="s">
        <v>31260</v>
      </c>
      <c r="F4053" t="s">
        <v>1464</v>
      </c>
      <c r="G4053" t="s">
        <v>20636</v>
      </c>
      <c r="H4053" t="s">
        <v>1949</v>
      </c>
      <c r="I4053" t="s">
        <v>19</v>
      </c>
      <c r="J4053" s="3" t="s">
        <v>20637</v>
      </c>
      <c r="K4053" t="s">
        <v>20638</v>
      </c>
      <c r="L4053" t="s">
        <v>3250</v>
      </c>
      <c r="M4053" t="s">
        <v>32145</v>
      </c>
    </row>
    <row r="4054" spans="1:13" x14ac:dyDescent="0.25">
      <c r="A4054" t="s">
        <v>6828</v>
      </c>
      <c r="B4054" t="s">
        <v>13</v>
      </c>
      <c r="C4054" s="1">
        <v>43536</v>
      </c>
      <c r="D4054" t="s">
        <v>6829</v>
      </c>
      <c r="E4054" s="2" t="s">
        <v>30910</v>
      </c>
      <c r="F4054" t="s">
        <v>2036</v>
      </c>
      <c r="G4054" t="s">
        <v>6830</v>
      </c>
      <c r="H4054" t="s">
        <v>6831</v>
      </c>
      <c r="I4054" t="s">
        <v>19</v>
      </c>
      <c r="J4054" s="3">
        <v>55549919038843</v>
      </c>
      <c r="K4054" t="s">
        <v>6832</v>
      </c>
      <c r="L4054" t="s">
        <v>6833</v>
      </c>
      <c r="M4054" t="s">
        <v>57</v>
      </c>
    </row>
    <row r="4055" spans="1:13" x14ac:dyDescent="0.25">
      <c r="A4055" t="s">
        <v>14883</v>
      </c>
      <c r="B4055" t="s">
        <v>13</v>
      </c>
      <c r="C4055" t="s">
        <v>14813</v>
      </c>
      <c r="D4055" t="s">
        <v>14884</v>
      </c>
      <c r="E4055" s="2" t="s">
        <v>32539</v>
      </c>
      <c r="F4055" t="s">
        <v>306</v>
      </c>
      <c r="G4055" t="s">
        <v>14886</v>
      </c>
      <c r="H4055" t="s">
        <v>9927</v>
      </c>
      <c r="I4055" t="s">
        <v>19</v>
      </c>
      <c r="J4055" s="3">
        <f>55-84-33429807</f>
        <v>-33429836</v>
      </c>
      <c r="K4055" t="s">
        <v>14887</v>
      </c>
      <c r="L4055" t="s">
        <v>764</v>
      </c>
      <c r="M4055" t="s">
        <v>32145</v>
      </c>
    </row>
    <row r="4056" spans="1:13" x14ac:dyDescent="0.25">
      <c r="A4056" t="s">
        <v>21415</v>
      </c>
      <c r="B4056" t="s">
        <v>13</v>
      </c>
      <c r="C4056" t="s">
        <v>21416</v>
      </c>
      <c r="D4056" t="s">
        <v>21417</v>
      </c>
      <c r="E4056" t="s">
        <v>21418</v>
      </c>
      <c r="F4056" t="s">
        <v>6072</v>
      </c>
      <c r="G4056" t="s">
        <v>21419</v>
      </c>
      <c r="H4056" t="s">
        <v>36</v>
      </c>
      <c r="I4056" t="s">
        <v>19</v>
      </c>
      <c r="J4056" s="3" t="s">
        <v>21420</v>
      </c>
      <c r="K4056" t="s">
        <v>21421</v>
      </c>
      <c r="L4056" t="s">
        <v>21419</v>
      </c>
      <c r="M4056" t="s">
        <v>432</v>
      </c>
    </row>
    <row r="4057" spans="1:13" x14ac:dyDescent="0.25">
      <c r="A4057" t="s">
        <v>18264</v>
      </c>
      <c r="B4057" t="s">
        <v>13</v>
      </c>
      <c r="C4057" t="s">
        <v>9845</v>
      </c>
      <c r="D4057" t="s">
        <v>18265</v>
      </c>
      <c r="E4057" t="s">
        <v>18266</v>
      </c>
      <c r="F4057" t="s">
        <v>2947</v>
      </c>
      <c r="G4057" t="s">
        <v>12756</v>
      </c>
      <c r="H4057" t="s">
        <v>255</v>
      </c>
      <c r="I4057" t="s">
        <v>19</v>
      </c>
      <c r="J4057" s="3">
        <f>55-62-981595962</f>
        <v>-981595969</v>
      </c>
      <c r="K4057" t="s">
        <v>12757</v>
      </c>
      <c r="L4057" t="s">
        <v>2467</v>
      </c>
      <c r="M4057" t="s">
        <v>771</v>
      </c>
    </row>
    <row r="4058" spans="1:13" x14ac:dyDescent="0.25">
      <c r="A4058" t="s">
        <v>29590</v>
      </c>
      <c r="B4058" t="s">
        <v>13</v>
      </c>
      <c r="C4058" s="1">
        <v>41493</v>
      </c>
      <c r="D4058" t="s">
        <v>29591</v>
      </c>
      <c r="E4058" t="s">
        <v>29592</v>
      </c>
      <c r="F4058" t="s">
        <v>2947</v>
      </c>
      <c r="G4058" t="s">
        <v>29593</v>
      </c>
      <c r="H4058" t="s">
        <v>1215</v>
      </c>
      <c r="I4058" t="s">
        <v>19</v>
      </c>
      <c r="J4058" s="3" t="s">
        <v>29594</v>
      </c>
      <c r="K4058" t="s">
        <v>29595</v>
      </c>
      <c r="L4058" t="s">
        <v>29596</v>
      </c>
      <c r="M4058" t="s">
        <v>771</v>
      </c>
    </row>
    <row r="4059" spans="1:13" x14ac:dyDescent="0.25">
      <c r="A4059" t="s">
        <v>17560</v>
      </c>
      <c r="B4059" t="s">
        <v>101</v>
      </c>
      <c r="C4059" s="1">
        <v>43501</v>
      </c>
      <c r="D4059" t="s">
        <v>17561</v>
      </c>
      <c r="E4059" s="2" t="s">
        <v>31180</v>
      </c>
      <c r="F4059" t="s">
        <v>332</v>
      </c>
      <c r="G4059" t="s">
        <v>17562</v>
      </c>
      <c r="H4059" t="s">
        <v>265</v>
      </c>
      <c r="I4059" t="s">
        <v>19</v>
      </c>
      <c r="J4059" s="3">
        <f>55-16-33150479</f>
        <v>-33150440</v>
      </c>
      <c r="K4059" t="s">
        <v>17563</v>
      </c>
      <c r="L4059" t="s">
        <v>17564</v>
      </c>
      <c r="M4059" t="s">
        <v>337</v>
      </c>
    </row>
    <row r="4060" spans="1:13" x14ac:dyDescent="0.25">
      <c r="A4060" t="s">
        <v>30162</v>
      </c>
      <c r="B4060" t="s">
        <v>13</v>
      </c>
      <c r="C4060" t="s">
        <v>14184</v>
      </c>
      <c r="D4060" t="s">
        <v>30163</v>
      </c>
      <c r="E4060" t="s">
        <v>30164</v>
      </c>
      <c r="F4060" t="s">
        <v>2036</v>
      </c>
      <c r="G4060" t="s">
        <v>10440</v>
      </c>
      <c r="H4060" t="s">
        <v>150</v>
      </c>
      <c r="I4060" t="s">
        <v>19</v>
      </c>
      <c r="J4060" s="3" t="s">
        <v>30165</v>
      </c>
      <c r="K4060" t="s">
        <v>10442</v>
      </c>
      <c r="L4060" t="s">
        <v>14188</v>
      </c>
      <c r="M4060" t="s">
        <v>57</v>
      </c>
    </row>
    <row r="4061" spans="1:13" x14ac:dyDescent="0.25">
      <c r="A4061" t="s">
        <v>24088</v>
      </c>
      <c r="B4061" t="s">
        <v>13</v>
      </c>
      <c r="C4061" t="s">
        <v>24089</v>
      </c>
      <c r="D4061" t="s">
        <v>24090</v>
      </c>
      <c r="E4061" t="s">
        <v>160</v>
      </c>
      <c r="F4061" t="s">
        <v>1464</v>
      </c>
      <c r="G4061" t="s">
        <v>24091</v>
      </c>
      <c r="H4061" t="s">
        <v>36</v>
      </c>
      <c r="I4061" t="s">
        <v>19</v>
      </c>
      <c r="J4061" s="3" t="s">
        <v>24092</v>
      </c>
      <c r="K4061" t="s">
        <v>24093</v>
      </c>
      <c r="L4061" t="s">
        <v>9723</v>
      </c>
      <c r="M4061" t="s">
        <v>6656</v>
      </c>
    </row>
    <row r="4062" spans="1:13" x14ac:dyDescent="0.25">
      <c r="A4062" t="s">
        <v>26159</v>
      </c>
      <c r="B4062" t="s">
        <v>13</v>
      </c>
      <c r="C4062" t="s">
        <v>23624</v>
      </c>
      <c r="D4062" t="s">
        <v>26160</v>
      </c>
      <c r="E4062" t="s">
        <v>5111</v>
      </c>
      <c r="F4062" t="s">
        <v>1464</v>
      </c>
      <c r="G4062" t="s">
        <v>26161</v>
      </c>
      <c r="H4062" t="s">
        <v>1656</v>
      </c>
      <c r="I4062" t="s">
        <v>19</v>
      </c>
      <c r="J4062" s="3" t="s">
        <v>26162</v>
      </c>
      <c r="K4062" t="s">
        <v>26163</v>
      </c>
      <c r="L4062" t="s">
        <v>19137</v>
      </c>
      <c r="M4062" t="s">
        <v>32147</v>
      </c>
    </row>
    <row r="4063" spans="1:13" x14ac:dyDescent="0.25">
      <c r="A4063" t="s">
        <v>16621</v>
      </c>
      <c r="B4063" t="s">
        <v>13</v>
      </c>
      <c r="C4063" t="s">
        <v>16616</v>
      </c>
      <c r="D4063" t="s">
        <v>16622</v>
      </c>
      <c r="E4063" t="s">
        <v>160</v>
      </c>
      <c r="F4063" t="s">
        <v>1464</v>
      </c>
      <c r="G4063" t="s">
        <v>16623</v>
      </c>
      <c r="H4063" t="s">
        <v>3490</v>
      </c>
      <c r="I4063" t="s">
        <v>19</v>
      </c>
      <c r="J4063" s="3">
        <v>55079999695524</v>
      </c>
      <c r="K4063" t="s">
        <v>16624</v>
      </c>
      <c r="L4063" t="s">
        <v>82</v>
      </c>
      <c r="M4063" t="s">
        <v>1775</v>
      </c>
    </row>
    <row r="4064" spans="1:13" x14ac:dyDescent="0.25">
      <c r="A4064" t="s">
        <v>9288</v>
      </c>
      <c r="B4064" t="s">
        <v>13</v>
      </c>
      <c r="C4064" s="1">
        <v>44053</v>
      </c>
      <c r="D4064" t="s">
        <v>9289</v>
      </c>
      <c r="E4064" t="s">
        <v>160</v>
      </c>
      <c r="F4064" t="s">
        <v>1464</v>
      </c>
      <c r="G4064" t="s">
        <v>9290</v>
      </c>
      <c r="H4064" t="s">
        <v>428</v>
      </c>
      <c r="I4064" t="s">
        <v>19</v>
      </c>
      <c r="J4064" s="3">
        <f>55-51-996412212</f>
        <v>-996412208</v>
      </c>
      <c r="K4064" t="s">
        <v>9291</v>
      </c>
      <c r="L4064" t="s">
        <v>9145</v>
      </c>
      <c r="M4064" t="s">
        <v>1775</v>
      </c>
    </row>
    <row r="4065" spans="1:13" x14ac:dyDescent="0.25">
      <c r="A4065" t="s">
        <v>28871</v>
      </c>
      <c r="B4065" t="s">
        <v>13</v>
      </c>
      <c r="C4065" s="1">
        <v>41680</v>
      </c>
      <c r="D4065" t="s">
        <v>28872</v>
      </c>
      <c r="E4065" t="s">
        <v>28873</v>
      </c>
      <c r="F4065" t="s">
        <v>28874</v>
      </c>
      <c r="G4065" t="s">
        <v>28875</v>
      </c>
      <c r="H4065" t="s">
        <v>28876</v>
      </c>
      <c r="I4065" t="s">
        <v>19</v>
      </c>
      <c r="J4065" s="3" t="s">
        <v>28877</v>
      </c>
      <c r="K4065" t="s">
        <v>28878</v>
      </c>
      <c r="L4065" t="s">
        <v>28879</v>
      </c>
      <c r="M4065" t="s">
        <v>6656</v>
      </c>
    </row>
    <row r="4066" spans="1:13" x14ac:dyDescent="0.25">
      <c r="A4066" t="s">
        <v>874</v>
      </c>
      <c r="B4066" t="s">
        <v>13</v>
      </c>
      <c r="C4066" t="s">
        <v>871</v>
      </c>
      <c r="D4066" t="s">
        <v>875</v>
      </c>
      <c r="E4066" t="s">
        <v>160</v>
      </c>
      <c r="F4066" t="s">
        <v>876</v>
      </c>
      <c r="G4066" t="s">
        <v>877</v>
      </c>
      <c r="H4066" t="s">
        <v>472</v>
      </c>
      <c r="I4066" t="s">
        <v>19</v>
      </c>
      <c r="J4066" s="3" t="s">
        <v>878</v>
      </c>
      <c r="K4066" t="s">
        <v>879</v>
      </c>
      <c r="L4066" t="s">
        <v>475</v>
      </c>
      <c r="M4066" t="s">
        <v>337</v>
      </c>
    </row>
    <row r="4067" spans="1:13" x14ac:dyDescent="0.25">
      <c r="A4067" t="s">
        <v>18817</v>
      </c>
      <c r="B4067" t="s">
        <v>13</v>
      </c>
      <c r="C4067" s="1">
        <v>43416</v>
      </c>
      <c r="D4067" t="s">
        <v>18818</v>
      </c>
      <c r="E4067" t="s">
        <v>18819</v>
      </c>
      <c r="F4067" t="s">
        <v>1464</v>
      </c>
      <c r="G4067" t="s">
        <v>18820</v>
      </c>
      <c r="H4067" t="s">
        <v>18</v>
      </c>
      <c r="I4067" t="s">
        <v>19</v>
      </c>
      <c r="J4067" s="3">
        <v>5519992362882</v>
      </c>
      <c r="K4067" t="s">
        <v>18821</v>
      </c>
      <c r="L4067" t="s">
        <v>18822</v>
      </c>
      <c r="M4067" t="s">
        <v>57</v>
      </c>
    </row>
    <row r="4068" spans="1:13" x14ac:dyDescent="0.25">
      <c r="A4068" t="s">
        <v>29093</v>
      </c>
      <c r="B4068" t="s">
        <v>13</v>
      </c>
      <c r="C4068" t="s">
        <v>29089</v>
      </c>
      <c r="D4068" t="s">
        <v>29094</v>
      </c>
      <c r="E4068" t="s">
        <v>29095</v>
      </c>
      <c r="F4068" t="s">
        <v>6656</v>
      </c>
      <c r="G4068" t="s">
        <v>29096</v>
      </c>
      <c r="H4068" t="s">
        <v>265</v>
      </c>
      <c r="I4068" t="s">
        <v>19</v>
      </c>
      <c r="J4068" s="3" t="s">
        <v>29097</v>
      </c>
      <c r="K4068" t="s">
        <v>29098</v>
      </c>
      <c r="L4068" t="s">
        <v>29099</v>
      </c>
      <c r="M4068" t="s">
        <v>6656</v>
      </c>
    </row>
    <row r="4069" spans="1:13" x14ac:dyDescent="0.25">
      <c r="A4069" t="s">
        <v>27658</v>
      </c>
      <c r="B4069" t="s">
        <v>13</v>
      </c>
      <c r="C4069" s="1">
        <v>42316</v>
      </c>
      <c r="D4069" t="s">
        <v>27659</v>
      </c>
      <c r="E4069" t="s">
        <v>27660</v>
      </c>
      <c r="F4069" t="s">
        <v>1129</v>
      </c>
      <c r="G4069" t="s">
        <v>22518</v>
      </c>
      <c r="H4069" t="s">
        <v>114</v>
      </c>
      <c r="I4069" t="s">
        <v>19</v>
      </c>
      <c r="J4069" s="3" t="s">
        <v>22519</v>
      </c>
      <c r="K4069" t="s">
        <v>13949</v>
      </c>
      <c r="L4069" t="s">
        <v>82</v>
      </c>
      <c r="M4069" t="s">
        <v>224</v>
      </c>
    </row>
    <row r="4070" spans="1:13" x14ac:dyDescent="0.25">
      <c r="A4070" t="s">
        <v>18899</v>
      </c>
      <c r="B4070" t="s">
        <v>13</v>
      </c>
      <c r="C4070" s="1">
        <v>43143</v>
      </c>
      <c r="D4070" t="s">
        <v>18900</v>
      </c>
      <c r="E4070" t="s">
        <v>18901</v>
      </c>
      <c r="F4070" t="s">
        <v>9969</v>
      </c>
      <c r="G4070" t="s">
        <v>18902</v>
      </c>
      <c r="H4070" t="s">
        <v>5543</v>
      </c>
      <c r="I4070" t="s">
        <v>19</v>
      </c>
      <c r="J4070" s="3">
        <v>551636021140</v>
      </c>
      <c r="K4070" t="s">
        <v>18903</v>
      </c>
      <c r="L4070" t="s">
        <v>18904</v>
      </c>
      <c r="M4070" t="s">
        <v>32149</v>
      </c>
    </row>
    <row r="4071" spans="1:13" x14ac:dyDescent="0.25">
      <c r="A4071" t="s">
        <v>24437</v>
      </c>
      <c r="B4071" t="s">
        <v>13</v>
      </c>
      <c r="C4071" s="1">
        <v>42829</v>
      </c>
      <c r="D4071" t="s">
        <v>24438</v>
      </c>
      <c r="E4071" t="s">
        <v>24439</v>
      </c>
      <c r="F4071" t="s">
        <v>1464</v>
      </c>
      <c r="G4071" t="s">
        <v>15987</v>
      </c>
      <c r="H4071" t="s">
        <v>45</v>
      </c>
      <c r="I4071" t="s">
        <v>19</v>
      </c>
      <c r="J4071" s="3" t="s">
        <v>24440</v>
      </c>
      <c r="K4071" t="s">
        <v>24441</v>
      </c>
      <c r="L4071" t="s">
        <v>48</v>
      </c>
      <c r="M4071" t="s">
        <v>6656</v>
      </c>
    </row>
    <row r="4072" spans="1:13" x14ac:dyDescent="0.25">
      <c r="A4072" t="s">
        <v>28173</v>
      </c>
      <c r="B4072" t="s">
        <v>101</v>
      </c>
      <c r="C4072" t="s">
        <v>28160</v>
      </c>
      <c r="D4072" t="s">
        <v>28174</v>
      </c>
      <c r="E4072" t="s">
        <v>28175</v>
      </c>
      <c r="F4072" t="s">
        <v>1464</v>
      </c>
      <c r="G4072" t="s">
        <v>1081</v>
      </c>
      <c r="H4072" t="s">
        <v>489</v>
      </c>
      <c r="I4072" t="s">
        <v>19</v>
      </c>
      <c r="J4072" s="3" t="s">
        <v>25160</v>
      </c>
      <c r="K4072" t="s">
        <v>11449</v>
      </c>
      <c r="L4072" t="s">
        <v>625</v>
      </c>
      <c r="M4072" t="s">
        <v>57</v>
      </c>
    </row>
    <row r="4073" spans="1:13" x14ac:dyDescent="0.25">
      <c r="A4073" t="s">
        <v>8713</v>
      </c>
      <c r="B4073" t="s">
        <v>13</v>
      </c>
      <c r="C4073" s="1">
        <v>43561</v>
      </c>
      <c r="D4073" t="s">
        <v>8714</v>
      </c>
      <c r="E4073" s="2" t="s">
        <v>31999</v>
      </c>
      <c r="F4073" t="s">
        <v>1464</v>
      </c>
      <c r="G4073" t="s">
        <v>8715</v>
      </c>
      <c r="H4073" t="s">
        <v>409</v>
      </c>
      <c r="I4073" t="s">
        <v>19</v>
      </c>
      <c r="J4073" s="3" t="s">
        <v>8716</v>
      </c>
      <c r="K4073" t="s">
        <v>8717</v>
      </c>
      <c r="L4073" t="s">
        <v>412</v>
      </c>
      <c r="M4073" t="s">
        <v>32144</v>
      </c>
    </row>
    <row r="4074" spans="1:13" x14ac:dyDescent="0.25">
      <c r="A4074" t="s">
        <v>21200</v>
      </c>
      <c r="B4074" t="s">
        <v>13</v>
      </c>
      <c r="C4074" t="s">
        <v>21193</v>
      </c>
      <c r="D4074" t="s">
        <v>21201</v>
      </c>
      <c r="E4074" s="2" t="s">
        <v>31283</v>
      </c>
      <c r="F4074" t="s">
        <v>2036</v>
      </c>
      <c r="G4074" t="s">
        <v>892</v>
      </c>
      <c r="H4074" t="s">
        <v>4236</v>
      </c>
      <c r="I4074" t="s">
        <v>19</v>
      </c>
      <c r="J4074" s="3">
        <v>5598988522021</v>
      </c>
      <c r="K4074" t="s">
        <v>895</v>
      </c>
      <c r="L4074" t="s">
        <v>896</v>
      </c>
      <c r="M4074" t="s">
        <v>57</v>
      </c>
    </row>
    <row r="4075" spans="1:13" x14ac:dyDescent="0.25">
      <c r="A4075" t="s">
        <v>24304</v>
      </c>
      <c r="B4075" t="s">
        <v>13</v>
      </c>
      <c r="C4075" s="1">
        <v>43044</v>
      </c>
      <c r="D4075" t="s">
        <v>24305</v>
      </c>
      <c r="E4075" t="s">
        <v>24306</v>
      </c>
      <c r="F4075" t="s">
        <v>332</v>
      </c>
      <c r="G4075" t="s">
        <v>24307</v>
      </c>
      <c r="H4075" t="s">
        <v>372</v>
      </c>
      <c r="I4075" t="s">
        <v>19</v>
      </c>
      <c r="J4075" s="3" t="s">
        <v>24308</v>
      </c>
      <c r="K4075" t="s">
        <v>24309</v>
      </c>
      <c r="L4075" t="s">
        <v>9980</v>
      </c>
      <c r="M4075" t="s">
        <v>337</v>
      </c>
    </row>
    <row r="4076" spans="1:13" x14ac:dyDescent="0.25">
      <c r="A4076" t="s">
        <v>28893</v>
      </c>
      <c r="B4076" t="s">
        <v>13</v>
      </c>
      <c r="C4076" t="s">
        <v>28894</v>
      </c>
      <c r="D4076" t="s">
        <v>28895</v>
      </c>
      <c r="E4076" t="s">
        <v>28896</v>
      </c>
      <c r="F4076" t="s">
        <v>57</v>
      </c>
      <c r="G4076" t="s">
        <v>28897</v>
      </c>
      <c r="H4076" t="s">
        <v>352</v>
      </c>
      <c r="I4076" t="s">
        <v>19</v>
      </c>
      <c r="J4076" s="3" t="s">
        <v>28587</v>
      </c>
      <c r="K4076" t="s">
        <v>28898</v>
      </c>
      <c r="L4076" t="s">
        <v>28589</v>
      </c>
      <c r="M4076" t="s">
        <v>57</v>
      </c>
    </row>
    <row r="4077" spans="1:13" x14ac:dyDescent="0.25">
      <c r="A4077" t="s">
        <v>18782</v>
      </c>
      <c r="B4077" t="s">
        <v>13</v>
      </c>
      <c r="C4077" t="s">
        <v>17484</v>
      </c>
      <c r="D4077" t="s">
        <v>18783</v>
      </c>
      <c r="E4077" t="s">
        <v>18784</v>
      </c>
      <c r="F4077" t="s">
        <v>1464</v>
      </c>
      <c r="G4077" t="s">
        <v>18785</v>
      </c>
      <c r="H4077" t="s">
        <v>18786</v>
      </c>
      <c r="I4077" t="s">
        <v>19</v>
      </c>
      <c r="J4077" s="3">
        <f>55-75-998215633</f>
        <v>-998215653</v>
      </c>
      <c r="K4077" t="s">
        <v>18787</v>
      </c>
      <c r="L4077" t="s">
        <v>82</v>
      </c>
      <c r="M4077" t="s">
        <v>1775</v>
      </c>
    </row>
    <row r="4078" spans="1:13" x14ac:dyDescent="0.25">
      <c r="A4078" t="s">
        <v>12372</v>
      </c>
      <c r="B4078" t="s">
        <v>13</v>
      </c>
      <c r="C4078" s="1">
        <v>42502</v>
      </c>
      <c r="D4078" t="s">
        <v>12373</v>
      </c>
      <c r="E4078" t="s">
        <v>12374</v>
      </c>
      <c r="F4078" t="s">
        <v>332</v>
      </c>
      <c r="G4078" t="s">
        <v>12375</v>
      </c>
      <c r="H4078" t="s">
        <v>114</v>
      </c>
      <c r="I4078" t="s">
        <v>19</v>
      </c>
      <c r="J4078" s="3">
        <v>557998479236</v>
      </c>
      <c r="K4078" t="s">
        <v>12376</v>
      </c>
      <c r="L4078" t="s">
        <v>82</v>
      </c>
      <c r="M4078" t="s">
        <v>337</v>
      </c>
    </row>
    <row r="4079" spans="1:13" x14ac:dyDescent="0.25">
      <c r="A4079" t="s">
        <v>11838</v>
      </c>
      <c r="B4079" t="s">
        <v>13</v>
      </c>
      <c r="C4079" t="s">
        <v>11834</v>
      </c>
      <c r="D4079" t="s">
        <v>11839</v>
      </c>
      <c r="E4079" s="2" t="s">
        <v>31028</v>
      </c>
      <c r="F4079" t="s">
        <v>1464</v>
      </c>
      <c r="G4079" t="s">
        <v>11840</v>
      </c>
      <c r="H4079" t="s">
        <v>114</v>
      </c>
      <c r="I4079" t="s">
        <v>19</v>
      </c>
      <c r="J4079" s="3" t="s">
        <v>11841</v>
      </c>
      <c r="K4079" t="s">
        <v>11842</v>
      </c>
      <c r="L4079" t="s">
        <v>82</v>
      </c>
      <c r="M4079" t="s">
        <v>32147</v>
      </c>
    </row>
    <row r="4080" spans="1:13" x14ac:dyDescent="0.25">
      <c r="A4080" t="s">
        <v>6073</v>
      </c>
      <c r="B4080" t="s">
        <v>13</v>
      </c>
      <c r="C4080" s="1">
        <v>44418</v>
      </c>
      <c r="D4080" t="s">
        <v>32135</v>
      </c>
      <c r="E4080" s="2" t="s">
        <v>31500</v>
      </c>
      <c r="F4080" t="s">
        <v>160</v>
      </c>
      <c r="G4080" t="s">
        <v>3303</v>
      </c>
      <c r="H4080" t="s">
        <v>2626</v>
      </c>
      <c r="I4080" t="s">
        <v>19</v>
      </c>
      <c r="J4080" s="3">
        <v>551637118904</v>
      </c>
      <c r="K4080" t="s">
        <v>3304</v>
      </c>
      <c r="L4080" t="s">
        <v>32135</v>
      </c>
      <c r="M4080" t="s">
        <v>32147</v>
      </c>
    </row>
    <row r="4081" spans="1:13" x14ac:dyDescent="0.25">
      <c r="A4081" t="s">
        <v>7817</v>
      </c>
      <c r="B4081" t="s">
        <v>13</v>
      </c>
      <c r="C4081" s="1">
        <v>44320</v>
      </c>
      <c r="D4081" t="s">
        <v>32135</v>
      </c>
      <c r="E4081" t="s">
        <v>7818</v>
      </c>
      <c r="F4081" t="s">
        <v>160</v>
      </c>
      <c r="G4081" t="s">
        <v>7819</v>
      </c>
      <c r="H4081" t="s">
        <v>7820</v>
      </c>
      <c r="I4081" t="s">
        <v>19</v>
      </c>
      <c r="J4081" s="3">
        <f>55-67-998109031</f>
        <v>-998109043</v>
      </c>
      <c r="K4081" t="s">
        <v>7821</v>
      </c>
      <c r="L4081" t="s">
        <v>32135</v>
      </c>
      <c r="M4081" t="s">
        <v>32147</v>
      </c>
    </row>
    <row r="4082" spans="1:13" x14ac:dyDescent="0.25">
      <c r="A4082" t="s">
        <v>22840</v>
      </c>
      <c r="B4082" t="s">
        <v>13</v>
      </c>
      <c r="C4082" s="1">
        <v>43051</v>
      </c>
      <c r="D4082" t="s">
        <v>22841</v>
      </c>
      <c r="E4082" t="s">
        <v>22842</v>
      </c>
      <c r="F4082" t="s">
        <v>1129</v>
      </c>
      <c r="G4082" t="s">
        <v>22843</v>
      </c>
      <c r="H4082" t="s">
        <v>16336</v>
      </c>
      <c r="I4082" t="s">
        <v>19</v>
      </c>
      <c r="J4082" s="3" t="s">
        <v>22844</v>
      </c>
      <c r="K4082" t="s">
        <v>22845</v>
      </c>
      <c r="L4082" t="s">
        <v>22846</v>
      </c>
      <c r="M4082" t="s">
        <v>224</v>
      </c>
    </row>
    <row r="4083" spans="1:13" x14ac:dyDescent="0.25">
      <c r="A4083" t="s">
        <v>18672</v>
      </c>
      <c r="B4083" t="s">
        <v>13</v>
      </c>
      <c r="C4083" t="s">
        <v>8477</v>
      </c>
      <c r="D4083" t="s">
        <v>18673</v>
      </c>
      <c r="E4083" t="s">
        <v>32540</v>
      </c>
      <c r="F4083" t="s">
        <v>1464</v>
      </c>
      <c r="G4083" t="s">
        <v>18674</v>
      </c>
      <c r="H4083" t="s">
        <v>7467</v>
      </c>
      <c r="I4083" t="s">
        <v>19</v>
      </c>
      <c r="J4083" s="3" t="s">
        <v>18675</v>
      </c>
      <c r="K4083" t="s">
        <v>18676</v>
      </c>
      <c r="L4083" t="s">
        <v>1193</v>
      </c>
      <c r="M4083" t="s">
        <v>337</v>
      </c>
    </row>
    <row r="4084" spans="1:13" x14ac:dyDescent="0.25">
      <c r="A4084" t="s">
        <v>1633</v>
      </c>
      <c r="B4084" t="s">
        <v>13</v>
      </c>
      <c r="C4084" t="s">
        <v>1627</v>
      </c>
      <c r="D4084" t="s">
        <v>1634</v>
      </c>
      <c r="E4084" s="2" t="s">
        <v>31773</v>
      </c>
      <c r="F4084" t="s">
        <v>1635</v>
      </c>
      <c r="G4084" t="s">
        <v>1636</v>
      </c>
      <c r="H4084" t="s">
        <v>1637</v>
      </c>
      <c r="I4084" t="s">
        <v>19</v>
      </c>
      <c r="J4084" s="3" t="s">
        <v>1638</v>
      </c>
      <c r="K4084" t="s">
        <v>1639</v>
      </c>
      <c r="L4084" t="s">
        <v>618</v>
      </c>
      <c r="M4084" t="s">
        <v>337</v>
      </c>
    </row>
    <row r="4085" spans="1:13" x14ac:dyDescent="0.25">
      <c r="A4085" t="s">
        <v>14076</v>
      </c>
      <c r="B4085" t="s">
        <v>13</v>
      </c>
      <c r="C4085" t="s">
        <v>7928</v>
      </c>
      <c r="D4085" t="s">
        <v>14077</v>
      </c>
      <c r="E4085" s="2" t="s">
        <v>31564</v>
      </c>
      <c r="F4085" t="s">
        <v>332</v>
      </c>
      <c r="G4085" t="s">
        <v>14078</v>
      </c>
      <c r="H4085" t="s">
        <v>2395</v>
      </c>
      <c r="I4085" t="s">
        <v>19</v>
      </c>
      <c r="J4085" s="3" t="s">
        <v>14079</v>
      </c>
      <c r="K4085" t="s">
        <v>14080</v>
      </c>
      <c r="L4085" t="s">
        <v>1880</v>
      </c>
      <c r="M4085" t="s">
        <v>337</v>
      </c>
    </row>
    <row r="4086" spans="1:13" x14ac:dyDescent="0.25">
      <c r="A4086" t="s">
        <v>9627</v>
      </c>
      <c r="B4086" t="s">
        <v>13</v>
      </c>
      <c r="C4086" t="s">
        <v>7003</v>
      </c>
      <c r="D4086" t="s">
        <v>9628</v>
      </c>
      <c r="E4086" s="2" t="s">
        <v>31706</v>
      </c>
      <c r="F4086" t="s">
        <v>4639</v>
      </c>
      <c r="G4086" t="s">
        <v>9629</v>
      </c>
      <c r="H4086" t="s">
        <v>4993</v>
      </c>
      <c r="I4086" t="s">
        <v>19</v>
      </c>
      <c r="J4086" s="3">
        <v>55011998501338</v>
      </c>
      <c r="K4086" t="s">
        <v>9630</v>
      </c>
      <c r="L4086" t="s">
        <v>9631</v>
      </c>
      <c r="M4086" t="s">
        <v>785</v>
      </c>
    </row>
    <row r="4087" spans="1:13" x14ac:dyDescent="0.25">
      <c r="A4087" t="s">
        <v>13482</v>
      </c>
      <c r="B4087" t="s">
        <v>13</v>
      </c>
      <c r="C4087" t="s">
        <v>4227</v>
      </c>
      <c r="D4087" t="s">
        <v>13483</v>
      </c>
      <c r="E4087" s="2" t="s">
        <v>31586</v>
      </c>
      <c r="F4087" t="s">
        <v>1464</v>
      </c>
      <c r="G4087" t="s">
        <v>4250</v>
      </c>
      <c r="H4087" t="s">
        <v>5523</v>
      </c>
      <c r="I4087" t="s">
        <v>19</v>
      </c>
      <c r="J4087" s="3" t="s">
        <v>13484</v>
      </c>
      <c r="K4087" t="s">
        <v>4251</v>
      </c>
      <c r="L4087" t="s">
        <v>4250</v>
      </c>
      <c r="M4087" t="s">
        <v>6656</v>
      </c>
    </row>
    <row r="4088" spans="1:13" x14ac:dyDescent="0.25">
      <c r="A4088" t="s">
        <v>7040</v>
      </c>
      <c r="B4088" t="s">
        <v>13</v>
      </c>
      <c r="C4088" t="s">
        <v>7041</v>
      </c>
      <c r="D4088" t="s">
        <v>32135</v>
      </c>
      <c r="E4088" s="2" t="s">
        <v>31671</v>
      </c>
      <c r="F4088" t="s">
        <v>7042</v>
      </c>
      <c r="G4088" t="s">
        <v>7043</v>
      </c>
      <c r="H4088" t="s">
        <v>352</v>
      </c>
      <c r="I4088" t="s">
        <v>19</v>
      </c>
      <c r="J4088" s="3">
        <f>55-21-981774466</f>
        <v>-981774432</v>
      </c>
      <c r="K4088" t="s">
        <v>7044</v>
      </c>
      <c r="L4088" t="s">
        <v>32135</v>
      </c>
      <c r="M4088" t="s">
        <v>6656</v>
      </c>
    </row>
    <row r="4089" spans="1:13" x14ac:dyDescent="0.25">
      <c r="A4089" t="s">
        <v>12587</v>
      </c>
      <c r="B4089" t="s">
        <v>13</v>
      </c>
      <c r="C4089" t="s">
        <v>12556</v>
      </c>
      <c r="D4089" t="s">
        <v>12588</v>
      </c>
      <c r="E4089" s="2" t="s">
        <v>31046</v>
      </c>
      <c r="F4089" t="s">
        <v>1190</v>
      </c>
      <c r="G4089" t="s">
        <v>12589</v>
      </c>
      <c r="H4089" t="s">
        <v>9186</v>
      </c>
      <c r="I4089" t="s">
        <v>19</v>
      </c>
      <c r="J4089" s="3" t="s">
        <v>12590</v>
      </c>
      <c r="K4089" t="s">
        <v>12591</v>
      </c>
      <c r="L4089" t="s">
        <v>9189</v>
      </c>
      <c r="M4089" t="s">
        <v>432</v>
      </c>
    </row>
    <row r="4090" spans="1:13" x14ac:dyDescent="0.25">
      <c r="A4090" t="s">
        <v>22690</v>
      </c>
      <c r="B4090" t="s">
        <v>13</v>
      </c>
      <c r="C4090" s="1">
        <v>43191</v>
      </c>
      <c r="D4090" t="s">
        <v>22691</v>
      </c>
      <c r="E4090" t="s">
        <v>22692</v>
      </c>
      <c r="F4090" t="s">
        <v>32121</v>
      </c>
      <c r="G4090" t="s">
        <v>22693</v>
      </c>
      <c r="H4090" t="s">
        <v>45</v>
      </c>
      <c r="I4090" t="s">
        <v>19</v>
      </c>
      <c r="J4090" s="3">
        <v>558599941082</v>
      </c>
      <c r="K4090" t="s">
        <v>22694</v>
      </c>
      <c r="L4090" t="s">
        <v>22695</v>
      </c>
      <c r="M4090" t="s">
        <v>32121</v>
      </c>
    </row>
    <row r="4091" spans="1:13" x14ac:dyDescent="0.25">
      <c r="A4091" t="s">
        <v>16441</v>
      </c>
      <c r="B4091" t="s">
        <v>13</v>
      </c>
      <c r="C4091" t="s">
        <v>16436</v>
      </c>
      <c r="D4091" t="s">
        <v>16442</v>
      </c>
      <c r="E4091" s="2" t="s">
        <v>31618</v>
      </c>
      <c r="F4091" t="s">
        <v>1464</v>
      </c>
      <c r="G4091" t="s">
        <v>16443</v>
      </c>
      <c r="H4091" t="s">
        <v>428</v>
      </c>
      <c r="I4091" t="s">
        <v>19</v>
      </c>
      <c r="J4091" s="3">
        <v>51991847183</v>
      </c>
      <c r="K4091" t="s">
        <v>16444</v>
      </c>
      <c r="L4091" t="s">
        <v>2412</v>
      </c>
      <c r="M4091" t="s">
        <v>129</v>
      </c>
    </row>
    <row r="4092" spans="1:13" x14ac:dyDescent="0.25">
      <c r="A4092" t="s">
        <v>9431</v>
      </c>
      <c r="B4092" t="s">
        <v>13</v>
      </c>
      <c r="C4092" s="1">
        <v>43840</v>
      </c>
      <c r="D4092" t="s">
        <v>9432</v>
      </c>
      <c r="E4092" s="2" t="s">
        <v>31789</v>
      </c>
      <c r="F4092" t="s">
        <v>2036</v>
      </c>
      <c r="G4092" t="s">
        <v>9433</v>
      </c>
      <c r="H4092" t="s">
        <v>9434</v>
      </c>
      <c r="I4092" t="s">
        <v>19</v>
      </c>
      <c r="J4092" s="3" t="s">
        <v>9435</v>
      </c>
      <c r="K4092" t="s">
        <v>9436</v>
      </c>
      <c r="L4092" t="s">
        <v>9437</v>
      </c>
      <c r="M4092" t="s">
        <v>57</v>
      </c>
    </row>
    <row r="4093" spans="1:13" x14ac:dyDescent="0.25">
      <c r="A4093" t="s">
        <v>13471</v>
      </c>
      <c r="B4093" t="s">
        <v>13</v>
      </c>
      <c r="C4093" t="s">
        <v>4227</v>
      </c>
      <c r="D4093" t="s">
        <v>13472</v>
      </c>
      <c r="E4093" s="2" t="s">
        <v>31075</v>
      </c>
      <c r="F4093" t="s">
        <v>2036</v>
      </c>
      <c r="G4093" t="s">
        <v>13473</v>
      </c>
      <c r="H4093" t="s">
        <v>88</v>
      </c>
      <c r="I4093" t="s">
        <v>19</v>
      </c>
      <c r="J4093" s="3">
        <f>55-84-3342-2018</f>
        <v>-5389</v>
      </c>
      <c r="K4093" t="s">
        <v>13474</v>
      </c>
      <c r="L4093" t="s">
        <v>91</v>
      </c>
      <c r="M4093" t="s">
        <v>57</v>
      </c>
    </row>
    <row r="4094" spans="1:13" x14ac:dyDescent="0.25">
      <c r="A4094" t="s">
        <v>7379</v>
      </c>
      <c r="B4094" t="s">
        <v>13</v>
      </c>
      <c r="C4094" t="s">
        <v>7041</v>
      </c>
      <c r="D4094" t="s">
        <v>32135</v>
      </c>
      <c r="E4094" s="2" t="s">
        <v>31848</v>
      </c>
      <c r="F4094" t="s">
        <v>1883</v>
      </c>
      <c r="G4094" t="s">
        <v>7380</v>
      </c>
      <c r="H4094" t="s">
        <v>5178</v>
      </c>
      <c r="I4094" t="s">
        <v>19</v>
      </c>
      <c r="J4094" s="3" t="s">
        <v>7381</v>
      </c>
      <c r="K4094" t="s">
        <v>32135</v>
      </c>
      <c r="L4094" t="s">
        <v>32135</v>
      </c>
      <c r="M4094" t="s">
        <v>6656</v>
      </c>
    </row>
    <row r="4095" spans="1:13" x14ac:dyDescent="0.25">
      <c r="A4095" t="s">
        <v>27773</v>
      </c>
      <c r="B4095" t="s">
        <v>13</v>
      </c>
      <c r="C4095" t="s">
        <v>27774</v>
      </c>
      <c r="D4095" t="s">
        <v>27775</v>
      </c>
      <c r="E4095" t="s">
        <v>32541</v>
      </c>
      <c r="F4095" t="s">
        <v>1775</v>
      </c>
      <c r="G4095" t="s">
        <v>27776</v>
      </c>
      <c r="H4095" t="s">
        <v>255</v>
      </c>
      <c r="I4095" t="s">
        <v>19</v>
      </c>
      <c r="J4095" s="3" t="s">
        <v>27777</v>
      </c>
      <c r="K4095" t="s">
        <v>27778</v>
      </c>
      <c r="L4095" t="s">
        <v>27779</v>
      </c>
      <c r="M4095" t="s">
        <v>1775</v>
      </c>
    </row>
    <row r="4096" spans="1:13" x14ac:dyDescent="0.25">
      <c r="A4096" t="s">
        <v>6330</v>
      </c>
      <c r="B4096" t="s">
        <v>13</v>
      </c>
      <c r="C4096" t="s">
        <v>6331</v>
      </c>
      <c r="D4096" t="s">
        <v>32135</v>
      </c>
      <c r="E4096" t="s">
        <v>2003</v>
      </c>
      <c r="F4096" t="s">
        <v>160</v>
      </c>
      <c r="G4096" t="s">
        <v>6332</v>
      </c>
      <c r="H4096" t="s">
        <v>36</v>
      </c>
      <c r="I4096" t="s">
        <v>19</v>
      </c>
      <c r="J4096" s="3" t="s">
        <v>6333</v>
      </c>
      <c r="K4096" t="s">
        <v>6334</v>
      </c>
      <c r="L4096" t="s">
        <v>32135</v>
      </c>
      <c r="M4096" t="s">
        <v>32147</v>
      </c>
    </row>
    <row r="4097" spans="1:13" x14ac:dyDescent="0.25">
      <c r="A4097" t="s">
        <v>2000</v>
      </c>
      <c r="B4097" t="s">
        <v>13</v>
      </c>
      <c r="C4097" t="s">
        <v>2001</v>
      </c>
      <c r="D4097" t="s">
        <v>2002</v>
      </c>
      <c r="E4097" t="s">
        <v>2003</v>
      </c>
      <c r="F4097" t="s">
        <v>160</v>
      </c>
      <c r="G4097" t="s">
        <v>2004</v>
      </c>
      <c r="H4097" t="s">
        <v>706</v>
      </c>
      <c r="I4097" t="s">
        <v>19</v>
      </c>
      <c r="J4097" s="3">
        <f>55-31-34092427</f>
        <v>-34092403</v>
      </c>
      <c r="K4097" t="s">
        <v>2005</v>
      </c>
      <c r="L4097" t="s">
        <v>2006</v>
      </c>
      <c r="M4097" t="s">
        <v>337</v>
      </c>
    </row>
    <row r="4098" spans="1:13" x14ac:dyDescent="0.25">
      <c r="A4098" t="s">
        <v>18738</v>
      </c>
      <c r="B4098" t="s">
        <v>13</v>
      </c>
      <c r="C4098" t="s">
        <v>8504</v>
      </c>
      <c r="D4098" t="s">
        <v>18739</v>
      </c>
      <c r="E4098" s="2" t="s">
        <v>32542</v>
      </c>
      <c r="F4098" t="s">
        <v>2758</v>
      </c>
      <c r="G4098" t="s">
        <v>18740</v>
      </c>
      <c r="H4098" t="s">
        <v>45</v>
      </c>
      <c r="I4098" t="s">
        <v>19</v>
      </c>
      <c r="J4098" s="3">
        <f>55-85-996934229</f>
        <v>-996934259</v>
      </c>
      <c r="K4098" t="s">
        <v>18741</v>
      </c>
      <c r="L4098" t="s">
        <v>18742</v>
      </c>
      <c r="M4098" t="s">
        <v>32149</v>
      </c>
    </row>
    <row r="4099" spans="1:13" x14ac:dyDescent="0.25">
      <c r="A4099" t="s">
        <v>4534</v>
      </c>
      <c r="B4099" t="s">
        <v>13</v>
      </c>
      <c r="C4099" t="s">
        <v>4535</v>
      </c>
      <c r="D4099" t="s">
        <v>4536</v>
      </c>
      <c r="E4099" s="2" t="s">
        <v>31453</v>
      </c>
      <c r="F4099" t="s">
        <v>211</v>
      </c>
      <c r="G4099" t="s">
        <v>4537</v>
      </c>
      <c r="H4099" t="s">
        <v>489</v>
      </c>
      <c r="I4099" t="s">
        <v>19</v>
      </c>
      <c r="J4099" s="3" t="s">
        <v>4538</v>
      </c>
      <c r="K4099" t="s">
        <v>4539</v>
      </c>
      <c r="L4099" t="s">
        <v>4540</v>
      </c>
      <c r="M4099" t="s">
        <v>57</v>
      </c>
    </row>
    <row r="4100" spans="1:13" x14ac:dyDescent="0.25">
      <c r="A4100" t="s">
        <v>21483</v>
      </c>
      <c r="B4100" t="s">
        <v>13</v>
      </c>
      <c r="C4100" t="s">
        <v>21479</v>
      </c>
      <c r="D4100" t="s">
        <v>21484</v>
      </c>
      <c r="E4100" s="2" t="s">
        <v>31290</v>
      </c>
      <c r="F4100" t="s">
        <v>2036</v>
      </c>
      <c r="G4100" t="s">
        <v>21485</v>
      </c>
      <c r="H4100" t="s">
        <v>352</v>
      </c>
      <c r="I4100" t="s">
        <v>19</v>
      </c>
      <c r="J4100" s="3" t="s">
        <v>21486</v>
      </c>
      <c r="K4100" t="s">
        <v>21487</v>
      </c>
      <c r="L4100" t="s">
        <v>550</v>
      </c>
      <c r="M4100" t="s">
        <v>57</v>
      </c>
    </row>
    <row r="4101" spans="1:13" x14ac:dyDescent="0.25">
      <c r="A4101" t="s">
        <v>14183</v>
      </c>
      <c r="B4101" t="s">
        <v>13</v>
      </c>
      <c r="C4101" t="s">
        <v>14184</v>
      </c>
      <c r="D4101" t="s">
        <v>14185</v>
      </c>
      <c r="E4101" t="s">
        <v>32543</v>
      </c>
      <c r="F4101" t="s">
        <v>1464</v>
      </c>
      <c r="G4101" t="s">
        <v>14186</v>
      </c>
      <c r="H4101" t="s">
        <v>14187</v>
      </c>
      <c r="I4101" t="s">
        <v>19</v>
      </c>
      <c r="J4101" s="3">
        <f>55-11-30031189</f>
        <v>-30031145</v>
      </c>
      <c r="K4101" t="s">
        <v>10442</v>
      </c>
      <c r="L4101" t="s">
        <v>14188</v>
      </c>
      <c r="M4101" t="s">
        <v>432</v>
      </c>
    </row>
    <row r="4102" spans="1:13" x14ac:dyDescent="0.25">
      <c r="A4102" t="s">
        <v>5529</v>
      </c>
      <c r="B4102" t="s">
        <v>13</v>
      </c>
      <c r="C4102" s="1">
        <v>44239</v>
      </c>
      <c r="D4102" t="s">
        <v>5530</v>
      </c>
      <c r="E4102" t="s">
        <v>5531</v>
      </c>
      <c r="F4102" t="s">
        <v>160</v>
      </c>
      <c r="G4102" t="s">
        <v>5532</v>
      </c>
      <c r="H4102" t="s">
        <v>5533</v>
      </c>
      <c r="I4102" t="s">
        <v>19</v>
      </c>
      <c r="J4102" s="3">
        <f>55-87-3866-6496</f>
        <v>-10394</v>
      </c>
      <c r="K4102" t="s">
        <v>4601</v>
      </c>
      <c r="L4102" t="s">
        <v>32135</v>
      </c>
      <c r="M4102" t="s">
        <v>32147</v>
      </c>
    </row>
    <row r="4103" spans="1:13" x14ac:dyDescent="0.25">
      <c r="A4103" t="s">
        <v>5811</v>
      </c>
      <c r="B4103" t="s">
        <v>13</v>
      </c>
      <c r="C4103" t="s">
        <v>5812</v>
      </c>
      <c r="D4103" t="s">
        <v>32135</v>
      </c>
      <c r="E4103" s="2" t="s">
        <v>32051</v>
      </c>
      <c r="F4103" t="s">
        <v>5813</v>
      </c>
      <c r="G4103" t="s">
        <v>5814</v>
      </c>
      <c r="H4103" t="s">
        <v>5815</v>
      </c>
      <c r="I4103" t="s">
        <v>19</v>
      </c>
      <c r="J4103" s="3">
        <v>5519997208884</v>
      </c>
      <c r="K4103" t="s">
        <v>5816</v>
      </c>
      <c r="L4103" t="s">
        <v>32135</v>
      </c>
      <c r="M4103" t="s">
        <v>337</v>
      </c>
    </row>
    <row r="4104" spans="1:13" x14ac:dyDescent="0.25">
      <c r="A4104" t="s">
        <v>1607</v>
      </c>
      <c r="B4104" t="s">
        <v>13</v>
      </c>
      <c r="C4104" t="s">
        <v>1608</v>
      </c>
      <c r="D4104" t="s">
        <v>1609</v>
      </c>
      <c r="E4104" t="s">
        <v>1610</v>
      </c>
      <c r="F4104" t="s">
        <v>1611</v>
      </c>
      <c r="G4104" t="s">
        <v>1612</v>
      </c>
      <c r="H4104" t="s">
        <v>472</v>
      </c>
      <c r="I4104" t="s">
        <v>19</v>
      </c>
      <c r="J4104" s="3" t="s">
        <v>1613</v>
      </c>
      <c r="K4104" t="s">
        <v>1614</v>
      </c>
      <c r="L4104" t="s">
        <v>1615</v>
      </c>
      <c r="M4104" t="s">
        <v>337</v>
      </c>
    </row>
    <row r="4105" spans="1:13" x14ac:dyDescent="0.25">
      <c r="A4105" t="s">
        <v>9165</v>
      </c>
      <c r="B4105" t="s">
        <v>13</v>
      </c>
      <c r="C4105" s="1">
        <v>43901</v>
      </c>
      <c r="D4105" t="s">
        <v>9166</v>
      </c>
      <c r="E4105" t="s">
        <v>9167</v>
      </c>
      <c r="F4105" t="s">
        <v>332</v>
      </c>
      <c r="G4105" t="s">
        <v>9168</v>
      </c>
      <c r="H4105" t="s">
        <v>36</v>
      </c>
      <c r="I4105" t="s">
        <v>19</v>
      </c>
      <c r="J4105" s="3">
        <v>1155764844</v>
      </c>
      <c r="K4105" t="s">
        <v>9169</v>
      </c>
      <c r="L4105" t="s">
        <v>9170</v>
      </c>
      <c r="M4105" t="s">
        <v>337</v>
      </c>
    </row>
    <row r="4106" spans="1:13" x14ac:dyDescent="0.25">
      <c r="A4106" t="s">
        <v>5140</v>
      </c>
      <c r="B4106" t="s">
        <v>13</v>
      </c>
      <c r="C4106" s="1">
        <v>44743</v>
      </c>
      <c r="D4106" t="s">
        <v>32135</v>
      </c>
      <c r="E4106" t="s">
        <v>5141</v>
      </c>
      <c r="F4106" t="s">
        <v>5142</v>
      </c>
      <c r="G4106" t="s">
        <v>4326</v>
      </c>
      <c r="H4106" t="s">
        <v>2678</v>
      </c>
      <c r="I4106" t="s">
        <v>19</v>
      </c>
      <c r="J4106" s="3">
        <v>5553981624849</v>
      </c>
      <c r="K4106" t="s">
        <v>4328</v>
      </c>
      <c r="L4106" t="s">
        <v>32135</v>
      </c>
      <c r="M4106" t="s">
        <v>337</v>
      </c>
    </row>
    <row r="4107" spans="1:13" x14ac:dyDescent="0.25">
      <c r="A4107" t="s">
        <v>23199</v>
      </c>
      <c r="B4107" t="s">
        <v>13</v>
      </c>
      <c r="C4107" t="s">
        <v>23193</v>
      </c>
      <c r="D4107" t="s">
        <v>23200</v>
      </c>
      <c r="E4107" t="s">
        <v>32544</v>
      </c>
      <c r="F4107" t="s">
        <v>1775</v>
      </c>
      <c r="G4107" t="s">
        <v>23201</v>
      </c>
      <c r="H4107" t="s">
        <v>28</v>
      </c>
      <c r="I4107" t="s">
        <v>19</v>
      </c>
      <c r="J4107" s="3" t="s">
        <v>23202</v>
      </c>
      <c r="K4107" t="s">
        <v>23203</v>
      </c>
      <c r="L4107" t="s">
        <v>23204</v>
      </c>
      <c r="M4107" t="s">
        <v>1775</v>
      </c>
    </row>
    <row r="4108" spans="1:13" x14ac:dyDescent="0.25">
      <c r="A4108" t="s">
        <v>2419</v>
      </c>
      <c r="B4108" t="s">
        <v>13</v>
      </c>
      <c r="C4108" t="s">
        <v>2420</v>
      </c>
      <c r="D4108" t="s">
        <v>2421</v>
      </c>
      <c r="E4108" t="s">
        <v>2422</v>
      </c>
      <c r="F4108" t="s">
        <v>2423</v>
      </c>
      <c r="G4108" t="s">
        <v>2424</v>
      </c>
      <c r="H4108" t="s">
        <v>36</v>
      </c>
      <c r="I4108" t="s">
        <v>19</v>
      </c>
      <c r="J4108" s="3" t="s">
        <v>2425</v>
      </c>
      <c r="K4108" t="s">
        <v>2426</v>
      </c>
      <c r="L4108" t="s">
        <v>439</v>
      </c>
      <c r="M4108" t="s">
        <v>57</v>
      </c>
    </row>
    <row r="4109" spans="1:13" x14ac:dyDescent="0.25">
      <c r="A4109" t="s">
        <v>3429</v>
      </c>
      <c r="B4109" t="s">
        <v>13</v>
      </c>
      <c r="C4109" s="1">
        <v>44779</v>
      </c>
      <c r="D4109" t="s">
        <v>32135</v>
      </c>
      <c r="E4109" t="s">
        <v>3430</v>
      </c>
      <c r="F4109" t="s">
        <v>3431</v>
      </c>
      <c r="G4109" t="s">
        <v>3432</v>
      </c>
      <c r="H4109" t="s">
        <v>36</v>
      </c>
      <c r="I4109" t="s">
        <v>19</v>
      </c>
      <c r="J4109" s="3" t="s">
        <v>3433</v>
      </c>
      <c r="K4109" t="s">
        <v>3434</v>
      </c>
      <c r="L4109" t="s">
        <v>439</v>
      </c>
      <c r="M4109" t="s">
        <v>57</v>
      </c>
    </row>
    <row r="4110" spans="1:13" x14ac:dyDescent="0.25">
      <c r="A4110" t="s">
        <v>15628</v>
      </c>
      <c r="B4110" t="s">
        <v>13</v>
      </c>
      <c r="C4110" s="1">
        <v>43718</v>
      </c>
      <c r="D4110" t="s">
        <v>15629</v>
      </c>
      <c r="E4110" t="s">
        <v>15630</v>
      </c>
      <c r="F4110" t="s">
        <v>337</v>
      </c>
      <c r="G4110" t="s">
        <v>7731</v>
      </c>
      <c r="H4110" t="s">
        <v>150</v>
      </c>
      <c r="I4110" t="s">
        <v>19</v>
      </c>
      <c r="J4110" s="3">
        <v>5511989918060</v>
      </c>
      <c r="K4110" t="s">
        <v>7732</v>
      </c>
      <c r="L4110" t="s">
        <v>344</v>
      </c>
      <c r="M4110" t="s">
        <v>337</v>
      </c>
    </row>
    <row r="4111" spans="1:13" x14ac:dyDescent="0.25">
      <c r="A4111" t="s">
        <v>7832</v>
      </c>
      <c r="B4111" t="s">
        <v>13</v>
      </c>
      <c r="C4111" s="1">
        <v>44320</v>
      </c>
      <c r="D4111" t="s">
        <v>32135</v>
      </c>
      <c r="E4111" s="2" t="s">
        <v>30942</v>
      </c>
      <c r="F4111" t="s">
        <v>7833</v>
      </c>
      <c r="G4111" t="s">
        <v>7834</v>
      </c>
      <c r="H4111" t="s">
        <v>7835</v>
      </c>
      <c r="I4111" t="s">
        <v>19</v>
      </c>
      <c r="J4111" s="3">
        <v>5516981395000</v>
      </c>
      <c r="K4111" t="s">
        <v>7836</v>
      </c>
      <c r="L4111" t="s">
        <v>32135</v>
      </c>
      <c r="M4111" t="s">
        <v>32145</v>
      </c>
    </row>
    <row r="4112" spans="1:13" x14ac:dyDescent="0.25">
      <c r="A4112" t="s">
        <v>18225</v>
      </c>
      <c r="B4112" t="s">
        <v>13</v>
      </c>
      <c r="C4112" s="1">
        <v>43558</v>
      </c>
      <c r="D4112" t="s">
        <v>18226</v>
      </c>
      <c r="E4112" t="s">
        <v>18227</v>
      </c>
      <c r="F4112" t="s">
        <v>3084</v>
      </c>
      <c r="G4112" t="s">
        <v>18228</v>
      </c>
      <c r="H4112" t="s">
        <v>352</v>
      </c>
      <c r="I4112" t="s">
        <v>19</v>
      </c>
      <c r="J4112" s="3">
        <f>55-21-39385535</f>
        <v>-39385501</v>
      </c>
      <c r="K4112" t="s">
        <v>18229</v>
      </c>
      <c r="L4112" t="s">
        <v>1232</v>
      </c>
      <c r="M4112" t="s">
        <v>32144</v>
      </c>
    </row>
    <row r="4113" spans="1:13" x14ac:dyDescent="0.25">
      <c r="A4113" t="s">
        <v>11103</v>
      </c>
      <c r="B4113" t="s">
        <v>13</v>
      </c>
      <c r="C4113" s="1">
        <v>44081</v>
      </c>
      <c r="D4113" t="s">
        <v>11104</v>
      </c>
      <c r="E4113" s="2" t="s">
        <v>31010</v>
      </c>
      <c r="F4113" t="s">
        <v>1464</v>
      </c>
      <c r="G4113" t="s">
        <v>11105</v>
      </c>
      <c r="H4113" t="s">
        <v>6344</v>
      </c>
      <c r="I4113" t="s">
        <v>19</v>
      </c>
      <c r="J4113" s="3" t="s">
        <v>11106</v>
      </c>
      <c r="K4113" t="s">
        <v>11107</v>
      </c>
      <c r="L4113" t="s">
        <v>11108</v>
      </c>
      <c r="M4113" t="s">
        <v>337</v>
      </c>
    </row>
    <row r="4114" spans="1:13" x14ac:dyDescent="0.25">
      <c r="A4114" t="s">
        <v>11761</v>
      </c>
      <c r="B4114" t="s">
        <v>13</v>
      </c>
      <c r="C4114" t="s">
        <v>127</v>
      </c>
      <c r="D4114" t="s">
        <v>11762</v>
      </c>
      <c r="E4114" t="s">
        <v>11763</v>
      </c>
      <c r="F4114" t="s">
        <v>785</v>
      </c>
      <c r="G4114" t="s">
        <v>11764</v>
      </c>
      <c r="H4114" t="s">
        <v>36</v>
      </c>
      <c r="I4114" t="s">
        <v>19</v>
      </c>
      <c r="J4114" s="3" t="s">
        <v>11765</v>
      </c>
      <c r="K4114" t="s">
        <v>11766</v>
      </c>
      <c r="L4114" t="s">
        <v>11767</v>
      </c>
      <c r="M4114" t="s">
        <v>785</v>
      </c>
    </row>
    <row r="4115" spans="1:13" x14ac:dyDescent="0.25">
      <c r="A4115" t="s">
        <v>15922</v>
      </c>
      <c r="B4115" t="s">
        <v>13</v>
      </c>
      <c r="C4115" t="s">
        <v>15322</v>
      </c>
      <c r="D4115" t="s">
        <v>15923</v>
      </c>
      <c r="E4115" s="2" t="s">
        <v>31142</v>
      </c>
      <c r="F4115" t="s">
        <v>2758</v>
      </c>
      <c r="G4115" t="s">
        <v>15924</v>
      </c>
      <c r="H4115" t="s">
        <v>885</v>
      </c>
      <c r="I4115" t="s">
        <v>19</v>
      </c>
      <c r="J4115" s="3" t="s">
        <v>15925</v>
      </c>
      <c r="K4115" t="s">
        <v>15926</v>
      </c>
      <c r="L4115" t="s">
        <v>15927</v>
      </c>
      <c r="M4115" t="s">
        <v>32149</v>
      </c>
    </row>
    <row r="4116" spans="1:13" x14ac:dyDescent="0.25">
      <c r="A4116" t="s">
        <v>12329</v>
      </c>
      <c r="B4116" t="s">
        <v>13</v>
      </c>
      <c r="C4116" t="s">
        <v>12316</v>
      </c>
      <c r="D4116" t="s">
        <v>2683</v>
      </c>
      <c r="E4116" t="s">
        <v>12330</v>
      </c>
      <c r="F4116" t="s">
        <v>12330</v>
      </c>
      <c r="G4116" t="s">
        <v>12331</v>
      </c>
      <c r="H4116" t="s">
        <v>489</v>
      </c>
      <c r="I4116" t="s">
        <v>19</v>
      </c>
      <c r="J4116" s="3">
        <f>55-41-996448247</f>
        <v>-996448233</v>
      </c>
      <c r="K4116" t="s">
        <v>12332</v>
      </c>
      <c r="L4116" t="s">
        <v>12333</v>
      </c>
      <c r="M4116" t="s">
        <v>224</v>
      </c>
    </row>
    <row r="4117" spans="1:13" x14ac:dyDescent="0.25">
      <c r="A4117" t="s">
        <v>8876</v>
      </c>
      <c r="B4117" t="s">
        <v>13</v>
      </c>
      <c r="C4117" s="1">
        <v>44147</v>
      </c>
      <c r="D4117" t="s">
        <v>8877</v>
      </c>
      <c r="E4117" t="s">
        <v>32545</v>
      </c>
      <c r="F4117" t="s">
        <v>2036</v>
      </c>
      <c r="G4117" t="s">
        <v>8878</v>
      </c>
      <c r="H4117" t="s">
        <v>45</v>
      </c>
      <c r="I4117" t="s">
        <v>19</v>
      </c>
      <c r="J4117" s="3">
        <v>5585996980222</v>
      </c>
      <c r="K4117" t="s">
        <v>8879</v>
      </c>
      <c r="L4117" t="s">
        <v>8880</v>
      </c>
      <c r="M4117" t="s">
        <v>57</v>
      </c>
    </row>
    <row r="4118" spans="1:13" x14ac:dyDescent="0.25">
      <c r="A4118" t="s">
        <v>4976</v>
      </c>
      <c r="B4118" t="s">
        <v>13</v>
      </c>
      <c r="C4118" t="s">
        <v>4959</v>
      </c>
      <c r="D4118" t="s">
        <v>4977</v>
      </c>
      <c r="E4118" s="2" t="s">
        <v>32546</v>
      </c>
      <c r="F4118" t="s">
        <v>2758</v>
      </c>
      <c r="G4118" t="s">
        <v>4978</v>
      </c>
      <c r="H4118" t="s">
        <v>45</v>
      </c>
      <c r="I4118" t="s">
        <v>19</v>
      </c>
      <c r="J4118" s="3">
        <v>558531814422</v>
      </c>
      <c r="K4118" t="s">
        <v>4979</v>
      </c>
      <c r="L4118" t="s">
        <v>32135</v>
      </c>
      <c r="M4118" t="s">
        <v>32149</v>
      </c>
    </row>
    <row r="4119" spans="1:13" x14ac:dyDescent="0.25">
      <c r="A4119" t="s">
        <v>1688</v>
      </c>
      <c r="B4119" t="s">
        <v>13</v>
      </c>
      <c r="C4119" t="s">
        <v>864</v>
      </c>
      <c r="D4119" t="s">
        <v>1689</v>
      </c>
      <c r="E4119" t="s">
        <v>1690</v>
      </c>
      <c r="F4119" t="s">
        <v>1691</v>
      </c>
      <c r="G4119" t="s">
        <v>1692</v>
      </c>
      <c r="H4119" t="s">
        <v>409</v>
      </c>
      <c r="I4119" t="s">
        <v>19</v>
      </c>
      <c r="J4119" s="3" t="s">
        <v>1693</v>
      </c>
      <c r="K4119" t="s">
        <v>1694</v>
      </c>
      <c r="L4119" t="s">
        <v>412</v>
      </c>
      <c r="M4119" t="s">
        <v>337</v>
      </c>
    </row>
    <row r="4120" spans="1:13" x14ac:dyDescent="0.25">
      <c r="A4120" t="s">
        <v>6047</v>
      </c>
      <c r="B4120" t="s">
        <v>13</v>
      </c>
      <c r="C4120" s="1">
        <v>44479</v>
      </c>
      <c r="D4120" t="s">
        <v>32135</v>
      </c>
      <c r="E4120" s="2" t="s">
        <v>31863</v>
      </c>
      <c r="G4120" t="s">
        <v>6049</v>
      </c>
      <c r="H4120" t="s">
        <v>1335</v>
      </c>
      <c r="I4120" t="s">
        <v>19</v>
      </c>
      <c r="J4120" s="3">
        <v>5543999449416</v>
      </c>
      <c r="K4120" t="s">
        <v>6050</v>
      </c>
      <c r="L4120" t="s">
        <v>32135</v>
      </c>
      <c r="M4120" t="s">
        <v>32144</v>
      </c>
    </row>
    <row r="4121" spans="1:13" x14ac:dyDescent="0.25">
      <c r="A4121" t="s">
        <v>16643</v>
      </c>
      <c r="B4121" t="s">
        <v>13</v>
      </c>
      <c r="C4121" t="s">
        <v>16644</v>
      </c>
      <c r="D4121" t="s">
        <v>16645</v>
      </c>
      <c r="E4121" t="s">
        <v>5267</v>
      </c>
      <c r="F4121" t="s">
        <v>57</v>
      </c>
      <c r="G4121" t="s">
        <v>2178</v>
      </c>
      <c r="H4121" t="s">
        <v>2112</v>
      </c>
      <c r="I4121" t="s">
        <v>19</v>
      </c>
      <c r="J4121" s="3">
        <f>55-45-32207344</f>
        <v>-32207334</v>
      </c>
      <c r="K4121" t="s">
        <v>14019</v>
      </c>
      <c r="L4121" t="s">
        <v>14020</v>
      </c>
      <c r="M4121" t="s">
        <v>57</v>
      </c>
    </row>
    <row r="4122" spans="1:13" x14ac:dyDescent="0.25">
      <c r="A4122" t="s">
        <v>15778</v>
      </c>
      <c r="B4122" t="s">
        <v>13</v>
      </c>
      <c r="C4122" s="1">
        <v>43534</v>
      </c>
      <c r="D4122" t="s">
        <v>15779</v>
      </c>
      <c r="E4122" t="s">
        <v>5267</v>
      </c>
      <c r="F4122" t="s">
        <v>1464</v>
      </c>
      <c r="G4122" t="s">
        <v>2178</v>
      </c>
      <c r="H4122" t="s">
        <v>2112</v>
      </c>
      <c r="I4122" t="s">
        <v>19</v>
      </c>
      <c r="J4122" s="3">
        <f>55-45-32207344</f>
        <v>-32207334</v>
      </c>
      <c r="K4122" t="s">
        <v>14019</v>
      </c>
      <c r="L4122" t="s">
        <v>14020</v>
      </c>
      <c r="M4122" t="s">
        <v>57</v>
      </c>
    </row>
    <row r="4123" spans="1:13" x14ac:dyDescent="0.25">
      <c r="A4123" t="s">
        <v>30584</v>
      </c>
      <c r="B4123" t="s">
        <v>13</v>
      </c>
      <c r="C4123" t="s">
        <v>30585</v>
      </c>
      <c r="D4123" t="s">
        <v>30586</v>
      </c>
      <c r="E4123" t="s">
        <v>30587</v>
      </c>
      <c r="F4123" t="s">
        <v>224</v>
      </c>
      <c r="G4123" t="s">
        <v>30588</v>
      </c>
      <c r="H4123" t="s">
        <v>1597</v>
      </c>
      <c r="I4123" t="s">
        <v>19</v>
      </c>
      <c r="J4123" s="3" t="s">
        <v>30589</v>
      </c>
      <c r="K4123" t="s">
        <v>30590</v>
      </c>
      <c r="L4123" t="s">
        <v>1823</v>
      </c>
      <c r="M4123" t="s">
        <v>224</v>
      </c>
    </row>
    <row r="4124" spans="1:13" x14ac:dyDescent="0.25">
      <c r="A4124" t="s">
        <v>17418</v>
      </c>
      <c r="B4124" t="s">
        <v>13</v>
      </c>
      <c r="C4124" s="1">
        <v>43561</v>
      </c>
      <c r="D4124" t="s">
        <v>17419</v>
      </c>
      <c r="E4124" s="2" t="s">
        <v>31176</v>
      </c>
      <c r="F4124" t="s">
        <v>1129</v>
      </c>
      <c r="G4124" t="s">
        <v>12106</v>
      </c>
      <c r="H4124" t="s">
        <v>36</v>
      </c>
      <c r="I4124" t="s">
        <v>19</v>
      </c>
      <c r="J4124" s="3">
        <v>11973440380</v>
      </c>
      <c r="K4124" t="s">
        <v>7216</v>
      </c>
      <c r="L4124" t="s">
        <v>17420</v>
      </c>
      <c r="M4124" t="s">
        <v>224</v>
      </c>
    </row>
    <row r="4125" spans="1:13" x14ac:dyDescent="0.25">
      <c r="A4125" t="s">
        <v>22637</v>
      </c>
      <c r="B4125" t="s">
        <v>13</v>
      </c>
      <c r="C4125" s="1">
        <v>43313</v>
      </c>
      <c r="D4125" t="s">
        <v>22638</v>
      </c>
      <c r="E4125" s="2" t="s">
        <v>31315</v>
      </c>
      <c r="F4125" t="s">
        <v>1129</v>
      </c>
      <c r="G4125" t="s">
        <v>22639</v>
      </c>
      <c r="H4125" t="s">
        <v>428</v>
      </c>
      <c r="I4125" t="s">
        <v>19</v>
      </c>
      <c r="J4125" s="3">
        <v>5551991923241</v>
      </c>
      <c r="K4125" t="s">
        <v>22640</v>
      </c>
      <c r="L4125" t="s">
        <v>1113</v>
      </c>
      <c r="M4125" t="s">
        <v>224</v>
      </c>
    </row>
    <row r="4126" spans="1:13" x14ac:dyDescent="0.25">
      <c r="A4126" t="s">
        <v>216</v>
      </c>
      <c r="B4126" t="s">
        <v>13</v>
      </c>
      <c r="C4126" t="s">
        <v>199</v>
      </c>
      <c r="D4126" t="s">
        <v>217</v>
      </c>
      <c r="E4126" t="s">
        <v>218</v>
      </c>
      <c r="F4126" t="s">
        <v>219</v>
      </c>
      <c r="G4126" t="s">
        <v>220</v>
      </c>
      <c r="H4126" t="s">
        <v>36</v>
      </c>
      <c r="I4126" t="s">
        <v>19</v>
      </c>
      <c r="J4126" s="3" t="s">
        <v>221</v>
      </c>
      <c r="K4126" t="s">
        <v>222</v>
      </c>
      <c r="L4126" t="s">
        <v>223</v>
      </c>
      <c r="M4126" t="s">
        <v>224</v>
      </c>
    </row>
    <row r="4127" spans="1:13" x14ac:dyDescent="0.25">
      <c r="A4127" t="s">
        <v>25576</v>
      </c>
      <c r="B4127" t="s">
        <v>13</v>
      </c>
      <c r="C4127" s="1">
        <v>42530</v>
      </c>
      <c r="D4127" t="s">
        <v>25577</v>
      </c>
      <c r="E4127" t="s">
        <v>218</v>
      </c>
      <c r="F4127" t="s">
        <v>224</v>
      </c>
      <c r="G4127" t="s">
        <v>25578</v>
      </c>
      <c r="H4127" t="s">
        <v>489</v>
      </c>
      <c r="I4127" t="s">
        <v>19</v>
      </c>
      <c r="J4127" s="3" t="s">
        <v>25579</v>
      </c>
      <c r="K4127" t="s">
        <v>25580</v>
      </c>
      <c r="L4127" t="s">
        <v>625</v>
      </c>
      <c r="M4127" t="s">
        <v>224</v>
      </c>
    </row>
    <row r="4128" spans="1:13" x14ac:dyDescent="0.25">
      <c r="A4128" t="s">
        <v>22798</v>
      </c>
      <c r="B4128" t="s">
        <v>13</v>
      </c>
      <c r="C4128" t="s">
        <v>22753</v>
      </c>
      <c r="D4128" t="s">
        <v>22799</v>
      </c>
      <c r="E4128" t="s">
        <v>2227</v>
      </c>
      <c r="F4128" t="s">
        <v>224</v>
      </c>
      <c r="G4128" t="s">
        <v>22800</v>
      </c>
      <c r="H4128" t="s">
        <v>409</v>
      </c>
      <c r="I4128" t="s">
        <v>19</v>
      </c>
      <c r="J4128" s="3" t="s">
        <v>22801</v>
      </c>
      <c r="K4128" t="s">
        <v>22802</v>
      </c>
      <c r="L4128" t="s">
        <v>1823</v>
      </c>
      <c r="M4128" t="s">
        <v>224</v>
      </c>
    </row>
    <row r="4129" spans="1:13" x14ac:dyDescent="0.25">
      <c r="A4129" t="s">
        <v>14926</v>
      </c>
      <c r="B4129" t="s">
        <v>13</v>
      </c>
      <c r="C4129" t="s">
        <v>10506</v>
      </c>
      <c r="D4129" t="s">
        <v>14927</v>
      </c>
      <c r="E4129" t="s">
        <v>218</v>
      </c>
      <c r="F4129" t="s">
        <v>224</v>
      </c>
      <c r="G4129" t="s">
        <v>14928</v>
      </c>
      <c r="H4129" t="s">
        <v>936</v>
      </c>
      <c r="I4129" t="s">
        <v>19</v>
      </c>
      <c r="J4129" s="3">
        <v>5571991282993</v>
      </c>
      <c r="K4129" t="s">
        <v>14929</v>
      </c>
      <c r="L4129" t="s">
        <v>14930</v>
      </c>
      <c r="M4129" t="s">
        <v>224</v>
      </c>
    </row>
    <row r="4130" spans="1:13" x14ac:dyDescent="0.25">
      <c r="A4130" t="s">
        <v>22641</v>
      </c>
      <c r="B4130" t="s">
        <v>13</v>
      </c>
      <c r="C4130" s="1">
        <v>43313</v>
      </c>
      <c r="D4130" t="s">
        <v>22642</v>
      </c>
      <c r="E4130" t="s">
        <v>218</v>
      </c>
      <c r="F4130" t="s">
        <v>1129</v>
      </c>
      <c r="G4130" t="s">
        <v>22643</v>
      </c>
      <c r="H4130" t="s">
        <v>22644</v>
      </c>
      <c r="I4130" t="s">
        <v>19</v>
      </c>
      <c r="J4130" s="3" t="s">
        <v>22645</v>
      </c>
      <c r="K4130" t="s">
        <v>22646</v>
      </c>
      <c r="L4130" t="s">
        <v>2101</v>
      </c>
      <c r="M4130" t="s">
        <v>224</v>
      </c>
    </row>
    <row r="4131" spans="1:13" x14ac:dyDescent="0.25">
      <c r="A4131" t="s">
        <v>15646</v>
      </c>
      <c r="B4131" t="s">
        <v>13</v>
      </c>
      <c r="C4131" s="1">
        <v>43718</v>
      </c>
      <c r="D4131" t="s">
        <v>15647</v>
      </c>
      <c r="E4131" t="s">
        <v>218</v>
      </c>
      <c r="F4131" t="s">
        <v>1129</v>
      </c>
      <c r="G4131" t="s">
        <v>15648</v>
      </c>
      <c r="H4131" t="s">
        <v>936</v>
      </c>
      <c r="I4131" t="s">
        <v>19</v>
      </c>
      <c r="J4131" s="3" t="s">
        <v>15649</v>
      </c>
      <c r="K4131" t="s">
        <v>15650</v>
      </c>
      <c r="L4131" t="s">
        <v>1578</v>
      </c>
      <c r="M4131" t="s">
        <v>224</v>
      </c>
    </row>
    <row r="4132" spans="1:13" x14ac:dyDescent="0.25">
      <c r="A4132" t="s">
        <v>28732</v>
      </c>
      <c r="B4132" t="s">
        <v>13</v>
      </c>
      <c r="C4132" t="s">
        <v>28733</v>
      </c>
      <c r="D4132" t="s">
        <v>28734</v>
      </c>
      <c r="E4132" t="s">
        <v>2227</v>
      </c>
      <c r="F4132" t="s">
        <v>1129</v>
      </c>
      <c r="G4132" t="s">
        <v>2317</v>
      </c>
      <c r="H4132" t="s">
        <v>1335</v>
      </c>
      <c r="I4132" t="s">
        <v>19</v>
      </c>
      <c r="J4132" s="3" t="s">
        <v>3984</v>
      </c>
      <c r="K4132" t="s">
        <v>2319</v>
      </c>
      <c r="L4132" t="s">
        <v>1461</v>
      </c>
      <c r="M4132" t="s">
        <v>224</v>
      </c>
    </row>
    <row r="4133" spans="1:13" x14ac:dyDescent="0.25">
      <c r="A4133" t="s">
        <v>30087</v>
      </c>
      <c r="B4133" t="s">
        <v>13</v>
      </c>
      <c r="C4133" t="s">
        <v>14184</v>
      </c>
      <c r="D4133" t="s">
        <v>30088</v>
      </c>
      <c r="E4133" t="s">
        <v>218</v>
      </c>
      <c r="F4133" t="s">
        <v>1129</v>
      </c>
      <c r="G4133" t="s">
        <v>14697</v>
      </c>
      <c r="H4133" t="s">
        <v>36</v>
      </c>
      <c r="I4133" t="s">
        <v>19</v>
      </c>
      <c r="J4133" s="3">
        <v>551130913136</v>
      </c>
      <c r="K4133" t="s">
        <v>14699</v>
      </c>
      <c r="L4133" t="s">
        <v>2725</v>
      </c>
      <c r="M4133" t="s">
        <v>224</v>
      </c>
    </row>
    <row r="4134" spans="1:13" x14ac:dyDescent="0.25">
      <c r="A4134" t="s">
        <v>18925</v>
      </c>
      <c r="B4134" t="s">
        <v>13</v>
      </c>
      <c r="C4134" t="s">
        <v>14393</v>
      </c>
      <c r="D4134" t="s">
        <v>18926</v>
      </c>
      <c r="E4134" t="s">
        <v>218</v>
      </c>
      <c r="F4134" t="s">
        <v>1129</v>
      </c>
      <c r="G4134" t="s">
        <v>18927</v>
      </c>
      <c r="H4134" t="s">
        <v>1335</v>
      </c>
      <c r="I4134" t="s">
        <v>19</v>
      </c>
      <c r="J4134" s="3">
        <v>55043999792828</v>
      </c>
      <c r="K4134" t="s">
        <v>18928</v>
      </c>
      <c r="L4134" t="s">
        <v>1461</v>
      </c>
      <c r="M4134" t="s">
        <v>224</v>
      </c>
    </row>
    <row r="4135" spans="1:13" x14ac:dyDescent="0.25">
      <c r="A4135" t="s">
        <v>14021</v>
      </c>
      <c r="B4135" t="s">
        <v>13</v>
      </c>
      <c r="C4135" t="s">
        <v>14022</v>
      </c>
      <c r="D4135" t="s">
        <v>14023</v>
      </c>
      <c r="E4135" t="s">
        <v>218</v>
      </c>
      <c r="F4135" t="s">
        <v>1129</v>
      </c>
      <c r="G4135" t="s">
        <v>4291</v>
      </c>
      <c r="H4135" t="s">
        <v>88</v>
      </c>
      <c r="I4135" t="s">
        <v>19</v>
      </c>
      <c r="J4135" s="3">
        <f>55-84-981175502</f>
        <v>-981175531</v>
      </c>
      <c r="K4135" t="s">
        <v>14024</v>
      </c>
      <c r="L4135" t="s">
        <v>91</v>
      </c>
      <c r="M4135" t="s">
        <v>224</v>
      </c>
    </row>
    <row r="4136" spans="1:13" x14ac:dyDescent="0.25">
      <c r="A4136" t="s">
        <v>15989</v>
      </c>
      <c r="B4136" t="s">
        <v>13</v>
      </c>
      <c r="C4136" t="s">
        <v>15974</v>
      </c>
      <c r="D4136" t="s">
        <v>15990</v>
      </c>
      <c r="E4136" t="s">
        <v>218</v>
      </c>
      <c r="F4136" t="s">
        <v>1129</v>
      </c>
      <c r="G4136" t="s">
        <v>15991</v>
      </c>
      <c r="H4136" t="s">
        <v>1047</v>
      </c>
      <c r="I4136" t="s">
        <v>19</v>
      </c>
      <c r="J4136" s="3">
        <f>55-27-996087012</f>
        <v>-996086984</v>
      </c>
      <c r="K4136" t="s">
        <v>6530</v>
      </c>
      <c r="L4136" t="s">
        <v>1050</v>
      </c>
      <c r="M4136" t="s">
        <v>224</v>
      </c>
    </row>
    <row r="4137" spans="1:13" x14ac:dyDescent="0.25">
      <c r="A4137" t="s">
        <v>10142</v>
      </c>
      <c r="B4137" t="s">
        <v>13</v>
      </c>
      <c r="C4137" t="s">
        <v>8861</v>
      </c>
      <c r="D4137" t="s">
        <v>10143</v>
      </c>
      <c r="E4137" t="s">
        <v>218</v>
      </c>
      <c r="F4137" t="s">
        <v>1129</v>
      </c>
      <c r="G4137" t="s">
        <v>10144</v>
      </c>
      <c r="H4137" t="s">
        <v>4039</v>
      </c>
      <c r="I4137" t="s">
        <v>19</v>
      </c>
      <c r="J4137" s="3">
        <v>554535292762</v>
      </c>
      <c r="K4137" t="s">
        <v>10145</v>
      </c>
      <c r="L4137" t="s">
        <v>10146</v>
      </c>
      <c r="M4137" t="s">
        <v>224</v>
      </c>
    </row>
    <row r="4138" spans="1:13" x14ac:dyDescent="0.25">
      <c r="A4138" t="s">
        <v>9912</v>
      </c>
      <c r="B4138" t="s">
        <v>13</v>
      </c>
      <c r="C4138" s="1">
        <v>43899</v>
      </c>
      <c r="D4138" t="s">
        <v>9913</v>
      </c>
      <c r="E4138" t="s">
        <v>218</v>
      </c>
      <c r="F4138" t="s">
        <v>1129</v>
      </c>
      <c r="G4138" t="s">
        <v>9914</v>
      </c>
      <c r="H4138" t="s">
        <v>472</v>
      </c>
      <c r="I4138" t="s">
        <v>19</v>
      </c>
      <c r="J4138" s="3">
        <v>55081997635971</v>
      </c>
      <c r="K4138" t="s">
        <v>9915</v>
      </c>
      <c r="L4138" t="s">
        <v>2101</v>
      </c>
      <c r="M4138" t="s">
        <v>224</v>
      </c>
    </row>
    <row r="4139" spans="1:13" x14ac:dyDescent="0.25">
      <c r="A4139" t="s">
        <v>9604</v>
      </c>
      <c r="B4139" t="s">
        <v>13</v>
      </c>
      <c r="C4139" t="s">
        <v>5619</v>
      </c>
      <c r="D4139" t="s">
        <v>9605</v>
      </c>
      <c r="E4139" t="s">
        <v>218</v>
      </c>
      <c r="F4139" t="s">
        <v>1129</v>
      </c>
      <c r="G4139" t="s">
        <v>9606</v>
      </c>
      <c r="H4139" t="s">
        <v>1486</v>
      </c>
      <c r="I4139" t="s">
        <v>19</v>
      </c>
      <c r="J4139" s="3">
        <f>55-34-999445222</f>
        <v>-999445201</v>
      </c>
      <c r="K4139" t="s">
        <v>9607</v>
      </c>
      <c r="L4139" t="s">
        <v>1489</v>
      </c>
      <c r="M4139" t="s">
        <v>224</v>
      </c>
    </row>
    <row r="4140" spans="1:13" x14ac:dyDescent="0.25">
      <c r="A4140" t="s">
        <v>2225</v>
      </c>
      <c r="B4140" t="s">
        <v>13</v>
      </c>
      <c r="C4140" s="1">
        <v>44721</v>
      </c>
      <c r="D4140" t="s">
        <v>2226</v>
      </c>
      <c r="E4140" t="s">
        <v>2227</v>
      </c>
      <c r="F4140" t="s">
        <v>866</v>
      </c>
      <c r="G4140" t="s">
        <v>2228</v>
      </c>
      <c r="H4140" t="s">
        <v>195</v>
      </c>
      <c r="I4140" t="s">
        <v>19</v>
      </c>
      <c r="J4140" s="3" t="s">
        <v>2229</v>
      </c>
      <c r="K4140" t="s">
        <v>2230</v>
      </c>
      <c r="L4140" t="s">
        <v>197</v>
      </c>
      <c r="M4140" t="s">
        <v>224</v>
      </c>
    </row>
    <row r="4141" spans="1:13" x14ac:dyDescent="0.25">
      <c r="A4141" t="s">
        <v>4095</v>
      </c>
      <c r="B4141" t="s">
        <v>13</v>
      </c>
      <c r="C4141" t="s">
        <v>3325</v>
      </c>
      <c r="D4141" t="s">
        <v>4096</v>
      </c>
      <c r="E4141" t="s">
        <v>218</v>
      </c>
      <c r="F4141" t="s">
        <v>1527</v>
      </c>
      <c r="G4141" t="s">
        <v>4097</v>
      </c>
      <c r="H4141" t="s">
        <v>540</v>
      </c>
      <c r="I4141" t="s">
        <v>19</v>
      </c>
      <c r="J4141" s="3" t="s">
        <v>4098</v>
      </c>
      <c r="K4141" t="s">
        <v>4099</v>
      </c>
      <c r="L4141" t="s">
        <v>1531</v>
      </c>
      <c r="M4141" t="s">
        <v>224</v>
      </c>
    </row>
    <row r="4142" spans="1:13" x14ac:dyDescent="0.25">
      <c r="A4142" t="s">
        <v>2313</v>
      </c>
      <c r="B4142" t="s">
        <v>13</v>
      </c>
      <c r="C4142" t="s">
        <v>2314</v>
      </c>
      <c r="D4142" t="s">
        <v>2315</v>
      </c>
      <c r="E4142" t="s">
        <v>2227</v>
      </c>
      <c r="F4142" t="s">
        <v>2316</v>
      </c>
      <c r="G4142" t="s">
        <v>2317</v>
      </c>
      <c r="H4142" t="s">
        <v>1335</v>
      </c>
      <c r="I4142" t="s">
        <v>19</v>
      </c>
      <c r="J4142" s="3" t="s">
        <v>2318</v>
      </c>
      <c r="K4142" t="s">
        <v>2319</v>
      </c>
      <c r="L4142" t="s">
        <v>1461</v>
      </c>
      <c r="M4142" t="s">
        <v>224</v>
      </c>
    </row>
    <row r="4143" spans="1:13" x14ac:dyDescent="0.25">
      <c r="A4143" t="s">
        <v>18684</v>
      </c>
      <c r="B4143" t="s">
        <v>13</v>
      </c>
      <c r="C4143" t="s">
        <v>18678</v>
      </c>
      <c r="D4143" t="s">
        <v>18685</v>
      </c>
      <c r="E4143" t="s">
        <v>218</v>
      </c>
      <c r="F4143" t="s">
        <v>1464</v>
      </c>
      <c r="G4143" t="s">
        <v>18686</v>
      </c>
      <c r="H4143" t="s">
        <v>18687</v>
      </c>
      <c r="I4143" t="s">
        <v>19</v>
      </c>
      <c r="J4143" s="3">
        <f>55-85-988687897</f>
        <v>-988687927</v>
      </c>
      <c r="K4143" t="s">
        <v>18688</v>
      </c>
      <c r="L4143" t="s">
        <v>14461</v>
      </c>
      <c r="M4143" t="s">
        <v>224</v>
      </c>
    </row>
    <row r="4144" spans="1:13" x14ac:dyDescent="0.25">
      <c r="A4144" t="s">
        <v>4842</v>
      </c>
      <c r="B4144" t="s">
        <v>13</v>
      </c>
      <c r="C4144" s="1">
        <v>44836</v>
      </c>
      <c r="D4144" t="s">
        <v>4843</v>
      </c>
      <c r="E4144" t="s">
        <v>4844</v>
      </c>
      <c r="F4144" t="s">
        <v>2438</v>
      </c>
      <c r="G4144" t="s">
        <v>4845</v>
      </c>
      <c r="H4144" t="s">
        <v>265</v>
      </c>
      <c r="I4144" t="s">
        <v>19</v>
      </c>
      <c r="J4144" s="3">
        <v>5501699323430</v>
      </c>
      <c r="K4144" t="s">
        <v>4846</v>
      </c>
      <c r="L4144" t="s">
        <v>321</v>
      </c>
      <c r="M4144" t="s">
        <v>224</v>
      </c>
    </row>
    <row r="4145" spans="1:13" x14ac:dyDescent="0.25">
      <c r="A4145" t="s">
        <v>3982</v>
      </c>
      <c r="B4145" t="s">
        <v>13</v>
      </c>
      <c r="C4145" s="1">
        <v>44869</v>
      </c>
      <c r="D4145" t="s">
        <v>3983</v>
      </c>
      <c r="E4145" s="2" t="s">
        <v>30796</v>
      </c>
      <c r="F4145" t="s">
        <v>147</v>
      </c>
      <c r="G4145" t="s">
        <v>2317</v>
      </c>
      <c r="H4145" t="s">
        <v>1335</v>
      </c>
      <c r="I4145" t="s">
        <v>19</v>
      </c>
      <c r="J4145" s="3" t="s">
        <v>3984</v>
      </c>
      <c r="K4145" t="s">
        <v>2319</v>
      </c>
      <c r="L4145" t="s">
        <v>1461</v>
      </c>
      <c r="M4145" t="s">
        <v>741</v>
      </c>
    </row>
    <row r="4146" spans="1:13" x14ac:dyDescent="0.25">
      <c r="A4146" t="s">
        <v>14650</v>
      </c>
      <c r="B4146" t="s">
        <v>13</v>
      </c>
      <c r="C4146" s="1">
        <v>43750</v>
      </c>
      <c r="D4146" t="s">
        <v>14651</v>
      </c>
      <c r="E4146" s="2" t="s">
        <v>31887</v>
      </c>
      <c r="F4146" t="s">
        <v>1464</v>
      </c>
      <c r="G4146" t="s">
        <v>4955</v>
      </c>
      <c r="H4146" t="s">
        <v>8003</v>
      </c>
      <c r="I4146" t="s">
        <v>19</v>
      </c>
      <c r="J4146" s="3" t="s">
        <v>12473</v>
      </c>
      <c r="K4146" t="s">
        <v>4957</v>
      </c>
      <c r="L4146" t="s">
        <v>12474</v>
      </c>
      <c r="M4146" t="s">
        <v>224</v>
      </c>
    </row>
    <row r="4147" spans="1:13" x14ac:dyDescent="0.25">
      <c r="A4147" t="s">
        <v>21576</v>
      </c>
      <c r="B4147" t="s">
        <v>101</v>
      </c>
      <c r="C4147" s="1">
        <v>43378</v>
      </c>
      <c r="D4147" t="s">
        <v>21577</v>
      </c>
      <c r="E4147" s="2" t="s">
        <v>31291</v>
      </c>
      <c r="F4147" t="s">
        <v>224</v>
      </c>
      <c r="G4147" t="s">
        <v>21578</v>
      </c>
      <c r="H4147" t="s">
        <v>21579</v>
      </c>
      <c r="I4147" t="s">
        <v>19</v>
      </c>
      <c r="J4147" s="3">
        <f>55-19-2106-5295</f>
        <v>-7365</v>
      </c>
      <c r="K4147" t="s">
        <v>21580</v>
      </c>
      <c r="L4147" t="s">
        <v>9980</v>
      </c>
      <c r="M4147" t="s">
        <v>224</v>
      </c>
    </row>
    <row r="4148" spans="1:13" x14ac:dyDescent="0.25">
      <c r="A4148" t="s">
        <v>2435</v>
      </c>
      <c r="B4148" t="s">
        <v>13</v>
      </c>
      <c r="C4148" t="s">
        <v>2436</v>
      </c>
      <c r="D4148" t="s">
        <v>2437</v>
      </c>
      <c r="E4148" s="2" t="s">
        <v>30736</v>
      </c>
      <c r="F4148" t="s">
        <v>2438</v>
      </c>
      <c r="G4148" t="s">
        <v>2439</v>
      </c>
      <c r="H4148" t="s">
        <v>2440</v>
      </c>
      <c r="I4148" t="s">
        <v>19</v>
      </c>
      <c r="J4148" s="3">
        <f>55-62-32013419</f>
        <v>-32013426</v>
      </c>
      <c r="K4148" t="s">
        <v>2441</v>
      </c>
      <c r="L4148" t="s">
        <v>2442</v>
      </c>
      <c r="M4148" t="s">
        <v>224</v>
      </c>
    </row>
    <row r="4149" spans="1:13" x14ac:dyDescent="0.25">
      <c r="A4149" t="s">
        <v>14483</v>
      </c>
      <c r="B4149" t="s">
        <v>13</v>
      </c>
      <c r="C4149" t="s">
        <v>8484</v>
      </c>
      <c r="D4149" t="s">
        <v>14484</v>
      </c>
      <c r="E4149" s="2" t="s">
        <v>32547</v>
      </c>
      <c r="F4149" t="s">
        <v>224</v>
      </c>
      <c r="G4149" t="s">
        <v>14485</v>
      </c>
      <c r="H4149" t="s">
        <v>1090</v>
      </c>
      <c r="I4149" t="s">
        <v>19</v>
      </c>
      <c r="J4149" s="3" t="s">
        <v>14486</v>
      </c>
      <c r="K4149" t="s">
        <v>14487</v>
      </c>
      <c r="L4149" t="s">
        <v>12876</v>
      </c>
      <c r="M4149" t="s">
        <v>224</v>
      </c>
    </row>
    <row r="4150" spans="1:13" x14ac:dyDescent="0.25">
      <c r="A4150" t="s">
        <v>22966</v>
      </c>
      <c r="B4150" t="s">
        <v>13</v>
      </c>
      <c r="C4150" t="s">
        <v>8017</v>
      </c>
      <c r="D4150" t="s">
        <v>22967</v>
      </c>
      <c r="E4150" s="2" t="s">
        <v>32130</v>
      </c>
      <c r="F4150" t="s">
        <v>224</v>
      </c>
      <c r="G4150" t="s">
        <v>22968</v>
      </c>
      <c r="H4150" t="s">
        <v>265</v>
      </c>
      <c r="I4150" t="s">
        <v>22969</v>
      </c>
      <c r="J4150" s="3">
        <v>5516991751973</v>
      </c>
      <c r="K4150" t="s">
        <v>22970</v>
      </c>
      <c r="L4150" t="s">
        <v>22971</v>
      </c>
      <c r="M4150" t="s">
        <v>224</v>
      </c>
    </row>
    <row r="4151" spans="1:13" x14ac:dyDescent="0.25">
      <c r="A4151" t="s">
        <v>21894</v>
      </c>
      <c r="B4151" t="s">
        <v>13</v>
      </c>
      <c r="C4151" t="s">
        <v>7715</v>
      </c>
      <c r="D4151" t="s">
        <v>21895</v>
      </c>
      <c r="E4151" s="2" t="s">
        <v>31713</v>
      </c>
      <c r="F4151" t="s">
        <v>224</v>
      </c>
      <c r="G4151" t="s">
        <v>17913</v>
      </c>
      <c r="H4151" t="s">
        <v>12945</v>
      </c>
      <c r="I4151" t="s">
        <v>19</v>
      </c>
      <c r="J4151" s="3" t="s">
        <v>21896</v>
      </c>
      <c r="K4151" t="s">
        <v>21897</v>
      </c>
      <c r="L4151" t="s">
        <v>82</v>
      </c>
      <c r="M4151" t="s">
        <v>224</v>
      </c>
    </row>
    <row r="4152" spans="1:13" x14ac:dyDescent="0.25">
      <c r="A4152" t="s">
        <v>25333</v>
      </c>
      <c r="B4152" t="s">
        <v>13</v>
      </c>
      <c r="C4152" t="s">
        <v>25334</v>
      </c>
      <c r="D4152" t="s">
        <v>25335</v>
      </c>
      <c r="E4152" t="s">
        <v>16125</v>
      </c>
      <c r="F4152" t="s">
        <v>224</v>
      </c>
      <c r="G4152" t="s">
        <v>25336</v>
      </c>
      <c r="H4152" t="s">
        <v>503</v>
      </c>
      <c r="I4152" t="s">
        <v>19</v>
      </c>
      <c r="J4152" s="3" t="s">
        <v>25337</v>
      </c>
      <c r="K4152" t="s">
        <v>25338</v>
      </c>
      <c r="L4152" t="s">
        <v>412</v>
      </c>
      <c r="M4152" t="s">
        <v>224</v>
      </c>
    </row>
    <row r="4153" spans="1:13" x14ac:dyDescent="0.25">
      <c r="A4153" t="s">
        <v>19726</v>
      </c>
      <c r="B4153" t="s">
        <v>13</v>
      </c>
      <c r="C4153" s="1">
        <v>43382</v>
      </c>
      <c r="D4153" t="s">
        <v>19727</v>
      </c>
      <c r="E4153" t="s">
        <v>16125</v>
      </c>
      <c r="F4153" t="s">
        <v>224</v>
      </c>
      <c r="G4153" t="s">
        <v>19728</v>
      </c>
      <c r="H4153" t="s">
        <v>352</v>
      </c>
      <c r="I4153" t="s">
        <v>19</v>
      </c>
      <c r="J4153" s="3">
        <v>552199426319</v>
      </c>
      <c r="K4153" t="s">
        <v>19729</v>
      </c>
      <c r="L4153" t="s">
        <v>19730</v>
      </c>
      <c r="M4153" t="s">
        <v>224</v>
      </c>
    </row>
    <row r="4154" spans="1:13" x14ac:dyDescent="0.25">
      <c r="A4154" t="s">
        <v>17553</v>
      </c>
      <c r="B4154" t="s">
        <v>13</v>
      </c>
      <c r="C4154" s="1">
        <v>43501</v>
      </c>
      <c r="D4154" t="s">
        <v>17554</v>
      </c>
      <c r="E4154" t="s">
        <v>16125</v>
      </c>
      <c r="F4154" t="s">
        <v>224</v>
      </c>
      <c r="G4154" t="s">
        <v>16202</v>
      </c>
      <c r="H4154" t="s">
        <v>540</v>
      </c>
      <c r="I4154" t="s">
        <v>19</v>
      </c>
      <c r="J4154" s="3">
        <f>55-91-980327607</f>
        <v>-980327643</v>
      </c>
      <c r="K4154" t="s">
        <v>16203</v>
      </c>
      <c r="L4154" t="s">
        <v>3751</v>
      </c>
      <c r="M4154" t="s">
        <v>224</v>
      </c>
    </row>
    <row r="4155" spans="1:13" x14ac:dyDescent="0.25">
      <c r="A4155" t="s">
        <v>16123</v>
      </c>
      <c r="B4155" t="s">
        <v>13</v>
      </c>
      <c r="C4155" t="s">
        <v>15792</v>
      </c>
      <c r="D4155" t="s">
        <v>16124</v>
      </c>
      <c r="E4155" t="s">
        <v>16125</v>
      </c>
      <c r="F4155" t="s">
        <v>224</v>
      </c>
      <c r="G4155" t="s">
        <v>16126</v>
      </c>
      <c r="H4155" t="s">
        <v>16127</v>
      </c>
      <c r="I4155" t="s">
        <v>19</v>
      </c>
      <c r="J4155" s="3">
        <f>55-47-999659293</f>
        <v>-999659285</v>
      </c>
      <c r="K4155" t="s">
        <v>16128</v>
      </c>
      <c r="L4155" t="s">
        <v>16129</v>
      </c>
      <c r="M4155" t="s">
        <v>224</v>
      </c>
    </row>
    <row r="4156" spans="1:13" x14ac:dyDescent="0.25">
      <c r="A4156" t="s">
        <v>26891</v>
      </c>
      <c r="B4156" t="s">
        <v>13</v>
      </c>
      <c r="C4156" t="s">
        <v>26706</v>
      </c>
      <c r="D4156" t="s">
        <v>26892</v>
      </c>
      <c r="E4156" t="s">
        <v>2721</v>
      </c>
      <c r="F4156" t="s">
        <v>1129</v>
      </c>
      <c r="G4156" t="s">
        <v>2317</v>
      </c>
      <c r="H4156" t="s">
        <v>1335</v>
      </c>
      <c r="I4156" t="s">
        <v>19</v>
      </c>
      <c r="J4156" s="3" t="s">
        <v>3984</v>
      </c>
      <c r="K4156" t="s">
        <v>2319</v>
      </c>
      <c r="L4156" t="s">
        <v>1461</v>
      </c>
      <c r="M4156" t="s">
        <v>224</v>
      </c>
    </row>
    <row r="4157" spans="1:13" x14ac:dyDescent="0.25">
      <c r="A4157" t="s">
        <v>30117</v>
      </c>
      <c r="B4157" t="s">
        <v>13</v>
      </c>
      <c r="C4157" t="s">
        <v>14184</v>
      </c>
      <c r="D4157" t="s">
        <v>30118</v>
      </c>
      <c r="E4157" t="s">
        <v>16125</v>
      </c>
      <c r="F4157" t="s">
        <v>1129</v>
      </c>
      <c r="G4157" t="s">
        <v>30119</v>
      </c>
      <c r="H4157" t="s">
        <v>706</v>
      </c>
      <c r="I4157" t="s">
        <v>19</v>
      </c>
      <c r="J4157" s="3" t="s">
        <v>30120</v>
      </c>
      <c r="K4157" t="s">
        <v>30121</v>
      </c>
      <c r="L4157" t="s">
        <v>30122</v>
      </c>
      <c r="M4157" t="s">
        <v>224</v>
      </c>
    </row>
    <row r="4158" spans="1:13" x14ac:dyDescent="0.25">
      <c r="A4158" t="s">
        <v>26914</v>
      </c>
      <c r="B4158" t="s">
        <v>13</v>
      </c>
      <c r="C4158" t="s">
        <v>26911</v>
      </c>
      <c r="D4158" t="s">
        <v>26915</v>
      </c>
      <c r="E4158" t="s">
        <v>32548</v>
      </c>
      <c r="F4158" t="s">
        <v>1129</v>
      </c>
      <c r="G4158" t="s">
        <v>19647</v>
      </c>
      <c r="H4158" t="s">
        <v>36</v>
      </c>
      <c r="I4158" t="s">
        <v>19</v>
      </c>
      <c r="J4158" s="3" t="s">
        <v>25936</v>
      </c>
      <c r="K4158" t="s">
        <v>26916</v>
      </c>
      <c r="L4158" t="s">
        <v>328</v>
      </c>
      <c r="M4158" t="s">
        <v>224</v>
      </c>
    </row>
    <row r="4159" spans="1:13" x14ac:dyDescent="0.25">
      <c r="A4159" t="s">
        <v>27681</v>
      </c>
      <c r="B4159" t="s">
        <v>13</v>
      </c>
      <c r="C4159" t="s">
        <v>27682</v>
      </c>
      <c r="D4159" t="s">
        <v>27683</v>
      </c>
      <c r="E4159" t="s">
        <v>27684</v>
      </c>
      <c r="F4159" t="s">
        <v>1129</v>
      </c>
      <c r="G4159" t="s">
        <v>27685</v>
      </c>
      <c r="H4159" t="s">
        <v>1656</v>
      </c>
      <c r="I4159" t="s">
        <v>19</v>
      </c>
      <c r="J4159" s="3" t="s">
        <v>27686</v>
      </c>
      <c r="K4159" t="s">
        <v>27687</v>
      </c>
      <c r="L4159" t="s">
        <v>19137</v>
      </c>
      <c r="M4159" t="s">
        <v>224</v>
      </c>
    </row>
    <row r="4160" spans="1:13" x14ac:dyDescent="0.25">
      <c r="A4160" t="s">
        <v>20797</v>
      </c>
      <c r="B4160" t="s">
        <v>13</v>
      </c>
      <c r="C4160" s="1">
        <v>43138</v>
      </c>
      <c r="D4160" t="s">
        <v>20798</v>
      </c>
      <c r="E4160" s="2" t="s">
        <v>31266</v>
      </c>
      <c r="F4160" t="s">
        <v>1129</v>
      </c>
      <c r="G4160" t="s">
        <v>20799</v>
      </c>
      <c r="H4160" t="s">
        <v>4092</v>
      </c>
      <c r="I4160" t="s">
        <v>19</v>
      </c>
      <c r="J4160" s="3">
        <f>55-14-991228658</f>
        <v>-991228617</v>
      </c>
      <c r="K4160" t="s">
        <v>20800</v>
      </c>
      <c r="L4160" t="s">
        <v>20801</v>
      </c>
      <c r="M4160" t="s">
        <v>224</v>
      </c>
    </row>
    <row r="4161" spans="1:13" x14ac:dyDescent="0.25">
      <c r="A4161" t="s">
        <v>19317</v>
      </c>
      <c r="B4161" t="s">
        <v>13</v>
      </c>
      <c r="C4161" s="1">
        <v>43383</v>
      </c>
      <c r="D4161" t="s">
        <v>19318</v>
      </c>
      <c r="E4161" t="s">
        <v>2443</v>
      </c>
      <c r="F4161" t="s">
        <v>224</v>
      </c>
      <c r="G4161" t="s">
        <v>19319</v>
      </c>
      <c r="H4161" t="s">
        <v>1656</v>
      </c>
      <c r="I4161" t="s">
        <v>19</v>
      </c>
      <c r="J4161" s="3" t="s">
        <v>19320</v>
      </c>
      <c r="K4161" t="s">
        <v>19321</v>
      </c>
      <c r="L4161" t="s">
        <v>1658</v>
      </c>
      <c r="M4161" t="s">
        <v>224</v>
      </c>
    </row>
    <row r="4162" spans="1:13" x14ac:dyDescent="0.25">
      <c r="A4162" t="s">
        <v>9903</v>
      </c>
      <c r="B4162" t="s">
        <v>13</v>
      </c>
      <c r="C4162" s="1">
        <v>43959</v>
      </c>
      <c r="D4162" t="s">
        <v>9904</v>
      </c>
      <c r="E4162" t="s">
        <v>2443</v>
      </c>
      <c r="F4162" t="s">
        <v>224</v>
      </c>
      <c r="G4162" t="s">
        <v>9905</v>
      </c>
      <c r="H4162" t="s">
        <v>45</v>
      </c>
      <c r="I4162" t="s">
        <v>19</v>
      </c>
      <c r="J4162" s="3" t="s">
        <v>9906</v>
      </c>
      <c r="K4162" t="s">
        <v>9907</v>
      </c>
      <c r="L4162" t="s">
        <v>9908</v>
      </c>
      <c r="M4162" t="s">
        <v>224</v>
      </c>
    </row>
    <row r="4163" spans="1:13" x14ac:dyDescent="0.25">
      <c r="A4163" t="s">
        <v>23821</v>
      </c>
      <c r="B4163" t="s">
        <v>13</v>
      </c>
      <c r="C4163" s="1">
        <v>42955</v>
      </c>
      <c r="D4163" t="s">
        <v>23822</v>
      </c>
      <c r="E4163" t="s">
        <v>2443</v>
      </c>
      <c r="F4163" t="s">
        <v>224</v>
      </c>
      <c r="G4163" t="s">
        <v>23823</v>
      </c>
      <c r="H4163" t="s">
        <v>540</v>
      </c>
      <c r="I4163" t="s">
        <v>19</v>
      </c>
      <c r="J4163" s="3" t="s">
        <v>23824</v>
      </c>
      <c r="K4163" t="s">
        <v>23825</v>
      </c>
      <c r="L4163" t="s">
        <v>8251</v>
      </c>
      <c r="M4163" t="s">
        <v>224</v>
      </c>
    </row>
    <row r="4164" spans="1:13" x14ac:dyDescent="0.25">
      <c r="A4164" t="s">
        <v>25728</v>
      </c>
      <c r="B4164" t="s">
        <v>13</v>
      </c>
      <c r="C4164" s="1">
        <v>42682</v>
      </c>
      <c r="D4164" t="s">
        <v>25729</v>
      </c>
      <c r="E4164" t="s">
        <v>25730</v>
      </c>
      <c r="F4164" t="s">
        <v>224</v>
      </c>
      <c r="G4164" t="s">
        <v>25336</v>
      </c>
      <c r="H4164" t="s">
        <v>503</v>
      </c>
      <c r="I4164" t="s">
        <v>19</v>
      </c>
      <c r="J4164" s="3" t="s">
        <v>25731</v>
      </c>
      <c r="K4164" t="s">
        <v>25338</v>
      </c>
      <c r="L4164" t="s">
        <v>412</v>
      </c>
      <c r="M4164" t="s">
        <v>224</v>
      </c>
    </row>
    <row r="4165" spans="1:13" x14ac:dyDescent="0.25">
      <c r="A4165" t="s">
        <v>27784</v>
      </c>
      <c r="B4165" t="s">
        <v>13</v>
      </c>
      <c r="C4165" t="s">
        <v>27785</v>
      </c>
      <c r="D4165" t="s">
        <v>27786</v>
      </c>
      <c r="E4165" t="s">
        <v>2443</v>
      </c>
      <c r="F4165" t="s">
        <v>224</v>
      </c>
      <c r="G4165" t="s">
        <v>27787</v>
      </c>
      <c r="H4165" t="s">
        <v>36</v>
      </c>
      <c r="I4165" t="s">
        <v>19</v>
      </c>
      <c r="J4165" s="3" t="s">
        <v>27788</v>
      </c>
      <c r="K4165" t="s">
        <v>27789</v>
      </c>
      <c r="L4165" t="s">
        <v>18295</v>
      </c>
      <c r="M4165" t="s">
        <v>224</v>
      </c>
    </row>
    <row r="4166" spans="1:13" x14ac:dyDescent="0.25">
      <c r="A4166" t="s">
        <v>10048</v>
      </c>
      <c r="B4166" t="s">
        <v>13</v>
      </c>
      <c r="C4166" s="1">
        <v>41403</v>
      </c>
      <c r="D4166" t="s">
        <v>10049</v>
      </c>
      <c r="E4166" t="s">
        <v>2443</v>
      </c>
      <c r="F4166" t="s">
        <v>224</v>
      </c>
      <c r="G4166" t="s">
        <v>10050</v>
      </c>
      <c r="H4166" t="s">
        <v>36</v>
      </c>
      <c r="I4166" t="s">
        <v>19</v>
      </c>
      <c r="J4166" s="3" t="s">
        <v>10051</v>
      </c>
      <c r="K4166" t="s">
        <v>10052</v>
      </c>
      <c r="L4166" t="s">
        <v>2725</v>
      </c>
      <c r="M4166" t="s">
        <v>224</v>
      </c>
    </row>
    <row r="4167" spans="1:13" x14ac:dyDescent="0.25">
      <c r="A4167" t="s">
        <v>14025</v>
      </c>
      <c r="B4167" t="s">
        <v>13</v>
      </c>
      <c r="C4167" t="s">
        <v>14026</v>
      </c>
      <c r="D4167" t="s">
        <v>14027</v>
      </c>
      <c r="E4167" t="s">
        <v>2443</v>
      </c>
      <c r="F4167" t="s">
        <v>224</v>
      </c>
      <c r="G4167" t="s">
        <v>10050</v>
      </c>
      <c r="H4167" t="s">
        <v>36</v>
      </c>
      <c r="I4167" t="s">
        <v>19</v>
      </c>
      <c r="J4167" s="3" t="s">
        <v>10051</v>
      </c>
      <c r="K4167" t="s">
        <v>10052</v>
      </c>
      <c r="L4167" t="s">
        <v>2725</v>
      </c>
      <c r="M4167" t="s">
        <v>224</v>
      </c>
    </row>
    <row r="4168" spans="1:13" x14ac:dyDescent="0.25">
      <c r="A4168" t="s">
        <v>26310</v>
      </c>
      <c r="B4168" t="s">
        <v>13</v>
      </c>
      <c r="C4168" s="1">
        <v>42648</v>
      </c>
      <c r="D4168" t="s">
        <v>26311</v>
      </c>
      <c r="E4168" t="s">
        <v>2443</v>
      </c>
      <c r="F4168" t="s">
        <v>224</v>
      </c>
      <c r="G4168" t="s">
        <v>26312</v>
      </c>
      <c r="H4168" t="s">
        <v>17552</v>
      </c>
      <c r="I4168" t="s">
        <v>19</v>
      </c>
      <c r="J4168" s="3" t="s">
        <v>26313</v>
      </c>
      <c r="K4168" t="s">
        <v>26314</v>
      </c>
      <c r="L4168" t="s">
        <v>2101</v>
      </c>
      <c r="M4168" t="s">
        <v>224</v>
      </c>
    </row>
    <row r="4169" spans="1:13" x14ac:dyDescent="0.25">
      <c r="A4169" t="s">
        <v>14815</v>
      </c>
      <c r="B4169" t="s">
        <v>13</v>
      </c>
      <c r="C4169" t="s">
        <v>14813</v>
      </c>
      <c r="D4169" t="s">
        <v>14816</v>
      </c>
      <c r="E4169" t="s">
        <v>209</v>
      </c>
      <c r="F4169" t="s">
        <v>224</v>
      </c>
      <c r="G4169" t="s">
        <v>14817</v>
      </c>
      <c r="H4169" t="s">
        <v>489</v>
      </c>
      <c r="I4169" t="s">
        <v>19</v>
      </c>
      <c r="J4169" s="3" t="s">
        <v>14818</v>
      </c>
      <c r="K4169" t="s">
        <v>14819</v>
      </c>
      <c r="L4169" t="s">
        <v>625</v>
      </c>
      <c r="M4169" t="s">
        <v>224</v>
      </c>
    </row>
    <row r="4170" spans="1:13" x14ac:dyDescent="0.25">
      <c r="A4170" t="s">
        <v>25989</v>
      </c>
      <c r="B4170" t="s">
        <v>13</v>
      </c>
      <c r="C4170" s="1">
        <v>42376</v>
      </c>
      <c r="D4170" t="s">
        <v>25990</v>
      </c>
      <c r="E4170" t="s">
        <v>2443</v>
      </c>
      <c r="F4170" t="s">
        <v>224</v>
      </c>
      <c r="G4170" t="s">
        <v>20799</v>
      </c>
      <c r="H4170" t="s">
        <v>4092</v>
      </c>
      <c r="I4170" t="s">
        <v>19</v>
      </c>
      <c r="J4170" s="3" t="s">
        <v>15525</v>
      </c>
      <c r="K4170" t="s">
        <v>20800</v>
      </c>
      <c r="L4170" t="s">
        <v>2548</v>
      </c>
      <c r="M4170" t="s">
        <v>224</v>
      </c>
    </row>
    <row r="4171" spans="1:13" x14ac:dyDescent="0.25">
      <c r="A4171" t="s">
        <v>25986</v>
      </c>
      <c r="B4171" t="s">
        <v>101</v>
      </c>
      <c r="C4171" s="1">
        <v>42376</v>
      </c>
      <c r="D4171" t="s">
        <v>25987</v>
      </c>
      <c r="E4171" t="s">
        <v>2443</v>
      </c>
      <c r="F4171" t="s">
        <v>224</v>
      </c>
      <c r="G4171" t="s">
        <v>20799</v>
      </c>
      <c r="H4171" t="s">
        <v>4092</v>
      </c>
      <c r="I4171" t="s">
        <v>19</v>
      </c>
      <c r="J4171" s="3" t="s">
        <v>25988</v>
      </c>
      <c r="K4171" t="s">
        <v>20800</v>
      </c>
      <c r="L4171" t="s">
        <v>13261</v>
      </c>
      <c r="M4171" t="s">
        <v>224</v>
      </c>
    </row>
    <row r="4172" spans="1:13" x14ac:dyDescent="0.25">
      <c r="A4172" t="s">
        <v>26141</v>
      </c>
      <c r="B4172" t="s">
        <v>101</v>
      </c>
      <c r="C4172" t="s">
        <v>26115</v>
      </c>
      <c r="D4172" t="s">
        <v>26142</v>
      </c>
      <c r="E4172" t="s">
        <v>26143</v>
      </c>
      <c r="F4172" t="s">
        <v>224</v>
      </c>
      <c r="G4172" t="s">
        <v>20799</v>
      </c>
      <c r="H4172" t="s">
        <v>4092</v>
      </c>
      <c r="I4172" t="s">
        <v>19</v>
      </c>
      <c r="J4172" s="3" t="s">
        <v>26144</v>
      </c>
      <c r="K4172" t="s">
        <v>26145</v>
      </c>
      <c r="L4172" t="s">
        <v>2548</v>
      </c>
      <c r="M4172" t="s">
        <v>224</v>
      </c>
    </row>
    <row r="4173" spans="1:13" x14ac:dyDescent="0.25">
      <c r="A4173" t="s">
        <v>27364</v>
      </c>
      <c r="B4173" t="s">
        <v>101</v>
      </c>
      <c r="C4173" t="s">
        <v>27365</v>
      </c>
      <c r="D4173" t="s">
        <v>27366</v>
      </c>
      <c r="E4173" t="s">
        <v>2443</v>
      </c>
      <c r="F4173" t="s">
        <v>224</v>
      </c>
      <c r="G4173" t="s">
        <v>10102</v>
      </c>
      <c r="H4173" t="s">
        <v>372</v>
      </c>
      <c r="I4173" t="s">
        <v>19</v>
      </c>
      <c r="J4173" s="3">
        <v>551921065240</v>
      </c>
      <c r="K4173" t="s">
        <v>27367</v>
      </c>
      <c r="L4173" t="s">
        <v>14572</v>
      </c>
      <c r="M4173" t="s">
        <v>224</v>
      </c>
    </row>
    <row r="4174" spans="1:13" x14ac:dyDescent="0.25">
      <c r="A4174" t="s">
        <v>18981</v>
      </c>
      <c r="B4174" t="s">
        <v>13</v>
      </c>
      <c r="C4174" t="s">
        <v>18970</v>
      </c>
      <c r="D4174" t="s">
        <v>18982</v>
      </c>
      <c r="E4174" t="s">
        <v>2443</v>
      </c>
      <c r="F4174" t="s">
        <v>224</v>
      </c>
      <c r="G4174" t="s">
        <v>18983</v>
      </c>
      <c r="H4174" t="s">
        <v>36</v>
      </c>
      <c r="I4174" t="s">
        <v>19</v>
      </c>
      <c r="J4174" s="3">
        <f>55-11-30918795</f>
        <v>-30918751</v>
      </c>
      <c r="K4174" t="s">
        <v>18984</v>
      </c>
      <c r="L4174" t="s">
        <v>2725</v>
      </c>
      <c r="M4174" t="s">
        <v>224</v>
      </c>
    </row>
    <row r="4175" spans="1:13" x14ac:dyDescent="0.25">
      <c r="A4175" t="s">
        <v>11845</v>
      </c>
      <c r="B4175" t="s">
        <v>13</v>
      </c>
      <c r="C4175" t="s">
        <v>11846</v>
      </c>
      <c r="D4175" t="s">
        <v>11847</v>
      </c>
      <c r="E4175" t="s">
        <v>2443</v>
      </c>
      <c r="F4175" t="s">
        <v>224</v>
      </c>
      <c r="G4175" t="s">
        <v>11848</v>
      </c>
      <c r="H4175" t="s">
        <v>706</v>
      </c>
      <c r="I4175" t="s">
        <v>19</v>
      </c>
      <c r="J4175" s="3" t="s">
        <v>11849</v>
      </c>
      <c r="K4175" t="s">
        <v>11850</v>
      </c>
      <c r="L4175" t="s">
        <v>565</v>
      </c>
      <c r="M4175" t="s">
        <v>224</v>
      </c>
    </row>
    <row r="4176" spans="1:13" x14ac:dyDescent="0.25">
      <c r="A4176" t="s">
        <v>10245</v>
      </c>
      <c r="B4176" t="s">
        <v>13</v>
      </c>
      <c r="C4176" t="s">
        <v>9229</v>
      </c>
      <c r="D4176" t="s">
        <v>10246</v>
      </c>
      <c r="E4176" t="s">
        <v>2443</v>
      </c>
      <c r="F4176" t="s">
        <v>224</v>
      </c>
      <c r="G4176" t="s">
        <v>10247</v>
      </c>
      <c r="H4176" t="s">
        <v>36</v>
      </c>
      <c r="I4176" t="s">
        <v>19</v>
      </c>
      <c r="J4176" s="3" t="s">
        <v>10248</v>
      </c>
      <c r="K4176" t="s">
        <v>10249</v>
      </c>
      <c r="L4176" t="s">
        <v>10250</v>
      </c>
      <c r="M4176" t="s">
        <v>224</v>
      </c>
    </row>
    <row r="4177" spans="1:13" x14ac:dyDescent="0.25">
      <c r="A4177" t="s">
        <v>15963</v>
      </c>
      <c r="B4177" t="s">
        <v>13</v>
      </c>
      <c r="C4177" t="s">
        <v>12286</v>
      </c>
      <c r="D4177" t="s">
        <v>15964</v>
      </c>
      <c r="E4177" t="s">
        <v>2443</v>
      </c>
      <c r="F4177" t="s">
        <v>224</v>
      </c>
      <c r="G4177" t="s">
        <v>15965</v>
      </c>
      <c r="H4177" t="s">
        <v>489</v>
      </c>
      <c r="I4177" t="s">
        <v>19</v>
      </c>
      <c r="J4177" s="3" t="s">
        <v>15966</v>
      </c>
      <c r="K4177" t="s">
        <v>15967</v>
      </c>
      <c r="L4177" t="s">
        <v>2661</v>
      </c>
      <c r="M4177" t="s">
        <v>224</v>
      </c>
    </row>
    <row r="4178" spans="1:13" x14ac:dyDescent="0.25">
      <c r="A4178" t="s">
        <v>9790</v>
      </c>
      <c r="B4178" t="s">
        <v>13</v>
      </c>
      <c r="C4178" s="1">
        <v>44144</v>
      </c>
      <c r="D4178" t="s">
        <v>9791</v>
      </c>
      <c r="E4178" t="s">
        <v>209</v>
      </c>
      <c r="F4178" t="s">
        <v>224</v>
      </c>
      <c r="G4178" t="s">
        <v>9792</v>
      </c>
      <c r="H4178" t="s">
        <v>489</v>
      </c>
      <c r="I4178" t="s">
        <v>19</v>
      </c>
      <c r="J4178" s="3" t="s">
        <v>9793</v>
      </c>
      <c r="K4178" t="s">
        <v>9794</v>
      </c>
      <c r="L4178" t="s">
        <v>625</v>
      </c>
      <c r="M4178" t="s">
        <v>224</v>
      </c>
    </row>
    <row r="4179" spans="1:13" x14ac:dyDescent="0.25">
      <c r="A4179" t="s">
        <v>10841</v>
      </c>
      <c r="B4179" t="s">
        <v>13</v>
      </c>
      <c r="C4179" t="s">
        <v>7057</v>
      </c>
      <c r="D4179" t="s">
        <v>10842</v>
      </c>
      <c r="E4179" t="s">
        <v>209</v>
      </c>
      <c r="F4179" t="s">
        <v>1129</v>
      </c>
      <c r="G4179" t="s">
        <v>10843</v>
      </c>
      <c r="H4179" t="s">
        <v>489</v>
      </c>
      <c r="I4179" t="s">
        <v>19</v>
      </c>
      <c r="J4179" s="3" t="s">
        <v>10844</v>
      </c>
      <c r="K4179" t="s">
        <v>10845</v>
      </c>
      <c r="L4179" t="s">
        <v>10846</v>
      </c>
      <c r="M4179" t="s">
        <v>224</v>
      </c>
    </row>
    <row r="4180" spans="1:13" x14ac:dyDescent="0.25">
      <c r="A4180" t="s">
        <v>29139</v>
      </c>
      <c r="B4180" t="s">
        <v>13</v>
      </c>
      <c r="C4180" t="s">
        <v>29140</v>
      </c>
      <c r="D4180" t="s">
        <v>29141</v>
      </c>
      <c r="E4180" t="s">
        <v>2443</v>
      </c>
      <c r="F4180" t="s">
        <v>1129</v>
      </c>
      <c r="G4180" t="s">
        <v>2981</v>
      </c>
      <c r="H4180" t="s">
        <v>753</v>
      </c>
      <c r="I4180" t="s">
        <v>19</v>
      </c>
      <c r="J4180" s="3" t="s">
        <v>29142</v>
      </c>
      <c r="K4180" t="s">
        <v>2983</v>
      </c>
      <c r="L4180" t="s">
        <v>29143</v>
      </c>
      <c r="M4180" t="s">
        <v>224</v>
      </c>
    </row>
    <row r="4181" spans="1:13" x14ac:dyDescent="0.25">
      <c r="A4181" t="s">
        <v>24257</v>
      </c>
      <c r="B4181" t="s">
        <v>13</v>
      </c>
      <c r="C4181" t="s">
        <v>24251</v>
      </c>
      <c r="D4181" t="s">
        <v>24258</v>
      </c>
      <c r="E4181" t="s">
        <v>209</v>
      </c>
      <c r="F4181" t="s">
        <v>1129</v>
      </c>
      <c r="G4181" t="s">
        <v>22610</v>
      </c>
      <c r="H4181" t="s">
        <v>1802</v>
      </c>
      <c r="I4181" t="s">
        <v>19</v>
      </c>
      <c r="J4181" s="3" t="s">
        <v>24259</v>
      </c>
      <c r="K4181" t="s">
        <v>22612</v>
      </c>
      <c r="L4181" t="s">
        <v>14212</v>
      </c>
      <c r="M4181" t="s">
        <v>224</v>
      </c>
    </row>
    <row r="4182" spans="1:13" x14ac:dyDescent="0.25">
      <c r="A4182" t="s">
        <v>18913</v>
      </c>
      <c r="B4182" t="s">
        <v>13</v>
      </c>
      <c r="C4182" s="1">
        <v>43112</v>
      </c>
      <c r="D4182" t="s">
        <v>18914</v>
      </c>
      <c r="E4182" t="s">
        <v>209</v>
      </c>
      <c r="F4182" t="s">
        <v>1129</v>
      </c>
      <c r="G4182" t="s">
        <v>18915</v>
      </c>
      <c r="H4182" t="s">
        <v>798</v>
      </c>
      <c r="I4182" t="s">
        <v>19</v>
      </c>
      <c r="J4182" s="3">
        <v>55061983837418</v>
      </c>
      <c r="K4182" t="s">
        <v>18916</v>
      </c>
      <c r="L4182" t="s">
        <v>1767</v>
      </c>
      <c r="M4182" t="s">
        <v>224</v>
      </c>
    </row>
    <row r="4183" spans="1:13" x14ac:dyDescent="0.25">
      <c r="A4183" t="s">
        <v>24042</v>
      </c>
      <c r="B4183" t="s">
        <v>13</v>
      </c>
      <c r="C4183" s="1">
        <v>42862</v>
      </c>
      <c r="D4183" t="s">
        <v>24043</v>
      </c>
      <c r="E4183" t="s">
        <v>209</v>
      </c>
      <c r="F4183" t="s">
        <v>1129</v>
      </c>
      <c r="G4183" t="s">
        <v>24044</v>
      </c>
      <c r="H4183" t="s">
        <v>88</v>
      </c>
      <c r="I4183" t="s">
        <v>19</v>
      </c>
      <c r="J4183" s="3">
        <v>5584988037182</v>
      </c>
      <c r="K4183" t="s">
        <v>24045</v>
      </c>
      <c r="L4183" t="s">
        <v>91</v>
      </c>
      <c r="M4183" t="s">
        <v>224</v>
      </c>
    </row>
    <row r="4184" spans="1:13" x14ac:dyDescent="0.25">
      <c r="A4184" t="s">
        <v>10505</v>
      </c>
      <c r="B4184" t="s">
        <v>13</v>
      </c>
      <c r="C4184" t="s">
        <v>10506</v>
      </c>
      <c r="D4184" t="s">
        <v>10507</v>
      </c>
      <c r="E4184" t="s">
        <v>209</v>
      </c>
      <c r="F4184" t="s">
        <v>1129</v>
      </c>
      <c r="G4184" t="s">
        <v>10508</v>
      </c>
      <c r="H4184" t="s">
        <v>10509</v>
      </c>
      <c r="I4184" t="s">
        <v>19</v>
      </c>
      <c r="J4184" s="3">
        <f>55-48-996153470</f>
        <v>-996153463</v>
      </c>
      <c r="K4184" t="s">
        <v>9484</v>
      </c>
      <c r="L4184" t="s">
        <v>1823</v>
      </c>
      <c r="M4184" t="s">
        <v>224</v>
      </c>
    </row>
    <row r="4185" spans="1:13" x14ac:dyDescent="0.25">
      <c r="A4185" t="s">
        <v>9480</v>
      </c>
      <c r="B4185" t="s">
        <v>13</v>
      </c>
      <c r="C4185" t="s">
        <v>9445</v>
      </c>
      <c r="D4185" t="s">
        <v>9481</v>
      </c>
      <c r="E4185" t="s">
        <v>209</v>
      </c>
      <c r="F4185" t="s">
        <v>1129</v>
      </c>
      <c r="G4185" t="s">
        <v>9482</v>
      </c>
      <c r="H4185" t="s">
        <v>409</v>
      </c>
      <c r="I4185" t="s">
        <v>19</v>
      </c>
      <c r="J4185" s="3" t="s">
        <v>9483</v>
      </c>
      <c r="K4185" t="s">
        <v>9484</v>
      </c>
      <c r="L4185" t="s">
        <v>1823</v>
      </c>
      <c r="M4185" t="s">
        <v>224</v>
      </c>
    </row>
    <row r="4186" spans="1:13" x14ac:dyDescent="0.25">
      <c r="A4186" t="s">
        <v>2541</v>
      </c>
      <c r="B4186" t="s">
        <v>13</v>
      </c>
      <c r="C4186" t="s">
        <v>2521</v>
      </c>
      <c r="D4186" t="s">
        <v>2542</v>
      </c>
      <c r="E4186" t="s">
        <v>2443</v>
      </c>
      <c r="F4186" t="s">
        <v>2543</v>
      </c>
      <c r="G4186" t="s">
        <v>2544</v>
      </c>
      <c r="H4186" t="s">
        <v>2545</v>
      </c>
      <c r="I4186" t="s">
        <v>19</v>
      </c>
      <c r="J4186" s="3" t="s">
        <v>2546</v>
      </c>
      <c r="K4186" t="s">
        <v>2547</v>
      </c>
      <c r="L4186" t="s">
        <v>2548</v>
      </c>
      <c r="M4186" t="s">
        <v>224</v>
      </c>
    </row>
    <row r="4187" spans="1:13" x14ac:dyDescent="0.25">
      <c r="A4187" t="s">
        <v>1524</v>
      </c>
      <c r="B4187" t="s">
        <v>13</v>
      </c>
      <c r="C4187" t="s">
        <v>1525</v>
      </c>
      <c r="D4187" t="s">
        <v>1526</v>
      </c>
      <c r="E4187" t="s">
        <v>209</v>
      </c>
      <c r="F4187" t="s">
        <v>1527</v>
      </c>
      <c r="G4187" t="s">
        <v>1528</v>
      </c>
      <c r="H4187" t="s">
        <v>540</v>
      </c>
      <c r="I4187" t="s">
        <v>19</v>
      </c>
      <c r="J4187" s="3" t="s">
        <v>1529</v>
      </c>
      <c r="K4187" t="s">
        <v>1530</v>
      </c>
      <c r="L4187" t="s">
        <v>1531</v>
      </c>
      <c r="M4187" t="s">
        <v>224</v>
      </c>
    </row>
    <row r="4188" spans="1:13" x14ac:dyDescent="0.25">
      <c r="A4188" t="s">
        <v>3151</v>
      </c>
      <c r="B4188" t="s">
        <v>13</v>
      </c>
      <c r="C4188" s="1">
        <v>44658</v>
      </c>
      <c r="D4188" t="s">
        <v>3152</v>
      </c>
      <c r="E4188" t="s">
        <v>209</v>
      </c>
      <c r="F4188" t="s">
        <v>1527</v>
      </c>
      <c r="G4188" t="s">
        <v>2544</v>
      </c>
      <c r="H4188" t="s">
        <v>2545</v>
      </c>
      <c r="I4188" t="s">
        <v>19</v>
      </c>
      <c r="J4188" s="3">
        <f>55-19-35264365</f>
        <v>-35264329</v>
      </c>
      <c r="K4188" t="s">
        <v>2547</v>
      </c>
      <c r="L4188" t="s">
        <v>3153</v>
      </c>
      <c r="M4188" t="s">
        <v>224</v>
      </c>
    </row>
    <row r="4189" spans="1:13" x14ac:dyDescent="0.25">
      <c r="A4189" t="s">
        <v>6388</v>
      </c>
      <c r="B4189" t="s">
        <v>101</v>
      </c>
      <c r="C4189" t="s">
        <v>5170</v>
      </c>
      <c r="D4189" t="s">
        <v>32135</v>
      </c>
      <c r="E4189" t="s">
        <v>2443</v>
      </c>
      <c r="F4189" t="s">
        <v>209</v>
      </c>
      <c r="G4189" t="s">
        <v>6389</v>
      </c>
      <c r="H4189" t="s">
        <v>36</v>
      </c>
      <c r="I4189" t="s">
        <v>19</v>
      </c>
      <c r="J4189" s="3">
        <f>55-11-999475935</f>
        <v>-999475891</v>
      </c>
      <c r="K4189" t="s">
        <v>6390</v>
      </c>
      <c r="L4189" t="s">
        <v>32135</v>
      </c>
      <c r="M4189" t="s">
        <v>224</v>
      </c>
    </row>
    <row r="4190" spans="1:13" x14ac:dyDescent="0.25">
      <c r="A4190" t="s">
        <v>26630</v>
      </c>
      <c r="B4190" t="s">
        <v>13</v>
      </c>
      <c r="C4190" s="1">
        <v>42464</v>
      </c>
      <c r="D4190" t="s">
        <v>26631</v>
      </c>
      <c r="E4190" t="s">
        <v>2443</v>
      </c>
      <c r="F4190" t="s">
        <v>1464</v>
      </c>
      <c r="G4190" t="s">
        <v>14817</v>
      </c>
      <c r="H4190" t="s">
        <v>489</v>
      </c>
      <c r="I4190" t="s">
        <v>19</v>
      </c>
      <c r="J4190" s="3" t="s">
        <v>14818</v>
      </c>
      <c r="K4190" t="s">
        <v>14819</v>
      </c>
      <c r="L4190" t="s">
        <v>625</v>
      </c>
      <c r="M4190" t="s">
        <v>224</v>
      </c>
    </row>
    <row r="4191" spans="1:13" x14ac:dyDescent="0.25">
      <c r="A4191" t="s">
        <v>24175</v>
      </c>
      <c r="B4191" t="s">
        <v>13</v>
      </c>
      <c r="C4191" s="1">
        <v>43075</v>
      </c>
      <c r="D4191" t="s">
        <v>24176</v>
      </c>
      <c r="E4191" t="s">
        <v>2443</v>
      </c>
      <c r="F4191" t="s">
        <v>1464</v>
      </c>
      <c r="G4191" t="s">
        <v>24177</v>
      </c>
      <c r="H4191" t="s">
        <v>1090</v>
      </c>
      <c r="I4191" t="s">
        <v>19</v>
      </c>
      <c r="J4191" s="3">
        <v>5583987014582</v>
      </c>
      <c r="K4191" t="s">
        <v>24178</v>
      </c>
      <c r="L4191" t="s">
        <v>1092</v>
      </c>
      <c r="M4191" t="s">
        <v>224</v>
      </c>
    </row>
    <row r="4192" spans="1:13" x14ac:dyDescent="0.25">
      <c r="A4192" t="s">
        <v>7280</v>
      </c>
      <c r="B4192" t="s">
        <v>13</v>
      </c>
      <c r="C4192" s="1">
        <v>44202</v>
      </c>
      <c r="D4192" t="s">
        <v>32135</v>
      </c>
      <c r="E4192" t="s">
        <v>7281</v>
      </c>
      <c r="F4192" t="s">
        <v>218</v>
      </c>
      <c r="G4192" t="s">
        <v>7282</v>
      </c>
      <c r="H4192" t="s">
        <v>798</v>
      </c>
      <c r="I4192" t="s">
        <v>19</v>
      </c>
      <c r="J4192" s="3" t="s">
        <v>7283</v>
      </c>
      <c r="K4192" t="s">
        <v>32135</v>
      </c>
      <c r="L4192" t="s">
        <v>32135</v>
      </c>
      <c r="M4192" t="s">
        <v>224</v>
      </c>
    </row>
    <row r="4193" spans="1:13" x14ac:dyDescent="0.25">
      <c r="A4193" t="s">
        <v>8941</v>
      </c>
      <c r="B4193" t="s">
        <v>13</v>
      </c>
      <c r="C4193" t="s">
        <v>8942</v>
      </c>
      <c r="D4193" t="s">
        <v>8943</v>
      </c>
      <c r="E4193" t="s">
        <v>8944</v>
      </c>
      <c r="F4193" t="s">
        <v>1464</v>
      </c>
      <c r="H4193" t="s">
        <v>32135</v>
      </c>
      <c r="I4193" t="s">
        <v>32135</v>
      </c>
      <c r="J4193" t="s">
        <v>32135</v>
      </c>
      <c r="K4193" s="3" t="s">
        <v>32135</v>
      </c>
      <c r="L4193" t="s">
        <v>32135</v>
      </c>
      <c r="M4193" t="s">
        <v>224</v>
      </c>
    </row>
    <row r="4194" spans="1:13" x14ac:dyDescent="0.25">
      <c r="A4194" t="s">
        <v>19183</v>
      </c>
      <c r="B4194" t="s">
        <v>13</v>
      </c>
      <c r="C4194" t="s">
        <v>19179</v>
      </c>
      <c r="D4194" t="s">
        <v>19184</v>
      </c>
      <c r="E4194" t="s">
        <v>32549</v>
      </c>
      <c r="F4194" t="s">
        <v>1464</v>
      </c>
      <c r="G4194" t="s">
        <v>19185</v>
      </c>
      <c r="H4194" t="s">
        <v>88</v>
      </c>
      <c r="I4194" t="s">
        <v>19</v>
      </c>
      <c r="J4194" s="3">
        <v>558499660709</v>
      </c>
      <c r="K4194" t="s">
        <v>19186</v>
      </c>
      <c r="L4194" t="s">
        <v>91</v>
      </c>
      <c r="M4194" t="s">
        <v>224</v>
      </c>
    </row>
    <row r="4195" spans="1:13" x14ac:dyDescent="0.25">
      <c r="A4195" t="s">
        <v>21316</v>
      </c>
      <c r="B4195" t="s">
        <v>13</v>
      </c>
      <c r="C4195" t="s">
        <v>21296</v>
      </c>
      <c r="D4195" t="s">
        <v>21317</v>
      </c>
      <c r="E4195" s="2" t="s">
        <v>31213</v>
      </c>
      <c r="F4195" t="s">
        <v>1129</v>
      </c>
      <c r="G4195" t="s">
        <v>21318</v>
      </c>
      <c r="H4195" t="s">
        <v>36</v>
      </c>
      <c r="I4195" t="s">
        <v>19</v>
      </c>
      <c r="J4195" s="3">
        <f>55-11-26616041</f>
        <v>-26615997</v>
      </c>
      <c r="K4195" t="s">
        <v>21319</v>
      </c>
      <c r="L4195" t="s">
        <v>21320</v>
      </c>
      <c r="M4195" t="s">
        <v>224</v>
      </c>
    </row>
    <row r="4196" spans="1:13" x14ac:dyDescent="0.25">
      <c r="A4196" t="s">
        <v>18856</v>
      </c>
      <c r="B4196" t="s">
        <v>13</v>
      </c>
      <c r="C4196" s="1">
        <v>43263</v>
      </c>
      <c r="D4196" t="s">
        <v>18857</v>
      </c>
      <c r="E4196" s="2" t="s">
        <v>31213</v>
      </c>
      <c r="F4196" t="s">
        <v>1129</v>
      </c>
      <c r="G4196" t="s">
        <v>18858</v>
      </c>
      <c r="H4196" t="s">
        <v>18859</v>
      </c>
      <c r="I4196" t="s">
        <v>19</v>
      </c>
      <c r="J4196" s="3">
        <f>55-85-997061513</f>
        <v>-997061543</v>
      </c>
      <c r="K4196" t="s">
        <v>18860</v>
      </c>
      <c r="L4196" t="s">
        <v>14461</v>
      </c>
      <c r="M4196" t="s">
        <v>224</v>
      </c>
    </row>
    <row r="4197" spans="1:13" x14ac:dyDescent="0.25">
      <c r="A4197" t="s">
        <v>16303</v>
      </c>
      <c r="B4197" t="s">
        <v>13</v>
      </c>
      <c r="C4197" t="s">
        <v>16304</v>
      </c>
      <c r="D4197" t="s">
        <v>16305</v>
      </c>
      <c r="E4197" s="2" t="s">
        <v>32793</v>
      </c>
      <c r="F4197" t="s">
        <v>224</v>
      </c>
      <c r="G4197" t="s">
        <v>16306</v>
      </c>
      <c r="H4197" t="s">
        <v>615</v>
      </c>
      <c r="I4197" t="s">
        <v>19</v>
      </c>
      <c r="J4197" s="3">
        <f>55-34-3218-2944</f>
        <v>-6141</v>
      </c>
      <c r="K4197" t="s">
        <v>16307</v>
      </c>
      <c r="L4197" t="s">
        <v>16308</v>
      </c>
      <c r="M4197" t="s">
        <v>224</v>
      </c>
    </row>
    <row r="4198" spans="1:13" x14ac:dyDescent="0.25">
      <c r="A4198" t="s">
        <v>207</v>
      </c>
      <c r="B4198" t="s">
        <v>13</v>
      </c>
      <c r="C4198" t="s">
        <v>199</v>
      </c>
      <c r="D4198" t="s">
        <v>208</v>
      </c>
      <c r="E4198" t="s">
        <v>30675</v>
      </c>
      <c r="F4198" t="s">
        <v>211</v>
      </c>
      <c r="G4198" t="s">
        <v>212</v>
      </c>
      <c r="H4198" t="s">
        <v>36</v>
      </c>
      <c r="I4198" t="s">
        <v>19</v>
      </c>
      <c r="J4198" s="3" t="s">
        <v>213</v>
      </c>
      <c r="K4198" t="s">
        <v>214</v>
      </c>
      <c r="L4198" t="s">
        <v>215</v>
      </c>
      <c r="M4198" t="s">
        <v>224</v>
      </c>
    </row>
    <row r="4199" spans="1:13" x14ac:dyDescent="0.25">
      <c r="A4199" t="s">
        <v>24661</v>
      </c>
      <c r="B4199" t="s">
        <v>13</v>
      </c>
      <c r="C4199" t="s">
        <v>24662</v>
      </c>
      <c r="D4199" t="s">
        <v>24663</v>
      </c>
      <c r="E4199" t="s">
        <v>24664</v>
      </c>
      <c r="F4199" t="s">
        <v>224</v>
      </c>
      <c r="G4199" t="s">
        <v>24665</v>
      </c>
      <c r="H4199" t="s">
        <v>2545</v>
      </c>
      <c r="I4199" t="s">
        <v>19</v>
      </c>
      <c r="J4199" s="3" t="s">
        <v>24666</v>
      </c>
      <c r="K4199" t="s">
        <v>24667</v>
      </c>
      <c r="L4199" t="s">
        <v>4094</v>
      </c>
      <c r="M4199" t="s">
        <v>224</v>
      </c>
    </row>
    <row r="4200" spans="1:13" x14ac:dyDescent="0.25">
      <c r="A4200" t="s">
        <v>28347</v>
      </c>
      <c r="B4200" t="s">
        <v>13</v>
      </c>
      <c r="C4200" s="1">
        <v>42189</v>
      </c>
      <c r="D4200" t="s">
        <v>28348</v>
      </c>
      <c r="E4200" t="s">
        <v>28349</v>
      </c>
      <c r="F4200" t="s">
        <v>1129</v>
      </c>
      <c r="G4200" t="s">
        <v>28350</v>
      </c>
      <c r="H4200" t="s">
        <v>352</v>
      </c>
      <c r="I4200" t="s">
        <v>19</v>
      </c>
      <c r="J4200" s="3" t="s">
        <v>28351</v>
      </c>
      <c r="K4200" t="s">
        <v>28352</v>
      </c>
      <c r="L4200" t="s">
        <v>28353</v>
      </c>
      <c r="M4200" t="s">
        <v>224</v>
      </c>
    </row>
    <row r="4201" spans="1:13" x14ac:dyDescent="0.25">
      <c r="A4201" t="s">
        <v>24058</v>
      </c>
      <c r="B4201" t="s">
        <v>13</v>
      </c>
      <c r="C4201" s="1">
        <v>42653</v>
      </c>
      <c r="D4201" t="s">
        <v>24059</v>
      </c>
      <c r="E4201" t="s">
        <v>24060</v>
      </c>
      <c r="F4201" t="s">
        <v>1129</v>
      </c>
      <c r="G4201" t="s">
        <v>20822</v>
      </c>
      <c r="H4201" t="s">
        <v>36</v>
      </c>
      <c r="I4201" t="s">
        <v>19</v>
      </c>
      <c r="J4201" s="3">
        <v>551136659344</v>
      </c>
      <c r="K4201" t="s">
        <v>24061</v>
      </c>
      <c r="L4201" t="s">
        <v>24062</v>
      </c>
      <c r="M4201" t="s">
        <v>224</v>
      </c>
    </row>
    <row r="4202" spans="1:13" x14ac:dyDescent="0.25">
      <c r="A4202" t="s">
        <v>26394</v>
      </c>
      <c r="B4202" t="s">
        <v>101</v>
      </c>
      <c r="C4202" s="1">
        <v>42434</v>
      </c>
      <c r="D4202" t="s">
        <v>26395</v>
      </c>
      <c r="E4202" t="s">
        <v>26396</v>
      </c>
      <c r="F4202" t="s">
        <v>1129</v>
      </c>
      <c r="G4202" t="s">
        <v>26397</v>
      </c>
      <c r="H4202" t="s">
        <v>4092</v>
      </c>
      <c r="I4202" t="s">
        <v>19</v>
      </c>
      <c r="J4202" s="3" t="s">
        <v>26398</v>
      </c>
      <c r="K4202" t="s">
        <v>26399</v>
      </c>
      <c r="L4202" t="s">
        <v>2548</v>
      </c>
      <c r="M4202" t="s">
        <v>224</v>
      </c>
    </row>
    <row r="4203" spans="1:13" x14ac:dyDescent="0.25">
      <c r="A4203" t="s">
        <v>24678</v>
      </c>
      <c r="B4203" t="s">
        <v>13</v>
      </c>
      <c r="C4203" t="s">
        <v>24679</v>
      </c>
      <c r="D4203" t="s">
        <v>24680</v>
      </c>
      <c r="E4203" t="s">
        <v>24681</v>
      </c>
      <c r="F4203" t="s">
        <v>1129</v>
      </c>
      <c r="G4203" t="s">
        <v>24682</v>
      </c>
      <c r="H4203" t="s">
        <v>352</v>
      </c>
      <c r="I4203" t="s">
        <v>19</v>
      </c>
      <c r="J4203" s="3" t="s">
        <v>24683</v>
      </c>
      <c r="K4203" t="s">
        <v>24684</v>
      </c>
      <c r="L4203" t="s">
        <v>2456</v>
      </c>
      <c r="M4203" t="s">
        <v>224</v>
      </c>
    </row>
    <row r="4204" spans="1:13" x14ac:dyDescent="0.25">
      <c r="A4204" t="s">
        <v>24265</v>
      </c>
      <c r="B4204" t="s">
        <v>13</v>
      </c>
      <c r="C4204" t="s">
        <v>24251</v>
      </c>
      <c r="D4204" t="s">
        <v>24266</v>
      </c>
      <c r="E4204" t="s">
        <v>24267</v>
      </c>
      <c r="F4204" t="s">
        <v>224</v>
      </c>
      <c r="G4204" t="s">
        <v>24268</v>
      </c>
      <c r="H4204" t="s">
        <v>105</v>
      </c>
      <c r="I4204" t="s">
        <v>19</v>
      </c>
      <c r="J4204" s="3">
        <v>5521982630011</v>
      </c>
      <c r="K4204" t="s">
        <v>24269</v>
      </c>
      <c r="L4204" t="s">
        <v>5751</v>
      </c>
      <c r="M4204" t="s">
        <v>224</v>
      </c>
    </row>
    <row r="4205" spans="1:13" x14ac:dyDescent="0.25">
      <c r="A4205" t="s">
        <v>21190</v>
      </c>
      <c r="B4205" t="s">
        <v>13</v>
      </c>
      <c r="C4205" t="s">
        <v>21181</v>
      </c>
      <c r="D4205" t="s">
        <v>21191</v>
      </c>
      <c r="E4205" s="2" t="s">
        <v>31282</v>
      </c>
      <c r="F4205" t="s">
        <v>1129</v>
      </c>
      <c r="G4205" t="s">
        <v>20873</v>
      </c>
      <c r="H4205" t="s">
        <v>1486</v>
      </c>
      <c r="I4205" t="s">
        <v>19</v>
      </c>
      <c r="J4205" s="3">
        <f>55-34-37006655</f>
        <v>-37006634</v>
      </c>
      <c r="K4205" t="s">
        <v>20875</v>
      </c>
      <c r="L4205" t="s">
        <v>20876</v>
      </c>
      <c r="M4205" t="s">
        <v>224</v>
      </c>
    </row>
    <row r="4206" spans="1:13" x14ac:dyDescent="0.25">
      <c r="A4206" t="s">
        <v>7299</v>
      </c>
      <c r="B4206" t="s">
        <v>13</v>
      </c>
      <c r="C4206" s="1">
        <v>44202</v>
      </c>
      <c r="D4206" t="s">
        <v>32135</v>
      </c>
      <c r="E4206" t="s">
        <v>7300</v>
      </c>
      <c r="F4206" t="s">
        <v>7301</v>
      </c>
      <c r="G4206" t="s">
        <v>7302</v>
      </c>
      <c r="H4206" t="s">
        <v>489</v>
      </c>
      <c r="I4206" t="s">
        <v>19</v>
      </c>
      <c r="J4206" s="3" t="s">
        <v>7303</v>
      </c>
      <c r="K4206" t="s">
        <v>7304</v>
      </c>
      <c r="L4206" t="s">
        <v>32135</v>
      </c>
      <c r="M4206" t="s">
        <v>32193</v>
      </c>
    </row>
    <row r="4207" spans="1:13" x14ac:dyDescent="0.25">
      <c r="A4207" t="s">
        <v>5750</v>
      </c>
      <c r="B4207" t="s">
        <v>13</v>
      </c>
      <c r="C4207" s="1">
        <v>44419</v>
      </c>
      <c r="D4207" t="s">
        <v>32135</v>
      </c>
      <c r="E4207" s="2" t="s">
        <v>31669</v>
      </c>
      <c r="F4207" t="s">
        <v>2443</v>
      </c>
      <c r="G4207" t="s">
        <v>5751</v>
      </c>
      <c r="H4207" t="s">
        <v>352</v>
      </c>
      <c r="I4207" t="s">
        <v>19</v>
      </c>
      <c r="J4207" s="3">
        <v>552139385644</v>
      </c>
      <c r="K4207" t="s">
        <v>5752</v>
      </c>
      <c r="L4207" t="s">
        <v>32135</v>
      </c>
      <c r="M4207" t="s">
        <v>224</v>
      </c>
    </row>
    <row r="4208" spans="1:13" x14ac:dyDescent="0.25">
      <c r="A4208" t="s">
        <v>3053</v>
      </c>
      <c r="B4208" t="s">
        <v>13</v>
      </c>
      <c r="C4208" s="1">
        <v>44872</v>
      </c>
      <c r="D4208" t="s">
        <v>3054</v>
      </c>
      <c r="E4208" s="2" t="s">
        <v>30763</v>
      </c>
      <c r="F4208" t="s">
        <v>2443</v>
      </c>
      <c r="G4208" t="s">
        <v>3055</v>
      </c>
      <c r="H4208" t="s">
        <v>578</v>
      </c>
      <c r="I4208" t="s">
        <v>19</v>
      </c>
      <c r="J4208" s="3" t="s">
        <v>3056</v>
      </c>
      <c r="K4208" t="s">
        <v>3057</v>
      </c>
      <c r="L4208" t="s">
        <v>678</v>
      </c>
      <c r="M4208" t="s">
        <v>224</v>
      </c>
    </row>
    <row r="4209" spans="1:13" x14ac:dyDescent="0.25">
      <c r="A4209" t="s">
        <v>21066</v>
      </c>
      <c r="B4209" t="s">
        <v>13</v>
      </c>
      <c r="C4209" t="s">
        <v>16610</v>
      </c>
      <c r="D4209" t="s">
        <v>21067</v>
      </c>
      <c r="E4209" t="s">
        <v>21068</v>
      </c>
      <c r="F4209" t="s">
        <v>1129</v>
      </c>
      <c r="G4209" t="s">
        <v>21069</v>
      </c>
      <c r="H4209" t="s">
        <v>195</v>
      </c>
      <c r="I4209" t="s">
        <v>19</v>
      </c>
      <c r="J4209" s="3" t="s">
        <v>21070</v>
      </c>
      <c r="K4209" t="s">
        <v>21071</v>
      </c>
      <c r="L4209" t="s">
        <v>197</v>
      </c>
      <c r="M4209" t="s">
        <v>224</v>
      </c>
    </row>
    <row r="4210" spans="1:13" x14ac:dyDescent="0.25">
      <c r="A4210" t="s">
        <v>21824</v>
      </c>
      <c r="B4210" t="s">
        <v>101</v>
      </c>
      <c r="C4210" t="s">
        <v>21825</v>
      </c>
      <c r="D4210" t="s">
        <v>21826</v>
      </c>
      <c r="E4210" s="2" t="s">
        <v>32046</v>
      </c>
      <c r="F4210" t="s">
        <v>224</v>
      </c>
      <c r="G4210" t="s">
        <v>21827</v>
      </c>
      <c r="H4210" t="s">
        <v>36</v>
      </c>
      <c r="I4210" t="s">
        <v>19</v>
      </c>
      <c r="J4210" s="3">
        <f>55-11-981384300</f>
        <v>-981384256</v>
      </c>
      <c r="K4210" t="s">
        <v>21828</v>
      </c>
      <c r="L4210" t="s">
        <v>17163</v>
      </c>
      <c r="M4210" t="s">
        <v>224</v>
      </c>
    </row>
    <row r="4211" spans="1:13" x14ac:dyDescent="0.25">
      <c r="A4211" t="s">
        <v>17159</v>
      </c>
      <c r="B4211" t="s">
        <v>13</v>
      </c>
      <c r="C4211" s="1">
        <v>43744</v>
      </c>
      <c r="D4211" t="s">
        <v>17160</v>
      </c>
      <c r="E4211" s="2" t="s">
        <v>31959</v>
      </c>
      <c r="F4211" t="s">
        <v>224</v>
      </c>
      <c r="G4211" t="s">
        <v>17161</v>
      </c>
      <c r="H4211" t="s">
        <v>36</v>
      </c>
      <c r="I4211" t="s">
        <v>19</v>
      </c>
      <c r="J4211" s="3">
        <v>551120706000</v>
      </c>
      <c r="K4211" t="s">
        <v>17162</v>
      </c>
      <c r="L4211" t="s">
        <v>17163</v>
      </c>
      <c r="M4211" t="s">
        <v>224</v>
      </c>
    </row>
    <row r="4212" spans="1:13" x14ac:dyDescent="0.25">
      <c r="A4212" t="s">
        <v>19208</v>
      </c>
      <c r="B4212" t="s">
        <v>13</v>
      </c>
      <c r="C4212" t="s">
        <v>8497</v>
      </c>
      <c r="D4212" t="s">
        <v>19209</v>
      </c>
      <c r="E4212" t="s">
        <v>19210</v>
      </c>
      <c r="F4212" t="s">
        <v>1464</v>
      </c>
      <c r="G4212" t="s">
        <v>19211</v>
      </c>
      <c r="H4212" t="s">
        <v>1802</v>
      </c>
      <c r="I4212" t="s">
        <v>19</v>
      </c>
      <c r="J4212" s="3">
        <f>55-14-998408211</f>
        <v>-998408170</v>
      </c>
      <c r="K4212" t="s">
        <v>19212</v>
      </c>
      <c r="L4212" t="s">
        <v>14212</v>
      </c>
      <c r="M4212" t="s">
        <v>224</v>
      </c>
    </row>
    <row r="4213" spans="1:13" x14ac:dyDescent="0.25">
      <c r="A4213" t="s">
        <v>29370</v>
      </c>
      <c r="B4213" t="s">
        <v>13</v>
      </c>
      <c r="C4213" t="s">
        <v>29371</v>
      </c>
      <c r="D4213" t="s">
        <v>29372</v>
      </c>
      <c r="E4213" t="s">
        <v>29373</v>
      </c>
      <c r="F4213" t="s">
        <v>1129</v>
      </c>
      <c r="G4213" t="s">
        <v>29374</v>
      </c>
      <c r="H4213" t="s">
        <v>36</v>
      </c>
      <c r="I4213" t="s">
        <v>19</v>
      </c>
      <c r="J4213" s="3" t="s">
        <v>29375</v>
      </c>
      <c r="K4213" t="s">
        <v>21319</v>
      </c>
      <c r="L4213" t="s">
        <v>328</v>
      </c>
      <c r="M4213" t="s">
        <v>224</v>
      </c>
    </row>
    <row r="4214" spans="1:13" x14ac:dyDescent="0.25">
      <c r="A4214" t="s">
        <v>17592</v>
      </c>
      <c r="B4214" t="s">
        <v>13</v>
      </c>
      <c r="C4214" t="s">
        <v>17593</v>
      </c>
      <c r="D4214" t="s">
        <v>17594</v>
      </c>
      <c r="E4214" t="s">
        <v>17595</v>
      </c>
      <c r="F4214" t="s">
        <v>8193</v>
      </c>
      <c r="G4214" t="s">
        <v>17596</v>
      </c>
      <c r="H4214" t="s">
        <v>36</v>
      </c>
      <c r="I4214" t="s">
        <v>19</v>
      </c>
      <c r="J4214" s="3">
        <f>55-11-20677799</f>
        <v>-20677755</v>
      </c>
      <c r="K4214" t="s">
        <v>17597</v>
      </c>
      <c r="L4214" t="s">
        <v>17598</v>
      </c>
      <c r="M4214" t="s">
        <v>129</v>
      </c>
    </row>
    <row r="4215" spans="1:13" x14ac:dyDescent="0.25">
      <c r="A4215" t="s">
        <v>8012</v>
      </c>
      <c r="B4215" t="s">
        <v>13</v>
      </c>
      <c r="C4215" s="1">
        <v>44442</v>
      </c>
      <c r="D4215" t="s">
        <v>32135</v>
      </c>
      <c r="E4215" s="2" t="s">
        <v>30944</v>
      </c>
      <c r="F4215" t="s">
        <v>6668</v>
      </c>
      <c r="G4215" t="s">
        <v>8013</v>
      </c>
      <c r="H4215" t="s">
        <v>1090</v>
      </c>
      <c r="I4215" t="s">
        <v>19</v>
      </c>
      <c r="J4215" s="3" t="s">
        <v>8014</v>
      </c>
      <c r="K4215" t="s">
        <v>8015</v>
      </c>
      <c r="L4215" t="s">
        <v>32135</v>
      </c>
      <c r="M4215" t="s">
        <v>32121</v>
      </c>
    </row>
    <row r="4216" spans="1:13" x14ac:dyDescent="0.25">
      <c r="A4216" t="s">
        <v>17736</v>
      </c>
      <c r="B4216" t="s">
        <v>13</v>
      </c>
      <c r="C4216" t="s">
        <v>7092</v>
      </c>
      <c r="D4216" t="s">
        <v>17737</v>
      </c>
      <c r="E4216" t="s">
        <v>17738</v>
      </c>
      <c r="F4216" t="s">
        <v>57</v>
      </c>
      <c r="G4216" t="s">
        <v>10574</v>
      </c>
      <c r="H4216" t="s">
        <v>36</v>
      </c>
      <c r="I4216" t="s">
        <v>19</v>
      </c>
      <c r="J4216" s="3" t="s">
        <v>10575</v>
      </c>
      <c r="K4216" t="s">
        <v>10576</v>
      </c>
      <c r="L4216" t="s">
        <v>10577</v>
      </c>
      <c r="M4216" t="s">
        <v>57</v>
      </c>
    </row>
    <row r="4217" spans="1:13" x14ac:dyDescent="0.25">
      <c r="A4217" t="s">
        <v>4775</v>
      </c>
      <c r="B4217" t="s">
        <v>13</v>
      </c>
      <c r="C4217" s="1">
        <v>43750</v>
      </c>
      <c r="D4217" t="s">
        <v>4776</v>
      </c>
      <c r="E4217" t="s">
        <v>4777</v>
      </c>
      <c r="F4217" t="s">
        <v>2036</v>
      </c>
      <c r="G4217" t="s">
        <v>4778</v>
      </c>
      <c r="H4217" t="s">
        <v>1072</v>
      </c>
      <c r="I4217" t="s">
        <v>19</v>
      </c>
      <c r="J4217" s="3" t="s">
        <v>4779</v>
      </c>
      <c r="K4217" t="s">
        <v>4780</v>
      </c>
      <c r="L4217" t="s">
        <v>91</v>
      </c>
      <c r="M4217" t="s">
        <v>57</v>
      </c>
    </row>
    <row r="4218" spans="1:13" x14ac:dyDescent="0.25">
      <c r="A4218" t="s">
        <v>20731</v>
      </c>
      <c r="B4218" t="s">
        <v>13</v>
      </c>
      <c r="C4218" s="1">
        <v>43227</v>
      </c>
      <c r="D4218" t="s">
        <v>20732</v>
      </c>
      <c r="E4218" t="s">
        <v>20733</v>
      </c>
      <c r="F4218" t="s">
        <v>2036</v>
      </c>
      <c r="G4218" t="s">
        <v>18426</v>
      </c>
      <c r="H4218" t="s">
        <v>503</v>
      </c>
      <c r="I4218" t="s">
        <v>19</v>
      </c>
      <c r="J4218" s="3" t="s">
        <v>9848</v>
      </c>
      <c r="K4218" t="s">
        <v>18428</v>
      </c>
      <c r="L4218" t="s">
        <v>412</v>
      </c>
      <c r="M4218" t="s">
        <v>57</v>
      </c>
    </row>
    <row r="4219" spans="1:13" x14ac:dyDescent="0.25">
      <c r="A4219" t="s">
        <v>18406</v>
      </c>
      <c r="B4219" t="s">
        <v>13</v>
      </c>
      <c r="C4219" s="1">
        <v>43108</v>
      </c>
      <c r="D4219" t="s">
        <v>18407</v>
      </c>
      <c r="E4219" s="2" t="s">
        <v>31634</v>
      </c>
      <c r="F4219" t="s">
        <v>57</v>
      </c>
      <c r="G4219" t="s">
        <v>4545</v>
      </c>
      <c r="H4219" t="s">
        <v>1215</v>
      </c>
      <c r="I4219" t="s">
        <v>19</v>
      </c>
      <c r="J4219" s="3" t="s">
        <v>18408</v>
      </c>
      <c r="K4219" t="s">
        <v>4547</v>
      </c>
      <c r="L4219" t="s">
        <v>2548</v>
      </c>
      <c r="M4219" t="s">
        <v>57</v>
      </c>
    </row>
    <row r="4220" spans="1:13" x14ac:dyDescent="0.25">
      <c r="A4220" t="s">
        <v>16196</v>
      </c>
      <c r="B4220" t="s">
        <v>13</v>
      </c>
      <c r="C4220" t="s">
        <v>16197</v>
      </c>
      <c r="D4220" t="s">
        <v>16198</v>
      </c>
      <c r="E4220" t="s">
        <v>16199</v>
      </c>
      <c r="F4220" t="s">
        <v>57</v>
      </c>
      <c r="G4220" t="s">
        <v>10574</v>
      </c>
      <c r="H4220" t="s">
        <v>36</v>
      </c>
      <c r="I4220" t="s">
        <v>19</v>
      </c>
      <c r="J4220" s="3" t="s">
        <v>10575</v>
      </c>
      <c r="K4220" t="s">
        <v>10576</v>
      </c>
      <c r="L4220" t="s">
        <v>10577</v>
      </c>
      <c r="M4220" t="s">
        <v>1775</v>
      </c>
    </row>
    <row r="4221" spans="1:13" x14ac:dyDescent="0.25">
      <c r="A4221" t="s">
        <v>7356</v>
      </c>
      <c r="B4221" t="s">
        <v>13</v>
      </c>
      <c r="C4221" t="s">
        <v>7339</v>
      </c>
      <c r="D4221" t="s">
        <v>7357</v>
      </c>
      <c r="E4221" t="s">
        <v>7358</v>
      </c>
      <c r="F4221" t="s">
        <v>2036</v>
      </c>
      <c r="G4221" t="s">
        <v>7359</v>
      </c>
      <c r="H4221" t="s">
        <v>352</v>
      </c>
      <c r="I4221" t="s">
        <v>19</v>
      </c>
      <c r="J4221" s="3">
        <v>21979217494</v>
      </c>
      <c r="K4221" t="s">
        <v>7360</v>
      </c>
      <c r="L4221" t="s">
        <v>7361</v>
      </c>
      <c r="M4221" t="s">
        <v>57</v>
      </c>
    </row>
    <row r="4222" spans="1:13" x14ac:dyDescent="0.25">
      <c r="A4222" t="s">
        <v>28543</v>
      </c>
      <c r="B4222" t="s">
        <v>13</v>
      </c>
      <c r="C4222" t="s">
        <v>28544</v>
      </c>
      <c r="D4222" t="s">
        <v>28545</v>
      </c>
      <c r="E4222" t="s">
        <v>28546</v>
      </c>
      <c r="F4222" t="s">
        <v>2036</v>
      </c>
      <c r="G4222" t="s">
        <v>28547</v>
      </c>
      <c r="H4222" t="s">
        <v>195</v>
      </c>
      <c r="I4222" t="s">
        <v>19</v>
      </c>
      <c r="J4222" s="3" t="s">
        <v>28548</v>
      </c>
      <c r="K4222" t="s">
        <v>28549</v>
      </c>
      <c r="L4222" t="s">
        <v>197</v>
      </c>
      <c r="M4222" t="s">
        <v>57</v>
      </c>
    </row>
    <row r="4223" spans="1:13" x14ac:dyDescent="0.25">
      <c r="A4223" t="s">
        <v>7354</v>
      </c>
      <c r="B4223" t="s">
        <v>13</v>
      </c>
      <c r="C4223" t="s">
        <v>7339</v>
      </c>
      <c r="D4223" t="s">
        <v>32135</v>
      </c>
      <c r="E4223" t="s">
        <v>418</v>
      </c>
      <c r="F4223" t="s">
        <v>7355</v>
      </c>
      <c r="G4223" t="s">
        <v>2178</v>
      </c>
      <c r="H4223" t="s">
        <v>2112</v>
      </c>
      <c r="I4223" t="s">
        <v>19</v>
      </c>
      <c r="J4223" s="3">
        <v>554532207344</v>
      </c>
      <c r="K4223" t="s">
        <v>2179</v>
      </c>
      <c r="L4223" t="s">
        <v>32135</v>
      </c>
      <c r="M4223" t="s">
        <v>57</v>
      </c>
    </row>
    <row r="4224" spans="1:13" x14ac:dyDescent="0.25">
      <c r="A4224" t="s">
        <v>9844</v>
      </c>
      <c r="B4224" t="s">
        <v>13</v>
      </c>
      <c r="C4224" t="s">
        <v>9845</v>
      </c>
      <c r="D4224" t="s">
        <v>9846</v>
      </c>
      <c r="E4224" t="s">
        <v>9847</v>
      </c>
      <c r="F4224" t="s">
        <v>2036</v>
      </c>
      <c r="G4224" t="s">
        <v>2200</v>
      </c>
      <c r="H4224" t="s">
        <v>503</v>
      </c>
      <c r="I4224" t="s">
        <v>19</v>
      </c>
      <c r="J4224" s="3" t="s">
        <v>9848</v>
      </c>
      <c r="K4224" t="s">
        <v>2201</v>
      </c>
      <c r="L4224" t="s">
        <v>412</v>
      </c>
      <c r="M4224" t="s">
        <v>57</v>
      </c>
    </row>
    <row r="4225" spans="1:13" x14ac:dyDescent="0.25">
      <c r="A4225" t="s">
        <v>29567</v>
      </c>
      <c r="B4225" t="s">
        <v>13</v>
      </c>
      <c r="C4225" t="s">
        <v>15706</v>
      </c>
      <c r="D4225" t="s">
        <v>29568</v>
      </c>
      <c r="E4225" t="s">
        <v>418</v>
      </c>
      <c r="F4225" t="s">
        <v>2036</v>
      </c>
      <c r="G4225" t="s">
        <v>29569</v>
      </c>
      <c r="H4225" t="s">
        <v>642</v>
      </c>
      <c r="I4225" t="s">
        <v>19</v>
      </c>
      <c r="J4225" s="3" t="s">
        <v>29570</v>
      </c>
      <c r="K4225" t="s">
        <v>29571</v>
      </c>
      <c r="L4225" t="s">
        <v>1823</v>
      </c>
      <c r="M4225" t="s">
        <v>57</v>
      </c>
    </row>
    <row r="4226" spans="1:13" x14ac:dyDescent="0.25">
      <c r="A4226" t="s">
        <v>27624</v>
      </c>
      <c r="B4226" t="s">
        <v>13</v>
      </c>
      <c r="C4226" t="s">
        <v>27625</v>
      </c>
      <c r="D4226" t="s">
        <v>27626</v>
      </c>
      <c r="E4226" t="s">
        <v>418</v>
      </c>
      <c r="F4226" t="s">
        <v>2036</v>
      </c>
      <c r="G4226" t="s">
        <v>27627</v>
      </c>
      <c r="H4226" t="s">
        <v>36</v>
      </c>
      <c r="I4226" t="s">
        <v>19</v>
      </c>
      <c r="J4226" s="3" t="s">
        <v>27628</v>
      </c>
      <c r="K4226" t="s">
        <v>27629</v>
      </c>
      <c r="L4226" t="s">
        <v>27630</v>
      </c>
      <c r="M4226" t="s">
        <v>57</v>
      </c>
    </row>
    <row r="4227" spans="1:13" x14ac:dyDescent="0.25">
      <c r="A4227" t="s">
        <v>4509</v>
      </c>
      <c r="B4227" t="s">
        <v>13</v>
      </c>
      <c r="C4227" s="1">
        <v>44595</v>
      </c>
      <c r="D4227" t="s">
        <v>32135</v>
      </c>
      <c r="E4227" t="s">
        <v>418</v>
      </c>
      <c r="F4227" t="s">
        <v>160</v>
      </c>
      <c r="G4227" t="s">
        <v>4510</v>
      </c>
      <c r="H4227" t="s">
        <v>2206</v>
      </c>
      <c r="I4227" t="s">
        <v>19</v>
      </c>
      <c r="J4227" s="3" t="s">
        <v>4511</v>
      </c>
      <c r="K4227" t="s">
        <v>4512</v>
      </c>
      <c r="L4227" t="s">
        <v>4513</v>
      </c>
      <c r="M4227" t="s">
        <v>57</v>
      </c>
    </row>
    <row r="4228" spans="1:13" x14ac:dyDescent="0.25">
      <c r="A4228" t="s">
        <v>416</v>
      </c>
      <c r="B4228" t="s">
        <v>13</v>
      </c>
      <c r="C4228" t="s">
        <v>393</v>
      </c>
      <c r="D4228" t="s">
        <v>417</v>
      </c>
      <c r="E4228" t="s">
        <v>418</v>
      </c>
      <c r="F4228" t="s">
        <v>419</v>
      </c>
      <c r="G4228" t="s">
        <v>420</v>
      </c>
      <c r="H4228" t="s">
        <v>36</v>
      </c>
      <c r="I4228" t="s">
        <v>19</v>
      </c>
      <c r="J4228" s="3">
        <v>5511995444647</v>
      </c>
      <c r="K4228" t="s">
        <v>421</v>
      </c>
      <c r="L4228" t="s">
        <v>206</v>
      </c>
      <c r="M4228" t="s">
        <v>57</v>
      </c>
    </row>
    <row r="4229" spans="1:13" x14ac:dyDescent="0.25">
      <c r="A4229" t="s">
        <v>29533</v>
      </c>
      <c r="B4229" t="s">
        <v>13</v>
      </c>
      <c r="C4229" t="s">
        <v>29534</v>
      </c>
      <c r="D4229" t="s">
        <v>29535</v>
      </c>
      <c r="E4229" t="s">
        <v>9847</v>
      </c>
      <c r="F4229" t="s">
        <v>1464</v>
      </c>
      <c r="G4229" t="s">
        <v>29536</v>
      </c>
      <c r="H4229" t="s">
        <v>18280</v>
      </c>
      <c r="I4229" t="s">
        <v>19</v>
      </c>
      <c r="J4229" s="3" t="s">
        <v>29537</v>
      </c>
      <c r="K4229" t="s">
        <v>29538</v>
      </c>
      <c r="L4229" t="s">
        <v>197</v>
      </c>
      <c r="M4229" t="s">
        <v>57</v>
      </c>
    </row>
    <row r="4230" spans="1:13" x14ac:dyDescent="0.25">
      <c r="A4230" t="s">
        <v>11851</v>
      </c>
      <c r="B4230" t="s">
        <v>13</v>
      </c>
      <c r="C4230" t="s">
        <v>11834</v>
      </c>
      <c r="D4230" t="s">
        <v>11852</v>
      </c>
      <c r="E4230" t="s">
        <v>418</v>
      </c>
      <c r="F4230" t="s">
        <v>1464</v>
      </c>
      <c r="G4230" t="s">
        <v>11853</v>
      </c>
      <c r="H4230" t="s">
        <v>5292</v>
      </c>
      <c r="I4230" t="s">
        <v>19</v>
      </c>
      <c r="J4230" s="3">
        <v>5551994157402</v>
      </c>
      <c r="K4230" t="s">
        <v>11854</v>
      </c>
      <c r="L4230" t="s">
        <v>1113</v>
      </c>
      <c r="M4230" t="s">
        <v>57</v>
      </c>
    </row>
    <row r="4231" spans="1:13" x14ac:dyDescent="0.25">
      <c r="A4231" t="s">
        <v>18549</v>
      </c>
      <c r="B4231" t="s">
        <v>13</v>
      </c>
      <c r="C4231" s="1">
        <v>43739</v>
      </c>
      <c r="D4231" t="s">
        <v>18550</v>
      </c>
      <c r="E4231" t="s">
        <v>18551</v>
      </c>
      <c r="F4231" t="s">
        <v>2036</v>
      </c>
      <c r="G4231" t="s">
        <v>18552</v>
      </c>
      <c r="H4231" t="s">
        <v>798</v>
      </c>
      <c r="I4231" t="s">
        <v>19</v>
      </c>
      <c r="J4231" s="3" t="s">
        <v>18553</v>
      </c>
      <c r="K4231" t="s">
        <v>18554</v>
      </c>
      <c r="L4231" t="s">
        <v>8376</v>
      </c>
      <c r="M4231" t="s">
        <v>57</v>
      </c>
    </row>
    <row r="4232" spans="1:13" x14ac:dyDescent="0.25">
      <c r="A4232" t="s">
        <v>4541</v>
      </c>
      <c r="B4232" t="s">
        <v>13</v>
      </c>
      <c r="C4232" s="1">
        <v>44292</v>
      </c>
      <c r="D4232" t="s">
        <v>4542</v>
      </c>
      <c r="E4232" t="s">
        <v>4543</v>
      </c>
      <c r="F4232" t="s">
        <v>4544</v>
      </c>
      <c r="G4232" t="s">
        <v>4545</v>
      </c>
      <c r="H4232" t="s">
        <v>4546</v>
      </c>
      <c r="I4232" t="s">
        <v>19</v>
      </c>
      <c r="J4232" s="3">
        <v>55018996449960</v>
      </c>
      <c r="K4232" t="s">
        <v>4547</v>
      </c>
      <c r="L4232" t="s">
        <v>4548</v>
      </c>
      <c r="M4232" t="s">
        <v>32158</v>
      </c>
    </row>
    <row r="4233" spans="1:13" x14ac:dyDescent="0.25">
      <c r="A4233" t="s">
        <v>9647</v>
      </c>
      <c r="B4233" t="s">
        <v>13</v>
      </c>
      <c r="C4233" t="s">
        <v>9648</v>
      </c>
      <c r="D4233" t="s">
        <v>9649</v>
      </c>
      <c r="E4233" s="2" t="s">
        <v>30977</v>
      </c>
      <c r="F4233" t="s">
        <v>2036</v>
      </c>
      <c r="G4233" t="s">
        <v>9650</v>
      </c>
      <c r="H4233" t="s">
        <v>615</v>
      </c>
      <c r="I4233" t="s">
        <v>19</v>
      </c>
      <c r="J4233" s="3" t="s">
        <v>9651</v>
      </c>
      <c r="K4233" t="s">
        <v>9652</v>
      </c>
      <c r="L4233" t="s">
        <v>618</v>
      </c>
      <c r="M4233" t="s">
        <v>57</v>
      </c>
    </row>
    <row r="4234" spans="1:13" x14ac:dyDescent="0.25">
      <c r="A4234" t="s">
        <v>24085</v>
      </c>
      <c r="B4234" t="s">
        <v>13</v>
      </c>
      <c r="C4234" t="s">
        <v>19111</v>
      </c>
      <c r="D4234" t="s">
        <v>24086</v>
      </c>
      <c r="E4234" t="s">
        <v>24087</v>
      </c>
      <c r="F4234" t="s">
        <v>2036</v>
      </c>
      <c r="G4234" t="s">
        <v>2200</v>
      </c>
      <c r="H4234" t="s">
        <v>503</v>
      </c>
      <c r="I4234" t="s">
        <v>19</v>
      </c>
      <c r="J4234" s="3" t="s">
        <v>9848</v>
      </c>
      <c r="K4234" t="s">
        <v>2201</v>
      </c>
      <c r="L4234" t="s">
        <v>412</v>
      </c>
      <c r="M4234" t="s">
        <v>57</v>
      </c>
    </row>
    <row r="4235" spans="1:13" x14ac:dyDescent="0.25">
      <c r="A4235" t="s">
        <v>19403</v>
      </c>
      <c r="B4235" t="s">
        <v>13</v>
      </c>
      <c r="C4235" s="1">
        <v>43110</v>
      </c>
      <c r="D4235" t="s">
        <v>19404</v>
      </c>
      <c r="E4235" s="2" t="s">
        <v>31384</v>
      </c>
      <c r="F4235" t="s">
        <v>2036</v>
      </c>
      <c r="G4235" t="s">
        <v>2200</v>
      </c>
      <c r="H4235" t="s">
        <v>503</v>
      </c>
      <c r="I4235" t="s">
        <v>19</v>
      </c>
      <c r="J4235" s="3" t="s">
        <v>19405</v>
      </c>
      <c r="K4235" t="s">
        <v>2201</v>
      </c>
      <c r="L4235" t="s">
        <v>412</v>
      </c>
      <c r="M4235" t="s">
        <v>57</v>
      </c>
    </row>
    <row r="4236" spans="1:13" x14ac:dyDescent="0.25">
      <c r="A4236" t="s">
        <v>27757</v>
      </c>
      <c r="B4236" t="s">
        <v>13</v>
      </c>
      <c r="C4236" t="s">
        <v>27733</v>
      </c>
      <c r="D4236" t="s">
        <v>27758</v>
      </c>
      <c r="E4236" t="s">
        <v>27759</v>
      </c>
      <c r="F4236" t="s">
        <v>2036</v>
      </c>
      <c r="G4236" t="s">
        <v>22129</v>
      </c>
      <c r="H4236" t="s">
        <v>409</v>
      </c>
      <c r="I4236" t="s">
        <v>19</v>
      </c>
      <c r="J4236" s="3" t="s">
        <v>22130</v>
      </c>
      <c r="K4236" t="s">
        <v>22131</v>
      </c>
      <c r="L4236" t="s">
        <v>1823</v>
      </c>
      <c r="M4236" t="s">
        <v>57</v>
      </c>
    </row>
    <row r="4237" spans="1:13" x14ac:dyDescent="0.25">
      <c r="A4237" t="s">
        <v>25445</v>
      </c>
      <c r="B4237" t="s">
        <v>13</v>
      </c>
      <c r="C4237" t="s">
        <v>25446</v>
      </c>
      <c r="D4237" t="s">
        <v>25447</v>
      </c>
      <c r="E4237" t="s">
        <v>25448</v>
      </c>
      <c r="F4237" t="s">
        <v>2036</v>
      </c>
      <c r="G4237" t="s">
        <v>10574</v>
      </c>
      <c r="H4237" t="s">
        <v>36</v>
      </c>
      <c r="I4237" t="s">
        <v>19</v>
      </c>
      <c r="J4237" s="3" t="s">
        <v>10575</v>
      </c>
      <c r="K4237" t="s">
        <v>10576</v>
      </c>
      <c r="L4237" t="s">
        <v>10577</v>
      </c>
      <c r="M4237" t="s">
        <v>57</v>
      </c>
    </row>
    <row r="4238" spans="1:13" x14ac:dyDescent="0.25">
      <c r="A4238" t="s">
        <v>5525</v>
      </c>
      <c r="B4238" t="s">
        <v>13</v>
      </c>
      <c r="C4238" s="1">
        <v>44239</v>
      </c>
      <c r="D4238" t="s">
        <v>32135</v>
      </c>
      <c r="E4238" t="s">
        <v>32550</v>
      </c>
      <c r="F4238" t="s">
        <v>332</v>
      </c>
      <c r="G4238" t="s">
        <v>5527</v>
      </c>
      <c r="H4238" t="s">
        <v>352</v>
      </c>
      <c r="I4238" t="s">
        <v>19</v>
      </c>
      <c r="J4238" s="3">
        <v>5521992714918</v>
      </c>
      <c r="K4238" t="s">
        <v>5528</v>
      </c>
      <c r="L4238" t="s">
        <v>32135</v>
      </c>
      <c r="M4238" t="s">
        <v>337</v>
      </c>
    </row>
    <row r="4239" spans="1:13" x14ac:dyDescent="0.25">
      <c r="A4239" t="s">
        <v>25776</v>
      </c>
      <c r="B4239" t="s">
        <v>13</v>
      </c>
      <c r="C4239" s="1">
        <v>42377</v>
      </c>
      <c r="D4239" t="s">
        <v>25777</v>
      </c>
      <c r="E4239" t="s">
        <v>32551</v>
      </c>
      <c r="F4239" t="s">
        <v>1464</v>
      </c>
      <c r="G4239" t="s">
        <v>3100</v>
      </c>
      <c r="H4239" t="s">
        <v>1486</v>
      </c>
      <c r="I4239" t="s">
        <v>19</v>
      </c>
      <c r="J4239" s="3" t="s">
        <v>3102</v>
      </c>
      <c r="K4239" t="s">
        <v>3103</v>
      </c>
      <c r="L4239" t="s">
        <v>1489</v>
      </c>
      <c r="M4239" t="s">
        <v>771</v>
      </c>
    </row>
    <row r="4240" spans="1:13" x14ac:dyDescent="0.25">
      <c r="A4240" t="s">
        <v>10335</v>
      </c>
      <c r="B4240" t="s">
        <v>13</v>
      </c>
      <c r="C4240" t="s">
        <v>7677</v>
      </c>
      <c r="D4240" t="s">
        <v>10336</v>
      </c>
      <c r="E4240" s="2" t="s">
        <v>32552</v>
      </c>
      <c r="F4240" t="s">
        <v>1464</v>
      </c>
      <c r="G4240" t="s">
        <v>10337</v>
      </c>
      <c r="H4240" t="s">
        <v>10338</v>
      </c>
      <c r="I4240" t="s">
        <v>19</v>
      </c>
      <c r="J4240" s="3" t="s">
        <v>10339</v>
      </c>
      <c r="K4240" t="s">
        <v>10340</v>
      </c>
      <c r="L4240" t="s">
        <v>10341</v>
      </c>
      <c r="M4240" t="s">
        <v>741</v>
      </c>
    </row>
    <row r="4241" spans="1:13" x14ac:dyDescent="0.25">
      <c r="A4241" t="s">
        <v>9510</v>
      </c>
      <c r="B4241" t="s">
        <v>13</v>
      </c>
      <c r="C4241" t="s">
        <v>7756</v>
      </c>
      <c r="D4241" t="s">
        <v>9511</v>
      </c>
      <c r="E4241" t="s">
        <v>32553</v>
      </c>
      <c r="F4241" t="s">
        <v>1464</v>
      </c>
      <c r="G4241" t="s">
        <v>9512</v>
      </c>
      <c r="H4241" t="s">
        <v>2112</v>
      </c>
      <c r="I4241" t="s">
        <v>19</v>
      </c>
      <c r="J4241" s="3">
        <f>55-45-988001916</f>
        <v>-988001906</v>
      </c>
      <c r="K4241" t="s">
        <v>9513</v>
      </c>
      <c r="L4241" t="s">
        <v>2115</v>
      </c>
      <c r="M4241" t="s">
        <v>1775</v>
      </c>
    </row>
    <row r="4242" spans="1:13" x14ac:dyDescent="0.25">
      <c r="A4242" t="s">
        <v>14334</v>
      </c>
      <c r="B4242" t="s">
        <v>13</v>
      </c>
      <c r="C4242" s="1">
        <v>43983</v>
      </c>
      <c r="D4242" t="s">
        <v>14335</v>
      </c>
      <c r="E4242" t="s">
        <v>32553</v>
      </c>
      <c r="F4242" t="s">
        <v>1464</v>
      </c>
      <c r="G4242" t="s">
        <v>14336</v>
      </c>
      <c r="H4242" t="s">
        <v>18</v>
      </c>
      <c r="I4242" t="s">
        <v>19</v>
      </c>
      <c r="J4242" s="3">
        <f>55-19-991252243</f>
        <v>-991252207</v>
      </c>
      <c r="K4242" t="s">
        <v>14337</v>
      </c>
      <c r="L4242" t="s">
        <v>14338</v>
      </c>
      <c r="M4242" t="s">
        <v>1349</v>
      </c>
    </row>
    <row r="4243" spans="1:13" x14ac:dyDescent="0.25">
      <c r="A4243" t="s">
        <v>10358</v>
      </c>
      <c r="B4243" t="s">
        <v>13</v>
      </c>
      <c r="C4243" t="s">
        <v>7677</v>
      </c>
      <c r="D4243" t="s">
        <v>10359</v>
      </c>
      <c r="E4243" s="2" t="s">
        <v>32553</v>
      </c>
      <c r="F4243" t="s">
        <v>1464</v>
      </c>
      <c r="G4243" t="s">
        <v>10128</v>
      </c>
      <c r="H4243" t="s">
        <v>2513</v>
      </c>
      <c r="I4243" t="s">
        <v>19</v>
      </c>
      <c r="J4243" s="3">
        <v>5586999939674</v>
      </c>
      <c r="K4243" t="s">
        <v>10129</v>
      </c>
      <c r="L4243" t="s">
        <v>74</v>
      </c>
      <c r="M4243" t="s">
        <v>1432</v>
      </c>
    </row>
    <row r="4244" spans="1:13" x14ac:dyDescent="0.25">
      <c r="A4244" t="s">
        <v>14639</v>
      </c>
      <c r="B4244" t="s">
        <v>13</v>
      </c>
      <c r="C4244" s="1">
        <v>43750</v>
      </c>
      <c r="D4244" t="s">
        <v>14640</v>
      </c>
      <c r="E4244" s="2" t="s">
        <v>32794</v>
      </c>
      <c r="F4244" t="s">
        <v>1464</v>
      </c>
      <c r="G4244" t="s">
        <v>14641</v>
      </c>
      <c r="H4244" t="s">
        <v>36</v>
      </c>
      <c r="I4244" t="s">
        <v>19</v>
      </c>
      <c r="J4244" s="3" t="s">
        <v>14642</v>
      </c>
      <c r="K4244" t="s">
        <v>14643</v>
      </c>
      <c r="L4244" t="s">
        <v>439</v>
      </c>
      <c r="M4244" t="s">
        <v>1775</v>
      </c>
    </row>
    <row r="4245" spans="1:13" x14ac:dyDescent="0.25">
      <c r="A4245" t="s">
        <v>10830</v>
      </c>
      <c r="B4245" t="s">
        <v>13</v>
      </c>
      <c r="C4245" t="s">
        <v>7057</v>
      </c>
      <c r="D4245" t="s">
        <v>10831</v>
      </c>
      <c r="E4245" s="2" t="s">
        <v>32554</v>
      </c>
      <c r="F4245" t="s">
        <v>1464</v>
      </c>
      <c r="G4245" t="s">
        <v>10832</v>
      </c>
      <c r="H4245" t="s">
        <v>10833</v>
      </c>
      <c r="I4245" t="s">
        <v>19</v>
      </c>
      <c r="J4245" s="3">
        <f>55-41-984348508</f>
        <v>-984348494</v>
      </c>
      <c r="K4245" t="s">
        <v>10834</v>
      </c>
      <c r="L4245" t="s">
        <v>10835</v>
      </c>
      <c r="M4245" t="s">
        <v>771</v>
      </c>
    </row>
    <row r="4246" spans="1:13" x14ac:dyDescent="0.25">
      <c r="A4246" t="s">
        <v>6080</v>
      </c>
      <c r="B4246" t="s">
        <v>13</v>
      </c>
      <c r="C4246" s="1">
        <v>44418</v>
      </c>
      <c r="D4246" t="s">
        <v>6081</v>
      </c>
      <c r="E4246" s="2" t="s">
        <v>32555</v>
      </c>
      <c r="F4246" t="s">
        <v>6082</v>
      </c>
      <c r="G4246" t="s">
        <v>6083</v>
      </c>
      <c r="H4246" t="s">
        <v>706</v>
      </c>
      <c r="I4246" t="s">
        <v>19</v>
      </c>
      <c r="J4246" s="3">
        <v>31988324880</v>
      </c>
      <c r="K4246" t="s">
        <v>6084</v>
      </c>
      <c r="L4246" t="s">
        <v>565</v>
      </c>
      <c r="M4246" t="s">
        <v>337</v>
      </c>
    </row>
    <row r="4247" spans="1:13" x14ac:dyDescent="0.25">
      <c r="A4247" t="s">
        <v>21819</v>
      </c>
      <c r="B4247" t="s">
        <v>13</v>
      </c>
      <c r="C4247" t="s">
        <v>21820</v>
      </c>
      <c r="D4247" t="s">
        <v>21821</v>
      </c>
      <c r="E4247" s="2" t="s">
        <v>32556</v>
      </c>
      <c r="F4247" t="s">
        <v>1464</v>
      </c>
      <c r="G4247" t="s">
        <v>21822</v>
      </c>
      <c r="H4247" t="s">
        <v>2678</v>
      </c>
      <c r="I4247" t="s">
        <v>19</v>
      </c>
      <c r="J4247" s="3">
        <f>55-53-32841300</f>
        <v>-32841298</v>
      </c>
      <c r="K4247" t="s">
        <v>21823</v>
      </c>
      <c r="L4247" t="s">
        <v>2677</v>
      </c>
      <c r="M4247" t="s">
        <v>1775</v>
      </c>
    </row>
    <row r="4248" spans="1:13" x14ac:dyDescent="0.25">
      <c r="A4248" t="s">
        <v>26210</v>
      </c>
      <c r="B4248" t="s">
        <v>101</v>
      </c>
      <c r="C4248" t="s">
        <v>26202</v>
      </c>
      <c r="D4248" t="s">
        <v>26211</v>
      </c>
      <c r="E4248" t="s">
        <v>32557</v>
      </c>
      <c r="F4248" t="s">
        <v>1464</v>
      </c>
      <c r="G4248" t="s">
        <v>26212</v>
      </c>
      <c r="H4248" t="s">
        <v>36</v>
      </c>
      <c r="I4248" t="s">
        <v>19</v>
      </c>
      <c r="J4248" s="3" t="s">
        <v>26213</v>
      </c>
      <c r="K4248" t="s">
        <v>26214</v>
      </c>
      <c r="L4248" t="s">
        <v>26215</v>
      </c>
      <c r="M4248" t="s">
        <v>1432</v>
      </c>
    </row>
    <row r="4249" spans="1:13" x14ac:dyDescent="0.25">
      <c r="A4249" t="s">
        <v>13292</v>
      </c>
      <c r="B4249" t="s">
        <v>13</v>
      </c>
      <c r="C4249" s="1">
        <v>43864</v>
      </c>
      <c r="D4249" t="s">
        <v>13293</v>
      </c>
      <c r="E4249" t="s">
        <v>32558</v>
      </c>
      <c r="F4249" t="s">
        <v>1464</v>
      </c>
      <c r="G4249" t="s">
        <v>13294</v>
      </c>
      <c r="H4249" t="s">
        <v>265</v>
      </c>
      <c r="I4249" t="s">
        <v>19</v>
      </c>
      <c r="J4249" s="3">
        <v>5511943542030</v>
      </c>
      <c r="K4249" t="s">
        <v>13295</v>
      </c>
      <c r="L4249" t="s">
        <v>321</v>
      </c>
      <c r="M4249" t="s">
        <v>337</v>
      </c>
    </row>
    <row r="4250" spans="1:13" x14ac:dyDescent="0.25">
      <c r="A4250" t="s">
        <v>8902</v>
      </c>
      <c r="B4250" t="s">
        <v>13</v>
      </c>
      <c r="C4250" s="1">
        <v>44086</v>
      </c>
      <c r="D4250" t="s">
        <v>8903</v>
      </c>
      <c r="E4250" s="2" t="s">
        <v>32559</v>
      </c>
      <c r="F4250" t="s">
        <v>1464</v>
      </c>
      <c r="G4250" t="s">
        <v>8904</v>
      </c>
      <c r="H4250" t="s">
        <v>8905</v>
      </c>
      <c r="I4250" t="s">
        <v>19</v>
      </c>
      <c r="J4250" s="3" t="s">
        <v>8906</v>
      </c>
      <c r="K4250" t="s">
        <v>8907</v>
      </c>
      <c r="L4250" t="s">
        <v>8908</v>
      </c>
      <c r="M4250" t="s">
        <v>337</v>
      </c>
    </row>
    <row r="4251" spans="1:13" x14ac:dyDescent="0.25">
      <c r="A4251" t="s">
        <v>28442</v>
      </c>
      <c r="B4251" t="s">
        <v>13</v>
      </c>
      <c r="C4251" t="s">
        <v>21712</v>
      </c>
      <c r="D4251" t="s">
        <v>28443</v>
      </c>
      <c r="E4251" t="s">
        <v>32560</v>
      </c>
      <c r="F4251" t="s">
        <v>1464</v>
      </c>
      <c r="G4251" t="s">
        <v>28444</v>
      </c>
      <c r="H4251" t="s">
        <v>1090</v>
      </c>
      <c r="I4251" t="s">
        <v>19</v>
      </c>
      <c r="J4251" s="3" t="s">
        <v>2207</v>
      </c>
      <c r="K4251" t="s">
        <v>1440</v>
      </c>
      <c r="L4251" t="s">
        <v>1092</v>
      </c>
      <c r="M4251" t="s">
        <v>337</v>
      </c>
    </row>
    <row r="4252" spans="1:13" x14ac:dyDescent="0.25">
      <c r="A4252" t="s">
        <v>12937</v>
      </c>
      <c r="B4252" t="s">
        <v>13</v>
      </c>
      <c r="C4252" t="s">
        <v>8968</v>
      </c>
      <c r="D4252" t="s">
        <v>12938</v>
      </c>
      <c r="E4252" s="2" t="s">
        <v>32561</v>
      </c>
      <c r="F4252" t="s">
        <v>1464</v>
      </c>
      <c r="G4252" t="s">
        <v>12631</v>
      </c>
      <c r="H4252" t="s">
        <v>45</v>
      </c>
      <c r="I4252" t="s">
        <v>19</v>
      </c>
      <c r="J4252" s="3" t="s">
        <v>12632</v>
      </c>
      <c r="K4252" t="s">
        <v>12633</v>
      </c>
      <c r="L4252" t="s">
        <v>1909</v>
      </c>
      <c r="M4252" t="s">
        <v>57</v>
      </c>
    </row>
    <row r="4253" spans="1:13" x14ac:dyDescent="0.25">
      <c r="A4253" t="s">
        <v>25043</v>
      </c>
      <c r="B4253" t="s">
        <v>13</v>
      </c>
      <c r="C4253" s="1">
        <v>42533</v>
      </c>
      <c r="D4253" t="s">
        <v>25044</v>
      </c>
      <c r="E4253" t="s">
        <v>32562</v>
      </c>
      <c r="F4253" t="s">
        <v>1464</v>
      </c>
      <c r="G4253" t="s">
        <v>25045</v>
      </c>
      <c r="H4253" t="s">
        <v>7904</v>
      </c>
      <c r="I4253" t="s">
        <v>19</v>
      </c>
      <c r="J4253" s="3" t="s">
        <v>25046</v>
      </c>
      <c r="K4253" t="s">
        <v>25047</v>
      </c>
      <c r="L4253" t="s">
        <v>25048</v>
      </c>
      <c r="M4253" t="s">
        <v>32144</v>
      </c>
    </row>
    <row r="4254" spans="1:13" x14ac:dyDescent="0.25">
      <c r="A4254" t="s">
        <v>11750</v>
      </c>
      <c r="B4254" t="s">
        <v>13</v>
      </c>
      <c r="C4254" t="s">
        <v>11751</v>
      </c>
      <c r="D4254" t="s">
        <v>11752</v>
      </c>
      <c r="E4254" s="2" t="s">
        <v>32563</v>
      </c>
      <c r="F4254" t="s">
        <v>1464</v>
      </c>
      <c r="G4254" t="s">
        <v>307</v>
      </c>
      <c r="H4254" t="s">
        <v>308</v>
      </c>
      <c r="I4254" t="s">
        <v>309</v>
      </c>
      <c r="J4254" s="3" t="s">
        <v>310</v>
      </c>
      <c r="K4254" t="s">
        <v>311</v>
      </c>
      <c r="L4254" t="s">
        <v>312</v>
      </c>
      <c r="M4254" t="s">
        <v>337</v>
      </c>
    </row>
    <row r="4255" spans="1:13" x14ac:dyDescent="0.25">
      <c r="A4255" t="s">
        <v>9888</v>
      </c>
      <c r="B4255" t="s">
        <v>13</v>
      </c>
      <c r="C4255" s="1">
        <v>43930</v>
      </c>
      <c r="D4255" t="s">
        <v>9889</v>
      </c>
      <c r="E4255" s="2" t="s">
        <v>32564</v>
      </c>
      <c r="F4255" t="s">
        <v>1464</v>
      </c>
      <c r="G4255" t="s">
        <v>9890</v>
      </c>
      <c r="H4255" t="s">
        <v>409</v>
      </c>
      <c r="I4255" t="s">
        <v>19</v>
      </c>
      <c r="J4255" s="3">
        <f>55-48-37215840</f>
        <v>-37215833</v>
      </c>
      <c r="K4255" t="s">
        <v>9891</v>
      </c>
      <c r="L4255" t="s">
        <v>412</v>
      </c>
      <c r="M4255" t="s">
        <v>337</v>
      </c>
    </row>
    <row r="4256" spans="1:13" x14ac:dyDescent="0.25">
      <c r="A4256" t="s">
        <v>11024</v>
      </c>
      <c r="B4256" t="s">
        <v>13</v>
      </c>
      <c r="C4256" t="s">
        <v>11014</v>
      </c>
      <c r="D4256" t="s">
        <v>11025</v>
      </c>
      <c r="E4256" s="2" t="s">
        <v>32565</v>
      </c>
      <c r="F4256" t="s">
        <v>1464</v>
      </c>
      <c r="G4256" t="s">
        <v>11026</v>
      </c>
      <c r="H4256" t="s">
        <v>105</v>
      </c>
      <c r="I4256" t="s">
        <v>19</v>
      </c>
      <c r="J4256" s="3">
        <f>55-21-994424481</f>
        <v>-994424447</v>
      </c>
      <c r="K4256" t="s">
        <v>11027</v>
      </c>
      <c r="L4256" t="s">
        <v>11028</v>
      </c>
      <c r="M4256" t="s">
        <v>6656</v>
      </c>
    </row>
    <row r="4257" spans="1:13" x14ac:dyDescent="0.25">
      <c r="A4257" t="s">
        <v>24831</v>
      </c>
      <c r="B4257" t="s">
        <v>13</v>
      </c>
      <c r="C4257" t="s">
        <v>23427</v>
      </c>
      <c r="D4257" t="s">
        <v>24832</v>
      </c>
      <c r="E4257" t="s">
        <v>32566</v>
      </c>
      <c r="F4257" t="s">
        <v>1464</v>
      </c>
      <c r="G4257" t="s">
        <v>24833</v>
      </c>
      <c r="H4257" t="s">
        <v>299</v>
      </c>
      <c r="I4257" t="s">
        <v>19</v>
      </c>
      <c r="J4257" s="3" t="s">
        <v>24834</v>
      </c>
      <c r="K4257" t="s">
        <v>24835</v>
      </c>
      <c r="L4257" t="s">
        <v>24836</v>
      </c>
      <c r="M4257" t="s">
        <v>771</v>
      </c>
    </row>
    <row r="4258" spans="1:13" x14ac:dyDescent="0.25">
      <c r="A4258" t="s">
        <v>9795</v>
      </c>
      <c r="B4258" t="s">
        <v>13</v>
      </c>
      <c r="C4258" s="1">
        <v>44144</v>
      </c>
      <c r="D4258" t="s">
        <v>9796</v>
      </c>
      <c r="E4258" s="2" t="s">
        <v>32567</v>
      </c>
      <c r="F4258" t="s">
        <v>1464</v>
      </c>
      <c r="G4258" t="s">
        <v>3254</v>
      </c>
      <c r="H4258" t="s">
        <v>265</v>
      </c>
      <c r="I4258" t="s">
        <v>19</v>
      </c>
      <c r="J4258" s="3" t="s">
        <v>9798</v>
      </c>
      <c r="K4258" t="s">
        <v>9799</v>
      </c>
      <c r="L4258" t="s">
        <v>9800</v>
      </c>
      <c r="M4258" t="s">
        <v>32147</v>
      </c>
    </row>
    <row r="4259" spans="1:13" x14ac:dyDescent="0.25">
      <c r="A4259" t="s">
        <v>24499</v>
      </c>
      <c r="B4259" t="s">
        <v>13</v>
      </c>
      <c r="C4259" t="s">
        <v>24476</v>
      </c>
      <c r="D4259" t="s">
        <v>24500</v>
      </c>
      <c r="E4259" s="2" t="s">
        <v>32568</v>
      </c>
      <c r="F4259" t="s">
        <v>1464</v>
      </c>
      <c r="G4259" t="s">
        <v>24501</v>
      </c>
      <c r="H4259" t="s">
        <v>489</v>
      </c>
      <c r="I4259" t="s">
        <v>19</v>
      </c>
      <c r="J4259" s="3" t="s">
        <v>24502</v>
      </c>
      <c r="K4259" t="s">
        <v>24503</v>
      </c>
      <c r="L4259" t="s">
        <v>625</v>
      </c>
      <c r="M4259" t="s">
        <v>771</v>
      </c>
    </row>
    <row r="4260" spans="1:13" x14ac:dyDescent="0.25">
      <c r="A4260" t="s">
        <v>24499</v>
      </c>
      <c r="B4260" t="s">
        <v>13</v>
      </c>
      <c r="C4260" t="s">
        <v>22654</v>
      </c>
      <c r="D4260" t="s">
        <v>27530</v>
      </c>
      <c r="E4260" s="2" t="s">
        <v>32569</v>
      </c>
      <c r="F4260" t="s">
        <v>1464</v>
      </c>
      <c r="G4260" t="s">
        <v>27531</v>
      </c>
      <c r="H4260" t="s">
        <v>12974</v>
      </c>
      <c r="I4260" t="s">
        <v>19</v>
      </c>
      <c r="J4260" s="3" t="s">
        <v>27532</v>
      </c>
      <c r="K4260" t="s">
        <v>27533</v>
      </c>
      <c r="L4260" t="s">
        <v>21703</v>
      </c>
      <c r="M4260" t="s">
        <v>771</v>
      </c>
    </row>
    <row r="4261" spans="1:13" x14ac:dyDescent="0.25">
      <c r="A4261" t="s">
        <v>21664</v>
      </c>
      <c r="B4261" t="s">
        <v>13</v>
      </c>
      <c r="C4261" s="1">
        <v>43195</v>
      </c>
      <c r="D4261" t="s">
        <v>21665</v>
      </c>
      <c r="E4261" s="2" t="s">
        <v>31525</v>
      </c>
      <c r="F4261" t="s">
        <v>2947</v>
      </c>
      <c r="G4261" t="s">
        <v>21666</v>
      </c>
      <c r="H4261" t="s">
        <v>21667</v>
      </c>
      <c r="I4261" t="s">
        <v>19</v>
      </c>
      <c r="J4261" s="3">
        <f>55-85-33460103</f>
        <v>-33460133</v>
      </c>
      <c r="K4261" t="s">
        <v>21668</v>
      </c>
      <c r="L4261" t="s">
        <v>48</v>
      </c>
      <c r="M4261" t="s">
        <v>771</v>
      </c>
    </row>
    <row r="4262" spans="1:13" x14ac:dyDescent="0.25">
      <c r="A4262" t="s">
        <v>18757</v>
      </c>
      <c r="B4262" t="s">
        <v>13</v>
      </c>
      <c r="C4262" t="s">
        <v>18751</v>
      </c>
      <c r="D4262" t="s">
        <v>18758</v>
      </c>
      <c r="E4262" t="s">
        <v>32570</v>
      </c>
      <c r="F4262" t="s">
        <v>306</v>
      </c>
      <c r="G4262" t="s">
        <v>18759</v>
      </c>
      <c r="H4262" t="s">
        <v>7504</v>
      </c>
      <c r="I4262" t="s">
        <v>19</v>
      </c>
      <c r="J4262" s="3" t="s">
        <v>18760</v>
      </c>
      <c r="K4262" t="s">
        <v>18761</v>
      </c>
      <c r="L4262" t="s">
        <v>4378</v>
      </c>
      <c r="M4262" t="s">
        <v>32145</v>
      </c>
    </row>
    <row r="4263" spans="1:13" x14ac:dyDescent="0.25">
      <c r="A4263" t="s">
        <v>10235</v>
      </c>
      <c r="B4263" t="s">
        <v>13</v>
      </c>
      <c r="C4263" t="s">
        <v>9229</v>
      </c>
      <c r="D4263" t="s">
        <v>10236</v>
      </c>
      <c r="E4263" s="2" t="s">
        <v>32795</v>
      </c>
      <c r="F4263" t="s">
        <v>2036</v>
      </c>
      <c r="G4263" t="s">
        <v>10237</v>
      </c>
      <c r="H4263" t="s">
        <v>706</v>
      </c>
      <c r="I4263" t="s">
        <v>19</v>
      </c>
      <c r="J4263" s="3">
        <f>550313409-7412</f>
        <v>550305997</v>
      </c>
      <c r="K4263" t="s">
        <v>10238</v>
      </c>
      <c r="L4263" t="s">
        <v>565</v>
      </c>
      <c r="M4263" t="s">
        <v>57</v>
      </c>
    </row>
    <row r="4264" spans="1:13" x14ac:dyDescent="0.25">
      <c r="A4264" t="s">
        <v>8148</v>
      </c>
      <c r="B4264" t="s">
        <v>13</v>
      </c>
      <c r="C4264" s="1">
        <v>44502</v>
      </c>
      <c r="D4264" t="s">
        <v>32135</v>
      </c>
      <c r="E4264" t="s">
        <v>2184</v>
      </c>
      <c r="F4264" t="s">
        <v>2184</v>
      </c>
      <c r="G4264" t="s">
        <v>8149</v>
      </c>
      <c r="H4264" t="s">
        <v>3416</v>
      </c>
      <c r="I4264" t="s">
        <v>19</v>
      </c>
      <c r="J4264" s="3">
        <f>55-16-981142792</f>
        <v>-981142753</v>
      </c>
      <c r="K4264" t="s">
        <v>8150</v>
      </c>
      <c r="L4264" t="s">
        <v>32135</v>
      </c>
      <c r="M4264" t="s">
        <v>1775</v>
      </c>
    </row>
    <row r="4265" spans="1:13" x14ac:dyDescent="0.25">
      <c r="A4265" t="s">
        <v>15741</v>
      </c>
      <c r="B4265" t="s">
        <v>13</v>
      </c>
      <c r="C4265" s="1">
        <v>43656</v>
      </c>
      <c r="D4265" t="s">
        <v>15742</v>
      </c>
      <c r="E4265" s="2" t="s">
        <v>31977</v>
      </c>
      <c r="F4265" t="s">
        <v>2758</v>
      </c>
      <c r="G4265" t="s">
        <v>15743</v>
      </c>
      <c r="H4265" t="s">
        <v>1037</v>
      </c>
      <c r="I4265" t="s">
        <v>19</v>
      </c>
      <c r="J4265" s="3">
        <f>55-31-996623090</f>
        <v>-996623066</v>
      </c>
      <c r="K4265" t="s">
        <v>15744</v>
      </c>
      <c r="L4265" t="s">
        <v>1040</v>
      </c>
      <c r="M4265" t="s">
        <v>32149</v>
      </c>
    </row>
    <row r="4266" spans="1:13" x14ac:dyDescent="0.25">
      <c r="A4266" t="s">
        <v>15512</v>
      </c>
      <c r="B4266" t="s">
        <v>13</v>
      </c>
      <c r="C4266" t="s">
        <v>10383</v>
      </c>
      <c r="D4266" t="s">
        <v>15513</v>
      </c>
      <c r="E4266" s="2" t="s">
        <v>31129</v>
      </c>
      <c r="F4266" t="s">
        <v>1464</v>
      </c>
      <c r="G4266" t="s">
        <v>15514</v>
      </c>
      <c r="H4266" t="s">
        <v>36</v>
      </c>
      <c r="I4266" t="s">
        <v>19</v>
      </c>
      <c r="J4266" s="3">
        <f>55-11-995770223</f>
        <v>-995770179</v>
      </c>
      <c r="K4266" t="s">
        <v>15515</v>
      </c>
      <c r="L4266" t="s">
        <v>15516</v>
      </c>
      <c r="M4266" t="s">
        <v>1775</v>
      </c>
    </row>
    <row r="4267" spans="1:13" x14ac:dyDescent="0.25">
      <c r="A4267" t="s">
        <v>28787</v>
      </c>
      <c r="B4267" t="s">
        <v>13</v>
      </c>
      <c r="C4267" t="s">
        <v>28788</v>
      </c>
      <c r="D4267" t="s">
        <v>28789</v>
      </c>
      <c r="E4267" t="s">
        <v>32202</v>
      </c>
      <c r="F4267" t="s">
        <v>1464</v>
      </c>
      <c r="G4267" t="s">
        <v>28790</v>
      </c>
      <c r="H4267" t="s">
        <v>5543</v>
      </c>
      <c r="I4267" t="s">
        <v>19</v>
      </c>
      <c r="J4267" s="3" t="s">
        <v>28791</v>
      </c>
      <c r="K4267" t="s">
        <v>28792</v>
      </c>
      <c r="L4267" t="s">
        <v>1569</v>
      </c>
      <c r="M4267" t="s">
        <v>432</v>
      </c>
    </row>
    <row r="4268" spans="1:13" x14ac:dyDescent="0.25">
      <c r="A4268" t="s">
        <v>30123</v>
      </c>
      <c r="B4268" t="s">
        <v>13</v>
      </c>
      <c r="C4268" t="s">
        <v>30124</v>
      </c>
      <c r="D4268" t="s">
        <v>30125</v>
      </c>
      <c r="E4268" t="s">
        <v>32571</v>
      </c>
      <c r="F4268" t="s">
        <v>6686</v>
      </c>
      <c r="G4268" t="s">
        <v>30126</v>
      </c>
      <c r="H4268" t="s">
        <v>18</v>
      </c>
      <c r="I4268" t="s">
        <v>19</v>
      </c>
      <c r="J4268" s="3" t="s">
        <v>30127</v>
      </c>
      <c r="K4268" t="s">
        <v>30128</v>
      </c>
      <c r="L4268" t="s">
        <v>1224</v>
      </c>
      <c r="M4268" t="s">
        <v>337</v>
      </c>
    </row>
    <row r="4269" spans="1:13" x14ac:dyDescent="0.25">
      <c r="A4269" t="s">
        <v>20975</v>
      </c>
      <c r="B4269" t="s">
        <v>13</v>
      </c>
      <c r="C4269" t="s">
        <v>11801</v>
      </c>
      <c r="D4269" t="s">
        <v>20976</v>
      </c>
      <c r="E4269" t="s">
        <v>20977</v>
      </c>
      <c r="F4269" t="s">
        <v>224</v>
      </c>
      <c r="G4269" t="s">
        <v>20978</v>
      </c>
      <c r="H4269" t="s">
        <v>36</v>
      </c>
      <c r="I4269" t="s">
        <v>19</v>
      </c>
      <c r="J4269" s="3" t="s">
        <v>20979</v>
      </c>
      <c r="K4269" t="s">
        <v>20980</v>
      </c>
      <c r="L4269" t="s">
        <v>20981</v>
      </c>
      <c r="M4269" t="s">
        <v>224</v>
      </c>
    </row>
    <row r="4270" spans="1:13" x14ac:dyDescent="0.25">
      <c r="A4270" t="s">
        <v>16407</v>
      </c>
      <c r="B4270" t="s">
        <v>13</v>
      </c>
      <c r="C4270" t="s">
        <v>16385</v>
      </c>
      <c r="D4270" t="s">
        <v>16408</v>
      </c>
      <c r="E4270" t="s">
        <v>16409</v>
      </c>
      <c r="F4270" t="s">
        <v>1464</v>
      </c>
      <c r="G4270" t="s">
        <v>16410</v>
      </c>
      <c r="H4270" t="s">
        <v>16411</v>
      </c>
      <c r="I4270" t="s">
        <v>19</v>
      </c>
      <c r="J4270" s="3">
        <f>55-21-2542-6404</f>
        <v>-8912</v>
      </c>
      <c r="K4270" t="s">
        <v>16412</v>
      </c>
      <c r="L4270" t="s">
        <v>16413</v>
      </c>
      <c r="M4270" t="s">
        <v>432</v>
      </c>
    </row>
    <row r="4271" spans="1:13" x14ac:dyDescent="0.25">
      <c r="A4271" t="s">
        <v>18590</v>
      </c>
      <c r="B4271" t="s">
        <v>13</v>
      </c>
      <c r="C4271" s="1">
        <v>43647</v>
      </c>
      <c r="D4271" t="s">
        <v>18591</v>
      </c>
      <c r="E4271" t="s">
        <v>18592</v>
      </c>
      <c r="F4271" t="s">
        <v>2947</v>
      </c>
      <c r="G4271" t="s">
        <v>18593</v>
      </c>
      <c r="H4271" t="s">
        <v>352</v>
      </c>
      <c r="I4271" t="s">
        <v>19</v>
      </c>
      <c r="J4271" s="3" t="s">
        <v>18594</v>
      </c>
      <c r="K4271" t="s">
        <v>18595</v>
      </c>
      <c r="L4271" t="s">
        <v>9948</v>
      </c>
      <c r="M4271" t="s">
        <v>771</v>
      </c>
    </row>
    <row r="4272" spans="1:13" x14ac:dyDescent="0.25">
      <c r="A4272" t="s">
        <v>29195</v>
      </c>
      <c r="B4272" t="s">
        <v>13</v>
      </c>
      <c r="C4272" t="s">
        <v>29196</v>
      </c>
      <c r="D4272" t="s">
        <v>29197</v>
      </c>
      <c r="E4272" t="s">
        <v>29198</v>
      </c>
      <c r="F4272" t="s">
        <v>1432</v>
      </c>
      <c r="G4272" t="s">
        <v>29199</v>
      </c>
      <c r="H4272" t="s">
        <v>352</v>
      </c>
      <c r="I4272" t="s">
        <v>19</v>
      </c>
      <c r="J4272" s="3" t="s">
        <v>29200</v>
      </c>
      <c r="K4272" t="s">
        <v>29201</v>
      </c>
      <c r="L4272" t="s">
        <v>29202</v>
      </c>
      <c r="M4272" t="s">
        <v>1432</v>
      </c>
    </row>
    <row r="4273" spans="1:13" x14ac:dyDescent="0.25">
      <c r="A4273" t="s">
        <v>29922</v>
      </c>
      <c r="B4273" t="s">
        <v>13</v>
      </c>
      <c r="C4273" t="s">
        <v>14184</v>
      </c>
      <c r="D4273" t="s">
        <v>29923</v>
      </c>
      <c r="E4273" t="s">
        <v>29924</v>
      </c>
      <c r="F4273" t="s">
        <v>2947</v>
      </c>
      <c r="G4273" t="s">
        <v>12762</v>
      </c>
      <c r="H4273" t="s">
        <v>195</v>
      </c>
      <c r="I4273" t="s">
        <v>19</v>
      </c>
      <c r="J4273" s="3" t="s">
        <v>29925</v>
      </c>
      <c r="K4273" t="s">
        <v>12763</v>
      </c>
      <c r="L4273" t="s">
        <v>197</v>
      </c>
      <c r="M4273" t="s">
        <v>771</v>
      </c>
    </row>
    <row r="4274" spans="1:13" x14ac:dyDescent="0.25">
      <c r="A4274" t="s">
        <v>14055</v>
      </c>
      <c r="B4274" t="s">
        <v>13</v>
      </c>
      <c r="C4274" t="s">
        <v>7493</v>
      </c>
      <c r="D4274" t="s">
        <v>14056</v>
      </c>
      <c r="E4274" t="s">
        <v>14057</v>
      </c>
      <c r="F4274" t="s">
        <v>2036</v>
      </c>
      <c r="G4274" t="s">
        <v>14058</v>
      </c>
      <c r="H4274" t="s">
        <v>14059</v>
      </c>
      <c r="I4274" t="s">
        <v>19</v>
      </c>
      <c r="J4274" s="3" t="s">
        <v>14060</v>
      </c>
      <c r="K4274" t="s">
        <v>14061</v>
      </c>
      <c r="L4274" t="s">
        <v>14062</v>
      </c>
      <c r="M4274" t="s">
        <v>57</v>
      </c>
    </row>
    <row r="4275" spans="1:13" x14ac:dyDescent="0.25">
      <c r="A4275" t="s">
        <v>18555</v>
      </c>
      <c r="B4275" t="s">
        <v>13</v>
      </c>
      <c r="C4275" s="1">
        <v>43678</v>
      </c>
      <c r="D4275" t="s">
        <v>18556</v>
      </c>
      <c r="E4275" t="s">
        <v>18557</v>
      </c>
      <c r="F4275" t="s">
        <v>57</v>
      </c>
      <c r="G4275" t="s">
        <v>14525</v>
      </c>
      <c r="H4275" t="s">
        <v>18</v>
      </c>
      <c r="I4275" t="s">
        <v>19</v>
      </c>
      <c r="J4275" s="3">
        <v>551935218755</v>
      </c>
      <c r="K4275" t="s">
        <v>14526</v>
      </c>
      <c r="L4275" t="s">
        <v>285</v>
      </c>
      <c r="M4275" t="s">
        <v>57</v>
      </c>
    </row>
    <row r="4276" spans="1:13" x14ac:dyDescent="0.25">
      <c r="A4276" t="s">
        <v>23127</v>
      </c>
      <c r="B4276" t="s">
        <v>13</v>
      </c>
      <c r="C4276" t="s">
        <v>22833</v>
      </c>
      <c r="D4276" t="s">
        <v>23128</v>
      </c>
      <c r="E4276" t="s">
        <v>32572</v>
      </c>
      <c r="F4276" t="s">
        <v>1349</v>
      </c>
      <c r="G4276" t="s">
        <v>17155</v>
      </c>
      <c r="H4276" t="s">
        <v>150</v>
      </c>
      <c r="I4276" t="s">
        <v>19</v>
      </c>
      <c r="J4276" s="3" t="s">
        <v>17156</v>
      </c>
      <c r="K4276" t="s">
        <v>17157</v>
      </c>
      <c r="L4276" t="s">
        <v>17158</v>
      </c>
      <c r="M4276" t="s">
        <v>1349</v>
      </c>
    </row>
    <row r="4277" spans="1:13" x14ac:dyDescent="0.25">
      <c r="A4277" t="s">
        <v>15684</v>
      </c>
      <c r="B4277" t="s">
        <v>13</v>
      </c>
      <c r="C4277" t="s">
        <v>15685</v>
      </c>
      <c r="D4277" t="s">
        <v>15686</v>
      </c>
      <c r="E4277" t="s">
        <v>15687</v>
      </c>
      <c r="F4277" t="s">
        <v>1464</v>
      </c>
      <c r="G4277" t="s">
        <v>15688</v>
      </c>
      <c r="H4277" t="s">
        <v>428</v>
      </c>
      <c r="I4277" t="s">
        <v>19</v>
      </c>
      <c r="J4277" s="3" t="s">
        <v>15689</v>
      </c>
      <c r="K4277" t="s">
        <v>15690</v>
      </c>
      <c r="L4277" t="s">
        <v>15691</v>
      </c>
      <c r="M4277" t="s">
        <v>432</v>
      </c>
    </row>
    <row r="4278" spans="1:13" x14ac:dyDescent="0.25">
      <c r="A4278" t="s">
        <v>5198</v>
      </c>
      <c r="B4278" t="s">
        <v>101</v>
      </c>
      <c r="C4278" t="s">
        <v>5199</v>
      </c>
      <c r="D4278" t="s">
        <v>5200</v>
      </c>
      <c r="E4278" s="2" t="s">
        <v>31766</v>
      </c>
      <c r="F4278" t="s">
        <v>5201</v>
      </c>
      <c r="G4278" t="s">
        <v>5202</v>
      </c>
      <c r="H4278" t="s">
        <v>1486</v>
      </c>
      <c r="I4278" t="s">
        <v>19</v>
      </c>
      <c r="J4278" s="3" t="s">
        <v>5203</v>
      </c>
      <c r="K4278" t="s">
        <v>5204</v>
      </c>
      <c r="L4278" t="s">
        <v>32135</v>
      </c>
      <c r="M4278" t="s">
        <v>771</v>
      </c>
    </row>
    <row r="4279" spans="1:13" x14ac:dyDescent="0.25">
      <c r="A4279" t="s">
        <v>4830</v>
      </c>
      <c r="B4279" t="s">
        <v>13</v>
      </c>
      <c r="C4279" s="1">
        <v>44867</v>
      </c>
      <c r="D4279" t="s">
        <v>4831</v>
      </c>
      <c r="E4279" s="2" t="s">
        <v>31969</v>
      </c>
      <c r="F4279" t="s">
        <v>4832</v>
      </c>
      <c r="G4279" t="s">
        <v>4833</v>
      </c>
      <c r="H4279" t="s">
        <v>4834</v>
      </c>
      <c r="I4279" t="s">
        <v>19</v>
      </c>
      <c r="J4279" s="3">
        <f>55-21-999732194</f>
        <v>-999732160</v>
      </c>
      <c r="K4279" t="s">
        <v>354</v>
      </c>
      <c r="L4279" t="s">
        <v>4835</v>
      </c>
      <c r="M4279" t="s">
        <v>129</v>
      </c>
    </row>
    <row r="4280" spans="1:13" x14ac:dyDescent="0.25">
      <c r="A4280" t="s">
        <v>30304</v>
      </c>
      <c r="B4280" t="s">
        <v>13</v>
      </c>
      <c r="C4280" s="1">
        <v>40910</v>
      </c>
      <c r="D4280" t="s">
        <v>30305</v>
      </c>
      <c r="E4280" t="s">
        <v>32573</v>
      </c>
      <c r="F4280" t="s">
        <v>2036</v>
      </c>
      <c r="G4280" t="s">
        <v>30306</v>
      </c>
      <c r="H4280" t="s">
        <v>30307</v>
      </c>
      <c r="I4280" t="s">
        <v>2850</v>
      </c>
      <c r="J4280" s="3">
        <v>3432147718</v>
      </c>
      <c r="K4280" t="s">
        <v>30308</v>
      </c>
      <c r="L4280" t="s">
        <v>30309</v>
      </c>
      <c r="M4280" t="s">
        <v>57</v>
      </c>
    </row>
    <row r="4281" spans="1:13" x14ac:dyDescent="0.25">
      <c r="A4281" t="s">
        <v>21867</v>
      </c>
      <c r="B4281" t="s">
        <v>13</v>
      </c>
      <c r="C4281" t="s">
        <v>21849</v>
      </c>
      <c r="D4281" t="s">
        <v>21868</v>
      </c>
      <c r="E4281" t="s">
        <v>32574</v>
      </c>
      <c r="F4281" t="s">
        <v>2758</v>
      </c>
      <c r="G4281" t="s">
        <v>21869</v>
      </c>
      <c r="H4281" t="s">
        <v>6100</v>
      </c>
      <c r="I4281" t="s">
        <v>19</v>
      </c>
      <c r="J4281" s="3">
        <v>55096981109996</v>
      </c>
      <c r="K4281" t="s">
        <v>21870</v>
      </c>
      <c r="L4281" t="s">
        <v>21871</v>
      </c>
      <c r="M4281" t="s">
        <v>32149</v>
      </c>
    </row>
    <row r="4282" spans="1:13" x14ac:dyDescent="0.25">
      <c r="A4282" t="s">
        <v>30312</v>
      </c>
      <c r="B4282" t="s">
        <v>13</v>
      </c>
      <c r="C4282" s="1">
        <v>40910</v>
      </c>
      <c r="D4282" t="s">
        <v>30313</v>
      </c>
      <c r="E4282" t="s">
        <v>30314</v>
      </c>
      <c r="F4282" t="s">
        <v>2758</v>
      </c>
      <c r="G4282" t="s">
        <v>30315</v>
      </c>
      <c r="H4282" t="s">
        <v>983</v>
      </c>
      <c r="I4282" t="s">
        <v>19</v>
      </c>
      <c r="J4282" s="3" t="s">
        <v>30316</v>
      </c>
      <c r="K4282" t="s">
        <v>25155</v>
      </c>
      <c r="L4282" t="s">
        <v>9980</v>
      </c>
      <c r="M4282" t="s">
        <v>32149</v>
      </c>
    </row>
    <row r="4283" spans="1:13" x14ac:dyDescent="0.25">
      <c r="A4283" t="s">
        <v>26400</v>
      </c>
      <c r="B4283" t="s">
        <v>13</v>
      </c>
      <c r="C4283" s="1">
        <v>42405</v>
      </c>
      <c r="D4283" t="s">
        <v>26401</v>
      </c>
      <c r="E4283" t="s">
        <v>26402</v>
      </c>
      <c r="F4283" t="s">
        <v>1464</v>
      </c>
      <c r="G4283" t="s">
        <v>26403</v>
      </c>
      <c r="H4283" t="s">
        <v>798</v>
      </c>
      <c r="I4283" t="s">
        <v>19</v>
      </c>
      <c r="J4283" s="3" t="s">
        <v>26404</v>
      </c>
      <c r="K4283" t="s">
        <v>26405</v>
      </c>
      <c r="L4283" t="s">
        <v>26406</v>
      </c>
      <c r="M4283" t="s">
        <v>337</v>
      </c>
    </row>
    <row r="4284" spans="1:13" x14ac:dyDescent="0.25">
      <c r="A4284" t="s">
        <v>25644</v>
      </c>
      <c r="B4284" t="s">
        <v>13</v>
      </c>
      <c r="C4284" t="s">
        <v>25640</v>
      </c>
      <c r="D4284" t="s">
        <v>25645</v>
      </c>
      <c r="E4284" t="s">
        <v>32575</v>
      </c>
      <c r="F4284" t="s">
        <v>741</v>
      </c>
      <c r="G4284" t="s">
        <v>25646</v>
      </c>
      <c r="H4284" t="s">
        <v>936</v>
      </c>
      <c r="I4284" t="s">
        <v>19</v>
      </c>
      <c r="J4284" s="3" t="s">
        <v>25647</v>
      </c>
      <c r="K4284" t="s">
        <v>25648</v>
      </c>
      <c r="L4284" t="s">
        <v>25649</v>
      </c>
      <c r="M4284" t="s">
        <v>741</v>
      </c>
    </row>
    <row r="4285" spans="1:13" x14ac:dyDescent="0.25">
      <c r="A4285" t="s">
        <v>15381</v>
      </c>
      <c r="B4285" t="s">
        <v>13</v>
      </c>
      <c r="C4285" t="s">
        <v>9966</v>
      </c>
      <c r="D4285" t="s">
        <v>15382</v>
      </c>
      <c r="E4285" t="s">
        <v>15383</v>
      </c>
      <c r="F4285" t="s">
        <v>1349</v>
      </c>
      <c r="G4285" t="s">
        <v>15384</v>
      </c>
      <c r="H4285" t="s">
        <v>299</v>
      </c>
      <c r="I4285" t="s">
        <v>19</v>
      </c>
      <c r="J4285" s="3" t="s">
        <v>15385</v>
      </c>
      <c r="K4285" t="s">
        <v>15386</v>
      </c>
      <c r="L4285" t="s">
        <v>7939</v>
      </c>
      <c r="M4285" t="s">
        <v>1349</v>
      </c>
    </row>
    <row r="4286" spans="1:13" x14ac:dyDescent="0.25">
      <c r="A4286" t="s">
        <v>18290</v>
      </c>
      <c r="B4286" t="s">
        <v>13</v>
      </c>
      <c r="C4286" t="s">
        <v>11846</v>
      </c>
      <c r="D4286" t="s">
        <v>18291</v>
      </c>
      <c r="E4286" t="s">
        <v>18292</v>
      </c>
      <c r="F4286" t="s">
        <v>1464</v>
      </c>
      <c r="G4286" t="s">
        <v>18293</v>
      </c>
      <c r="H4286" t="s">
        <v>10502</v>
      </c>
      <c r="I4286" t="s">
        <v>19</v>
      </c>
      <c r="J4286" s="3">
        <v>5511995466201</v>
      </c>
      <c r="K4286" t="s">
        <v>18294</v>
      </c>
      <c r="L4286" t="s">
        <v>18295</v>
      </c>
      <c r="M4286" t="s">
        <v>1775</v>
      </c>
    </row>
    <row r="4287" spans="1:13" x14ac:dyDescent="0.25">
      <c r="A4287" t="s">
        <v>26424</v>
      </c>
      <c r="B4287" t="s">
        <v>101</v>
      </c>
      <c r="C4287" t="s">
        <v>26408</v>
      </c>
      <c r="D4287" t="s">
        <v>26425</v>
      </c>
      <c r="E4287" t="s">
        <v>26426</v>
      </c>
      <c r="F4287" t="s">
        <v>2036</v>
      </c>
      <c r="G4287" t="s">
        <v>26427</v>
      </c>
      <c r="H4287" t="s">
        <v>18</v>
      </c>
      <c r="I4287" t="s">
        <v>19</v>
      </c>
      <c r="J4287" s="3" t="s">
        <v>3371</v>
      </c>
      <c r="K4287" t="s">
        <v>26428</v>
      </c>
      <c r="L4287" t="s">
        <v>26429</v>
      </c>
      <c r="M4287" t="s">
        <v>57</v>
      </c>
    </row>
    <row r="4288" spans="1:13" x14ac:dyDescent="0.25">
      <c r="A4288" t="s">
        <v>14534</v>
      </c>
      <c r="B4288" t="s">
        <v>13</v>
      </c>
      <c r="C4288" t="s">
        <v>7069</v>
      </c>
      <c r="D4288" t="s">
        <v>14535</v>
      </c>
      <c r="E4288" t="s">
        <v>14536</v>
      </c>
      <c r="F4288" t="s">
        <v>1129</v>
      </c>
      <c r="G4288" t="s">
        <v>14537</v>
      </c>
      <c r="H4288" t="s">
        <v>3416</v>
      </c>
      <c r="I4288" t="s">
        <v>19</v>
      </c>
      <c r="J4288" s="3">
        <v>5516993066800</v>
      </c>
      <c r="K4288" t="s">
        <v>14538</v>
      </c>
      <c r="L4288" t="s">
        <v>14539</v>
      </c>
      <c r="M4288" t="s">
        <v>224</v>
      </c>
    </row>
    <row r="4289" spans="1:13" x14ac:dyDescent="0.25">
      <c r="A4289" t="s">
        <v>12342</v>
      </c>
      <c r="B4289" t="s">
        <v>13</v>
      </c>
      <c r="C4289" t="s">
        <v>12316</v>
      </c>
      <c r="D4289" t="s">
        <v>12343</v>
      </c>
      <c r="E4289" t="s">
        <v>32576</v>
      </c>
      <c r="F4289" t="s">
        <v>117</v>
      </c>
      <c r="G4289" t="s">
        <v>2342</v>
      </c>
      <c r="H4289" t="s">
        <v>36</v>
      </c>
      <c r="I4289" t="s">
        <v>19</v>
      </c>
      <c r="J4289" s="3">
        <f>55-11-3091-3696</f>
        <v>-6743</v>
      </c>
      <c r="K4289" t="s">
        <v>2343</v>
      </c>
      <c r="L4289" t="s">
        <v>6491</v>
      </c>
      <c r="M4289" t="s">
        <v>32145</v>
      </c>
    </row>
    <row r="4290" spans="1:13" x14ac:dyDescent="0.25">
      <c r="A4290" t="s">
        <v>29943</v>
      </c>
      <c r="B4290" t="s">
        <v>13</v>
      </c>
      <c r="C4290" t="s">
        <v>14184</v>
      </c>
      <c r="D4290" t="s">
        <v>29944</v>
      </c>
      <c r="E4290" t="s">
        <v>32203</v>
      </c>
      <c r="F4290" t="s">
        <v>1464</v>
      </c>
      <c r="G4290" t="s">
        <v>29945</v>
      </c>
      <c r="H4290" t="s">
        <v>150</v>
      </c>
      <c r="I4290" t="s">
        <v>19</v>
      </c>
      <c r="J4290" s="3" t="s">
        <v>29946</v>
      </c>
      <c r="K4290" t="s">
        <v>29947</v>
      </c>
      <c r="L4290" t="s">
        <v>321</v>
      </c>
      <c r="M4290" t="s">
        <v>57</v>
      </c>
    </row>
    <row r="4291" spans="1:13" x14ac:dyDescent="0.25">
      <c r="A4291" t="s">
        <v>28471</v>
      </c>
      <c r="B4291" t="s">
        <v>13</v>
      </c>
      <c r="C4291" t="s">
        <v>28472</v>
      </c>
      <c r="D4291" t="s">
        <v>28473</v>
      </c>
      <c r="E4291" t="s">
        <v>28474</v>
      </c>
      <c r="F4291" t="s">
        <v>771</v>
      </c>
      <c r="G4291" t="s">
        <v>28475</v>
      </c>
      <c r="H4291" t="s">
        <v>36</v>
      </c>
      <c r="I4291" t="s">
        <v>19</v>
      </c>
      <c r="J4291" s="3" t="s">
        <v>28476</v>
      </c>
      <c r="K4291" t="s">
        <v>28477</v>
      </c>
      <c r="L4291" t="s">
        <v>28478</v>
      </c>
      <c r="M4291" t="s">
        <v>771</v>
      </c>
    </row>
    <row r="4292" spans="1:13" x14ac:dyDescent="0.25">
      <c r="A4292" t="s">
        <v>24966</v>
      </c>
      <c r="B4292" t="s">
        <v>13</v>
      </c>
      <c r="C4292" t="s">
        <v>24953</v>
      </c>
      <c r="D4292" t="s">
        <v>24967</v>
      </c>
      <c r="E4292" t="s">
        <v>24968</v>
      </c>
      <c r="F4292" t="s">
        <v>9327</v>
      </c>
      <c r="G4292" t="s">
        <v>24969</v>
      </c>
      <c r="H4292" t="s">
        <v>18</v>
      </c>
      <c r="I4292" t="s">
        <v>19</v>
      </c>
      <c r="J4292" s="3" t="s">
        <v>24970</v>
      </c>
      <c r="K4292" t="s">
        <v>20986</v>
      </c>
      <c r="L4292" t="s">
        <v>20987</v>
      </c>
      <c r="M4292" t="s">
        <v>1304</v>
      </c>
    </row>
    <row r="4293" spans="1:13" x14ac:dyDescent="0.25">
      <c r="A4293" t="s">
        <v>6626</v>
      </c>
      <c r="B4293" t="s">
        <v>13</v>
      </c>
      <c r="C4293" t="s">
        <v>6625</v>
      </c>
      <c r="D4293" t="s">
        <v>6627</v>
      </c>
      <c r="E4293" t="s">
        <v>6628</v>
      </c>
      <c r="F4293" t="s">
        <v>6629</v>
      </c>
      <c r="G4293" t="s">
        <v>3973</v>
      </c>
      <c r="H4293" t="s">
        <v>195</v>
      </c>
      <c r="I4293" t="s">
        <v>19</v>
      </c>
      <c r="J4293" s="3">
        <v>551633739672</v>
      </c>
      <c r="K4293" t="s">
        <v>3974</v>
      </c>
      <c r="L4293" t="s">
        <v>32135</v>
      </c>
      <c r="M4293" t="s">
        <v>337</v>
      </c>
    </row>
    <row r="4294" spans="1:13" x14ac:dyDescent="0.25">
      <c r="A4294" t="s">
        <v>18905</v>
      </c>
      <c r="B4294" t="s">
        <v>13</v>
      </c>
      <c r="C4294" s="1">
        <v>43112</v>
      </c>
      <c r="D4294" t="s">
        <v>18906</v>
      </c>
      <c r="E4294" t="s">
        <v>32577</v>
      </c>
      <c r="F4294" t="s">
        <v>332</v>
      </c>
      <c r="G4294" t="s">
        <v>7312</v>
      </c>
      <c r="H4294" t="s">
        <v>114</v>
      </c>
      <c r="I4294" t="s">
        <v>19</v>
      </c>
      <c r="J4294" s="3">
        <f>550792105-1821</f>
        <v>550790284</v>
      </c>
      <c r="K4294" t="s">
        <v>7314</v>
      </c>
      <c r="L4294" t="s">
        <v>18907</v>
      </c>
      <c r="M4294" t="s">
        <v>337</v>
      </c>
    </row>
    <row r="4295" spans="1:13" x14ac:dyDescent="0.25">
      <c r="A4295" t="s">
        <v>30340</v>
      </c>
      <c r="B4295" t="s">
        <v>13</v>
      </c>
      <c r="C4295" t="s">
        <v>30142</v>
      </c>
      <c r="D4295" t="s">
        <v>30341</v>
      </c>
      <c r="E4295" t="s">
        <v>30342</v>
      </c>
      <c r="F4295" t="s">
        <v>6308</v>
      </c>
      <c r="G4295" t="s">
        <v>30343</v>
      </c>
      <c r="H4295" t="s">
        <v>36</v>
      </c>
      <c r="I4295" t="s">
        <v>19</v>
      </c>
      <c r="J4295" s="3" t="s">
        <v>30344</v>
      </c>
      <c r="K4295" t="s">
        <v>30345</v>
      </c>
      <c r="L4295" t="s">
        <v>439</v>
      </c>
      <c r="M4295" t="s">
        <v>32147</v>
      </c>
    </row>
    <row r="4296" spans="1:13" x14ac:dyDescent="0.25">
      <c r="A4296" t="s">
        <v>13820</v>
      </c>
      <c r="B4296" t="s">
        <v>13</v>
      </c>
      <c r="C4296" t="s">
        <v>13789</v>
      </c>
      <c r="D4296" t="s">
        <v>13821</v>
      </c>
      <c r="E4296" t="s">
        <v>32578</v>
      </c>
      <c r="F4296" t="s">
        <v>1464</v>
      </c>
      <c r="G4296" t="s">
        <v>13822</v>
      </c>
      <c r="H4296" t="s">
        <v>489</v>
      </c>
      <c r="I4296" t="s">
        <v>19</v>
      </c>
      <c r="J4296">
        <f>55-41-991993340</f>
        <v>-991993326</v>
      </c>
      <c r="K4296" s="3" t="s">
        <v>13823</v>
      </c>
      <c r="L4296" t="s">
        <v>13824</v>
      </c>
      <c r="M4296" t="s">
        <v>1775</v>
      </c>
    </row>
    <row r="4297" spans="1:13" x14ac:dyDescent="0.25">
      <c r="A4297" t="s">
        <v>17848</v>
      </c>
      <c r="B4297" t="s">
        <v>101</v>
      </c>
      <c r="C4297" s="1">
        <v>43712</v>
      </c>
      <c r="D4297" t="s">
        <v>17849</v>
      </c>
      <c r="E4297" s="2" t="s">
        <v>32189</v>
      </c>
      <c r="F4297" t="s">
        <v>306</v>
      </c>
      <c r="G4297" t="s">
        <v>6196</v>
      </c>
      <c r="H4297" t="s">
        <v>1215</v>
      </c>
      <c r="I4297" t="s">
        <v>19</v>
      </c>
      <c r="J4297" s="3">
        <f>55-18-997049077</f>
        <v>-997049040</v>
      </c>
      <c r="K4297" t="s">
        <v>6197</v>
      </c>
      <c r="L4297" t="s">
        <v>8429</v>
      </c>
      <c r="M4297" t="s">
        <v>32145</v>
      </c>
    </row>
    <row r="4298" spans="1:13" x14ac:dyDescent="0.25">
      <c r="A4298" t="s">
        <v>29671</v>
      </c>
      <c r="B4298" t="s">
        <v>13</v>
      </c>
      <c r="C4298" s="1">
        <v>41430</v>
      </c>
      <c r="D4298" t="s">
        <v>29672</v>
      </c>
      <c r="E4298" t="s">
        <v>32579</v>
      </c>
      <c r="F4298" t="s">
        <v>1190</v>
      </c>
      <c r="G4298" t="s">
        <v>29673</v>
      </c>
      <c r="H4298" t="s">
        <v>29674</v>
      </c>
      <c r="I4298" t="s">
        <v>19</v>
      </c>
      <c r="J4298" s="3" t="s">
        <v>29675</v>
      </c>
      <c r="K4298" t="s">
        <v>29676</v>
      </c>
      <c r="L4298" t="s">
        <v>29677</v>
      </c>
      <c r="M4298" t="s">
        <v>432</v>
      </c>
    </row>
    <row r="4299" spans="1:13" x14ac:dyDescent="0.25">
      <c r="A4299" t="s">
        <v>19374</v>
      </c>
      <c r="B4299" t="s">
        <v>13</v>
      </c>
      <c r="C4299" s="1">
        <v>43141</v>
      </c>
      <c r="D4299" t="s">
        <v>19375</v>
      </c>
      <c r="E4299" s="2" t="s">
        <v>31226</v>
      </c>
      <c r="F4299" t="s">
        <v>1190</v>
      </c>
      <c r="G4299" t="s">
        <v>19376</v>
      </c>
      <c r="H4299" t="s">
        <v>489</v>
      </c>
      <c r="I4299" t="s">
        <v>19</v>
      </c>
      <c r="J4299" s="3">
        <v>5541999239566</v>
      </c>
      <c r="K4299" t="s">
        <v>19377</v>
      </c>
      <c r="L4299" t="s">
        <v>3210</v>
      </c>
      <c r="M4299" t="s">
        <v>432</v>
      </c>
    </row>
    <row r="4300" spans="1:13" x14ac:dyDescent="0.25">
      <c r="A4300" t="s">
        <v>23767</v>
      </c>
      <c r="B4300" t="s">
        <v>13</v>
      </c>
      <c r="C4300" t="s">
        <v>15868</v>
      </c>
      <c r="D4300" t="s">
        <v>23768</v>
      </c>
      <c r="E4300" t="s">
        <v>23769</v>
      </c>
      <c r="F4300" t="s">
        <v>1190</v>
      </c>
      <c r="G4300" t="s">
        <v>23770</v>
      </c>
      <c r="H4300" t="s">
        <v>409</v>
      </c>
      <c r="I4300" t="s">
        <v>19</v>
      </c>
      <c r="J4300" s="3" t="s">
        <v>23771</v>
      </c>
      <c r="K4300" t="s">
        <v>23772</v>
      </c>
      <c r="L4300" t="s">
        <v>412</v>
      </c>
      <c r="M4300" t="s">
        <v>432</v>
      </c>
    </row>
    <row r="4301" spans="1:13" x14ac:dyDescent="0.25">
      <c r="A4301" t="s">
        <v>22986</v>
      </c>
      <c r="B4301" t="s">
        <v>13</v>
      </c>
      <c r="C4301" t="s">
        <v>22981</v>
      </c>
      <c r="D4301" t="s">
        <v>22987</v>
      </c>
      <c r="E4301" t="s">
        <v>22988</v>
      </c>
      <c r="F4301" t="s">
        <v>11797</v>
      </c>
      <c r="G4301" t="s">
        <v>22989</v>
      </c>
      <c r="H4301" t="s">
        <v>18</v>
      </c>
      <c r="I4301" t="s">
        <v>19</v>
      </c>
      <c r="J4301" s="3">
        <f>55-19-981514355</f>
        <v>-981514319</v>
      </c>
      <c r="K4301" t="s">
        <v>7815</v>
      </c>
      <c r="L4301" t="s">
        <v>285</v>
      </c>
      <c r="M4301" t="s">
        <v>32195</v>
      </c>
    </row>
    <row r="4302" spans="1:13" x14ac:dyDescent="0.25">
      <c r="A4302" t="s">
        <v>2695</v>
      </c>
      <c r="B4302" t="s">
        <v>13</v>
      </c>
      <c r="C4302" s="1">
        <v>44628</v>
      </c>
      <c r="D4302" t="s">
        <v>2696</v>
      </c>
      <c r="E4302" t="s">
        <v>2697</v>
      </c>
      <c r="F4302" t="s">
        <v>396</v>
      </c>
      <c r="G4302" t="s">
        <v>2698</v>
      </c>
      <c r="H4302" t="s">
        <v>36</v>
      </c>
      <c r="I4302" t="s">
        <v>19</v>
      </c>
      <c r="J4302" s="3">
        <f>55-11-55391783</f>
        <v>-55391739</v>
      </c>
      <c r="K4302" t="s">
        <v>2699</v>
      </c>
      <c r="L4302" t="s">
        <v>439</v>
      </c>
      <c r="M4302" t="s">
        <v>32145</v>
      </c>
    </row>
    <row r="4303" spans="1:13" x14ac:dyDescent="0.25">
      <c r="A4303" t="s">
        <v>12285</v>
      </c>
      <c r="B4303" t="s">
        <v>13</v>
      </c>
      <c r="C4303" t="s">
        <v>12286</v>
      </c>
      <c r="D4303" t="s">
        <v>12287</v>
      </c>
      <c r="E4303" s="2" t="s">
        <v>31615</v>
      </c>
      <c r="F4303" t="s">
        <v>306</v>
      </c>
      <c r="G4303" t="s">
        <v>12289</v>
      </c>
      <c r="H4303" t="s">
        <v>428</v>
      </c>
      <c r="I4303" t="s">
        <v>19</v>
      </c>
      <c r="J4303" s="3">
        <v>555133085620</v>
      </c>
      <c r="K4303" t="s">
        <v>12290</v>
      </c>
      <c r="L4303" t="s">
        <v>10761</v>
      </c>
      <c r="M4303" t="s">
        <v>32145</v>
      </c>
    </row>
    <row r="4304" spans="1:13" x14ac:dyDescent="0.25">
      <c r="A4304" t="s">
        <v>12578</v>
      </c>
      <c r="B4304" t="s">
        <v>13</v>
      </c>
      <c r="C4304" t="s">
        <v>12556</v>
      </c>
      <c r="D4304" t="s">
        <v>12579</v>
      </c>
      <c r="E4304" t="s">
        <v>32580</v>
      </c>
      <c r="F4304" t="s">
        <v>117</v>
      </c>
      <c r="G4304" t="s">
        <v>12580</v>
      </c>
      <c r="H4304" t="s">
        <v>352</v>
      </c>
      <c r="I4304" t="s">
        <v>19</v>
      </c>
      <c r="J4304" s="3">
        <f>55-21-23340679</f>
        <v>-23340645</v>
      </c>
      <c r="K4304" t="s">
        <v>12581</v>
      </c>
      <c r="L4304" t="s">
        <v>550</v>
      </c>
      <c r="M4304" t="s">
        <v>32145</v>
      </c>
    </row>
    <row r="4305" spans="1:13" x14ac:dyDescent="0.25">
      <c r="A4305" t="s">
        <v>8486</v>
      </c>
      <c r="B4305" t="s">
        <v>13</v>
      </c>
      <c r="C4305" t="s">
        <v>8487</v>
      </c>
      <c r="D4305" t="s">
        <v>8488</v>
      </c>
      <c r="E4305" s="2" t="s">
        <v>30954</v>
      </c>
      <c r="F4305" t="s">
        <v>306</v>
      </c>
      <c r="G4305" t="s">
        <v>6196</v>
      </c>
      <c r="H4305" t="s">
        <v>1215</v>
      </c>
      <c r="I4305" t="s">
        <v>19</v>
      </c>
      <c r="J4305" s="3" t="s">
        <v>8489</v>
      </c>
      <c r="K4305" t="s">
        <v>6197</v>
      </c>
      <c r="L4305" t="s">
        <v>8429</v>
      </c>
      <c r="M4305" t="s">
        <v>32145</v>
      </c>
    </row>
    <row r="4306" spans="1:13" x14ac:dyDescent="0.25">
      <c r="A4306" t="s">
        <v>8426</v>
      </c>
      <c r="B4306" t="s">
        <v>101</v>
      </c>
      <c r="C4306" s="1">
        <v>43840</v>
      </c>
      <c r="D4306" t="s">
        <v>8427</v>
      </c>
      <c r="E4306" s="2" t="s">
        <v>31628</v>
      </c>
      <c r="F4306" t="s">
        <v>306</v>
      </c>
      <c r="G4306" t="s">
        <v>6196</v>
      </c>
      <c r="H4306" t="s">
        <v>1215</v>
      </c>
      <c r="I4306" t="s">
        <v>19</v>
      </c>
      <c r="J4306" s="3" t="s">
        <v>8428</v>
      </c>
      <c r="K4306" t="s">
        <v>6197</v>
      </c>
      <c r="L4306" t="s">
        <v>8429</v>
      </c>
      <c r="M4306" t="s">
        <v>32145</v>
      </c>
    </row>
    <row r="4307" spans="1:13" x14ac:dyDescent="0.25">
      <c r="A4307" t="s">
        <v>18495</v>
      </c>
      <c r="B4307" t="s">
        <v>101</v>
      </c>
      <c r="C4307" t="s">
        <v>11132</v>
      </c>
      <c r="D4307" t="s">
        <v>18496</v>
      </c>
      <c r="E4307" s="2" t="s">
        <v>31203</v>
      </c>
      <c r="F4307" t="s">
        <v>306</v>
      </c>
      <c r="G4307" t="s">
        <v>944</v>
      </c>
      <c r="H4307" t="s">
        <v>36</v>
      </c>
      <c r="I4307" t="s">
        <v>19</v>
      </c>
      <c r="J4307" s="3" t="s">
        <v>18497</v>
      </c>
      <c r="K4307" t="s">
        <v>18498</v>
      </c>
      <c r="L4307" t="s">
        <v>18499</v>
      </c>
      <c r="M4307" t="s">
        <v>32145</v>
      </c>
    </row>
    <row r="4308" spans="1:13" x14ac:dyDescent="0.25">
      <c r="A4308" t="s">
        <v>9248</v>
      </c>
      <c r="B4308" t="s">
        <v>13</v>
      </c>
      <c r="C4308" s="1">
        <v>43467</v>
      </c>
      <c r="D4308" t="s">
        <v>9249</v>
      </c>
      <c r="E4308" s="2" t="s">
        <v>31629</v>
      </c>
      <c r="F4308" t="s">
        <v>306</v>
      </c>
      <c r="G4308" t="s">
        <v>6196</v>
      </c>
      <c r="H4308" t="s">
        <v>1215</v>
      </c>
      <c r="I4308" t="s">
        <v>19</v>
      </c>
      <c r="J4308" s="3" t="s">
        <v>8428</v>
      </c>
      <c r="K4308" t="s">
        <v>6197</v>
      </c>
      <c r="L4308" t="s">
        <v>8429</v>
      </c>
      <c r="M4308" t="s">
        <v>32145</v>
      </c>
    </row>
    <row r="4309" spans="1:13" x14ac:dyDescent="0.25">
      <c r="A4309" t="s">
        <v>9438</v>
      </c>
      <c r="B4309" t="s">
        <v>13</v>
      </c>
      <c r="C4309" t="s">
        <v>9439</v>
      </c>
      <c r="D4309" t="s">
        <v>9440</v>
      </c>
      <c r="E4309" s="2" t="s">
        <v>32079</v>
      </c>
      <c r="F4309" t="s">
        <v>6686</v>
      </c>
      <c r="G4309" t="s">
        <v>9441</v>
      </c>
      <c r="H4309" t="s">
        <v>936</v>
      </c>
      <c r="I4309" t="s">
        <v>19</v>
      </c>
      <c r="J4309" s="3">
        <f>55-71-32768275</f>
        <v>-32768291</v>
      </c>
      <c r="K4309" t="s">
        <v>9442</v>
      </c>
      <c r="L4309" t="s">
        <v>9443</v>
      </c>
      <c r="M4309" t="s">
        <v>32145</v>
      </c>
    </row>
    <row r="4310" spans="1:13" x14ac:dyDescent="0.25">
      <c r="A4310" t="s">
        <v>24629</v>
      </c>
      <c r="B4310" t="s">
        <v>13</v>
      </c>
      <c r="C4310" t="s">
        <v>20629</v>
      </c>
      <c r="D4310" t="s">
        <v>24630</v>
      </c>
      <c r="E4310" t="s">
        <v>24631</v>
      </c>
      <c r="F4310" t="s">
        <v>306</v>
      </c>
      <c r="G4310" t="s">
        <v>24632</v>
      </c>
      <c r="H4310" t="s">
        <v>36</v>
      </c>
      <c r="I4310" t="s">
        <v>19</v>
      </c>
      <c r="J4310" s="3" t="s">
        <v>24633</v>
      </c>
      <c r="K4310" t="s">
        <v>24634</v>
      </c>
      <c r="L4310" t="s">
        <v>439</v>
      </c>
      <c r="M4310" t="s">
        <v>32145</v>
      </c>
    </row>
    <row r="4311" spans="1:13" x14ac:dyDescent="0.25">
      <c r="A4311" t="s">
        <v>27285</v>
      </c>
      <c r="B4311" t="s">
        <v>13</v>
      </c>
      <c r="C4311" s="1">
        <v>42258</v>
      </c>
      <c r="D4311" t="s">
        <v>27286</v>
      </c>
      <c r="E4311" t="s">
        <v>27287</v>
      </c>
      <c r="F4311" t="s">
        <v>117</v>
      </c>
      <c r="G4311" t="s">
        <v>26928</v>
      </c>
      <c r="H4311" t="s">
        <v>661</v>
      </c>
      <c r="I4311" t="s">
        <v>19</v>
      </c>
      <c r="J4311" s="3" t="s">
        <v>26929</v>
      </c>
      <c r="K4311" t="s">
        <v>20695</v>
      </c>
      <c r="L4311" t="s">
        <v>904</v>
      </c>
      <c r="M4311" t="s">
        <v>32145</v>
      </c>
    </row>
    <row r="4312" spans="1:13" x14ac:dyDescent="0.25">
      <c r="A4312" t="s">
        <v>28159</v>
      </c>
      <c r="B4312" t="s">
        <v>13</v>
      </c>
      <c r="C4312" t="s">
        <v>28160</v>
      </c>
      <c r="D4312" t="s">
        <v>28161</v>
      </c>
      <c r="E4312" s="2" t="s">
        <v>31354</v>
      </c>
      <c r="F4312" t="s">
        <v>1464</v>
      </c>
      <c r="G4312" t="s">
        <v>28162</v>
      </c>
      <c r="H4312" t="s">
        <v>265</v>
      </c>
      <c r="I4312" t="s">
        <v>19</v>
      </c>
      <c r="J4312" s="3" t="s">
        <v>28163</v>
      </c>
      <c r="K4312" t="s">
        <v>7100</v>
      </c>
      <c r="L4312" t="s">
        <v>3558</v>
      </c>
      <c r="M4312" t="s">
        <v>1775</v>
      </c>
    </row>
    <row r="4313" spans="1:13" x14ac:dyDescent="0.25">
      <c r="A4313" t="s">
        <v>2862</v>
      </c>
      <c r="B4313" t="s">
        <v>13</v>
      </c>
      <c r="C4313" t="s">
        <v>2854</v>
      </c>
      <c r="D4313" t="s">
        <v>2863</v>
      </c>
      <c r="E4313" t="s">
        <v>2864</v>
      </c>
      <c r="F4313" t="s">
        <v>2865</v>
      </c>
      <c r="G4313" t="s">
        <v>2866</v>
      </c>
      <c r="H4313" t="s">
        <v>2867</v>
      </c>
      <c r="I4313" t="s">
        <v>19</v>
      </c>
      <c r="J4313" s="3" t="s">
        <v>2868</v>
      </c>
      <c r="K4313" t="s">
        <v>2869</v>
      </c>
      <c r="L4313" t="s">
        <v>1880</v>
      </c>
      <c r="M4313" t="s">
        <v>32121</v>
      </c>
    </row>
    <row r="4314" spans="1:13" x14ac:dyDescent="0.25">
      <c r="A4314" t="s">
        <v>3492</v>
      </c>
      <c r="B4314" t="s">
        <v>13</v>
      </c>
      <c r="C4314" t="s">
        <v>3480</v>
      </c>
      <c r="D4314" t="s">
        <v>3493</v>
      </c>
      <c r="E4314" s="2" t="s">
        <v>30782</v>
      </c>
      <c r="F4314" t="s">
        <v>3495</v>
      </c>
      <c r="G4314" t="s">
        <v>3496</v>
      </c>
      <c r="H4314" t="s">
        <v>2215</v>
      </c>
      <c r="I4314" t="s">
        <v>19</v>
      </c>
      <c r="J4314" s="3" t="s">
        <v>3497</v>
      </c>
      <c r="K4314" t="s">
        <v>3498</v>
      </c>
      <c r="L4314" t="s">
        <v>2218</v>
      </c>
      <c r="M4314" t="s">
        <v>32121</v>
      </c>
    </row>
    <row r="4315" spans="1:13" x14ac:dyDescent="0.25">
      <c r="A4315" t="s">
        <v>8503</v>
      </c>
      <c r="B4315" t="s">
        <v>13</v>
      </c>
      <c r="C4315" t="s">
        <v>8504</v>
      </c>
      <c r="D4315" t="s">
        <v>8505</v>
      </c>
      <c r="E4315" t="s">
        <v>8506</v>
      </c>
      <c r="F4315" t="s">
        <v>32121</v>
      </c>
      <c r="G4315" t="s">
        <v>8507</v>
      </c>
      <c r="H4315" t="s">
        <v>615</v>
      </c>
      <c r="I4315" t="s">
        <v>19</v>
      </c>
      <c r="J4315" s="3">
        <f>55-34-32182935</f>
        <v>-32182914</v>
      </c>
      <c r="K4315" t="s">
        <v>8508</v>
      </c>
      <c r="L4315" t="s">
        <v>618</v>
      </c>
      <c r="M4315" t="s">
        <v>32121</v>
      </c>
    </row>
    <row r="4316" spans="1:13" x14ac:dyDescent="0.25">
      <c r="A4316" t="s">
        <v>30536</v>
      </c>
      <c r="B4316" t="s">
        <v>13</v>
      </c>
      <c r="C4316" t="s">
        <v>30527</v>
      </c>
      <c r="D4316" t="s">
        <v>30537</v>
      </c>
      <c r="E4316" s="2" t="s">
        <v>31363</v>
      </c>
      <c r="F4316" t="s">
        <v>30538</v>
      </c>
      <c r="G4316" t="s">
        <v>30539</v>
      </c>
      <c r="H4316" t="s">
        <v>30540</v>
      </c>
      <c r="I4316" t="s">
        <v>19</v>
      </c>
      <c r="J4316" s="3" t="s">
        <v>30541</v>
      </c>
      <c r="K4316" t="s">
        <v>30542</v>
      </c>
      <c r="L4316" t="s">
        <v>4211</v>
      </c>
      <c r="M4316" t="s">
        <v>57</v>
      </c>
    </row>
    <row r="4317" spans="1:13" x14ac:dyDescent="0.25">
      <c r="A4317" t="s">
        <v>21092</v>
      </c>
      <c r="B4317" t="s">
        <v>13</v>
      </c>
      <c r="C4317" t="s">
        <v>16610</v>
      </c>
      <c r="D4317" t="s">
        <v>21093</v>
      </c>
      <c r="E4317" t="s">
        <v>21094</v>
      </c>
      <c r="F4317" t="s">
        <v>1464</v>
      </c>
      <c r="G4317" t="s">
        <v>21095</v>
      </c>
      <c r="H4317" t="s">
        <v>36</v>
      </c>
      <c r="I4317" t="s">
        <v>19</v>
      </c>
      <c r="J4317" s="3">
        <f>55-11970521937</f>
        <v>-11970521882</v>
      </c>
      <c r="K4317" t="s">
        <v>18441</v>
      </c>
      <c r="L4317" t="s">
        <v>223</v>
      </c>
      <c r="M4317" t="s">
        <v>129</v>
      </c>
    </row>
    <row r="4318" spans="1:13" x14ac:dyDescent="0.25">
      <c r="A4318" t="s">
        <v>18438</v>
      </c>
      <c r="B4318" t="s">
        <v>13</v>
      </c>
      <c r="C4318" t="s">
        <v>8487</v>
      </c>
      <c r="D4318" t="s">
        <v>18439</v>
      </c>
      <c r="E4318" s="2" t="s">
        <v>31747</v>
      </c>
      <c r="F4318" t="s">
        <v>8193</v>
      </c>
      <c r="G4318" t="s">
        <v>18440</v>
      </c>
      <c r="H4318" t="s">
        <v>3865</v>
      </c>
      <c r="I4318" t="s">
        <v>19</v>
      </c>
      <c r="J4318" s="3">
        <v>551136659717</v>
      </c>
      <c r="K4318" t="s">
        <v>18441</v>
      </c>
      <c r="L4318" t="s">
        <v>223</v>
      </c>
      <c r="M4318" t="s">
        <v>129</v>
      </c>
    </row>
    <row r="4319" spans="1:13" x14ac:dyDescent="0.25">
      <c r="A4319" t="s">
        <v>1818</v>
      </c>
      <c r="B4319" t="s">
        <v>13</v>
      </c>
      <c r="C4319" s="1">
        <v>44691</v>
      </c>
      <c r="D4319" t="s">
        <v>1819</v>
      </c>
      <c r="E4319" s="2" t="s">
        <v>30715</v>
      </c>
      <c r="F4319" t="s">
        <v>34</v>
      </c>
      <c r="G4319" t="s">
        <v>1821</v>
      </c>
      <c r="H4319" t="s">
        <v>409</v>
      </c>
      <c r="I4319" t="s">
        <v>19</v>
      </c>
      <c r="J4319" s="3">
        <v>554836648084</v>
      </c>
      <c r="K4319" t="s">
        <v>1822</v>
      </c>
      <c r="L4319" t="s">
        <v>1823</v>
      </c>
      <c r="M4319" t="s">
        <v>1775</v>
      </c>
    </row>
    <row r="4320" spans="1:13" x14ac:dyDescent="0.25">
      <c r="A4320" t="s">
        <v>12605</v>
      </c>
      <c r="B4320" t="s">
        <v>13</v>
      </c>
      <c r="C4320" t="s">
        <v>11616</v>
      </c>
      <c r="D4320" t="s">
        <v>12606</v>
      </c>
      <c r="E4320" s="2" t="s">
        <v>31047</v>
      </c>
      <c r="F4320" t="s">
        <v>8193</v>
      </c>
      <c r="G4320" t="s">
        <v>12607</v>
      </c>
      <c r="H4320" t="s">
        <v>444</v>
      </c>
      <c r="I4320" t="s">
        <v>19</v>
      </c>
      <c r="J4320" s="3">
        <f>55-87-988160967</f>
        <v>-988160999</v>
      </c>
      <c r="K4320" t="s">
        <v>12608</v>
      </c>
      <c r="L4320" t="s">
        <v>1193</v>
      </c>
      <c r="M4320" t="s">
        <v>129</v>
      </c>
    </row>
    <row r="4321" spans="1:13" x14ac:dyDescent="0.25">
      <c r="A4321" t="s">
        <v>19813</v>
      </c>
      <c r="B4321" t="s">
        <v>13</v>
      </c>
      <c r="C4321" s="1">
        <v>43168</v>
      </c>
      <c r="D4321" t="s">
        <v>19814</v>
      </c>
      <c r="E4321" s="2" t="s">
        <v>31622</v>
      </c>
      <c r="F4321" t="s">
        <v>2036</v>
      </c>
      <c r="G4321" t="s">
        <v>19815</v>
      </c>
      <c r="H4321" t="s">
        <v>428</v>
      </c>
      <c r="I4321" t="s">
        <v>19</v>
      </c>
      <c r="J4321" s="3" t="s">
        <v>19816</v>
      </c>
      <c r="K4321" t="s">
        <v>19817</v>
      </c>
      <c r="L4321" t="s">
        <v>19818</v>
      </c>
      <c r="M4321" t="s">
        <v>32145</v>
      </c>
    </row>
    <row r="4322" spans="1:13" x14ac:dyDescent="0.25">
      <c r="A4322" t="s">
        <v>16216</v>
      </c>
      <c r="B4322" t="s">
        <v>13</v>
      </c>
      <c r="C4322" t="s">
        <v>16197</v>
      </c>
      <c r="D4322" t="s">
        <v>16217</v>
      </c>
      <c r="E4322" t="s">
        <v>3776</v>
      </c>
      <c r="F4322" t="s">
        <v>129</v>
      </c>
      <c r="G4322" t="s">
        <v>16218</v>
      </c>
      <c r="H4322" t="s">
        <v>36</v>
      </c>
      <c r="I4322" t="s">
        <v>19</v>
      </c>
      <c r="J4322" s="3" t="s">
        <v>16219</v>
      </c>
      <c r="K4322" t="s">
        <v>16220</v>
      </c>
      <c r="L4322" t="s">
        <v>439</v>
      </c>
      <c r="M4322" t="s">
        <v>129</v>
      </c>
    </row>
    <row r="4323" spans="1:13" x14ac:dyDescent="0.25">
      <c r="A4323" t="s">
        <v>15064</v>
      </c>
      <c r="B4323" t="s">
        <v>13</v>
      </c>
      <c r="C4323" s="1">
        <v>43810</v>
      </c>
      <c r="D4323" t="s">
        <v>15065</v>
      </c>
      <c r="E4323" t="s">
        <v>3776</v>
      </c>
      <c r="F4323" t="s">
        <v>129</v>
      </c>
      <c r="G4323" t="s">
        <v>15066</v>
      </c>
      <c r="H4323" t="s">
        <v>36</v>
      </c>
      <c r="I4323" t="s">
        <v>19</v>
      </c>
      <c r="J4323" s="3">
        <v>5511987056107</v>
      </c>
      <c r="K4323" t="s">
        <v>15067</v>
      </c>
      <c r="L4323" t="s">
        <v>15068</v>
      </c>
      <c r="M4323" t="s">
        <v>129</v>
      </c>
    </row>
    <row r="4324" spans="1:13" x14ac:dyDescent="0.25">
      <c r="A4324" t="s">
        <v>29113</v>
      </c>
      <c r="B4324" t="s">
        <v>101</v>
      </c>
      <c r="C4324" t="s">
        <v>29114</v>
      </c>
      <c r="D4324" t="s">
        <v>29115</v>
      </c>
      <c r="E4324" t="s">
        <v>3776</v>
      </c>
      <c r="F4324" t="s">
        <v>8193</v>
      </c>
      <c r="G4324" t="s">
        <v>19114</v>
      </c>
      <c r="H4324" t="s">
        <v>798</v>
      </c>
      <c r="I4324" t="s">
        <v>19</v>
      </c>
      <c r="J4324" s="3" t="s">
        <v>29116</v>
      </c>
      <c r="K4324" t="s">
        <v>19116</v>
      </c>
      <c r="L4324" t="s">
        <v>9743</v>
      </c>
      <c r="M4324" t="s">
        <v>129</v>
      </c>
    </row>
    <row r="4325" spans="1:13" x14ac:dyDescent="0.25">
      <c r="A4325" t="s">
        <v>3774</v>
      </c>
      <c r="B4325" t="s">
        <v>13</v>
      </c>
      <c r="C4325" t="s">
        <v>3747</v>
      </c>
      <c r="D4325" t="s">
        <v>3775</v>
      </c>
      <c r="E4325" t="s">
        <v>3776</v>
      </c>
      <c r="F4325" t="s">
        <v>3494</v>
      </c>
      <c r="G4325" t="s">
        <v>3777</v>
      </c>
      <c r="H4325" t="s">
        <v>18</v>
      </c>
      <c r="I4325" t="s">
        <v>19</v>
      </c>
      <c r="J4325" s="3">
        <f>55-(35)-988161174</f>
        <v>-988161154</v>
      </c>
      <c r="K4325" t="s">
        <v>3778</v>
      </c>
      <c r="L4325" t="s">
        <v>285</v>
      </c>
      <c r="M4325" t="s">
        <v>129</v>
      </c>
    </row>
    <row r="4326" spans="1:13" x14ac:dyDescent="0.25">
      <c r="A4326" t="s">
        <v>29344</v>
      </c>
      <c r="B4326" t="s">
        <v>13</v>
      </c>
      <c r="C4326" t="s">
        <v>29345</v>
      </c>
      <c r="D4326" t="s">
        <v>29346</v>
      </c>
      <c r="E4326" t="s">
        <v>29347</v>
      </c>
      <c r="F4326" t="s">
        <v>8193</v>
      </c>
      <c r="G4326" t="s">
        <v>29348</v>
      </c>
      <c r="H4326" t="s">
        <v>17190</v>
      </c>
      <c r="I4326" t="s">
        <v>19</v>
      </c>
      <c r="J4326" s="3" t="s">
        <v>29349</v>
      </c>
      <c r="K4326" t="s">
        <v>29350</v>
      </c>
      <c r="L4326" t="s">
        <v>29351</v>
      </c>
      <c r="M4326" t="s">
        <v>129</v>
      </c>
    </row>
    <row r="4327" spans="1:13" x14ac:dyDescent="0.25">
      <c r="A4327" t="s">
        <v>28617</v>
      </c>
      <c r="B4327" t="s">
        <v>13</v>
      </c>
      <c r="C4327" s="1">
        <v>42279</v>
      </c>
      <c r="D4327" t="s">
        <v>28618</v>
      </c>
      <c r="E4327" t="s">
        <v>28619</v>
      </c>
      <c r="F4327" t="s">
        <v>8193</v>
      </c>
      <c r="G4327" t="s">
        <v>25749</v>
      </c>
      <c r="H4327" t="s">
        <v>265</v>
      </c>
      <c r="I4327" t="s">
        <v>19</v>
      </c>
      <c r="J4327" s="3" t="s">
        <v>28620</v>
      </c>
      <c r="K4327" t="s">
        <v>25751</v>
      </c>
      <c r="L4327" t="s">
        <v>1569</v>
      </c>
      <c r="M4327" t="s">
        <v>129</v>
      </c>
    </row>
    <row r="4328" spans="1:13" x14ac:dyDescent="0.25">
      <c r="A4328" t="s">
        <v>684</v>
      </c>
      <c r="B4328" t="s">
        <v>13</v>
      </c>
      <c r="C4328" s="1">
        <v>44958</v>
      </c>
      <c r="D4328" t="s">
        <v>685</v>
      </c>
      <c r="E4328" t="s">
        <v>686</v>
      </c>
      <c r="F4328" t="s">
        <v>687</v>
      </c>
      <c r="G4328" t="s">
        <v>688</v>
      </c>
      <c r="H4328" t="s">
        <v>255</v>
      </c>
      <c r="I4328" t="s">
        <v>19</v>
      </c>
      <c r="J4328" s="3" t="s">
        <v>689</v>
      </c>
      <c r="K4328" t="s">
        <v>690</v>
      </c>
      <c r="L4328" t="s">
        <v>691</v>
      </c>
      <c r="M4328" t="s">
        <v>57</v>
      </c>
    </row>
    <row r="4329" spans="1:13" x14ac:dyDescent="0.25">
      <c r="A4329" t="s">
        <v>20472</v>
      </c>
      <c r="B4329" t="s">
        <v>13</v>
      </c>
      <c r="C4329" t="s">
        <v>10511</v>
      </c>
      <c r="D4329" t="s">
        <v>20473</v>
      </c>
      <c r="E4329" t="s">
        <v>1308</v>
      </c>
      <c r="F4329" t="s">
        <v>32147</v>
      </c>
      <c r="G4329" t="s">
        <v>20474</v>
      </c>
      <c r="H4329" t="s">
        <v>20475</v>
      </c>
      <c r="I4329" t="s">
        <v>19</v>
      </c>
      <c r="J4329" s="3">
        <f>55-16-988247658</f>
        <v>-988247619</v>
      </c>
      <c r="K4329" t="s">
        <v>20476</v>
      </c>
      <c r="L4329" t="s">
        <v>20477</v>
      </c>
      <c r="M4329" t="s">
        <v>32147</v>
      </c>
    </row>
    <row r="4330" spans="1:13" x14ac:dyDescent="0.25">
      <c r="A4330" t="s">
        <v>18180</v>
      </c>
      <c r="B4330" t="s">
        <v>101</v>
      </c>
      <c r="C4330" s="1">
        <v>43772</v>
      </c>
      <c r="D4330" t="s">
        <v>18181</v>
      </c>
      <c r="E4330" s="2" t="s">
        <v>31193</v>
      </c>
      <c r="F4330" t="s">
        <v>1464</v>
      </c>
      <c r="G4330" t="s">
        <v>18182</v>
      </c>
      <c r="H4330" t="s">
        <v>489</v>
      </c>
      <c r="I4330" t="s">
        <v>19</v>
      </c>
      <c r="J4330" s="3" t="s">
        <v>18183</v>
      </c>
      <c r="K4330" t="s">
        <v>9565</v>
      </c>
      <c r="L4330" t="s">
        <v>625</v>
      </c>
      <c r="M4330" t="s">
        <v>57</v>
      </c>
    </row>
    <row r="4331" spans="1:13" x14ac:dyDescent="0.25">
      <c r="A4331" t="s">
        <v>29171</v>
      </c>
      <c r="B4331" t="s">
        <v>13</v>
      </c>
      <c r="C4331" s="1">
        <v>41674</v>
      </c>
      <c r="D4331" t="s">
        <v>29172</v>
      </c>
      <c r="E4331" t="s">
        <v>32581</v>
      </c>
      <c r="F4331" t="s">
        <v>129</v>
      </c>
      <c r="G4331" t="s">
        <v>29173</v>
      </c>
      <c r="H4331" t="s">
        <v>1466</v>
      </c>
      <c r="I4331" t="s">
        <v>19</v>
      </c>
      <c r="J4331" s="3" t="s">
        <v>29174</v>
      </c>
      <c r="K4331" t="s">
        <v>29175</v>
      </c>
      <c r="L4331" t="s">
        <v>1469</v>
      </c>
      <c r="M4331" t="s">
        <v>129</v>
      </c>
    </row>
    <row r="4332" spans="1:13" x14ac:dyDescent="0.25">
      <c r="A4332" t="s">
        <v>21030</v>
      </c>
      <c r="B4332" t="s">
        <v>13</v>
      </c>
      <c r="C4332" t="s">
        <v>21028</v>
      </c>
      <c r="D4332" t="s">
        <v>21031</v>
      </c>
      <c r="E4332" t="s">
        <v>21032</v>
      </c>
      <c r="F4332" t="s">
        <v>8193</v>
      </c>
      <c r="G4332" t="s">
        <v>14950</v>
      </c>
      <c r="H4332" t="s">
        <v>540</v>
      </c>
      <c r="I4332" t="s">
        <v>19</v>
      </c>
      <c r="J4332" s="3">
        <f>55-91-31311708</f>
        <v>-31311744</v>
      </c>
      <c r="K4332" t="s">
        <v>14951</v>
      </c>
      <c r="L4332" t="s">
        <v>8251</v>
      </c>
      <c r="M4332" t="s">
        <v>129</v>
      </c>
    </row>
    <row r="4333" spans="1:13" x14ac:dyDescent="0.25">
      <c r="A4333" t="s">
        <v>21592</v>
      </c>
      <c r="B4333" t="s">
        <v>13</v>
      </c>
      <c r="C4333" s="1">
        <v>43348</v>
      </c>
      <c r="D4333" t="s">
        <v>21593</v>
      </c>
      <c r="E4333" t="s">
        <v>21594</v>
      </c>
      <c r="F4333" t="s">
        <v>741</v>
      </c>
      <c r="G4333" t="s">
        <v>2684</v>
      </c>
      <c r="H4333" t="s">
        <v>299</v>
      </c>
      <c r="I4333" t="s">
        <v>19</v>
      </c>
      <c r="J4333" s="3">
        <f>55-11-984549749</f>
        <v>-984549705</v>
      </c>
      <c r="K4333" t="s">
        <v>21595</v>
      </c>
      <c r="L4333" t="s">
        <v>21596</v>
      </c>
      <c r="M4333" t="s">
        <v>741</v>
      </c>
    </row>
    <row r="4334" spans="1:13" x14ac:dyDescent="0.25">
      <c r="A4334" t="s">
        <v>30367</v>
      </c>
      <c r="B4334" t="s">
        <v>13</v>
      </c>
      <c r="C4334" t="s">
        <v>16024</v>
      </c>
      <c r="D4334" t="s">
        <v>30368</v>
      </c>
      <c r="E4334" t="s">
        <v>30369</v>
      </c>
      <c r="F4334" t="s">
        <v>57</v>
      </c>
      <c r="G4334" t="s">
        <v>30062</v>
      </c>
      <c r="H4334" t="s">
        <v>409</v>
      </c>
      <c r="I4334" t="s">
        <v>19</v>
      </c>
      <c r="J4334" s="3">
        <v>33218610</v>
      </c>
      <c r="K4334" t="s">
        <v>30063</v>
      </c>
      <c r="L4334" t="s">
        <v>1823</v>
      </c>
      <c r="M4334" t="s">
        <v>57</v>
      </c>
    </row>
    <row r="4335" spans="1:13" x14ac:dyDescent="0.25">
      <c r="A4335" t="s">
        <v>22096</v>
      </c>
      <c r="B4335" t="s">
        <v>13</v>
      </c>
      <c r="C4335" s="1">
        <v>43134</v>
      </c>
      <c r="D4335" t="s">
        <v>22097</v>
      </c>
      <c r="E4335" s="2" t="s">
        <v>31305</v>
      </c>
      <c r="F4335" t="s">
        <v>2036</v>
      </c>
      <c r="G4335" t="s">
        <v>22098</v>
      </c>
      <c r="H4335" t="s">
        <v>22099</v>
      </c>
      <c r="I4335" t="s">
        <v>19</v>
      </c>
      <c r="J4335" s="3" t="s">
        <v>22100</v>
      </c>
      <c r="K4335" t="s">
        <v>22101</v>
      </c>
      <c r="L4335" t="s">
        <v>22102</v>
      </c>
      <c r="M4335" t="s">
        <v>57</v>
      </c>
    </row>
    <row r="4336" spans="1:13" x14ac:dyDescent="0.25">
      <c r="A4336" t="s">
        <v>17801</v>
      </c>
      <c r="B4336" t="s">
        <v>101</v>
      </c>
      <c r="C4336" t="s">
        <v>10042</v>
      </c>
      <c r="D4336">
        <v>111112271451</v>
      </c>
      <c r="E4336" t="s">
        <v>17802</v>
      </c>
      <c r="F4336" t="s">
        <v>6308</v>
      </c>
      <c r="G4336" t="s">
        <v>17803</v>
      </c>
      <c r="H4336" t="s">
        <v>1802</v>
      </c>
      <c r="I4336" t="s">
        <v>19</v>
      </c>
      <c r="J4336" s="3">
        <f>55-1432358204</f>
        <v>-1432358149</v>
      </c>
      <c r="K4336" t="s">
        <v>17804</v>
      </c>
      <c r="L4336" t="s">
        <v>17805</v>
      </c>
      <c r="M4336" t="s">
        <v>792</v>
      </c>
    </row>
    <row r="4337" spans="1:13" x14ac:dyDescent="0.25">
      <c r="A4337" t="s">
        <v>11387</v>
      </c>
      <c r="B4337" t="s">
        <v>13</v>
      </c>
      <c r="C4337" t="s">
        <v>11383</v>
      </c>
      <c r="D4337" t="s">
        <v>11388</v>
      </c>
      <c r="E4337" t="s">
        <v>11389</v>
      </c>
      <c r="F4337" t="s">
        <v>6686</v>
      </c>
      <c r="G4337" t="s">
        <v>11390</v>
      </c>
      <c r="H4337" t="s">
        <v>88</v>
      </c>
      <c r="I4337" t="s">
        <v>19</v>
      </c>
      <c r="J4337" s="3">
        <f>55-84-999002305</f>
        <v>-999002334</v>
      </c>
      <c r="K4337" t="s">
        <v>11391</v>
      </c>
      <c r="L4337" t="s">
        <v>91</v>
      </c>
      <c r="M4337" t="s">
        <v>337</v>
      </c>
    </row>
    <row r="4338" spans="1:13" x14ac:dyDescent="0.25">
      <c r="A4338" t="s">
        <v>22499</v>
      </c>
      <c r="B4338" t="s">
        <v>13</v>
      </c>
      <c r="C4338" t="s">
        <v>20648</v>
      </c>
      <c r="D4338" t="s">
        <v>22500</v>
      </c>
      <c r="E4338" t="s">
        <v>22501</v>
      </c>
      <c r="F4338" t="s">
        <v>1464</v>
      </c>
      <c r="G4338" t="s">
        <v>22502</v>
      </c>
      <c r="H4338" t="s">
        <v>503</v>
      </c>
      <c r="I4338" t="s">
        <v>19</v>
      </c>
      <c r="J4338" s="3">
        <f>55-48-999250617</f>
        <v>-999250610</v>
      </c>
      <c r="K4338" t="s">
        <v>22503</v>
      </c>
      <c r="L4338" t="s">
        <v>412</v>
      </c>
      <c r="M4338" t="s">
        <v>57</v>
      </c>
    </row>
    <row r="4339" spans="1:13" x14ac:dyDescent="0.25">
      <c r="A4339" t="s">
        <v>9572</v>
      </c>
      <c r="B4339" t="s">
        <v>13</v>
      </c>
      <c r="C4339" t="s">
        <v>9573</v>
      </c>
      <c r="D4339" t="s">
        <v>9574</v>
      </c>
      <c r="E4339" t="s">
        <v>9575</v>
      </c>
      <c r="F4339" t="s">
        <v>4338</v>
      </c>
      <c r="G4339" t="s">
        <v>7392</v>
      </c>
      <c r="H4339" t="s">
        <v>1486</v>
      </c>
      <c r="I4339" t="s">
        <v>19</v>
      </c>
      <c r="J4339" s="3">
        <f>55-34-91944037</f>
        <v>-91944016</v>
      </c>
      <c r="K4339" t="s">
        <v>7393</v>
      </c>
      <c r="L4339" t="s">
        <v>1489</v>
      </c>
      <c r="M4339" t="s">
        <v>1432</v>
      </c>
    </row>
    <row r="4340" spans="1:13" x14ac:dyDescent="0.25">
      <c r="A4340" t="s">
        <v>24328</v>
      </c>
      <c r="B4340" t="s">
        <v>13</v>
      </c>
      <c r="C4340" s="1">
        <v>42891</v>
      </c>
      <c r="D4340" t="s">
        <v>24329</v>
      </c>
      <c r="E4340" t="s">
        <v>24330</v>
      </c>
      <c r="F4340" t="s">
        <v>1190</v>
      </c>
      <c r="G4340" t="s">
        <v>15122</v>
      </c>
      <c r="H4340" t="s">
        <v>195</v>
      </c>
      <c r="I4340" t="s">
        <v>19</v>
      </c>
      <c r="J4340" s="3" t="s">
        <v>24331</v>
      </c>
      <c r="K4340" t="s">
        <v>15124</v>
      </c>
      <c r="L4340" t="s">
        <v>15125</v>
      </c>
      <c r="M4340" t="s">
        <v>432</v>
      </c>
    </row>
    <row r="4341" spans="1:13" x14ac:dyDescent="0.25">
      <c r="A4341" t="s">
        <v>24553</v>
      </c>
      <c r="B4341" t="s">
        <v>13</v>
      </c>
      <c r="C4341" s="1">
        <v>42950</v>
      </c>
      <c r="D4341" t="s">
        <v>24554</v>
      </c>
      <c r="E4341" t="s">
        <v>24555</v>
      </c>
      <c r="F4341" t="s">
        <v>3084</v>
      </c>
      <c r="G4341" t="s">
        <v>3556</v>
      </c>
      <c r="H4341" t="s">
        <v>265</v>
      </c>
      <c r="I4341" t="s">
        <v>19</v>
      </c>
      <c r="J4341" s="3" t="s">
        <v>24556</v>
      </c>
      <c r="K4341" t="s">
        <v>24557</v>
      </c>
      <c r="L4341" t="s">
        <v>391</v>
      </c>
      <c r="M4341" t="s">
        <v>32144</v>
      </c>
    </row>
    <row r="4342" spans="1:13" x14ac:dyDescent="0.25">
      <c r="A4342" t="s">
        <v>25995</v>
      </c>
      <c r="B4342" t="s">
        <v>13</v>
      </c>
      <c r="C4342" t="s">
        <v>25992</v>
      </c>
      <c r="D4342" t="s">
        <v>25996</v>
      </c>
      <c r="E4342" t="s">
        <v>24555</v>
      </c>
      <c r="F4342" t="s">
        <v>1464</v>
      </c>
      <c r="G4342" t="s">
        <v>3556</v>
      </c>
      <c r="H4342" t="s">
        <v>265</v>
      </c>
      <c r="I4342" t="s">
        <v>19</v>
      </c>
      <c r="J4342" s="3" t="s">
        <v>25997</v>
      </c>
      <c r="K4342" t="s">
        <v>24557</v>
      </c>
      <c r="L4342" t="s">
        <v>2943</v>
      </c>
      <c r="M4342" t="s">
        <v>32144</v>
      </c>
    </row>
    <row r="4343" spans="1:13" x14ac:dyDescent="0.25">
      <c r="A4343" t="s">
        <v>2846</v>
      </c>
      <c r="B4343" t="s">
        <v>13</v>
      </c>
      <c r="C4343" t="s">
        <v>2839</v>
      </c>
      <c r="D4343" t="s">
        <v>2847</v>
      </c>
      <c r="E4343" t="s">
        <v>2848</v>
      </c>
      <c r="F4343" t="s">
        <v>2156</v>
      </c>
      <c r="G4343" t="s">
        <v>2849</v>
      </c>
      <c r="H4343" t="s">
        <v>255</v>
      </c>
      <c r="I4343" t="s">
        <v>2850</v>
      </c>
      <c r="J4343" s="3">
        <f>55-62-982863419</f>
        <v>-982863426</v>
      </c>
      <c r="K4343" t="s">
        <v>2851</v>
      </c>
      <c r="L4343" t="s">
        <v>2852</v>
      </c>
      <c r="M4343" t="s">
        <v>57</v>
      </c>
    </row>
    <row r="4344" spans="1:13" x14ac:dyDescent="0.25">
      <c r="A4344" t="s">
        <v>8530</v>
      </c>
      <c r="B4344" t="s">
        <v>13</v>
      </c>
      <c r="C4344" s="1">
        <v>44501</v>
      </c>
      <c r="D4344" t="s">
        <v>635</v>
      </c>
      <c r="E4344" t="s">
        <v>8531</v>
      </c>
      <c r="F4344" t="s">
        <v>997</v>
      </c>
      <c r="G4344" t="s">
        <v>8532</v>
      </c>
      <c r="H4344" t="s">
        <v>8533</v>
      </c>
      <c r="I4344" t="s">
        <v>19</v>
      </c>
      <c r="J4344" s="3" t="s">
        <v>8534</v>
      </c>
      <c r="K4344" t="s">
        <v>8535</v>
      </c>
      <c r="L4344" t="s">
        <v>32135</v>
      </c>
      <c r="M4344" t="s">
        <v>57</v>
      </c>
    </row>
    <row r="4345" spans="1:13" x14ac:dyDescent="0.25">
      <c r="A4345" t="s">
        <v>16487</v>
      </c>
      <c r="B4345" t="s">
        <v>13</v>
      </c>
      <c r="C4345" t="s">
        <v>16488</v>
      </c>
      <c r="D4345" t="s">
        <v>16489</v>
      </c>
      <c r="E4345" t="s">
        <v>16490</v>
      </c>
      <c r="F4345" t="s">
        <v>10034</v>
      </c>
      <c r="G4345" t="s">
        <v>16491</v>
      </c>
      <c r="H4345" t="s">
        <v>428</v>
      </c>
      <c r="I4345" t="s">
        <v>19</v>
      </c>
      <c r="J4345" s="3" t="s">
        <v>16492</v>
      </c>
      <c r="K4345" t="s">
        <v>16493</v>
      </c>
      <c r="L4345" t="s">
        <v>3299</v>
      </c>
      <c r="M4345" t="s">
        <v>741</v>
      </c>
    </row>
    <row r="4346" spans="1:13" x14ac:dyDescent="0.25">
      <c r="A4346" t="s">
        <v>23970</v>
      </c>
      <c r="B4346" t="s">
        <v>13</v>
      </c>
      <c r="C4346" t="s">
        <v>23963</v>
      </c>
      <c r="D4346" t="s">
        <v>23971</v>
      </c>
      <c r="E4346" t="s">
        <v>23972</v>
      </c>
      <c r="F4346" t="s">
        <v>1464</v>
      </c>
      <c r="G4346" t="s">
        <v>23973</v>
      </c>
      <c r="H4346" t="s">
        <v>1656</v>
      </c>
      <c r="I4346" t="s">
        <v>19</v>
      </c>
      <c r="J4346" s="3" t="s">
        <v>23974</v>
      </c>
      <c r="K4346" t="s">
        <v>23975</v>
      </c>
      <c r="L4346" t="s">
        <v>1658</v>
      </c>
      <c r="M4346" t="s">
        <v>337</v>
      </c>
    </row>
    <row r="4347" spans="1:13" x14ac:dyDescent="0.25">
      <c r="A4347" t="s">
        <v>20393</v>
      </c>
      <c r="B4347" t="s">
        <v>13</v>
      </c>
      <c r="C4347" t="s">
        <v>8242</v>
      </c>
      <c r="D4347" t="s">
        <v>20394</v>
      </c>
      <c r="E4347" t="s">
        <v>20395</v>
      </c>
      <c r="F4347" t="s">
        <v>117</v>
      </c>
      <c r="G4347" t="s">
        <v>20396</v>
      </c>
      <c r="H4347" t="s">
        <v>936</v>
      </c>
      <c r="I4347" t="s">
        <v>19</v>
      </c>
      <c r="J4347" s="3">
        <v>5571988121302</v>
      </c>
      <c r="K4347" t="s">
        <v>20397</v>
      </c>
      <c r="L4347" t="s">
        <v>9443</v>
      </c>
      <c r="M4347" t="s">
        <v>32145</v>
      </c>
    </row>
    <row r="4348" spans="1:13" x14ac:dyDescent="0.25">
      <c r="A4348" t="s">
        <v>7579</v>
      </c>
      <c r="B4348" t="s">
        <v>13</v>
      </c>
      <c r="C4348" t="s">
        <v>6097</v>
      </c>
      <c r="D4348" t="s">
        <v>32135</v>
      </c>
      <c r="E4348" t="s">
        <v>7580</v>
      </c>
      <c r="F4348" t="s">
        <v>7581</v>
      </c>
      <c r="G4348" t="s">
        <v>7582</v>
      </c>
      <c r="H4348" t="s">
        <v>2678</v>
      </c>
      <c r="I4348" t="s">
        <v>19</v>
      </c>
      <c r="J4348" s="3" t="s">
        <v>7583</v>
      </c>
      <c r="K4348" t="s">
        <v>7584</v>
      </c>
      <c r="L4348" t="s">
        <v>32135</v>
      </c>
      <c r="M4348" t="s">
        <v>337</v>
      </c>
    </row>
    <row r="4349" spans="1:13" x14ac:dyDescent="0.25">
      <c r="A4349" t="s">
        <v>19427</v>
      </c>
      <c r="B4349" t="s">
        <v>13</v>
      </c>
      <c r="C4349" t="s">
        <v>19413</v>
      </c>
      <c r="D4349" t="s">
        <v>19428</v>
      </c>
      <c r="E4349" t="s">
        <v>19429</v>
      </c>
      <c r="F4349" t="s">
        <v>1464</v>
      </c>
      <c r="G4349" t="s">
        <v>19430</v>
      </c>
      <c r="H4349" t="s">
        <v>36</v>
      </c>
      <c r="I4349" t="s">
        <v>19</v>
      </c>
      <c r="J4349" s="3" t="s">
        <v>19431</v>
      </c>
      <c r="K4349" t="s">
        <v>19432</v>
      </c>
      <c r="L4349" t="s">
        <v>3512</v>
      </c>
      <c r="M4349" t="s">
        <v>337</v>
      </c>
    </row>
    <row r="4350" spans="1:13" x14ac:dyDescent="0.25">
      <c r="A4350" t="s">
        <v>15257</v>
      </c>
      <c r="B4350" t="s">
        <v>101</v>
      </c>
      <c r="C4350" t="s">
        <v>9910</v>
      </c>
      <c r="D4350" t="s">
        <v>15258</v>
      </c>
      <c r="E4350" s="2" t="s">
        <v>31122</v>
      </c>
      <c r="F4350" t="s">
        <v>1464</v>
      </c>
      <c r="G4350" t="s">
        <v>15260</v>
      </c>
      <c r="H4350" t="s">
        <v>179</v>
      </c>
      <c r="I4350" t="s">
        <v>19</v>
      </c>
      <c r="J4350" s="3">
        <f>55222528-7168</f>
        <v>55215360</v>
      </c>
      <c r="K4350" t="s">
        <v>15261</v>
      </c>
      <c r="L4350" t="s">
        <v>15262</v>
      </c>
      <c r="M4350" t="s">
        <v>337</v>
      </c>
    </row>
    <row r="4351" spans="1:13" x14ac:dyDescent="0.25">
      <c r="A4351" t="s">
        <v>802</v>
      </c>
      <c r="B4351" t="s">
        <v>13</v>
      </c>
      <c r="C4351" t="s">
        <v>803</v>
      </c>
      <c r="D4351" t="s">
        <v>804</v>
      </c>
      <c r="E4351" t="s">
        <v>30689</v>
      </c>
      <c r="F4351" t="s">
        <v>805</v>
      </c>
      <c r="G4351" t="s">
        <v>806</v>
      </c>
      <c r="H4351" t="s">
        <v>489</v>
      </c>
      <c r="I4351" t="s">
        <v>19</v>
      </c>
      <c r="J4351" s="3" t="s">
        <v>807</v>
      </c>
      <c r="K4351" t="s">
        <v>808</v>
      </c>
      <c r="L4351" t="s">
        <v>809</v>
      </c>
      <c r="M4351" t="s">
        <v>337</v>
      </c>
    </row>
    <row r="4352" spans="1:13" x14ac:dyDescent="0.25">
      <c r="A4352" t="s">
        <v>16973</v>
      </c>
      <c r="B4352" t="s">
        <v>101</v>
      </c>
      <c r="C4352" t="s">
        <v>16959</v>
      </c>
      <c r="D4352" t="s">
        <v>16974</v>
      </c>
      <c r="E4352" s="2" t="s">
        <v>31165</v>
      </c>
      <c r="F4352" t="s">
        <v>1464</v>
      </c>
      <c r="G4352" t="s">
        <v>16975</v>
      </c>
      <c r="H4352" t="s">
        <v>8003</v>
      </c>
      <c r="I4352" t="s">
        <v>19</v>
      </c>
      <c r="J4352" s="3" t="s">
        <v>16492</v>
      </c>
      <c r="K4352" t="s">
        <v>16976</v>
      </c>
      <c r="L4352" t="s">
        <v>3299</v>
      </c>
      <c r="M4352" t="s">
        <v>337</v>
      </c>
    </row>
    <row r="4353" spans="1:13" x14ac:dyDescent="0.25">
      <c r="A4353" t="s">
        <v>6502</v>
      </c>
      <c r="B4353" t="s">
        <v>13</v>
      </c>
      <c r="C4353" s="1">
        <v>44417</v>
      </c>
      <c r="D4353" t="s">
        <v>32135</v>
      </c>
      <c r="E4353" t="s">
        <v>6503</v>
      </c>
      <c r="F4353" t="s">
        <v>6504</v>
      </c>
      <c r="G4353" t="s">
        <v>6505</v>
      </c>
      <c r="H4353" t="s">
        <v>6506</v>
      </c>
      <c r="I4353" t="s">
        <v>19</v>
      </c>
      <c r="J4353" s="3" t="s">
        <v>6507</v>
      </c>
      <c r="K4353" t="s">
        <v>6508</v>
      </c>
      <c r="L4353" t="s">
        <v>32135</v>
      </c>
      <c r="M4353" t="s">
        <v>337</v>
      </c>
    </row>
    <row r="4354" spans="1:13" x14ac:dyDescent="0.25">
      <c r="A4354" t="s">
        <v>6035</v>
      </c>
      <c r="B4354" t="s">
        <v>13</v>
      </c>
      <c r="C4354" s="1">
        <v>44479</v>
      </c>
      <c r="D4354" t="s">
        <v>32135</v>
      </c>
      <c r="E4354" s="2" t="s">
        <v>31430</v>
      </c>
      <c r="F4354" t="s">
        <v>1611</v>
      </c>
      <c r="G4354" t="s">
        <v>6036</v>
      </c>
      <c r="H4354" t="s">
        <v>18</v>
      </c>
      <c r="I4354" t="s">
        <v>19</v>
      </c>
      <c r="J4354" s="3" t="s">
        <v>6037</v>
      </c>
      <c r="K4354" t="s">
        <v>6038</v>
      </c>
      <c r="L4354" t="s">
        <v>32135</v>
      </c>
      <c r="M4354" t="s">
        <v>337</v>
      </c>
    </row>
    <row r="4355" spans="1:13" x14ac:dyDescent="0.25">
      <c r="A4355" t="s">
        <v>897</v>
      </c>
      <c r="B4355" t="s">
        <v>101</v>
      </c>
      <c r="C4355" t="s">
        <v>881</v>
      </c>
      <c r="D4355" t="s">
        <v>898</v>
      </c>
      <c r="E4355" t="s">
        <v>899</v>
      </c>
      <c r="F4355" t="s">
        <v>900</v>
      </c>
      <c r="G4355" t="s">
        <v>901</v>
      </c>
      <c r="H4355" t="s">
        <v>462</v>
      </c>
      <c r="I4355" t="s">
        <v>19</v>
      </c>
      <c r="J4355" s="3" t="s">
        <v>902</v>
      </c>
      <c r="K4355" t="s">
        <v>903</v>
      </c>
      <c r="L4355" t="s">
        <v>904</v>
      </c>
      <c r="M4355" t="s">
        <v>337</v>
      </c>
    </row>
    <row r="4356" spans="1:13" x14ac:dyDescent="0.25">
      <c r="A4356" t="s">
        <v>12274</v>
      </c>
      <c r="B4356" t="s">
        <v>13</v>
      </c>
      <c r="C4356" t="s">
        <v>12259</v>
      </c>
      <c r="D4356" t="s">
        <v>12275</v>
      </c>
      <c r="E4356" t="s">
        <v>899</v>
      </c>
      <c r="F4356" t="s">
        <v>1464</v>
      </c>
      <c r="G4356" t="s">
        <v>8884</v>
      </c>
      <c r="H4356" t="s">
        <v>88</v>
      </c>
      <c r="I4356" t="s">
        <v>19</v>
      </c>
      <c r="J4356" s="3">
        <v>8432154100</v>
      </c>
      <c r="K4356" t="s">
        <v>12276</v>
      </c>
      <c r="L4356" t="s">
        <v>91</v>
      </c>
      <c r="M4356" t="s">
        <v>337</v>
      </c>
    </row>
    <row r="4357" spans="1:13" x14ac:dyDescent="0.25">
      <c r="A4357" t="s">
        <v>21438</v>
      </c>
      <c r="B4357" t="s">
        <v>13</v>
      </c>
      <c r="C4357" t="s">
        <v>21416</v>
      </c>
      <c r="D4357" t="s">
        <v>21439</v>
      </c>
      <c r="E4357" s="2" t="s">
        <v>31763</v>
      </c>
      <c r="F4357" t="s">
        <v>1464</v>
      </c>
      <c r="G4357" t="s">
        <v>21440</v>
      </c>
      <c r="H4357" t="s">
        <v>21441</v>
      </c>
      <c r="I4357" t="s">
        <v>19</v>
      </c>
      <c r="J4357" s="3">
        <f>55-48-999884271</f>
        <v>-999884264</v>
      </c>
      <c r="K4357" t="s">
        <v>21442</v>
      </c>
      <c r="L4357" t="s">
        <v>1030</v>
      </c>
      <c r="M4357" t="s">
        <v>337</v>
      </c>
    </row>
    <row r="4358" spans="1:13" x14ac:dyDescent="0.25">
      <c r="A4358" t="s">
        <v>15462</v>
      </c>
      <c r="B4358" t="s">
        <v>13</v>
      </c>
      <c r="C4358" t="s">
        <v>10689</v>
      </c>
      <c r="D4358" t="s">
        <v>15463</v>
      </c>
      <c r="E4358" t="s">
        <v>15464</v>
      </c>
      <c r="F4358" t="s">
        <v>6656</v>
      </c>
      <c r="G4358" t="s">
        <v>15465</v>
      </c>
      <c r="H4358" t="s">
        <v>45</v>
      </c>
      <c r="I4358" t="s">
        <v>19</v>
      </c>
      <c r="J4358" s="3" t="s">
        <v>15466</v>
      </c>
      <c r="K4358" t="s">
        <v>15467</v>
      </c>
      <c r="L4358" t="s">
        <v>48</v>
      </c>
      <c r="M4358" t="s">
        <v>741</v>
      </c>
    </row>
    <row r="4359" spans="1:13" x14ac:dyDescent="0.25">
      <c r="A4359" t="s">
        <v>28515</v>
      </c>
      <c r="B4359" t="s">
        <v>13</v>
      </c>
      <c r="C4359" t="s">
        <v>28503</v>
      </c>
      <c r="D4359" t="s">
        <v>28516</v>
      </c>
      <c r="E4359" t="s">
        <v>32582</v>
      </c>
      <c r="F4359" t="s">
        <v>1464</v>
      </c>
      <c r="G4359" t="s">
        <v>28517</v>
      </c>
      <c r="H4359" t="s">
        <v>36</v>
      </c>
      <c r="I4359" t="s">
        <v>19</v>
      </c>
      <c r="J4359" s="3" t="s">
        <v>28518</v>
      </c>
      <c r="K4359" t="s">
        <v>28519</v>
      </c>
      <c r="L4359" t="s">
        <v>321</v>
      </c>
      <c r="M4359" t="s">
        <v>32121</v>
      </c>
    </row>
    <row r="4360" spans="1:13" x14ac:dyDescent="0.25">
      <c r="A4360" t="s">
        <v>12718</v>
      </c>
      <c r="B4360" t="s">
        <v>13</v>
      </c>
      <c r="C4360" t="s">
        <v>12286</v>
      </c>
      <c r="D4360" t="s">
        <v>12719</v>
      </c>
      <c r="E4360" s="2" t="s">
        <v>32583</v>
      </c>
      <c r="F4360" t="s">
        <v>8193</v>
      </c>
      <c r="G4360" t="s">
        <v>12720</v>
      </c>
      <c r="H4360" t="s">
        <v>195</v>
      </c>
      <c r="I4360" t="s">
        <v>19</v>
      </c>
      <c r="J4360" s="3" t="s">
        <v>12721</v>
      </c>
      <c r="K4360" t="s">
        <v>12722</v>
      </c>
      <c r="L4360" t="s">
        <v>10524</v>
      </c>
      <c r="M4360" t="s">
        <v>129</v>
      </c>
    </row>
    <row r="4361" spans="1:13" x14ac:dyDescent="0.25">
      <c r="A4361" t="s">
        <v>18733</v>
      </c>
      <c r="B4361" t="s">
        <v>13</v>
      </c>
      <c r="C4361" t="s">
        <v>8504</v>
      </c>
      <c r="D4361" t="s">
        <v>18734</v>
      </c>
      <c r="E4361" t="s">
        <v>606</v>
      </c>
      <c r="F4361" t="s">
        <v>1464</v>
      </c>
      <c r="G4361" t="s">
        <v>18735</v>
      </c>
      <c r="H4361" t="s">
        <v>141</v>
      </c>
      <c r="I4361" t="s">
        <v>19</v>
      </c>
      <c r="J4361" s="3" t="s">
        <v>18736</v>
      </c>
      <c r="K4361" t="s">
        <v>18737</v>
      </c>
      <c r="L4361" t="s">
        <v>13739</v>
      </c>
      <c r="M4361" t="s">
        <v>337</v>
      </c>
    </row>
    <row r="4362" spans="1:13" x14ac:dyDescent="0.25">
      <c r="A4362" t="s">
        <v>7585</v>
      </c>
      <c r="B4362" t="s">
        <v>101</v>
      </c>
      <c r="C4362" t="s">
        <v>6097</v>
      </c>
      <c r="D4362" t="s">
        <v>7586</v>
      </c>
      <c r="E4362" t="s">
        <v>479</v>
      </c>
      <c r="F4362" t="s">
        <v>332</v>
      </c>
      <c r="G4362" t="s">
        <v>7587</v>
      </c>
      <c r="H4362" t="s">
        <v>18</v>
      </c>
      <c r="I4362" t="s">
        <v>19</v>
      </c>
      <c r="J4362" s="3" t="s">
        <v>7588</v>
      </c>
      <c r="K4362" t="s">
        <v>7589</v>
      </c>
      <c r="L4362" t="s">
        <v>4218</v>
      </c>
      <c r="M4362" t="s">
        <v>337</v>
      </c>
    </row>
    <row r="4363" spans="1:13" x14ac:dyDescent="0.25">
      <c r="A4363" t="s">
        <v>21059</v>
      </c>
      <c r="B4363" t="s">
        <v>101</v>
      </c>
      <c r="C4363" t="s">
        <v>16610</v>
      </c>
      <c r="D4363" t="s">
        <v>21060</v>
      </c>
      <c r="E4363" t="s">
        <v>21061</v>
      </c>
      <c r="F4363" t="s">
        <v>1464</v>
      </c>
      <c r="G4363" t="s">
        <v>21062</v>
      </c>
      <c r="H4363" t="s">
        <v>706</v>
      </c>
      <c r="I4363" t="s">
        <v>19</v>
      </c>
      <c r="J4363" s="3">
        <f>550313409-2470</f>
        <v>550310939</v>
      </c>
      <c r="K4363" t="s">
        <v>21063</v>
      </c>
      <c r="L4363" t="s">
        <v>565</v>
      </c>
      <c r="M4363" t="s">
        <v>337</v>
      </c>
    </row>
    <row r="4364" spans="1:13" x14ac:dyDescent="0.25">
      <c r="A4364" t="s">
        <v>13354</v>
      </c>
      <c r="B4364" t="s">
        <v>13</v>
      </c>
      <c r="C4364" t="s">
        <v>13349</v>
      </c>
      <c r="D4364" t="s">
        <v>13355</v>
      </c>
      <c r="E4364" t="s">
        <v>32584</v>
      </c>
      <c r="F4364" t="s">
        <v>2947</v>
      </c>
      <c r="G4364" t="s">
        <v>13356</v>
      </c>
      <c r="H4364" t="s">
        <v>36</v>
      </c>
      <c r="I4364" t="s">
        <v>19</v>
      </c>
      <c r="J4364" s="3">
        <v>5511988559397</v>
      </c>
      <c r="K4364" t="s">
        <v>13357</v>
      </c>
      <c r="L4364" t="s">
        <v>13358</v>
      </c>
      <c r="M4364" t="s">
        <v>771</v>
      </c>
    </row>
    <row r="4365" spans="1:13" x14ac:dyDescent="0.25">
      <c r="A4365" t="s">
        <v>13012</v>
      </c>
      <c r="B4365" t="s">
        <v>13</v>
      </c>
      <c r="C4365" s="1">
        <v>44107</v>
      </c>
      <c r="D4365" t="s">
        <v>13013</v>
      </c>
      <c r="E4365" t="s">
        <v>13014</v>
      </c>
      <c r="F4365" t="s">
        <v>1464</v>
      </c>
      <c r="G4365" t="s">
        <v>13015</v>
      </c>
      <c r="H4365" t="s">
        <v>265</v>
      </c>
      <c r="I4365" t="s">
        <v>19</v>
      </c>
      <c r="J4365" s="3" t="s">
        <v>13016</v>
      </c>
      <c r="K4365" t="s">
        <v>13017</v>
      </c>
      <c r="L4365" t="s">
        <v>13018</v>
      </c>
      <c r="M4365" t="s">
        <v>337</v>
      </c>
    </row>
    <row r="4366" spans="1:13" x14ac:dyDescent="0.25">
      <c r="A4366" t="s">
        <v>2886</v>
      </c>
      <c r="B4366" t="s">
        <v>13</v>
      </c>
      <c r="C4366" t="s">
        <v>2871</v>
      </c>
      <c r="D4366" t="s">
        <v>2887</v>
      </c>
      <c r="E4366" t="s">
        <v>2888</v>
      </c>
      <c r="F4366" t="s">
        <v>2889</v>
      </c>
      <c r="G4366" t="s">
        <v>2890</v>
      </c>
      <c r="H4366" t="s">
        <v>105</v>
      </c>
      <c r="I4366" t="s">
        <v>19</v>
      </c>
      <c r="J4366" s="3">
        <f>55-21-986216115</f>
        <v>-986216081</v>
      </c>
      <c r="K4366" t="s">
        <v>2891</v>
      </c>
      <c r="L4366" t="s">
        <v>550</v>
      </c>
      <c r="M4366" t="s">
        <v>337</v>
      </c>
    </row>
    <row r="4367" spans="1:13" x14ac:dyDescent="0.25">
      <c r="A4367" t="s">
        <v>17118</v>
      </c>
      <c r="B4367" t="s">
        <v>13</v>
      </c>
      <c r="C4367" s="1">
        <v>43775</v>
      </c>
      <c r="D4367" t="s">
        <v>17119</v>
      </c>
      <c r="E4367" s="2" t="s">
        <v>32585</v>
      </c>
      <c r="F4367" t="s">
        <v>1464</v>
      </c>
      <c r="G4367" t="s">
        <v>17120</v>
      </c>
      <c r="H4367" t="s">
        <v>3416</v>
      </c>
      <c r="I4367" t="s">
        <v>19</v>
      </c>
      <c r="J4367" s="3" t="s">
        <v>17121</v>
      </c>
      <c r="K4367" t="s">
        <v>17122</v>
      </c>
      <c r="L4367" t="s">
        <v>17123</v>
      </c>
      <c r="M4367" t="s">
        <v>337</v>
      </c>
    </row>
    <row r="4368" spans="1:13" x14ac:dyDescent="0.25">
      <c r="A4368" t="s">
        <v>13325</v>
      </c>
      <c r="B4368" t="s">
        <v>13</v>
      </c>
      <c r="C4368" t="s">
        <v>5232</v>
      </c>
      <c r="D4368" t="s">
        <v>13326</v>
      </c>
      <c r="E4368" s="2" t="s">
        <v>31069</v>
      </c>
      <c r="F4368" t="s">
        <v>1464</v>
      </c>
      <c r="G4368" t="s">
        <v>13327</v>
      </c>
      <c r="H4368" t="s">
        <v>88</v>
      </c>
      <c r="I4368" t="s">
        <v>19</v>
      </c>
      <c r="J4368" s="3" t="s">
        <v>13328</v>
      </c>
      <c r="K4368" t="s">
        <v>13329</v>
      </c>
      <c r="L4368" t="s">
        <v>13330</v>
      </c>
      <c r="M4368" t="s">
        <v>337</v>
      </c>
    </row>
    <row r="4369" spans="1:13" x14ac:dyDescent="0.25">
      <c r="A4369" t="s">
        <v>18198</v>
      </c>
      <c r="B4369" t="s">
        <v>13</v>
      </c>
      <c r="C4369" t="s">
        <v>18199</v>
      </c>
      <c r="D4369" t="s">
        <v>18200</v>
      </c>
      <c r="E4369" t="s">
        <v>18201</v>
      </c>
      <c r="F4369" t="s">
        <v>1464</v>
      </c>
      <c r="G4369" t="s">
        <v>13015</v>
      </c>
      <c r="H4369" t="s">
        <v>265</v>
      </c>
      <c r="I4369" t="s">
        <v>19</v>
      </c>
      <c r="J4369" s="3" t="s">
        <v>13016</v>
      </c>
      <c r="K4369" t="s">
        <v>13017</v>
      </c>
      <c r="L4369" t="s">
        <v>13018</v>
      </c>
      <c r="M4369" t="s">
        <v>337</v>
      </c>
    </row>
    <row r="4370" spans="1:13" x14ac:dyDescent="0.25">
      <c r="A4370" t="s">
        <v>13067</v>
      </c>
      <c r="B4370" t="s">
        <v>13</v>
      </c>
      <c r="C4370" s="1">
        <v>44107</v>
      </c>
      <c r="D4370" t="s">
        <v>13068</v>
      </c>
      <c r="E4370" t="s">
        <v>1396</v>
      </c>
      <c r="F4370" t="s">
        <v>741</v>
      </c>
      <c r="G4370" t="s">
        <v>13069</v>
      </c>
      <c r="H4370" t="s">
        <v>36</v>
      </c>
      <c r="I4370" t="s">
        <v>19</v>
      </c>
      <c r="J4370" s="3" t="s">
        <v>13070</v>
      </c>
      <c r="K4370" t="s">
        <v>4707</v>
      </c>
      <c r="L4370" t="s">
        <v>1774</v>
      </c>
      <c r="M4370" t="s">
        <v>337</v>
      </c>
    </row>
    <row r="4371" spans="1:13" x14ac:dyDescent="0.25">
      <c r="A4371" t="s">
        <v>14710</v>
      </c>
      <c r="B4371" t="s">
        <v>101</v>
      </c>
      <c r="C4371" s="1">
        <v>43597</v>
      </c>
      <c r="D4371" t="s">
        <v>14711</v>
      </c>
      <c r="E4371" t="s">
        <v>2242</v>
      </c>
      <c r="F4371" t="s">
        <v>1464</v>
      </c>
      <c r="G4371" t="s">
        <v>14712</v>
      </c>
      <c r="H4371" t="s">
        <v>255</v>
      </c>
      <c r="I4371" t="s">
        <v>19</v>
      </c>
      <c r="J4371" s="3" t="s">
        <v>14713</v>
      </c>
      <c r="K4371" t="s">
        <v>775</v>
      </c>
      <c r="L4371" t="s">
        <v>14714</v>
      </c>
      <c r="M4371" t="s">
        <v>337</v>
      </c>
    </row>
    <row r="4372" spans="1:13" x14ac:dyDescent="0.25">
      <c r="A4372" t="s">
        <v>4461</v>
      </c>
      <c r="B4372" t="s">
        <v>13</v>
      </c>
      <c r="C4372" s="1">
        <v>44654</v>
      </c>
      <c r="D4372" t="s">
        <v>4462</v>
      </c>
      <c r="E4372" t="s">
        <v>2242</v>
      </c>
      <c r="F4372" t="s">
        <v>605</v>
      </c>
      <c r="G4372" t="s">
        <v>4463</v>
      </c>
      <c r="H4372" t="s">
        <v>265</v>
      </c>
      <c r="I4372" t="s">
        <v>19</v>
      </c>
      <c r="J4372" s="3" t="s">
        <v>4464</v>
      </c>
      <c r="K4372" t="s">
        <v>4465</v>
      </c>
      <c r="L4372" t="s">
        <v>321</v>
      </c>
      <c r="M4372" t="s">
        <v>337</v>
      </c>
    </row>
    <row r="4373" spans="1:13" x14ac:dyDescent="0.25">
      <c r="A4373" t="s">
        <v>12659</v>
      </c>
      <c r="B4373" t="s">
        <v>13</v>
      </c>
      <c r="C4373" t="s">
        <v>7461</v>
      </c>
      <c r="D4373" t="s">
        <v>12660</v>
      </c>
      <c r="E4373" s="2" t="s">
        <v>31376</v>
      </c>
      <c r="F4373" t="s">
        <v>1464</v>
      </c>
      <c r="G4373" t="s">
        <v>12661</v>
      </c>
      <c r="H4373" t="s">
        <v>714</v>
      </c>
      <c r="I4373" t="s">
        <v>19</v>
      </c>
      <c r="J4373" s="3">
        <v>551836363200</v>
      </c>
      <c r="K4373" t="s">
        <v>12662</v>
      </c>
      <c r="L4373" t="s">
        <v>12663</v>
      </c>
      <c r="M4373" t="s">
        <v>337</v>
      </c>
    </row>
    <row r="4374" spans="1:13" x14ac:dyDescent="0.25">
      <c r="A4374" t="s">
        <v>13593</v>
      </c>
      <c r="B4374" t="s">
        <v>13</v>
      </c>
      <c r="C4374" s="1">
        <v>44167</v>
      </c>
      <c r="D4374" t="s">
        <v>13594</v>
      </c>
      <c r="E4374" s="2" t="s">
        <v>31378</v>
      </c>
      <c r="F4374" t="s">
        <v>332</v>
      </c>
      <c r="G4374" t="s">
        <v>13595</v>
      </c>
      <c r="H4374" t="s">
        <v>714</v>
      </c>
      <c r="I4374" t="s">
        <v>19</v>
      </c>
      <c r="J4374" s="3">
        <v>551836363200</v>
      </c>
      <c r="K4374" t="s">
        <v>12662</v>
      </c>
      <c r="L4374" t="s">
        <v>12663</v>
      </c>
      <c r="M4374" t="s">
        <v>337</v>
      </c>
    </row>
    <row r="4375" spans="1:13" x14ac:dyDescent="0.25">
      <c r="A4375" t="s">
        <v>13239</v>
      </c>
      <c r="B4375" t="s">
        <v>13</v>
      </c>
      <c r="C4375" s="1">
        <v>43893</v>
      </c>
      <c r="D4375" t="s">
        <v>13240</v>
      </c>
      <c r="E4375" t="s">
        <v>13241</v>
      </c>
      <c r="F4375" t="s">
        <v>10034</v>
      </c>
      <c r="G4375" t="s">
        <v>13242</v>
      </c>
      <c r="H4375" t="s">
        <v>36</v>
      </c>
      <c r="I4375" t="s">
        <v>19</v>
      </c>
      <c r="J4375" s="3" t="s">
        <v>13243</v>
      </c>
      <c r="K4375" t="s">
        <v>13244</v>
      </c>
      <c r="L4375" t="s">
        <v>1774</v>
      </c>
      <c r="M4375" t="s">
        <v>337</v>
      </c>
    </row>
    <row r="4376" spans="1:13" x14ac:dyDescent="0.25">
      <c r="A4376" t="s">
        <v>4514</v>
      </c>
      <c r="B4376" t="s">
        <v>13</v>
      </c>
      <c r="C4376" s="1">
        <v>44595</v>
      </c>
      <c r="D4376" t="s">
        <v>4515</v>
      </c>
      <c r="E4376" t="s">
        <v>4516</v>
      </c>
      <c r="F4376" t="s">
        <v>4517</v>
      </c>
      <c r="G4376" t="s">
        <v>4518</v>
      </c>
      <c r="H4376" t="s">
        <v>615</v>
      </c>
      <c r="I4376" t="s">
        <v>19</v>
      </c>
      <c r="J4376" s="3" t="s">
        <v>4519</v>
      </c>
      <c r="K4376" t="s">
        <v>4520</v>
      </c>
      <c r="L4376" t="s">
        <v>4521</v>
      </c>
      <c r="M4376" t="s">
        <v>337</v>
      </c>
    </row>
    <row r="4377" spans="1:13" x14ac:dyDescent="0.25">
      <c r="A4377" t="s">
        <v>25571</v>
      </c>
      <c r="B4377" t="s">
        <v>13</v>
      </c>
      <c r="C4377" s="1">
        <v>42591</v>
      </c>
      <c r="D4377" t="s">
        <v>25572</v>
      </c>
      <c r="E4377" t="s">
        <v>25573</v>
      </c>
      <c r="F4377" t="s">
        <v>332</v>
      </c>
      <c r="G4377" t="s">
        <v>25574</v>
      </c>
      <c r="H4377" t="s">
        <v>1656</v>
      </c>
      <c r="I4377" t="s">
        <v>19</v>
      </c>
      <c r="J4377" s="3">
        <v>555599915409</v>
      </c>
      <c r="K4377" t="s">
        <v>25575</v>
      </c>
      <c r="L4377" t="s">
        <v>1658</v>
      </c>
      <c r="M4377" t="s">
        <v>337</v>
      </c>
    </row>
    <row r="4378" spans="1:13" x14ac:dyDescent="0.25">
      <c r="A4378" t="s">
        <v>4323</v>
      </c>
      <c r="B4378" t="s">
        <v>13</v>
      </c>
      <c r="C4378" t="s">
        <v>4312</v>
      </c>
      <c r="D4378" t="s">
        <v>4324</v>
      </c>
      <c r="E4378" s="2" t="s">
        <v>30805</v>
      </c>
      <c r="F4378" t="s">
        <v>4325</v>
      </c>
      <c r="G4378" t="s">
        <v>4326</v>
      </c>
      <c r="H4378" t="s">
        <v>2678</v>
      </c>
      <c r="I4378" t="s">
        <v>19</v>
      </c>
      <c r="J4378" s="3" t="s">
        <v>4327</v>
      </c>
      <c r="K4378" t="s">
        <v>4328</v>
      </c>
      <c r="L4378" t="s">
        <v>2677</v>
      </c>
      <c r="M4378" t="s">
        <v>337</v>
      </c>
    </row>
    <row r="4379" spans="1:13" x14ac:dyDescent="0.25">
      <c r="A4379" t="s">
        <v>2046</v>
      </c>
      <c r="B4379" t="s">
        <v>101</v>
      </c>
      <c r="C4379" t="s">
        <v>2038</v>
      </c>
      <c r="D4379" t="s">
        <v>2047</v>
      </c>
      <c r="E4379" t="s">
        <v>605</v>
      </c>
      <c r="F4379" t="s">
        <v>2048</v>
      </c>
      <c r="G4379" t="s">
        <v>2049</v>
      </c>
      <c r="H4379" t="s">
        <v>372</v>
      </c>
      <c r="I4379" t="s">
        <v>19</v>
      </c>
      <c r="J4379" s="3" t="s">
        <v>2050</v>
      </c>
      <c r="K4379" t="s">
        <v>2051</v>
      </c>
      <c r="L4379" t="s">
        <v>2052</v>
      </c>
      <c r="M4379" t="s">
        <v>337</v>
      </c>
    </row>
    <row r="4380" spans="1:13" x14ac:dyDescent="0.25">
      <c r="A4380" t="s">
        <v>2326</v>
      </c>
      <c r="B4380" t="s">
        <v>13</v>
      </c>
      <c r="C4380" t="s">
        <v>2327</v>
      </c>
      <c r="D4380" t="s">
        <v>2328</v>
      </c>
      <c r="E4380" t="s">
        <v>605</v>
      </c>
      <c r="F4380" t="s">
        <v>2242</v>
      </c>
      <c r="G4380" t="s">
        <v>2329</v>
      </c>
      <c r="H4380" t="s">
        <v>706</v>
      </c>
      <c r="I4380" t="s">
        <v>19</v>
      </c>
      <c r="J4380" s="3">
        <f>55-31-34092427</f>
        <v>-34092403</v>
      </c>
      <c r="K4380" t="s">
        <v>2330</v>
      </c>
      <c r="L4380" t="s">
        <v>2331</v>
      </c>
      <c r="M4380" t="s">
        <v>337</v>
      </c>
    </row>
    <row r="4381" spans="1:13" x14ac:dyDescent="0.25">
      <c r="A4381" t="s">
        <v>5304</v>
      </c>
      <c r="B4381" t="s">
        <v>13</v>
      </c>
      <c r="C4381" t="s">
        <v>5305</v>
      </c>
      <c r="D4381" t="s">
        <v>5306</v>
      </c>
      <c r="E4381" t="s">
        <v>605</v>
      </c>
      <c r="F4381" t="s">
        <v>332</v>
      </c>
      <c r="G4381" t="s">
        <v>5307</v>
      </c>
      <c r="H4381" t="s">
        <v>489</v>
      </c>
      <c r="I4381" t="s">
        <v>19</v>
      </c>
      <c r="J4381" s="3" t="s">
        <v>5308</v>
      </c>
      <c r="K4381" t="s">
        <v>5309</v>
      </c>
      <c r="L4381" t="s">
        <v>625</v>
      </c>
      <c r="M4381" t="s">
        <v>337</v>
      </c>
    </row>
    <row r="4382" spans="1:13" x14ac:dyDescent="0.25">
      <c r="A4382" t="s">
        <v>9730</v>
      </c>
      <c r="B4382" t="s">
        <v>13</v>
      </c>
      <c r="C4382" s="1">
        <v>43868</v>
      </c>
      <c r="D4382" t="s">
        <v>9731</v>
      </c>
      <c r="E4382" t="s">
        <v>605</v>
      </c>
      <c r="F4382" t="s">
        <v>332</v>
      </c>
      <c r="G4382" t="s">
        <v>9732</v>
      </c>
      <c r="H4382" t="s">
        <v>36</v>
      </c>
      <c r="I4382" t="s">
        <v>19</v>
      </c>
      <c r="J4382" s="3">
        <f>55-11-33859241</f>
        <v>-33859197</v>
      </c>
      <c r="K4382" t="s">
        <v>9733</v>
      </c>
      <c r="L4382" t="s">
        <v>223</v>
      </c>
      <c r="M4382" t="s">
        <v>337</v>
      </c>
    </row>
    <row r="4383" spans="1:13" x14ac:dyDescent="0.25">
      <c r="A4383" t="s">
        <v>3368</v>
      </c>
      <c r="B4383" t="s">
        <v>13</v>
      </c>
      <c r="C4383" t="s">
        <v>3362</v>
      </c>
      <c r="D4383" t="s">
        <v>3369</v>
      </c>
      <c r="E4383" t="s">
        <v>605</v>
      </c>
      <c r="F4383" t="s">
        <v>332</v>
      </c>
      <c r="G4383" t="s">
        <v>3370</v>
      </c>
      <c r="H4383" t="s">
        <v>18</v>
      </c>
      <c r="I4383" t="s">
        <v>19</v>
      </c>
      <c r="J4383" s="3" t="s">
        <v>3371</v>
      </c>
      <c r="K4383" t="s">
        <v>3372</v>
      </c>
      <c r="L4383" t="s">
        <v>3373</v>
      </c>
      <c r="M4383" t="s">
        <v>337</v>
      </c>
    </row>
    <row r="4384" spans="1:13" x14ac:dyDescent="0.25">
      <c r="A4384" t="s">
        <v>11303</v>
      </c>
      <c r="B4384" t="s">
        <v>13</v>
      </c>
      <c r="C4384" t="s">
        <v>11304</v>
      </c>
      <c r="D4384" t="s">
        <v>11305</v>
      </c>
      <c r="E4384" s="2" t="s">
        <v>31910</v>
      </c>
      <c r="F4384" t="s">
        <v>332</v>
      </c>
      <c r="G4384" t="s">
        <v>11306</v>
      </c>
      <c r="H4384" t="s">
        <v>265</v>
      </c>
      <c r="I4384" t="s">
        <v>19</v>
      </c>
      <c r="J4384" s="3" t="s">
        <v>11307</v>
      </c>
      <c r="K4384" t="s">
        <v>11308</v>
      </c>
      <c r="L4384" t="s">
        <v>11309</v>
      </c>
      <c r="M4384" t="s">
        <v>337</v>
      </c>
    </row>
    <row r="4385" spans="1:13" x14ac:dyDescent="0.25">
      <c r="A4385" t="s">
        <v>15135</v>
      </c>
      <c r="B4385" t="s">
        <v>13</v>
      </c>
      <c r="C4385" s="1">
        <v>43476</v>
      </c>
      <c r="D4385" t="s">
        <v>15136</v>
      </c>
      <c r="E4385" s="2" t="s">
        <v>31117</v>
      </c>
      <c r="F4385" t="s">
        <v>1464</v>
      </c>
      <c r="G4385" t="s">
        <v>15137</v>
      </c>
      <c r="H4385" t="s">
        <v>428</v>
      </c>
      <c r="I4385" t="s">
        <v>19</v>
      </c>
      <c r="J4385" s="3">
        <f>55-51-33085010</f>
        <v>-33085006</v>
      </c>
      <c r="K4385" t="s">
        <v>15138</v>
      </c>
      <c r="L4385" t="s">
        <v>1295</v>
      </c>
      <c r="M4385" t="s">
        <v>337</v>
      </c>
    </row>
    <row r="4386" spans="1:13" x14ac:dyDescent="0.25">
      <c r="A4386" t="s">
        <v>15047</v>
      </c>
      <c r="B4386" t="s">
        <v>13</v>
      </c>
      <c r="C4386" s="1">
        <v>43810</v>
      </c>
      <c r="D4386" t="s">
        <v>15048</v>
      </c>
      <c r="E4386" t="s">
        <v>15049</v>
      </c>
      <c r="F4386" t="s">
        <v>332</v>
      </c>
      <c r="G4386" t="s">
        <v>15050</v>
      </c>
      <c r="H4386" t="s">
        <v>1802</v>
      </c>
      <c r="I4386" t="s">
        <v>19</v>
      </c>
      <c r="J4386" s="3" t="s">
        <v>15051</v>
      </c>
      <c r="K4386" t="s">
        <v>15052</v>
      </c>
      <c r="L4386" t="s">
        <v>1805</v>
      </c>
      <c r="M4386" t="s">
        <v>337</v>
      </c>
    </row>
    <row r="4387" spans="1:13" x14ac:dyDescent="0.25">
      <c r="A4387" t="s">
        <v>18806</v>
      </c>
      <c r="B4387" t="s">
        <v>13</v>
      </c>
      <c r="C4387" s="1">
        <v>43416</v>
      </c>
      <c r="D4387" t="s">
        <v>18807</v>
      </c>
      <c r="E4387" s="2" t="s">
        <v>31603</v>
      </c>
      <c r="F4387" t="s">
        <v>332</v>
      </c>
      <c r="G4387" t="s">
        <v>15238</v>
      </c>
      <c r="H4387" t="s">
        <v>2215</v>
      </c>
      <c r="I4387" t="s">
        <v>19</v>
      </c>
      <c r="J4387" s="3">
        <f>55-42-32203740</f>
        <v>-32203727</v>
      </c>
      <c r="K4387" t="s">
        <v>15239</v>
      </c>
      <c r="L4387" t="s">
        <v>2218</v>
      </c>
      <c r="M4387" t="s">
        <v>337</v>
      </c>
    </row>
    <row r="4388" spans="1:13" x14ac:dyDescent="0.25">
      <c r="A4388" t="s">
        <v>30289</v>
      </c>
      <c r="B4388" t="s">
        <v>13</v>
      </c>
      <c r="C4388" s="1">
        <v>40910</v>
      </c>
      <c r="D4388" t="s">
        <v>30290</v>
      </c>
      <c r="E4388" t="s">
        <v>30291</v>
      </c>
      <c r="F4388" t="s">
        <v>1464</v>
      </c>
      <c r="G4388" t="s">
        <v>307</v>
      </c>
      <c r="H4388" t="s">
        <v>308</v>
      </c>
      <c r="I4388" t="s">
        <v>309</v>
      </c>
      <c r="J4388" s="3" t="s">
        <v>310</v>
      </c>
      <c r="K4388" t="s">
        <v>311</v>
      </c>
      <c r="L4388" t="s">
        <v>312</v>
      </c>
      <c r="M4388" t="s">
        <v>337</v>
      </c>
    </row>
    <row r="4389" spans="1:13" x14ac:dyDescent="0.25">
      <c r="A4389" t="s">
        <v>1393</v>
      </c>
      <c r="B4389" t="s">
        <v>13</v>
      </c>
      <c r="C4389" s="1">
        <v>44753</v>
      </c>
      <c r="D4389" t="s">
        <v>1394</v>
      </c>
      <c r="E4389" t="s">
        <v>1395</v>
      </c>
      <c r="F4389" t="s">
        <v>1396</v>
      </c>
      <c r="G4389" t="s">
        <v>1397</v>
      </c>
      <c r="H4389" t="s">
        <v>706</v>
      </c>
      <c r="I4389" t="s">
        <v>19</v>
      </c>
      <c r="J4389" s="3" t="s">
        <v>1398</v>
      </c>
      <c r="K4389" t="s">
        <v>1399</v>
      </c>
      <c r="L4389" t="s">
        <v>565</v>
      </c>
      <c r="M4389" t="s">
        <v>337</v>
      </c>
    </row>
    <row r="4390" spans="1:13" x14ac:dyDescent="0.25">
      <c r="A4390" t="s">
        <v>13740</v>
      </c>
      <c r="B4390" t="s">
        <v>13</v>
      </c>
      <c r="C4390" s="1">
        <v>43984</v>
      </c>
      <c r="D4390" t="s">
        <v>13741</v>
      </c>
      <c r="E4390" s="2" t="s">
        <v>31079</v>
      </c>
      <c r="F4390" t="s">
        <v>1464</v>
      </c>
      <c r="G4390" t="s">
        <v>13742</v>
      </c>
      <c r="H4390" t="s">
        <v>706</v>
      </c>
      <c r="I4390" t="s">
        <v>19</v>
      </c>
      <c r="J4390" s="3">
        <v>5503198074111</v>
      </c>
      <c r="K4390" t="s">
        <v>13743</v>
      </c>
      <c r="L4390" t="s">
        <v>2006</v>
      </c>
      <c r="M4390" t="s">
        <v>337</v>
      </c>
    </row>
    <row r="4391" spans="1:13" x14ac:dyDescent="0.25">
      <c r="A4391" t="s">
        <v>13914</v>
      </c>
      <c r="B4391" t="s">
        <v>13</v>
      </c>
      <c r="C4391" t="s">
        <v>12548</v>
      </c>
      <c r="D4391" t="s">
        <v>13915</v>
      </c>
      <c r="E4391" t="s">
        <v>7988</v>
      </c>
      <c r="F4391" t="s">
        <v>2947</v>
      </c>
      <c r="G4391" t="s">
        <v>13916</v>
      </c>
      <c r="H4391" t="s">
        <v>36</v>
      </c>
      <c r="I4391" t="s">
        <v>19</v>
      </c>
      <c r="J4391" s="3">
        <f>55-21-21767000</f>
        <v>-21766966</v>
      </c>
      <c r="K4391" t="s">
        <v>13917</v>
      </c>
      <c r="L4391" t="s">
        <v>13918</v>
      </c>
      <c r="M4391" t="s">
        <v>771</v>
      </c>
    </row>
    <row r="4392" spans="1:13" x14ac:dyDescent="0.25">
      <c r="A4392" t="s">
        <v>558</v>
      </c>
      <c r="B4392" t="s">
        <v>13</v>
      </c>
      <c r="C4392" t="s">
        <v>559</v>
      </c>
      <c r="D4392" t="s">
        <v>560</v>
      </c>
      <c r="E4392" t="s">
        <v>30683</v>
      </c>
      <c r="F4392" t="s">
        <v>345</v>
      </c>
      <c r="G4392" t="s">
        <v>562</v>
      </c>
      <c r="H4392" t="s">
        <v>563</v>
      </c>
      <c r="I4392" t="s">
        <v>19</v>
      </c>
      <c r="J4392" s="3">
        <v>5531988502022</v>
      </c>
      <c r="K4392" t="s">
        <v>564</v>
      </c>
      <c r="L4392" t="s">
        <v>565</v>
      </c>
      <c r="M4392" t="s">
        <v>771</v>
      </c>
    </row>
    <row r="4393" spans="1:13" x14ac:dyDescent="0.25">
      <c r="A4393" t="s">
        <v>17961</v>
      </c>
      <c r="B4393" t="s">
        <v>13</v>
      </c>
      <c r="C4393" t="s">
        <v>16588</v>
      </c>
      <c r="D4393" t="s">
        <v>17962</v>
      </c>
      <c r="E4393" t="s">
        <v>17963</v>
      </c>
      <c r="F4393" t="s">
        <v>1464</v>
      </c>
      <c r="G4393" t="s">
        <v>17964</v>
      </c>
      <c r="H4393" t="s">
        <v>28</v>
      </c>
      <c r="I4393" t="s">
        <v>19</v>
      </c>
      <c r="J4393" s="3" t="s">
        <v>17965</v>
      </c>
      <c r="K4393" t="s">
        <v>17966</v>
      </c>
      <c r="L4393" t="s">
        <v>17967</v>
      </c>
      <c r="M4393" t="s">
        <v>771</v>
      </c>
    </row>
    <row r="4394" spans="1:13" x14ac:dyDescent="0.25">
      <c r="A4394" t="s">
        <v>27984</v>
      </c>
      <c r="B4394" t="s">
        <v>13</v>
      </c>
      <c r="C4394" s="1">
        <v>42314</v>
      </c>
      <c r="D4394" t="s">
        <v>27985</v>
      </c>
      <c r="E4394" t="s">
        <v>27986</v>
      </c>
      <c r="F4394" t="s">
        <v>2947</v>
      </c>
      <c r="G4394" t="s">
        <v>27987</v>
      </c>
      <c r="H4394" t="s">
        <v>706</v>
      </c>
      <c r="I4394" t="s">
        <v>19</v>
      </c>
      <c r="J4394" s="3" t="s">
        <v>27988</v>
      </c>
      <c r="K4394" t="s">
        <v>27989</v>
      </c>
      <c r="L4394" t="s">
        <v>565</v>
      </c>
      <c r="M4394" t="s">
        <v>771</v>
      </c>
    </row>
    <row r="4395" spans="1:13" x14ac:dyDescent="0.25">
      <c r="A4395" t="s">
        <v>25057</v>
      </c>
      <c r="B4395" t="s">
        <v>13</v>
      </c>
      <c r="C4395" s="1">
        <v>42533</v>
      </c>
      <c r="D4395" t="s">
        <v>25058</v>
      </c>
      <c r="E4395" t="s">
        <v>25059</v>
      </c>
      <c r="F4395" t="s">
        <v>1129</v>
      </c>
      <c r="G4395" t="s">
        <v>25060</v>
      </c>
      <c r="H4395" t="s">
        <v>983</v>
      </c>
      <c r="I4395" t="s">
        <v>19</v>
      </c>
      <c r="J4395" s="3" t="s">
        <v>25061</v>
      </c>
      <c r="K4395" t="s">
        <v>25062</v>
      </c>
      <c r="L4395" t="s">
        <v>25063</v>
      </c>
      <c r="M4395" t="s">
        <v>224</v>
      </c>
    </row>
    <row r="4396" spans="1:13" x14ac:dyDescent="0.25">
      <c r="A4396" t="s">
        <v>28743</v>
      </c>
      <c r="B4396" t="s">
        <v>13</v>
      </c>
      <c r="C4396" s="1">
        <v>41894</v>
      </c>
      <c r="D4396" t="s">
        <v>28744</v>
      </c>
      <c r="E4396" t="s">
        <v>28745</v>
      </c>
      <c r="F4396" t="s">
        <v>2947</v>
      </c>
      <c r="G4396" t="s">
        <v>220</v>
      </c>
      <c r="H4396" t="s">
        <v>472</v>
      </c>
      <c r="I4396" t="s">
        <v>19</v>
      </c>
      <c r="J4396" s="3" t="s">
        <v>28746</v>
      </c>
      <c r="K4396" t="s">
        <v>222</v>
      </c>
      <c r="L4396" t="s">
        <v>1193</v>
      </c>
      <c r="M4396" t="s">
        <v>771</v>
      </c>
    </row>
    <row r="4397" spans="1:13" x14ac:dyDescent="0.25">
      <c r="A4397" t="s">
        <v>2449</v>
      </c>
      <c r="B4397" t="s">
        <v>101</v>
      </c>
      <c r="C4397" t="s">
        <v>2436</v>
      </c>
      <c r="D4397" t="s">
        <v>2450</v>
      </c>
      <c r="E4397" t="s">
        <v>2451</v>
      </c>
      <c r="F4397" t="s">
        <v>2452</v>
      </c>
      <c r="G4397" t="s">
        <v>2453</v>
      </c>
      <c r="H4397" t="s">
        <v>352</v>
      </c>
      <c r="I4397" t="s">
        <v>19</v>
      </c>
      <c r="J4397" s="3" t="s">
        <v>2454</v>
      </c>
      <c r="K4397" t="s">
        <v>2455</v>
      </c>
      <c r="L4397" t="s">
        <v>2456</v>
      </c>
      <c r="M4397" t="s">
        <v>129</v>
      </c>
    </row>
    <row r="4398" spans="1:13" x14ac:dyDescent="0.25">
      <c r="A4398" t="s">
        <v>20969</v>
      </c>
      <c r="B4398" t="s">
        <v>13</v>
      </c>
      <c r="C4398" t="s">
        <v>5341</v>
      </c>
      <c r="D4398" t="s">
        <v>20970</v>
      </c>
      <c r="E4398" t="s">
        <v>20971</v>
      </c>
      <c r="F4398" t="s">
        <v>337</v>
      </c>
      <c r="G4398" t="s">
        <v>18697</v>
      </c>
      <c r="H4398" t="s">
        <v>170</v>
      </c>
      <c r="I4398" t="s">
        <v>19</v>
      </c>
      <c r="J4398" s="3">
        <f>55-12-39479403</f>
        <v>-39479360</v>
      </c>
      <c r="K4398" t="s">
        <v>18698</v>
      </c>
      <c r="L4398" t="s">
        <v>18699</v>
      </c>
      <c r="M4398" t="s">
        <v>337</v>
      </c>
    </row>
    <row r="4399" spans="1:13" x14ac:dyDescent="0.25">
      <c r="A4399" t="s">
        <v>26407</v>
      </c>
      <c r="B4399" t="s">
        <v>13</v>
      </c>
      <c r="C4399" t="s">
        <v>26408</v>
      </c>
      <c r="D4399" t="s">
        <v>26409</v>
      </c>
      <c r="E4399" t="s">
        <v>20417</v>
      </c>
      <c r="F4399" t="s">
        <v>432</v>
      </c>
      <c r="G4399" t="s">
        <v>26230</v>
      </c>
      <c r="H4399" t="s">
        <v>352</v>
      </c>
      <c r="I4399" t="s">
        <v>19</v>
      </c>
      <c r="J4399" s="3" t="s">
        <v>25282</v>
      </c>
      <c r="K4399" t="s">
        <v>26231</v>
      </c>
      <c r="L4399" t="s">
        <v>25284</v>
      </c>
      <c r="M4399" t="s">
        <v>432</v>
      </c>
    </row>
    <row r="4400" spans="1:13" x14ac:dyDescent="0.25">
      <c r="A4400" t="s">
        <v>20415</v>
      </c>
      <c r="B4400" t="s">
        <v>13</v>
      </c>
      <c r="C4400" t="s">
        <v>5704</v>
      </c>
      <c r="D4400" t="s">
        <v>20416</v>
      </c>
      <c r="E4400" t="s">
        <v>20417</v>
      </c>
      <c r="F4400" t="s">
        <v>432</v>
      </c>
      <c r="G4400" t="s">
        <v>768</v>
      </c>
      <c r="H4400" t="s">
        <v>265</v>
      </c>
      <c r="I4400" t="s">
        <v>19</v>
      </c>
      <c r="J4400" s="3">
        <v>551636022477</v>
      </c>
      <c r="K4400" t="s">
        <v>769</v>
      </c>
      <c r="L4400" t="s">
        <v>770</v>
      </c>
      <c r="M4400" t="s">
        <v>432</v>
      </c>
    </row>
    <row r="4401" spans="1:13" x14ac:dyDescent="0.25">
      <c r="A4401" t="s">
        <v>9939</v>
      </c>
      <c r="B4401" t="s">
        <v>13</v>
      </c>
      <c r="C4401" s="1">
        <v>44013</v>
      </c>
      <c r="D4401" t="s">
        <v>9940</v>
      </c>
      <c r="E4401" t="s">
        <v>9941</v>
      </c>
      <c r="F4401" t="s">
        <v>2036</v>
      </c>
      <c r="G4401" t="s">
        <v>9942</v>
      </c>
      <c r="H4401" t="s">
        <v>472</v>
      </c>
      <c r="I4401" t="s">
        <v>19</v>
      </c>
      <c r="J4401" s="3">
        <v>55081996757500</v>
      </c>
      <c r="K4401" t="s">
        <v>9943</v>
      </c>
      <c r="L4401" t="s">
        <v>2101</v>
      </c>
      <c r="M4401" t="s">
        <v>57</v>
      </c>
    </row>
    <row r="4402" spans="1:13" x14ac:dyDescent="0.25">
      <c r="A4402" t="s">
        <v>18908</v>
      </c>
      <c r="B4402" t="s">
        <v>13</v>
      </c>
      <c r="C4402" s="1">
        <v>43112</v>
      </c>
      <c r="D4402" t="s">
        <v>18909</v>
      </c>
      <c r="E4402" t="s">
        <v>32586</v>
      </c>
      <c r="F4402" t="s">
        <v>117</v>
      </c>
      <c r="G4402" t="s">
        <v>18910</v>
      </c>
      <c r="H4402" t="s">
        <v>472</v>
      </c>
      <c r="I4402" t="s">
        <v>19</v>
      </c>
      <c r="J4402" s="3" t="s">
        <v>18911</v>
      </c>
      <c r="K4402" t="s">
        <v>4106</v>
      </c>
      <c r="L4402" t="s">
        <v>18912</v>
      </c>
      <c r="M4402" t="s">
        <v>32145</v>
      </c>
    </row>
    <row r="4403" spans="1:13" x14ac:dyDescent="0.25">
      <c r="A4403" t="s">
        <v>20403</v>
      </c>
      <c r="B4403" t="s">
        <v>101</v>
      </c>
      <c r="C4403" t="s">
        <v>8242</v>
      </c>
      <c r="D4403" t="s">
        <v>20404</v>
      </c>
      <c r="E4403" t="s">
        <v>20405</v>
      </c>
      <c r="F4403" t="s">
        <v>1349</v>
      </c>
      <c r="G4403" t="s">
        <v>20406</v>
      </c>
      <c r="H4403" t="s">
        <v>265</v>
      </c>
      <c r="I4403" t="s">
        <v>19</v>
      </c>
      <c r="J4403" s="3">
        <f>55-16-3354195</f>
        <v>-3354156</v>
      </c>
      <c r="K4403" t="s">
        <v>20407</v>
      </c>
      <c r="L4403" t="s">
        <v>10535</v>
      </c>
      <c r="M4403" t="s">
        <v>1349</v>
      </c>
    </row>
    <row r="4404" spans="1:13" x14ac:dyDescent="0.25">
      <c r="A4404" t="s">
        <v>17581</v>
      </c>
      <c r="B4404" t="s">
        <v>13</v>
      </c>
      <c r="C4404" s="1">
        <v>43470</v>
      </c>
      <c r="D4404" t="s">
        <v>17582</v>
      </c>
      <c r="E4404" t="s">
        <v>17583</v>
      </c>
      <c r="F4404" t="s">
        <v>1464</v>
      </c>
      <c r="G4404" t="s">
        <v>17584</v>
      </c>
      <c r="H4404" t="s">
        <v>36</v>
      </c>
      <c r="I4404" t="s">
        <v>19</v>
      </c>
      <c r="J4404" s="3" t="s">
        <v>17585</v>
      </c>
      <c r="K4404" t="s">
        <v>17586</v>
      </c>
      <c r="L4404" t="s">
        <v>439</v>
      </c>
      <c r="M4404" t="s">
        <v>32185</v>
      </c>
    </row>
    <row r="4405" spans="1:13" x14ac:dyDescent="0.25">
      <c r="A4405" t="s">
        <v>1551</v>
      </c>
      <c r="B4405" t="s">
        <v>13</v>
      </c>
      <c r="C4405" t="s">
        <v>1547</v>
      </c>
      <c r="D4405" t="s">
        <v>1552</v>
      </c>
      <c r="E4405" t="s">
        <v>1553</v>
      </c>
      <c r="F4405" t="s">
        <v>636</v>
      </c>
      <c r="G4405" t="s">
        <v>1554</v>
      </c>
      <c r="H4405" t="s">
        <v>540</v>
      </c>
      <c r="I4405" t="s">
        <v>19</v>
      </c>
      <c r="J4405" s="3">
        <f>55-91-8289-3370</f>
        <v>-11695</v>
      </c>
      <c r="K4405" t="s">
        <v>1555</v>
      </c>
      <c r="L4405" t="s">
        <v>1531</v>
      </c>
      <c r="M4405" t="s">
        <v>32144</v>
      </c>
    </row>
    <row r="4406" spans="1:13" x14ac:dyDescent="0.25">
      <c r="A4406" t="s">
        <v>5102</v>
      </c>
      <c r="B4406" t="s">
        <v>13</v>
      </c>
      <c r="C4406" s="1">
        <v>44866</v>
      </c>
      <c r="D4406" t="s">
        <v>5103</v>
      </c>
      <c r="E4406" s="2" t="s">
        <v>31981</v>
      </c>
      <c r="F4406" t="s">
        <v>5104</v>
      </c>
      <c r="G4406" t="s">
        <v>5105</v>
      </c>
      <c r="H4406" t="s">
        <v>5106</v>
      </c>
      <c r="I4406" t="s">
        <v>19</v>
      </c>
      <c r="J4406" s="3" t="s">
        <v>5107</v>
      </c>
      <c r="K4406" t="s">
        <v>5108</v>
      </c>
      <c r="L4406" t="s">
        <v>32135</v>
      </c>
      <c r="M4406" t="s">
        <v>57</v>
      </c>
    </row>
    <row r="4407" spans="1:13" x14ac:dyDescent="0.25">
      <c r="A4407" t="s">
        <v>30656</v>
      </c>
      <c r="B4407" t="s">
        <v>13</v>
      </c>
      <c r="C4407" t="s">
        <v>29686</v>
      </c>
      <c r="D4407" t="s">
        <v>30657</v>
      </c>
      <c r="E4407" t="s">
        <v>30658</v>
      </c>
      <c r="F4407" t="s">
        <v>1349</v>
      </c>
      <c r="G4407" t="s">
        <v>30653</v>
      </c>
      <c r="H4407" t="s">
        <v>36</v>
      </c>
      <c r="I4407" t="s">
        <v>19</v>
      </c>
      <c r="J4407" s="3" t="s">
        <v>30654</v>
      </c>
      <c r="K4407" t="s">
        <v>30655</v>
      </c>
      <c r="L4407" t="s">
        <v>29493</v>
      </c>
      <c r="M4407" t="s">
        <v>1349</v>
      </c>
    </row>
    <row r="4408" spans="1:13" x14ac:dyDescent="0.25">
      <c r="A4408" t="s">
        <v>1247</v>
      </c>
      <c r="B4408" t="s">
        <v>13</v>
      </c>
      <c r="C4408" t="s">
        <v>1220</v>
      </c>
      <c r="D4408" t="s">
        <v>1248</v>
      </c>
      <c r="E4408" s="2" t="s">
        <v>30703</v>
      </c>
      <c r="F4408" t="s">
        <v>1250</v>
      </c>
      <c r="G4408" t="s">
        <v>1251</v>
      </c>
      <c r="H4408" t="s">
        <v>45</v>
      </c>
      <c r="I4408" t="s">
        <v>19</v>
      </c>
      <c r="J4408" s="3" t="s">
        <v>1252</v>
      </c>
      <c r="K4408" t="s">
        <v>1253</v>
      </c>
      <c r="L4408" t="s">
        <v>1254</v>
      </c>
      <c r="M4408" t="s">
        <v>1432</v>
      </c>
    </row>
    <row r="4409" spans="1:13" x14ac:dyDescent="0.25">
      <c r="A4409" t="s">
        <v>14744</v>
      </c>
      <c r="B4409" t="s">
        <v>13</v>
      </c>
      <c r="C4409" s="1">
        <v>43536</v>
      </c>
      <c r="D4409" t="s">
        <v>14745</v>
      </c>
      <c r="E4409" s="2" t="s">
        <v>31974</v>
      </c>
      <c r="F4409" t="s">
        <v>1349</v>
      </c>
      <c r="G4409" t="s">
        <v>2900</v>
      </c>
      <c r="H4409" t="s">
        <v>1486</v>
      </c>
      <c r="I4409" t="s">
        <v>19</v>
      </c>
      <c r="J4409" s="3" t="s">
        <v>2901</v>
      </c>
      <c r="K4409" t="s">
        <v>2902</v>
      </c>
      <c r="L4409" t="s">
        <v>1489</v>
      </c>
      <c r="M4409" t="s">
        <v>1349</v>
      </c>
    </row>
    <row r="4410" spans="1:13" x14ac:dyDescent="0.25">
      <c r="A4410" t="s">
        <v>16173</v>
      </c>
      <c r="B4410" t="s">
        <v>13</v>
      </c>
      <c r="C4410" t="s">
        <v>16155</v>
      </c>
      <c r="D4410" t="s">
        <v>16174</v>
      </c>
      <c r="E4410" s="2" t="s">
        <v>32587</v>
      </c>
      <c r="F4410" t="s">
        <v>10034</v>
      </c>
      <c r="G4410" t="s">
        <v>16175</v>
      </c>
      <c r="H4410" t="s">
        <v>195</v>
      </c>
      <c r="I4410" t="s">
        <v>19</v>
      </c>
      <c r="J4410" s="3">
        <f>55-16-981379056</f>
        <v>-981379017</v>
      </c>
      <c r="K4410" t="s">
        <v>16176</v>
      </c>
      <c r="L4410" t="s">
        <v>321</v>
      </c>
      <c r="M4410" t="s">
        <v>741</v>
      </c>
    </row>
    <row r="4411" spans="1:13" x14ac:dyDescent="0.25">
      <c r="A4411" t="s">
        <v>2168</v>
      </c>
      <c r="B4411" t="s">
        <v>13</v>
      </c>
      <c r="C4411" s="1">
        <v>44904</v>
      </c>
      <c r="D4411" t="s">
        <v>2169</v>
      </c>
      <c r="E4411" t="s">
        <v>2170</v>
      </c>
      <c r="F4411" t="s">
        <v>2171</v>
      </c>
      <c r="G4411" t="s">
        <v>2172</v>
      </c>
      <c r="H4411" t="s">
        <v>28</v>
      </c>
      <c r="I4411" t="s">
        <v>19</v>
      </c>
      <c r="J4411" s="3">
        <f>55-32-984159909</f>
        <v>-984159886</v>
      </c>
      <c r="K4411" t="s">
        <v>2173</v>
      </c>
      <c r="L4411" t="s">
        <v>2174</v>
      </c>
      <c r="M4411" t="s">
        <v>129</v>
      </c>
    </row>
    <row r="4412" spans="1:13" x14ac:dyDescent="0.25">
      <c r="A4412" t="s">
        <v>18344</v>
      </c>
      <c r="B4412" t="s">
        <v>13</v>
      </c>
      <c r="C4412" s="1">
        <v>43801</v>
      </c>
      <c r="D4412" t="s">
        <v>18345</v>
      </c>
      <c r="E4412" t="s">
        <v>32588</v>
      </c>
      <c r="F4412" t="s">
        <v>771</v>
      </c>
      <c r="G4412" t="s">
        <v>18346</v>
      </c>
      <c r="H4412" t="s">
        <v>229</v>
      </c>
      <c r="I4412" t="s">
        <v>19</v>
      </c>
      <c r="J4412" s="3" t="s">
        <v>18347</v>
      </c>
      <c r="K4412" t="s">
        <v>18348</v>
      </c>
      <c r="L4412" t="s">
        <v>18349</v>
      </c>
      <c r="M4412" t="s">
        <v>771</v>
      </c>
    </row>
    <row r="4413" spans="1:13" x14ac:dyDescent="0.25">
      <c r="A4413" t="s">
        <v>2180</v>
      </c>
      <c r="B4413" t="s">
        <v>13</v>
      </c>
      <c r="C4413" s="1">
        <v>44782</v>
      </c>
      <c r="D4413" t="s">
        <v>2181</v>
      </c>
      <c r="E4413" s="2" t="s">
        <v>31901</v>
      </c>
      <c r="F4413" t="s">
        <v>2184</v>
      </c>
      <c r="G4413" t="s">
        <v>2185</v>
      </c>
      <c r="H4413" t="s">
        <v>2186</v>
      </c>
      <c r="I4413" t="s">
        <v>19</v>
      </c>
      <c r="J4413" s="3" t="s">
        <v>2187</v>
      </c>
      <c r="K4413" t="s">
        <v>2188</v>
      </c>
      <c r="L4413" t="s">
        <v>2189</v>
      </c>
      <c r="M4413" t="s">
        <v>785</v>
      </c>
    </row>
    <row r="4414" spans="1:13" x14ac:dyDescent="0.25">
      <c r="A4414" t="s">
        <v>2309</v>
      </c>
      <c r="B4414" t="s">
        <v>13</v>
      </c>
      <c r="C4414" t="s">
        <v>2310</v>
      </c>
      <c r="D4414" t="s">
        <v>32135</v>
      </c>
      <c r="E4414" t="s">
        <v>2311</v>
      </c>
      <c r="F4414" t="s">
        <v>2312</v>
      </c>
      <c r="G4414" t="s">
        <v>17</v>
      </c>
      <c r="H4414" t="s">
        <v>18</v>
      </c>
      <c r="I4414" t="s">
        <v>19</v>
      </c>
      <c r="J4414" s="3" t="s">
        <v>20</v>
      </c>
      <c r="K4414" t="s">
        <v>21</v>
      </c>
      <c r="L4414" t="s">
        <v>22</v>
      </c>
      <c r="M4414" t="s">
        <v>785</v>
      </c>
    </row>
    <row r="4415" spans="1:13" x14ac:dyDescent="0.25">
      <c r="A4415" t="s">
        <v>20178</v>
      </c>
      <c r="B4415" t="s">
        <v>13</v>
      </c>
      <c r="C4415" s="1">
        <v>43167</v>
      </c>
      <c r="D4415" t="s">
        <v>20179</v>
      </c>
      <c r="E4415" t="s">
        <v>20180</v>
      </c>
      <c r="F4415" t="s">
        <v>1464</v>
      </c>
      <c r="G4415" t="s">
        <v>17527</v>
      </c>
      <c r="H4415" t="s">
        <v>927</v>
      </c>
      <c r="I4415" t="s">
        <v>19</v>
      </c>
      <c r="J4415" s="3">
        <f>55-13-3229-203</f>
        <v>-3390</v>
      </c>
      <c r="K4415" t="s">
        <v>17528</v>
      </c>
      <c r="L4415" t="s">
        <v>439</v>
      </c>
      <c r="M4415" t="s">
        <v>1775</v>
      </c>
    </row>
    <row r="4416" spans="1:13" x14ac:dyDescent="0.25">
      <c r="A4416" t="s">
        <v>21936</v>
      </c>
      <c r="B4416" t="s">
        <v>13</v>
      </c>
      <c r="C4416" s="1">
        <v>43377</v>
      </c>
      <c r="D4416" t="s">
        <v>21937</v>
      </c>
      <c r="E4416" t="s">
        <v>32589</v>
      </c>
      <c r="F4416" t="s">
        <v>1464</v>
      </c>
      <c r="G4416" t="s">
        <v>21938</v>
      </c>
      <c r="H4416" t="s">
        <v>1047</v>
      </c>
      <c r="I4416" t="s">
        <v>19</v>
      </c>
      <c r="J4416" s="3">
        <v>55027999747937</v>
      </c>
      <c r="K4416" t="s">
        <v>21939</v>
      </c>
      <c r="L4416" t="s">
        <v>1050</v>
      </c>
      <c r="M4416" t="s">
        <v>1349</v>
      </c>
    </row>
    <row r="4417" spans="1:13" x14ac:dyDescent="0.25">
      <c r="A4417" t="s">
        <v>25292</v>
      </c>
      <c r="B4417" t="s">
        <v>13</v>
      </c>
      <c r="C4417" t="s">
        <v>25286</v>
      </c>
      <c r="D4417" t="s">
        <v>25293</v>
      </c>
      <c r="E4417" t="s">
        <v>25294</v>
      </c>
      <c r="F4417" t="s">
        <v>2947</v>
      </c>
      <c r="G4417" t="s">
        <v>25295</v>
      </c>
      <c r="H4417" t="s">
        <v>22872</v>
      </c>
      <c r="I4417" t="s">
        <v>19</v>
      </c>
      <c r="J4417" s="3" t="s">
        <v>25296</v>
      </c>
      <c r="K4417" t="s">
        <v>25297</v>
      </c>
      <c r="L4417" t="s">
        <v>25298</v>
      </c>
      <c r="M4417" t="s">
        <v>771</v>
      </c>
    </row>
    <row r="4418" spans="1:13" x14ac:dyDescent="0.25">
      <c r="A4418" t="s">
        <v>21794</v>
      </c>
      <c r="B4418" t="s">
        <v>101</v>
      </c>
      <c r="C4418" t="s">
        <v>21782</v>
      </c>
      <c r="D4418" t="s">
        <v>21795</v>
      </c>
      <c r="E4418" t="s">
        <v>21796</v>
      </c>
      <c r="F4418" t="s">
        <v>1464</v>
      </c>
      <c r="G4418" t="s">
        <v>21797</v>
      </c>
      <c r="H4418" t="s">
        <v>721</v>
      </c>
      <c r="I4418" t="s">
        <v>19</v>
      </c>
      <c r="J4418" s="3" t="s">
        <v>21798</v>
      </c>
      <c r="K4418" t="s">
        <v>21799</v>
      </c>
      <c r="L4418" t="s">
        <v>1092</v>
      </c>
      <c r="M4418" t="s">
        <v>1775</v>
      </c>
    </row>
    <row r="4419" spans="1:13" x14ac:dyDescent="0.25">
      <c r="A4419" t="s">
        <v>8930</v>
      </c>
      <c r="B4419" t="s">
        <v>13</v>
      </c>
      <c r="C4419" s="1">
        <v>44024</v>
      </c>
      <c r="D4419" t="s">
        <v>8931</v>
      </c>
      <c r="E4419" t="s">
        <v>8932</v>
      </c>
      <c r="F4419" t="s">
        <v>658</v>
      </c>
      <c r="G4419" t="s">
        <v>8933</v>
      </c>
      <c r="H4419" t="s">
        <v>8934</v>
      </c>
      <c r="I4419" t="s">
        <v>19</v>
      </c>
      <c r="J4419">
        <v>2125387730</v>
      </c>
      <c r="K4419" s="3" t="s">
        <v>8935</v>
      </c>
      <c r="L4419" t="s">
        <v>8936</v>
      </c>
      <c r="M4419" t="s">
        <v>1775</v>
      </c>
    </row>
    <row r="4420" spans="1:13" x14ac:dyDescent="0.25">
      <c r="A4420" t="s">
        <v>2791</v>
      </c>
      <c r="B4420" t="s">
        <v>13</v>
      </c>
      <c r="C4420" t="s">
        <v>2787</v>
      </c>
      <c r="D4420" t="s">
        <v>2792</v>
      </c>
      <c r="E4420" s="2" t="s">
        <v>31445</v>
      </c>
      <c r="F4420" t="s">
        <v>812</v>
      </c>
      <c r="G4420" t="s">
        <v>2794</v>
      </c>
      <c r="H4420" t="s">
        <v>2795</v>
      </c>
      <c r="I4420" t="s">
        <v>19</v>
      </c>
      <c r="J4420" s="3" t="s">
        <v>2796</v>
      </c>
      <c r="K4420" t="s">
        <v>2797</v>
      </c>
      <c r="L4420" t="s">
        <v>2798</v>
      </c>
      <c r="M4420" t="s">
        <v>57</v>
      </c>
    </row>
    <row r="4421" spans="1:13" x14ac:dyDescent="0.25">
      <c r="A4421" t="s">
        <v>7254</v>
      </c>
      <c r="B4421" t="s">
        <v>13</v>
      </c>
      <c r="C4421" s="1">
        <v>44233</v>
      </c>
      <c r="D4421" t="s">
        <v>32135</v>
      </c>
      <c r="E4421" s="2" t="s">
        <v>31872</v>
      </c>
      <c r="F4421" t="s">
        <v>7255</v>
      </c>
      <c r="G4421" t="s">
        <v>7256</v>
      </c>
      <c r="H4421" t="s">
        <v>88</v>
      </c>
      <c r="I4421" t="s">
        <v>19</v>
      </c>
      <c r="J4421" s="3">
        <v>558398801357</v>
      </c>
      <c r="K4421" t="s">
        <v>7257</v>
      </c>
      <c r="L4421" t="s">
        <v>32135</v>
      </c>
      <c r="M4421" t="s">
        <v>57</v>
      </c>
    </row>
    <row r="4422" spans="1:13" x14ac:dyDescent="0.25">
      <c r="A4422" t="s">
        <v>11520</v>
      </c>
      <c r="B4422" t="s">
        <v>13</v>
      </c>
      <c r="C4422" s="1">
        <v>43896</v>
      </c>
      <c r="D4422" t="s">
        <v>11521</v>
      </c>
      <c r="E4422" s="2" t="s">
        <v>31503</v>
      </c>
      <c r="F4422" t="s">
        <v>2947</v>
      </c>
      <c r="G4422" t="s">
        <v>11522</v>
      </c>
      <c r="H4422" t="s">
        <v>255</v>
      </c>
      <c r="I4422" t="s">
        <v>19</v>
      </c>
      <c r="J4422" s="3">
        <f>55-62-981845410</f>
        <v>-981845417</v>
      </c>
      <c r="K4422" t="s">
        <v>11523</v>
      </c>
      <c r="L4422" t="s">
        <v>11524</v>
      </c>
      <c r="M4422" t="s">
        <v>771</v>
      </c>
    </row>
    <row r="4423" spans="1:13" x14ac:dyDescent="0.25">
      <c r="A4423" t="s">
        <v>6536</v>
      </c>
      <c r="B4423" t="s">
        <v>13</v>
      </c>
      <c r="C4423" s="1">
        <v>44236</v>
      </c>
      <c r="D4423" t="s">
        <v>6537</v>
      </c>
      <c r="E4423" s="2" t="s">
        <v>32590</v>
      </c>
      <c r="F4423" t="s">
        <v>6538</v>
      </c>
      <c r="G4423" t="s">
        <v>6539</v>
      </c>
      <c r="H4423" t="s">
        <v>1215</v>
      </c>
      <c r="I4423" t="s">
        <v>19</v>
      </c>
      <c r="J4423" s="3" t="s">
        <v>6540</v>
      </c>
      <c r="K4423" t="s">
        <v>6541</v>
      </c>
      <c r="L4423" t="s">
        <v>32135</v>
      </c>
      <c r="M4423" t="s">
        <v>771</v>
      </c>
    </row>
    <row r="4424" spans="1:13" x14ac:dyDescent="0.25">
      <c r="A4424" t="s">
        <v>11973</v>
      </c>
      <c r="B4424" t="s">
        <v>13</v>
      </c>
      <c r="C4424" s="1">
        <v>43987</v>
      </c>
      <c r="D4424" t="s">
        <v>11974</v>
      </c>
      <c r="E4424" t="s">
        <v>3895</v>
      </c>
      <c r="F4424" t="s">
        <v>306</v>
      </c>
      <c r="G4424" t="s">
        <v>7618</v>
      </c>
      <c r="H4424" t="s">
        <v>462</v>
      </c>
      <c r="I4424" t="s">
        <v>19</v>
      </c>
      <c r="J4424" s="3" t="s">
        <v>11975</v>
      </c>
      <c r="K4424" t="s">
        <v>7619</v>
      </c>
      <c r="L4424" t="s">
        <v>7620</v>
      </c>
      <c r="M4424" t="s">
        <v>32145</v>
      </c>
    </row>
    <row r="4425" spans="1:13" x14ac:dyDescent="0.25">
      <c r="A4425" t="s">
        <v>20037</v>
      </c>
      <c r="B4425" t="s">
        <v>13</v>
      </c>
      <c r="C4425" t="s">
        <v>20038</v>
      </c>
      <c r="D4425" t="s">
        <v>20039</v>
      </c>
      <c r="E4425" t="s">
        <v>18635</v>
      </c>
      <c r="F4425" t="s">
        <v>1464</v>
      </c>
      <c r="G4425" t="s">
        <v>20040</v>
      </c>
      <c r="H4425" t="s">
        <v>1802</v>
      </c>
      <c r="I4425" t="s">
        <v>19</v>
      </c>
      <c r="J4425" s="3">
        <f>55-14-997110094</f>
        <v>-997110053</v>
      </c>
      <c r="K4425" t="s">
        <v>20041</v>
      </c>
      <c r="L4425" t="s">
        <v>14212</v>
      </c>
      <c r="M4425" t="s">
        <v>1775</v>
      </c>
    </row>
    <row r="4426" spans="1:13" x14ac:dyDescent="0.25">
      <c r="A4426" t="s">
        <v>7035</v>
      </c>
      <c r="B4426" t="s">
        <v>13</v>
      </c>
      <c r="C4426" t="s">
        <v>7036</v>
      </c>
      <c r="D4426" t="s">
        <v>32135</v>
      </c>
      <c r="E4426" s="2" t="s">
        <v>31609</v>
      </c>
      <c r="F4426" t="s">
        <v>34</v>
      </c>
      <c r="G4426" t="s">
        <v>7037</v>
      </c>
      <c r="H4426" t="s">
        <v>428</v>
      </c>
      <c r="I4426" t="s">
        <v>19</v>
      </c>
      <c r="J4426" s="3" t="s">
        <v>7038</v>
      </c>
      <c r="K4426" t="s">
        <v>7039</v>
      </c>
      <c r="L4426" t="s">
        <v>32135</v>
      </c>
      <c r="M4426" t="s">
        <v>1775</v>
      </c>
    </row>
    <row r="4427" spans="1:13" x14ac:dyDescent="0.25">
      <c r="A4427" t="s">
        <v>10589</v>
      </c>
      <c r="B4427" t="s">
        <v>13</v>
      </c>
      <c r="C4427" s="1">
        <v>43959</v>
      </c>
      <c r="D4427" t="s">
        <v>10590</v>
      </c>
      <c r="E4427" s="2" t="s">
        <v>31458</v>
      </c>
      <c r="F4427" t="s">
        <v>2036</v>
      </c>
      <c r="G4427" t="s">
        <v>10591</v>
      </c>
      <c r="H4427" t="s">
        <v>489</v>
      </c>
      <c r="I4427" t="s">
        <v>19</v>
      </c>
      <c r="J4427" s="3">
        <f>55-41-996349583</f>
        <v>-996349569</v>
      </c>
      <c r="K4427" t="s">
        <v>10592</v>
      </c>
      <c r="L4427" t="s">
        <v>625</v>
      </c>
      <c r="M4427" t="s">
        <v>57</v>
      </c>
    </row>
    <row r="4428" spans="1:13" x14ac:dyDescent="0.25">
      <c r="A4428" t="s">
        <v>3892</v>
      </c>
      <c r="B4428" t="s">
        <v>13</v>
      </c>
      <c r="C4428" t="s">
        <v>3893</v>
      </c>
      <c r="D4428" t="s">
        <v>3894</v>
      </c>
      <c r="E4428" s="2" t="s">
        <v>31551</v>
      </c>
      <c r="F4428" t="s">
        <v>1535</v>
      </c>
      <c r="G4428" t="s">
        <v>3896</v>
      </c>
      <c r="H4428" t="s">
        <v>141</v>
      </c>
      <c r="I4428" t="s">
        <v>19</v>
      </c>
      <c r="J4428" s="3">
        <f>55-82032156809</f>
        <v>-82032156754</v>
      </c>
      <c r="K4428" t="s">
        <v>3897</v>
      </c>
      <c r="L4428" t="s">
        <v>3898</v>
      </c>
      <c r="M4428" t="s">
        <v>1775</v>
      </c>
    </row>
    <row r="4429" spans="1:13" x14ac:dyDescent="0.25">
      <c r="A4429" t="s">
        <v>28784</v>
      </c>
      <c r="B4429" t="s">
        <v>13</v>
      </c>
      <c r="C4429" s="1">
        <v>41682</v>
      </c>
      <c r="D4429" t="s">
        <v>28785</v>
      </c>
      <c r="E4429" t="s">
        <v>28786</v>
      </c>
      <c r="F4429" t="s">
        <v>8653</v>
      </c>
      <c r="G4429" t="s">
        <v>28564</v>
      </c>
      <c r="H4429" t="s">
        <v>71</v>
      </c>
      <c r="I4429" t="s">
        <v>19</v>
      </c>
      <c r="J4429" s="3">
        <v>558698051863</v>
      </c>
      <c r="K4429" t="s">
        <v>28565</v>
      </c>
      <c r="L4429" t="s">
        <v>22228</v>
      </c>
      <c r="M4429" t="s">
        <v>1775</v>
      </c>
    </row>
    <row r="4430" spans="1:13" x14ac:dyDescent="0.25">
      <c r="A4430" t="s">
        <v>9365</v>
      </c>
      <c r="B4430" t="s">
        <v>13</v>
      </c>
      <c r="C4430" s="1">
        <v>43871</v>
      </c>
      <c r="D4430" t="s">
        <v>9366</v>
      </c>
      <c r="E4430" s="2" t="s">
        <v>31568</v>
      </c>
      <c r="F4430" t="s">
        <v>1464</v>
      </c>
      <c r="G4430" t="s">
        <v>9368</v>
      </c>
      <c r="H4430" t="s">
        <v>88</v>
      </c>
      <c r="I4430" t="s">
        <v>19</v>
      </c>
      <c r="J4430" s="3" t="s">
        <v>9369</v>
      </c>
      <c r="K4430" t="s">
        <v>9370</v>
      </c>
      <c r="L4430" t="s">
        <v>91</v>
      </c>
      <c r="M4430" t="s">
        <v>32185</v>
      </c>
    </row>
    <row r="4431" spans="1:13" x14ac:dyDescent="0.25">
      <c r="A4431" t="s">
        <v>1532</v>
      </c>
      <c r="B4431" t="s">
        <v>13</v>
      </c>
      <c r="C4431" t="s">
        <v>1533</v>
      </c>
      <c r="D4431" t="s">
        <v>1534</v>
      </c>
      <c r="E4431" t="s">
        <v>1535</v>
      </c>
      <c r="F4431" t="s">
        <v>34</v>
      </c>
      <c r="G4431" t="s">
        <v>1536</v>
      </c>
      <c r="H4431" t="s">
        <v>1537</v>
      </c>
      <c r="I4431" t="s">
        <v>19</v>
      </c>
      <c r="J4431" s="3" t="s">
        <v>1538</v>
      </c>
      <c r="K4431" t="s">
        <v>1539</v>
      </c>
      <c r="L4431" t="s">
        <v>1540</v>
      </c>
      <c r="M4431" t="s">
        <v>1775</v>
      </c>
    </row>
    <row r="4432" spans="1:13" x14ac:dyDescent="0.25">
      <c r="A4432" t="s">
        <v>29074</v>
      </c>
      <c r="B4432" t="s">
        <v>13</v>
      </c>
      <c r="C4432" s="1">
        <v>41676</v>
      </c>
      <c r="D4432" t="s">
        <v>29075</v>
      </c>
      <c r="E4432" s="2" t="s">
        <v>32591</v>
      </c>
      <c r="F4432" t="s">
        <v>306</v>
      </c>
      <c r="G4432" t="s">
        <v>29076</v>
      </c>
      <c r="H4432" t="s">
        <v>472</v>
      </c>
      <c r="I4432" t="s">
        <v>19</v>
      </c>
      <c r="J4432" s="3">
        <v>558133206475</v>
      </c>
      <c r="K4432" t="s">
        <v>29077</v>
      </c>
      <c r="L4432" t="s">
        <v>824</v>
      </c>
      <c r="M4432" t="s">
        <v>32145</v>
      </c>
    </row>
    <row r="4433" spans="1:13" x14ac:dyDescent="0.25">
      <c r="A4433" t="s">
        <v>19684</v>
      </c>
      <c r="B4433" t="s">
        <v>101</v>
      </c>
      <c r="C4433" s="1">
        <v>43443</v>
      </c>
      <c r="D4433" t="s">
        <v>19685</v>
      </c>
      <c r="E4433" s="2" t="s">
        <v>31748</v>
      </c>
      <c r="F4433" t="s">
        <v>1464</v>
      </c>
      <c r="G4433" t="s">
        <v>19686</v>
      </c>
      <c r="H4433" t="s">
        <v>36</v>
      </c>
      <c r="I4433" t="s">
        <v>19</v>
      </c>
      <c r="J4433" s="3" t="s">
        <v>19687</v>
      </c>
      <c r="K4433" t="s">
        <v>19688</v>
      </c>
      <c r="L4433" t="s">
        <v>1834</v>
      </c>
      <c r="M4433" t="s">
        <v>1775</v>
      </c>
    </row>
    <row r="4434" spans="1:13" x14ac:dyDescent="0.25">
      <c r="A4434" t="s">
        <v>26607</v>
      </c>
      <c r="B4434" t="s">
        <v>101</v>
      </c>
      <c r="C4434" s="1">
        <v>42494</v>
      </c>
      <c r="D4434" t="s">
        <v>26608</v>
      </c>
      <c r="E4434" t="s">
        <v>26609</v>
      </c>
      <c r="F4434" t="s">
        <v>1775</v>
      </c>
      <c r="G4434" t="s">
        <v>26610</v>
      </c>
      <c r="H4434" t="s">
        <v>352</v>
      </c>
      <c r="I4434" t="s">
        <v>19</v>
      </c>
      <c r="J4434" s="3" t="s">
        <v>26611</v>
      </c>
      <c r="K4434" t="s">
        <v>26612</v>
      </c>
      <c r="L4434" t="s">
        <v>1232</v>
      </c>
      <c r="M4434" t="s">
        <v>1775</v>
      </c>
    </row>
    <row r="4435" spans="1:13" x14ac:dyDescent="0.25">
      <c r="A4435" t="s">
        <v>25491</v>
      </c>
      <c r="B4435" t="s">
        <v>13</v>
      </c>
      <c r="C4435" s="1">
        <v>42713</v>
      </c>
      <c r="D4435" t="s">
        <v>25492</v>
      </c>
      <c r="E4435" t="s">
        <v>25493</v>
      </c>
      <c r="F4435" t="s">
        <v>1464</v>
      </c>
      <c r="G4435" t="s">
        <v>25494</v>
      </c>
      <c r="H4435" t="s">
        <v>25495</v>
      </c>
      <c r="I4435" t="s">
        <v>19</v>
      </c>
      <c r="J4435" s="3" t="s">
        <v>25496</v>
      </c>
      <c r="K4435" t="s">
        <v>25497</v>
      </c>
      <c r="L4435" t="s">
        <v>1658</v>
      </c>
      <c r="M4435" t="s">
        <v>57</v>
      </c>
    </row>
    <row r="4436" spans="1:13" x14ac:dyDescent="0.25">
      <c r="A4436" t="s">
        <v>19106</v>
      </c>
      <c r="B4436" t="s">
        <v>13</v>
      </c>
      <c r="C4436" s="1">
        <v>43262</v>
      </c>
      <c r="D4436" t="s">
        <v>19107</v>
      </c>
      <c r="E4436" t="s">
        <v>4960</v>
      </c>
      <c r="F4436" t="s">
        <v>1464</v>
      </c>
      <c r="G4436" t="s">
        <v>19108</v>
      </c>
      <c r="H4436" t="s">
        <v>991</v>
      </c>
      <c r="I4436" t="s">
        <v>19</v>
      </c>
      <c r="J4436" s="3">
        <f>55-51-99781067</f>
        <v>-99781063</v>
      </c>
      <c r="K4436" t="s">
        <v>19109</v>
      </c>
      <c r="L4436" t="s">
        <v>993</v>
      </c>
      <c r="M4436" t="s">
        <v>1775</v>
      </c>
    </row>
    <row r="4437" spans="1:13" x14ac:dyDescent="0.25">
      <c r="A4437" t="s">
        <v>6463</v>
      </c>
      <c r="B4437" t="s">
        <v>13</v>
      </c>
      <c r="C4437" s="1">
        <v>44024</v>
      </c>
      <c r="D4437" t="s">
        <v>6464</v>
      </c>
      <c r="E4437" s="2" t="s">
        <v>30894</v>
      </c>
      <c r="F4437" t="s">
        <v>1129</v>
      </c>
      <c r="G4437" t="s">
        <v>6465</v>
      </c>
      <c r="H4437" t="s">
        <v>265</v>
      </c>
      <c r="I4437" t="s">
        <v>19</v>
      </c>
      <c r="J4437" s="3" t="s">
        <v>6466</v>
      </c>
      <c r="K4437" t="s">
        <v>6467</v>
      </c>
      <c r="L4437" t="s">
        <v>32135</v>
      </c>
      <c r="M4437" t="s">
        <v>224</v>
      </c>
    </row>
    <row r="4438" spans="1:13" x14ac:dyDescent="0.25">
      <c r="A4438" t="s">
        <v>10765</v>
      </c>
      <c r="B4438" t="s">
        <v>13</v>
      </c>
      <c r="C4438" t="s">
        <v>10729</v>
      </c>
      <c r="D4438" t="s">
        <v>10766</v>
      </c>
      <c r="E4438" t="s">
        <v>10767</v>
      </c>
      <c r="F4438" t="s">
        <v>2036</v>
      </c>
      <c r="G4438" t="s">
        <v>10768</v>
      </c>
      <c r="H4438" t="s">
        <v>10769</v>
      </c>
      <c r="I4438" t="s">
        <v>19</v>
      </c>
      <c r="J4438" s="3" t="s">
        <v>10770</v>
      </c>
      <c r="K4438" t="s">
        <v>10771</v>
      </c>
      <c r="L4438" t="s">
        <v>1469</v>
      </c>
      <c r="M4438" t="s">
        <v>57</v>
      </c>
    </row>
    <row r="4439" spans="1:13" x14ac:dyDescent="0.25">
      <c r="A4439" t="s">
        <v>19150</v>
      </c>
      <c r="B4439" t="s">
        <v>13</v>
      </c>
      <c r="C4439" t="s">
        <v>19139</v>
      </c>
      <c r="D4439" t="s">
        <v>19151</v>
      </c>
      <c r="E4439" s="2" t="s">
        <v>31556</v>
      </c>
      <c r="F4439" t="s">
        <v>306</v>
      </c>
      <c r="G4439" t="s">
        <v>19152</v>
      </c>
      <c r="H4439" t="s">
        <v>578</v>
      </c>
      <c r="I4439" t="s">
        <v>19</v>
      </c>
      <c r="J4439" s="3">
        <v>5592981239986</v>
      </c>
      <c r="K4439" t="s">
        <v>19153</v>
      </c>
      <c r="L4439" t="s">
        <v>678</v>
      </c>
      <c r="M4439" t="s">
        <v>32145</v>
      </c>
    </row>
    <row r="4440" spans="1:13" x14ac:dyDescent="0.25">
      <c r="A4440" t="s">
        <v>346</v>
      </c>
      <c r="B4440" t="s">
        <v>13</v>
      </c>
      <c r="C4440" t="s">
        <v>347</v>
      </c>
      <c r="D4440" t="s">
        <v>348</v>
      </c>
      <c r="E4440" t="s">
        <v>349</v>
      </c>
      <c r="F4440" t="s">
        <v>350</v>
      </c>
      <c r="G4440" t="s">
        <v>351</v>
      </c>
      <c r="H4440" t="s">
        <v>352</v>
      </c>
      <c r="I4440" t="s">
        <v>19</v>
      </c>
      <c r="J4440" s="3" t="s">
        <v>353</v>
      </c>
      <c r="K4440" t="s">
        <v>354</v>
      </c>
      <c r="L4440" t="s">
        <v>355</v>
      </c>
      <c r="M4440" t="s">
        <v>32144</v>
      </c>
    </row>
    <row r="4441" spans="1:13" x14ac:dyDescent="0.25">
      <c r="A4441" t="s">
        <v>3539</v>
      </c>
      <c r="B4441" t="s">
        <v>101</v>
      </c>
      <c r="C4441" t="s">
        <v>3531</v>
      </c>
      <c r="D4441" t="s">
        <v>3540</v>
      </c>
      <c r="E4441" t="s">
        <v>3541</v>
      </c>
      <c r="F4441" t="s">
        <v>3542</v>
      </c>
      <c r="G4441" t="s">
        <v>3543</v>
      </c>
      <c r="H4441" t="s">
        <v>36</v>
      </c>
      <c r="I4441" t="s">
        <v>19</v>
      </c>
      <c r="J4441" s="3" t="s">
        <v>3544</v>
      </c>
      <c r="K4441" t="s">
        <v>3545</v>
      </c>
      <c r="L4441" t="s">
        <v>197</v>
      </c>
      <c r="M4441" t="s">
        <v>1775</v>
      </c>
    </row>
    <row r="4442" spans="1:13" x14ac:dyDescent="0.25">
      <c r="A4442" t="s">
        <v>21247</v>
      </c>
      <c r="B4442" t="s">
        <v>13</v>
      </c>
      <c r="C4442" t="s">
        <v>14151</v>
      </c>
      <c r="D4442" t="s">
        <v>21248</v>
      </c>
      <c r="E4442" t="s">
        <v>21249</v>
      </c>
      <c r="F4442" t="s">
        <v>1464</v>
      </c>
      <c r="G4442" t="s">
        <v>14950</v>
      </c>
      <c r="H4442" t="s">
        <v>540</v>
      </c>
      <c r="I4442" t="s">
        <v>19</v>
      </c>
      <c r="J4442" s="3">
        <f>55-91-31311708</f>
        <v>-31311744</v>
      </c>
      <c r="K4442" t="s">
        <v>14951</v>
      </c>
      <c r="L4442" t="s">
        <v>8251</v>
      </c>
      <c r="M4442" t="s">
        <v>129</v>
      </c>
    </row>
    <row r="4443" spans="1:13" x14ac:dyDescent="0.25">
      <c r="A4443" t="s">
        <v>14947</v>
      </c>
      <c r="B4443" t="s">
        <v>13</v>
      </c>
      <c r="C4443" t="s">
        <v>6364</v>
      </c>
      <c r="D4443" t="s">
        <v>14948</v>
      </c>
      <c r="E4443" t="s">
        <v>14949</v>
      </c>
      <c r="F4443" t="s">
        <v>8193</v>
      </c>
      <c r="G4443" t="s">
        <v>14950</v>
      </c>
      <c r="H4443" t="s">
        <v>540</v>
      </c>
      <c r="I4443" t="s">
        <v>19</v>
      </c>
      <c r="J4443" s="3">
        <f>55-91-31311708</f>
        <v>-31311744</v>
      </c>
      <c r="K4443" t="s">
        <v>14951</v>
      </c>
      <c r="L4443" t="s">
        <v>8251</v>
      </c>
      <c r="M4443" t="s">
        <v>129</v>
      </c>
    </row>
    <row r="4444" spans="1:13" x14ac:dyDescent="0.25">
      <c r="A4444" t="s">
        <v>17402</v>
      </c>
      <c r="B4444" t="s">
        <v>13</v>
      </c>
      <c r="C4444" s="1">
        <v>43561</v>
      </c>
      <c r="D4444" t="s">
        <v>17403</v>
      </c>
      <c r="E4444" t="s">
        <v>6042</v>
      </c>
      <c r="F4444" t="s">
        <v>1464</v>
      </c>
      <c r="G4444" t="s">
        <v>17404</v>
      </c>
      <c r="H4444" t="s">
        <v>17405</v>
      </c>
      <c r="I4444" t="s">
        <v>19</v>
      </c>
      <c r="J4444" s="3" t="s">
        <v>17406</v>
      </c>
      <c r="K4444" t="s">
        <v>17407</v>
      </c>
      <c r="L4444" t="s">
        <v>439</v>
      </c>
      <c r="M4444" t="s">
        <v>771</v>
      </c>
    </row>
    <row r="4445" spans="1:13" x14ac:dyDescent="0.25">
      <c r="A4445" t="s">
        <v>21391</v>
      </c>
      <c r="B4445" t="s">
        <v>13</v>
      </c>
      <c r="C4445" t="s">
        <v>7645</v>
      </c>
      <c r="D4445" t="s">
        <v>21392</v>
      </c>
      <c r="E4445" s="2" t="s">
        <v>32592</v>
      </c>
      <c r="F4445" t="s">
        <v>2947</v>
      </c>
      <c r="G4445" t="s">
        <v>21393</v>
      </c>
      <c r="H4445" t="s">
        <v>21394</v>
      </c>
      <c r="I4445" t="s">
        <v>19</v>
      </c>
      <c r="J4445" s="3">
        <f>55-86-981518706</f>
        <v>-981518737</v>
      </c>
      <c r="K4445" t="s">
        <v>21395</v>
      </c>
      <c r="L4445" t="s">
        <v>21396</v>
      </c>
      <c r="M4445" t="s">
        <v>771</v>
      </c>
    </row>
    <row r="4446" spans="1:13" x14ac:dyDescent="0.25">
      <c r="A4446" t="s">
        <v>24941</v>
      </c>
      <c r="B4446" t="s">
        <v>13</v>
      </c>
      <c r="C4446" t="s">
        <v>24942</v>
      </c>
      <c r="D4446">
        <v>111111638580</v>
      </c>
      <c r="E4446" t="s">
        <v>24943</v>
      </c>
      <c r="F4446" t="s">
        <v>785</v>
      </c>
      <c r="G4446" t="s">
        <v>24944</v>
      </c>
      <c r="H4446" t="s">
        <v>472</v>
      </c>
      <c r="I4446" t="s">
        <v>19</v>
      </c>
      <c r="J4446" s="3">
        <v>558134294719</v>
      </c>
      <c r="K4446" t="s">
        <v>24945</v>
      </c>
      <c r="L4446" t="s">
        <v>2101</v>
      </c>
      <c r="M4446" t="s">
        <v>785</v>
      </c>
    </row>
    <row r="4447" spans="1:13" x14ac:dyDescent="0.25">
      <c r="A4447" t="s">
        <v>12649</v>
      </c>
      <c r="B4447" t="s">
        <v>101</v>
      </c>
      <c r="C4447" t="s">
        <v>7461</v>
      </c>
      <c r="D4447" t="s">
        <v>12650</v>
      </c>
      <c r="E4447" t="s">
        <v>32593</v>
      </c>
      <c r="F4447" t="s">
        <v>1775</v>
      </c>
      <c r="G4447" t="s">
        <v>12651</v>
      </c>
      <c r="H4447" t="s">
        <v>150</v>
      </c>
      <c r="I4447" t="s">
        <v>19</v>
      </c>
      <c r="J4447" s="3">
        <v>11994457307</v>
      </c>
      <c r="K4447" t="s">
        <v>12652</v>
      </c>
      <c r="L4447" t="s">
        <v>12653</v>
      </c>
      <c r="M4447" t="s">
        <v>1775</v>
      </c>
    </row>
    <row r="4448" spans="1:13" x14ac:dyDescent="0.25">
      <c r="A4448" t="s">
        <v>21100</v>
      </c>
      <c r="B4448" t="s">
        <v>101</v>
      </c>
      <c r="C4448" s="1">
        <v>43287</v>
      </c>
      <c r="D4448" t="s">
        <v>21101</v>
      </c>
      <c r="E4448" t="s">
        <v>21102</v>
      </c>
      <c r="F4448" t="s">
        <v>8193</v>
      </c>
      <c r="G4448" t="s">
        <v>16109</v>
      </c>
      <c r="H4448" t="s">
        <v>927</v>
      </c>
      <c r="I4448" t="s">
        <v>19</v>
      </c>
      <c r="J4448" s="3" t="s">
        <v>21103</v>
      </c>
      <c r="K4448" t="s">
        <v>16111</v>
      </c>
      <c r="L4448" t="s">
        <v>439</v>
      </c>
      <c r="M4448" t="s">
        <v>129</v>
      </c>
    </row>
    <row r="4449" spans="1:13" x14ac:dyDescent="0.25">
      <c r="A4449" t="s">
        <v>12714</v>
      </c>
      <c r="B4449" t="s">
        <v>13</v>
      </c>
      <c r="C4449" t="s">
        <v>8942</v>
      </c>
      <c r="D4449" t="s">
        <v>12715</v>
      </c>
      <c r="E4449" s="2" t="s">
        <v>31051</v>
      </c>
      <c r="F4449" t="s">
        <v>2036</v>
      </c>
      <c r="G4449" t="s">
        <v>12716</v>
      </c>
      <c r="H4449" t="s">
        <v>661</v>
      </c>
      <c r="I4449" t="s">
        <v>19</v>
      </c>
      <c r="J4449" s="3">
        <f>55-44-30276360</f>
        <v>-30276349</v>
      </c>
      <c r="K4449" t="s">
        <v>12717</v>
      </c>
      <c r="L4449" t="s">
        <v>7620</v>
      </c>
      <c r="M4449" t="s">
        <v>57</v>
      </c>
    </row>
    <row r="4450" spans="1:13" x14ac:dyDescent="0.25">
      <c r="A4450" t="s">
        <v>10203</v>
      </c>
      <c r="B4450" t="s">
        <v>13</v>
      </c>
      <c r="C4450" t="s">
        <v>10191</v>
      </c>
      <c r="D4450" t="s">
        <v>10204</v>
      </c>
      <c r="E4450" t="s">
        <v>10205</v>
      </c>
      <c r="F4450" t="s">
        <v>57</v>
      </c>
      <c r="G4450" t="s">
        <v>10206</v>
      </c>
      <c r="H4450" t="s">
        <v>927</v>
      </c>
      <c r="I4450" t="s">
        <v>19</v>
      </c>
      <c r="J4450" s="3" t="s">
        <v>10207</v>
      </c>
      <c r="K4450" t="s">
        <v>10208</v>
      </c>
      <c r="L4450" t="s">
        <v>439</v>
      </c>
      <c r="M4450" t="s">
        <v>57</v>
      </c>
    </row>
    <row r="4451" spans="1:13" x14ac:dyDescent="0.25">
      <c r="A4451" t="s">
        <v>28957</v>
      </c>
      <c r="B4451" t="s">
        <v>13</v>
      </c>
      <c r="C4451" s="1">
        <v>41981</v>
      </c>
      <c r="D4451" t="s">
        <v>28958</v>
      </c>
      <c r="E4451" t="s">
        <v>10205</v>
      </c>
      <c r="F4451" t="s">
        <v>2036</v>
      </c>
      <c r="G4451" t="s">
        <v>28959</v>
      </c>
      <c r="H4451" t="s">
        <v>927</v>
      </c>
      <c r="I4451" t="s">
        <v>19</v>
      </c>
      <c r="J4451" s="3" t="s">
        <v>28960</v>
      </c>
      <c r="K4451" t="s">
        <v>28961</v>
      </c>
      <c r="L4451" t="s">
        <v>439</v>
      </c>
      <c r="M4451" t="s">
        <v>57</v>
      </c>
    </row>
    <row r="4452" spans="1:13" x14ac:dyDescent="0.25">
      <c r="A4452" t="s">
        <v>20164</v>
      </c>
      <c r="B4452" t="s">
        <v>13</v>
      </c>
      <c r="C4452" s="1">
        <v>43259</v>
      </c>
      <c r="D4452" t="s">
        <v>20165</v>
      </c>
      <c r="E4452" t="s">
        <v>20166</v>
      </c>
      <c r="F4452" t="s">
        <v>1464</v>
      </c>
      <c r="G4452" t="s">
        <v>16559</v>
      </c>
      <c r="H4452" t="s">
        <v>12120</v>
      </c>
      <c r="I4452" t="s">
        <v>19</v>
      </c>
      <c r="J4452" s="3">
        <f>55-24-981458990</f>
        <v>-981458959</v>
      </c>
      <c r="K4452" t="s">
        <v>16560</v>
      </c>
      <c r="L4452" t="s">
        <v>12122</v>
      </c>
      <c r="M4452" t="s">
        <v>57</v>
      </c>
    </row>
    <row r="4453" spans="1:13" x14ac:dyDescent="0.25">
      <c r="A4453" t="s">
        <v>30624</v>
      </c>
      <c r="B4453" t="s">
        <v>13</v>
      </c>
      <c r="C4453" s="1">
        <v>40640</v>
      </c>
      <c r="D4453" t="s">
        <v>30625</v>
      </c>
      <c r="E4453" t="s">
        <v>30626</v>
      </c>
      <c r="F4453" t="s">
        <v>2036</v>
      </c>
      <c r="G4453" t="s">
        <v>29680</v>
      </c>
      <c r="H4453" t="s">
        <v>706</v>
      </c>
      <c r="I4453" t="s">
        <v>19</v>
      </c>
      <c r="J4453" s="3" t="s">
        <v>30627</v>
      </c>
      <c r="K4453" t="s">
        <v>29683</v>
      </c>
      <c r="L4453" t="s">
        <v>29684</v>
      </c>
      <c r="M4453" t="s">
        <v>57</v>
      </c>
    </row>
    <row r="4454" spans="1:13" x14ac:dyDescent="0.25">
      <c r="A4454" t="s">
        <v>21112</v>
      </c>
      <c r="B4454" t="s">
        <v>13</v>
      </c>
      <c r="C4454" s="1">
        <v>43257</v>
      </c>
      <c r="D4454" t="s">
        <v>21113</v>
      </c>
      <c r="E4454" s="2" t="s">
        <v>31704</v>
      </c>
      <c r="F4454" t="s">
        <v>57</v>
      </c>
      <c r="G4454" t="s">
        <v>21114</v>
      </c>
      <c r="H4454" t="s">
        <v>927</v>
      </c>
      <c r="I4454" t="s">
        <v>19</v>
      </c>
      <c r="J4454" s="3" t="s">
        <v>21115</v>
      </c>
      <c r="K4454" t="s">
        <v>21116</v>
      </c>
      <c r="L4454" t="s">
        <v>439</v>
      </c>
      <c r="M4454" t="s">
        <v>57</v>
      </c>
    </row>
    <row r="4455" spans="1:13" x14ac:dyDescent="0.25">
      <c r="A4455" t="s">
        <v>25778</v>
      </c>
      <c r="B4455" t="s">
        <v>13</v>
      </c>
      <c r="C4455" t="s">
        <v>25779</v>
      </c>
      <c r="D4455" t="s">
        <v>25780</v>
      </c>
      <c r="E4455" t="s">
        <v>25781</v>
      </c>
      <c r="F4455" t="s">
        <v>741</v>
      </c>
      <c r="G4455" t="s">
        <v>25281</v>
      </c>
      <c r="H4455" t="s">
        <v>16411</v>
      </c>
      <c r="I4455" t="s">
        <v>19</v>
      </c>
      <c r="J4455" s="3" t="s">
        <v>25282</v>
      </c>
      <c r="K4455" t="s">
        <v>25283</v>
      </c>
      <c r="L4455" t="s">
        <v>25284</v>
      </c>
      <c r="M4455" t="s">
        <v>741</v>
      </c>
    </row>
    <row r="4456" spans="1:13" x14ac:dyDescent="0.25">
      <c r="A4456" t="s">
        <v>27017</v>
      </c>
      <c r="B4456" t="s">
        <v>13</v>
      </c>
      <c r="C4456" t="s">
        <v>26006</v>
      </c>
      <c r="D4456" t="s">
        <v>27018</v>
      </c>
      <c r="E4456" t="s">
        <v>27019</v>
      </c>
      <c r="F4456" t="s">
        <v>1190</v>
      </c>
      <c r="G4456" t="s">
        <v>27020</v>
      </c>
      <c r="H4456" t="s">
        <v>71</v>
      </c>
      <c r="I4456" t="s">
        <v>19</v>
      </c>
      <c r="J4456" s="3" t="s">
        <v>27021</v>
      </c>
      <c r="K4456" t="s">
        <v>27022</v>
      </c>
      <c r="L4456" t="s">
        <v>27023</v>
      </c>
      <c r="M4456" t="s">
        <v>432</v>
      </c>
    </row>
    <row r="4457" spans="1:13" x14ac:dyDescent="0.25">
      <c r="A4457" t="s">
        <v>4652</v>
      </c>
      <c r="B4457" t="s">
        <v>101</v>
      </c>
      <c r="C4457" t="s">
        <v>4625</v>
      </c>
      <c r="D4457" t="s">
        <v>4653</v>
      </c>
      <c r="E4457" t="s">
        <v>1483</v>
      </c>
      <c r="F4457" t="s">
        <v>658</v>
      </c>
      <c r="G4457" t="s">
        <v>3221</v>
      </c>
      <c r="H4457" t="s">
        <v>3222</v>
      </c>
      <c r="I4457" t="s">
        <v>19</v>
      </c>
      <c r="J4457" s="3" t="s">
        <v>3223</v>
      </c>
      <c r="K4457" t="s">
        <v>3224</v>
      </c>
      <c r="L4457" t="s">
        <v>3225</v>
      </c>
      <c r="M4457" t="s">
        <v>57</v>
      </c>
    </row>
    <row r="4458" spans="1:13" x14ac:dyDescent="0.25">
      <c r="A4458" t="s">
        <v>1481</v>
      </c>
      <c r="B4458" t="s">
        <v>13</v>
      </c>
      <c r="C4458" s="1">
        <v>44631</v>
      </c>
      <c r="D4458" t="s">
        <v>1482</v>
      </c>
      <c r="E4458" s="2" t="s">
        <v>30709</v>
      </c>
      <c r="F4458" t="s">
        <v>1484</v>
      </c>
      <c r="G4458" t="s">
        <v>1485</v>
      </c>
      <c r="H4458" t="s">
        <v>1486</v>
      </c>
      <c r="I4458" t="s">
        <v>19</v>
      </c>
      <c r="J4458" s="3" t="s">
        <v>1487</v>
      </c>
      <c r="K4458" t="s">
        <v>1488</v>
      </c>
      <c r="L4458" t="s">
        <v>1489</v>
      </c>
      <c r="M4458" t="s">
        <v>1775</v>
      </c>
    </row>
    <row r="4459" spans="1:13" x14ac:dyDescent="0.25">
      <c r="A4459" t="s">
        <v>19312</v>
      </c>
      <c r="B4459" t="s">
        <v>13</v>
      </c>
      <c r="C4459" s="1">
        <v>43383</v>
      </c>
      <c r="D4459" t="s">
        <v>19313</v>
      </c>
      <c r="E4459" t="s">
        <v>3906</v>
      </c>
      <c r="F4459" t="s">
        <v>432</v>
      </c>
      <c r="G4459" t="s">
        <v>19314</v>
      </c>
      <c r="H4459" t="s">
        <v>18</v>
      </c>
      <c r="I4459" t="s">
        <v>19</v>
      </c>
      <c r="J4459" s="3">
        <f>55-19-35217767</f>
        <v>-35217731</v>
      </c>
      <c r="K4459" t="s">
        <v>19315</v>
      </c>
      <c r="L4459" t="s">
        <v>19316</v>
      </c>
      <c r="M4459" t="s">
        <v>32162</v>
      </c>
    </row>
    <row r="4460" spans="1:13" x14ac:dyDescent="0.25">
      <c r="A4460" t="s">
        <v>3905</v>
      </c>
      <c r="B4460" t="s">
        <v>13</v>
      </c>
      <c r="C4460" t="s">
        <v>3893</v>
      </c>
      <c r="D4460" t="s">
        <v>32135</v>
      </c>
      <c r="E4460" t="s">
        <v>3906</v>
      </c>
      <c r="F4460" t="s">
        <v>2021</v>
      </c>
      <c r="G4460" t="s">
        <v>3907</v>
      </c>
      <c r="H4460" t="s">
        <v>71</v>
      </c>
      <c r="I4460" t="s">
        <v>19</v>
      </c>
      <c r="J4460" s="3" t="s">
        <v>3908</v>
      </c>
      <c r="K4460" t="s">
        <v>3909</v>
      </c>
      <c r="L4460" t="s">
        <v>74</v>
      </c>
      <c r="M4460" t="s">
        <v>32162</v>
      </c>
    </row>
    <row r="4461" spans="1:13" x14ac:dyDescent="0.25">
      <c r="A4461" t="s">
        <v>3682</v>
      </c>
      <c r="B4461" t="s">
        <v>13</v>
      </c>
      <c r="C4461" s="1">
        <v>44717</v>
      </c>
      <c r="D4461" t="s">
        <v>3683</v>
      </c>
      <c r="E4461" t="s">
        <v>3684</v>
      </c>
      <c r="F4461" t="s">
        <v>3685</v>
      </c>
      <c r="G4461" t="s">
        <v>3686</v>
      </c>
      <c r="H4461" t="s">
        <v>409</v>
      </c>
      <c r="I4461" t="s">
        <v>19</v>
      </c>
      <c r="J4461" s="3" t="s">
        <v>3687</v>
      </c>
      <c r="K4461" t="s">
        <v>3688</v>
      </c>
      <c r="L4461" t="s">
        <v>412</v>
      </c>
      <c r="M4461" t="s">
        <v>32162</v>
      </c>
    </row>
    <row r="4462" spans="1:13" x14ac:dyDescent="0.25">
      <c r="A4462" t="s">
        <v>30554</v>
      </c>
      <c r="B4462" t="s">
        <v>13</v>
      </c>
      <c r="C4462" s="1">
        <v>40733</v>
      </c>
      <c r="D4462" t="s">
        <v>30555</v>
      </c>
      <c r="E4462" t="s">
        <v>3684</v>
      </c>
      <c r="F4462" t="s">
        <v>1190</v>
      </c>
      <c r="G4462" t="s">
        <v>30556</v>
      </c>
      <c r="H4462" t="s">
        <v>1047</v>
      </c>
      <c r="I4462" t="s">
        <v>19</v>
      </c>
      <c r="J4462" s="3" t="s">
        <v>30557</v>
      </c>
      <c r="K4462" t="s">
        <v>30558</v>
      </c>
      <c r="L4462" t="s">
        <v>30559</v>
      </c>
      <c r="M4462" t="s">
        <v>32162</v>
      </c>
    </row>
    <row r="4463" spans="1:13" x14ac:dyDescent="0.25">
      <c r="A4463" t="s">
        <v>9118</v>
      </c>
      <c r="B4463" t="s">
        <v>13</v>
      </c>
      <c r="C4463" s="1">
        <v>43993</v>
      </c>
      <c r="D4463" t="s">
        <v>9119</v>
      </c>
      <c r="E4463" s="2" t="s">
        <v>30971</v>
      </c>
      <c r="F4463" t="s">
        <v>2631</v>
      </c>
      <c r="G4463" t="s">
        <v>9120</v>
      </c>
      <c r="H4463" t="s">
        <v>706</v>
      </c>
      <c r="I4463" t="s">
        <v>19</v>
      </c>
      <c r="J4463" s="3">
        <v>553133285000</v>
      </c>
      <c r="K4463" t="s">
        <v>9121</v>
      </c>
      <c r="L4463" t="s">
        <v>9122</v>
      </c>
      <c r="M4463" t="s">
        <v>32162</v>
      </c>
    </row>
    <row r="4464" spans="1:13" x14ac:dyDescent="0.25">
      <c r="A4464" t="s">
        <v>6693</v>
      </c>
      <c r="B4464" t="s">
        <v>13</v>
      </c>
      <c r="C4464" s="1">
        <v>44508</v>
      </c>
      <c r="D4464" t="s">
        <v>32135</v>
      </c>
      <c r="E4464" t="s">
        <v>6694</v>
      </c>
      <c r="F4464" t="s">
        <v>6695</v>
      </c>
      <c r="G4464" t="s">
        <v>6696</v>
      </c>
      <c r="H4464" t="s">
        <v>6697</v>
      </c>
      <c r="I4464" t="s">
        <v>6698</v>
      </c>
      <c r="J4464" s="3">
        <f>92-334-3266804</f>
        <v>-3267046</v>
      </c>
      <c r="K4464" t="s">
        <v>6699</v>
      </c>
      <c r="L4464" t="s">
        <v>32135</v>
      </c>
      <c r="M4464" t="s">
        <v>32162</v>
      </c>
    </row>
    <row r="4465" spans="1:13" x14ac:dyDescent="0.25">
      <c r="A4465" t="s">
        <v>2838</v>
      </c>
      <c r="B4465" t="s">
        <v>13</v>
      </c>
      <c r="C4465" t="s">
        <v>2839</v>
      </c>
      <c r="D4465" t="s">
        <v>2840</v>
      </c>
      <c r="E4465" s="2" t="s">
        <v>30753</v>
      </c>
      <c r="F4465" t="s">
        <v>2182</v>
      </c>
      <c r="G4465" t="s">
        <v>2841</v>
      </c>
      <c r="H4465" t="s">
        <v>2842</v>
      </c>
      <c r="I4465" t="s">
        <v>19</v>
      </c>
      <c r="J4465" s="3" t="s">
        <v>2843</v>
      </c>
      <c r="K4465" t="s">
        <v>2844</v>
      </c>
      <c r="L4465" t="s">
        <v>2845</v>
      </c>
      <c r="M4465" t="s">
        <v>32162</v>
      </c>
    </row>
    <row r="4466" spans="1:13" x14ac:dyDescent="0.25">
      <c r="A4466" t="s">
        <v>28509</v>
      </c>
      <c r="B4466" t="s">
        <v>13</v>
      </c>
      <c r="C4466" t="s">
        <v>28503</v>
      </c>
      <c r="D4466" t="s">
        <v>28510</v>
      </c>
      <c r="E4466" t="s">
        <v>28511</v>
      </c>
      <c r="F4466" t="s">
        <v>1190</v>
      </c>
      <c r="G4466" t="s">
        <v>28512</v>
      </c>
      <c r="H4466" t="s">
        <v>18</v>
      </c>
      <c r="I4466" t="s">
        <v>19</v>
      </c>
      <c r="J4466" s="3" t="s">
        <v>28513</v>
      </c>
      <c r="K4466" t="s">
        <v>28514</v>
      </c>
      <c r="L4466" t="s">
        <v>1858</v>
      </c>
      <c r="M4466" t="s">
        <v>32162</v>
      </c>
    </row>
    <row r="4467" spans="1:13" x14ac:dyDescent="0.25">
      <c r="A4467" t="s">
        <v>18338</v>
      </c>
      <c r="B4467" t="s">
        <v>13</v>
      </c>
      <c r="C4467" t="s">
        <v>18339</v>
      </c>
      <c r="D4467" t="s">
        <v>18340</v>
      </c>
      <c r="E4467" t="s">
        <v>18341</v>
      </c>
      <c r="G4467" t="s">
        <v>18342</v>
      </c>
      <c r="H4467" t="s">
        <v>6100</v>
      </c>
      <c r="I4467" t="s">
        <v>19</v>
      </c>
      <c r="J4467" s="3">
        <f>55-96-32270017</f>
        <v>-32270058</v>
      </c>
      <c r="K4467" t="s">
        <v>18343</v>
      </c>
      <c r="L4467" t="s">
        <v>9430</v>
      </c>
      <c r="M4467" t="s">
        <v>32162</v>
      </c>
    </row>
    <row r="4468" spans="1:13" x14ac:dyDescent="0.25">
      <c r="A4468" t="s">
        <v>7802</v>
      </c>
      <c r="B4468" t="s">
        <v>13</v>
      </c>
      <c r="C4468" s="1">
        <v>44412</v>
      </c>
      <c r="D4468" t="s">
        <v>32135</v>
      </c>
      <c r="E4468" t="s">
        <v>7803</v>
      </c>
      <c r="F4468" t="s">
        <v>3906</v>
      </c>
      <c r="G4468" t="s">
        <v>7804</v>
      </c>
      <c r="H4468" t="s">
        <v>936</v>
      </c>
      <c r="I4468" t="s">
        <v>19</v>
      </c>
      <c r="J4468" s="3">
        <v>7138795624</v>
      </c>
      <c r="K4468" t="s">
        <v>7805</v>
      </c>
      <c r="L4468" t="s">
        <v>32135</v>
      </c>
      <c r="M4468" t="s">
        <v>32162</v>
      </c>
    </row>
    <row r="4469" spans="1:13" x14ac:dyDescent="0.25">
      <c r="A4469" t="s">
        <v>27526</v>
      </c>
      <c r="B4469" t="s">
        <v>13</v>
      </c>
      <c r="C4469" t="s">
        <v>22654</v>
      </c>
      <c r="D4469" t="s">
        <v>27527</v>
      </c>
      <c r="E4469" t="s">
        <v>27528</v>
      </c>
      <c r="F4469" t="s">
        <v>1190</v>
      </c>
      <c r="G4469" t="s">
        <v>21523</v>
      </c>
      <c r="H4469" t="s">
        <v>36</v>
      </c>
      <c r="I4469" t="s">
        <v>19</v>
      </c>
      <c r="J4469" s="3" t="s">
        <v>27529</v>
      </c>
      <c r="K4469" t="s">
        <v>21524</v>
      </c>
      <c r="L4469" t="s">
        <v>21525</v>
      </c>
      <c r="M4469" t="s">
        <v>32162</v>
      </c>
    </row>
    <row r="4470" spans="1:13" x14ac:dyDescent="0.25">
      <c r="A4470" t="s">
        <v>14910</v>
      </c>
      <c r="B4470" t="s">
        <v>13</v>
      </c>
      <c r="C4470" t="s">
        <v>14908</v>
      </c>
      <c r="D4470" t="s">
        <v>14911</v>
      </c>
      <c r="E4470" t="s">
        <v>14912</v>
      </c>
      <c r="F4470" t="s">
        <v>432</v>
      </c>
      <c r="G4470" t="s">
        <v>14913</v>
      </c>
      <c r="H4470" t="s">
        <v>150</v>
      </c>
      <c r="I4470" t="s">
        <v>19</v>
      </c>
      <c r="J4470" s="3">
        <f>55-11-35449444</f>
        <v>-35449400</v>
      </c>
      <c r="K4470" t="s">
        <v>14914</v>
      </c>
      <c r="L4470" t="s">
        <v>14915</v>
      </c>
      <c r="M4470" t="s">
        <v>432</v>
      </c>
    </row>
    <row r="4471" spans="1:13" x14ac:dyDescent="0.25">
      <c r="A4471" t="s">
        <v>25006</v>
      </c>
      <c r="B4471" t="s">
        <v>13</v>
      </c>
      <c r="C4471" s="1">
        <v>42594</v>
      </c>
      <c r="D4471" t="s">
        <v>25007</v>
      </c>
      <c r="E4471" t="s">
        <v>25008</v>
      </c>
      <c r="F4471" t="s">
        <v>129</v>
      </c>
      <c r="G4471" t="s">
        <v>25009</v>
      </c>
      <c r="H4471" t="s">
        <v>36</v>
      </c>
      <c r="I4471" t="s">
        <v>19</v>
      </c>
      <c r="J4471" s="3" t="s">
        <v>25010</v>
      </c>
      <c r="K4471" t="s">
        <v>25011</v>
      </c>
      <c r="L4471" t="s">
        <v>439</v>
      </c>
      <c r="M4471" t="s">
        <v>129</v>
      </c>
    </row>
    <row r="4472" spans="1:13" x14ac:dyDescent="0.25">
      <c r="A4472" t="s">
        <v>16263</v>
      </c>
      <c r="B4472" t="s">
        <v>13</v>
      </c>
      <c r="C4472" s="1">
        <v>43594</v>
      </c>
      <c r="D4472" t="s">
        <v>16264</v>
      </c>
      <c r="E4472" t="s">
        <v>32594</v>
      </c>
      <c r="F4472" t="s">
        <v>306</v>
      </c>
      <c r="G4472" t="s">
        <v>16265</v>
      </c>
      <c r="H4472" t="s">
        <v>706</v>
      </c>
      <c r="I4472" t="s">
        <v>19</v>
      </c>
      <c r="J4472" s="3" t="s">
        <v>16266</v>
      </c>
      <c r="K4472" t="s">
        <v>16267</v>
      </c>
      <c r="L4472" t="s">
        <v>3966</v>
      </c>
      <c r="M4472" t="s">
        <v>32145</v>
      </c>
    </row>
    <row r="4473" spans="1:13" x14ac:dyDescent="0.25">
      <c r="A4473" t="s">
        <v>24063</v>
      </c>
      <c r="B4473" t="s">
        <v>13</v>
      </c>
      <c r="C4473" s="1">
        <v>42832</v>
      </c>
      <c r="D4473" t="s">
        <v>24064</v>
      </c>
      <c r="E4473" t="s">
        <v>1846</v>
      </c>
      <c r="F4473" t="s">
        <v>129</v>
      </c>
      <c r="G4473" t="s">
        <v>24065</v>
      </c>
      <c r="H4473" t="s">
        <v>706</v>
      </c>
      <c r="I4473" t="s">
        <v>19</v>
      </c>
      <c r="J4473" s="3" t="s">
        <v>24066</v>
      </c>
      <c r="K4473" t="s">
        <v>24067</v>
      </c>
      <c r="L4473" t="s">
        <v>13650</v>
      </c>
      <c r="M4473" t="s">
        <v>129</v>
      </c>
    </row>
    <row r="4474" spans="1:13" x14ac:dyDescent="0.25">
      <c r="A4474" t="s">
        <v>24916</v>
      </c>
      <c r="B4474" t="s">
        <v>13</v>
      </c>
      <c r="C4474" t="s">
        <v>24917</v>
      </c>
      <c r="D4474" t="s">
        <v>24918</v>
      </c>
      <c r="E4474" t="s">
        <v>1846</v>
      </c>
      <c r="F4474" t="s">
        <v>9519</v>
      </c>
      <c r="G4474" t="s">
        <v>11210</v>
      </c>
      <c r="H4474" t="s">
        <v>88</v>
      </c>
      <c r="I4474" t="s">
        <v>19</v>
      </c>
      <c r="J4474" s="3" t="s">
        <v>11211</v>
      </c>
      <c r="K4474" t="s">
        <v>11212</v>
      </c>
      <c r="L4474" t="s">
        <v>764</v>
      </c>
      <c r="M4474" t="s">
        <v>32145</v>
      </c>
    </row>
    <row r="4475" spans="1:13" x14ac:dyDescent="0.25">
      <c r="A4475" t="s">
        <v>12775</v>
      </c>
      <c r="B4475" t="s">
        <v>13</v>
      </c>
      <c r="C4475" t="s">
        <v>12776</v>
      </c>
      <c r="D4475" t="s">
        <v>12777</v>
      </c>
      <c r="E4475" t="s">
        <v>12778</v>
      </c>
      <c r="F4475" t="s">
        <v>9519</v>
      </c>
      <c r="G4475" t="s">
        <v>12779</v>
      </c>
      <c r="H4475" t="s">
        <v>88</v>
      </c>
      <c r="I4475" t="s">
        <v>19</v>
      </c>
      <c r="J4475" s="3">
        <v>5584996193640</v>
      </c>
      <c r="K4475" t="s">
        <v>12780</v>
      </c>
      <c r="L4475" t="s">
        <v>2544</v>
      </c>
      <c r="M4475" t="s">
        <v>32145</v>
      </c>
    </row>
    <row r="4476" spans="1:13" x14ac:dyDescent="0.25">
      <c r="A4476" t="s">
        <v>10663</v>
      </c>
      <c r="B4476" t="s">
        <v>13</v>
      </c>
      <c r="C4476" t="s">
        <v>7057</v>
      </c>
      <c r="D4476" t="s">
        <v>10664</v>
      </c>
      <c r="E4476" t="s">
        <v>10665</v>
      </c>
      <c r="F4476" t="s">
        <v>9519</v>
      </c>
      <c r="G4476" t="s">
        <v>10666</v>
      </c>
      <c r="H4476" t="s">
        <v>88</v>
      </c>
      <c r="I4476" t="s">
        <v>19</v>
      </c>
      <c r="J4476" s="3">
        <v>55999175135</v>
      </c>
      <c r="K4476" t="s">
        <v>10667</v>
      </c>
      <c r="L4476" t="s">
        <v>2544</v>
      </c>
      <c r="M4476" t="s">
        <v>32145</v>
      </c>
    </row>
    <row r="4477" spans="1:13" x14ac:dyDescent="0.25">
      <c r="A4477" t="s">
        <v>28305</v>
      </c>
      <c r="B4477" t="s">
        <v>13</v>
      </c>
      <c r="C4477" s="1">
        <v>41923</v>
      </c>
      <c r="D4477" t="s">
        <v>28306</v>
      </c>
      <c r="E4477" t="s">
        <v>1846</v>
      </c>
      <c r="F4477" t="s">
        <v>117</v>
      </c>
      <c r="G4477" t="s">
        <v>26719</v>
      </c>
      <c r="H4477" t="s">
        <v>265</v>
      </c>
      <c r="I4477" t="s">
        <v>19</v>
      </c>
      <c r="J4477" s="3" t="s">
        <v>26720</v>
      </c>
      <c r="K4477" t="s">
        <v>26721</v>
      </c>
      <c r="L4477" t="s">
        <v>1569</v>
      </c>
      <c r="M4477" t="s">
        <v>32145</v>
      </c>
    </row>
    <row r="4478" spans="1:13" x14ac:dyDescent="0.25">
      <c r="A4478" t="s">
        <v>26818</v>
      </c>
      <c r="B4478" t="s">
        <v>13</v>
      </c>
      <c r="C4478" s="1">
        <v>42554</v>
      </c>
      <c r="D4478" t="s">
        <v>26819</v>
      </c>
      <c r="E4478" t="s">
        <v>1846</v>
      </c>
      <c r="F4478" t="s">
        <v>1464</v>
      </c>
      <c r="G4478" t="s">
        <v>26719</v>
      </c>
      <c r="H4478" t="s">
        <v>265</v>
      </c>
      <c r="I4478" t="s">
        <v>19</v>
      </c>
      <c r="J4478" s="3" t="s">
        <v>26720</v>
      </c>
      <c r="K4478" t="s">
        <v>26721</v>
      </c>
      <c r="L4478" t="s">
        <v>1569</v>
      </c>
      <c r="M4478" t="s">
        <v>32145</v>
      </c>
    </row>
    <row r="4479" spans="1:13" x14ac:dyDescent="0.25">
      <c r="A4479" t="s">
        <v>1844</v>
      </c>
      <c r="B4479" t="s">
        <v>13</v>
      </c>
      <c r="C4479" s="1">
        <v>44661</v>
      </c>
      <c r="D4479" t="s">
        <v>1845</v>
      </c>
      <c r="E4479" t="s">
        <v>1846</v>
      </c>
      <c r="F4479" t="s">
        <v>1847</v>
      </c>
      <c r="G4479" t="s">
        <v>1848</v>
      </c>
      <c r="H4479" t="s">
        <v>36</v>
      </c>
      <c r="I4479" t="s">
        <v>19</v>
      </c>
      <c r="J4479" s="3" t="s">
        <v>1849</v>
      </c>
      <c r="K4479" t="s">
        <v>1850</v>
      </c>
      <c r="L4479" t="s">
        <v>1851</v>
      </c>
      <c r="M4479" t="s">
        <v>32145</v>
      </c>
    </row>
    <row r="4480" spans="1:13" x14ac:dyDescent="0.25">
      <c r="A4480" t="s">
        <v>29002</v>
      </c>
      <c r="B4480" t="s">
        <v>13</v>
      </c>
      <c r="C4480" t="s">
        <v>28996</v>
      </c>
      <c r="D4480" t="s">
        <v>29003</v>
      </c>
      <c r="E4480" t="s">
        <v>29004</v>
      </c>
      <c r="F4480" t="s">
        <v>1464</v>
      </c>
      <c r="G4480" t="s">
        <v>29005</v>
      </c>
      <c r="H4480" t="s">
        <v>265</v>
      </c>
      <c r="I4480" t="s">
        <v>19</v>
      </c>
      <c r="J4480" s="3" t="s">
        <v>29006</v>
      </c>
      <c r="K4480" t="s">
        <v>1733</v>
      </c>
      <c r="L4480" t="s">
        <v>3558</v>
      </c>
      <c r="M4480" t="s">
        <v>32145</v>
      </c>
    </row>
    <row r="4481" spans="1:13" x14ac:dyDescent="0.25">
      <c r="A4481" t="s">
        <v>28360</v>
      </c>
      <c r="B4481" t="s">
        <v>13</v>
      </c>
      <c r="C4481" s="1">
        <v>42189</v>
      </c>
      <c r="D4481" t="s">
        <v>28361</v>
      </c>
      <c r="E4481" t="s">
        <v>28362</v>
      </c>
      <c r="F4481" t="s">
        <v>117</v>
      </c>
      <c r="G4481" t="s">
        <v>28363</v>
      </c>
      <c r="H4481" t="s">
        <v>706</v>
      </c>
      <c r="I4481" t="s">
        <v>19</v>
      </c>
      <c r="J4481" s="3" t="s">
        <v>28364</v>
      </c>
      <c r="K4481" t="s">
        <v>28365</v>
      </c>
      <c r="L4481" t="s">
        <v>1944</v>
      </c>
      <c r="M4481" t="s">
        <v>32145</v>
      </c>
    </row>
    <row r="4482" spans="1:13" x14ac:dyDescent="0.25">
      <c r="A4482" t="s">
        <v>19850</v>
      </c>
      <c r="B4482" t="s">
        <v>13</v>
      </c>
      <c r="C4482" t="s">
        <v>19830</v>
      </c>
      <c r="D4482" t="s">
        <v>19851</v>
      </c>
      <c r="E4482" s="2" t="s">
        <v>32595</v>
      </c>
      <c r="F4482" t="s">
        <v>1464</v>
      </c>
      <c r="G4482" t="s">
        <v>19852</v>
      </c>
      <c r="H4482" t="s">
        <v>489</v>
      </c>
      <c r="I4482" t="s">
        <v>19</v>
      </c>
      <c r="J4482" s="3">
        <f>55-41-999760245</f>
        <v>-999760231</v>
      </c>
      <c r="K4482" t="s">
        <v>19853</v>
      </c>
      <c r="L4482" t="s">
        <v>2661</v>
      </c>
      <c r="M4482" t="s">
        <v>32155</v>
      </c>
    </row>
    <row r="4483" spans="1:13" x14ac:dyDescent="0.25">
      <c r="A4483" t="s">
        <v>8700</v>
      </c>
      <c r="B4483" t="s">
        <v>101</v>
      </c>
      <c r="C4483" t="s">
        <v>8701</v>
      </c>
      <c r="D4483" t="s">
        <v>8702</v>
      </c>
      <c r="E4483" s="2" t="s">
        <v>30958</v>
      </c>
      <c r="F4483" t="s">
        <v>1129</v>
      </c>
      <c r="G4483" t="s">
        <v>8703</v>
      </c>
      <c r="H4483" t="s">
        <v>8704</v>
      </c>
      <c r="I4483" t="s">
        <v>19</v>
      </c>
      <c r="J4483" s="3">
        <f>55-61-996864850</f>
        <v>-996864856</v>
      </c>
      <c r="K4483" t="s">
        <v>8705</v>
      </c>
      <c r="L4483" t="s">
        <v>8706</v>
      </c>
      <c r="M4483" t="s">
        <v>224</v>
      </c>
    </row>
    <row r="4484" spans="1:13" x14ac:dyDescent="0.25">
      <c r="A4484" t="s">
        <v>10364</v>
      </c>
      <c r="B4484" t="s">
        <v>13</v>
      </c>
      <c r="C4484" t="s">
        <v>10365</v>
      </c>
      <c r="D4484" t="s">
        <v>10366</v>
      </c>
      <c r="E4484" t="s">
        <v>9813</v>
      </c>
      <c r="F4484" t="s">
        <v>337</v>
      </c>
      <c r="G4484" t="s">
        <v>10367</v>
      </c>
      <c r="H4484" t="s">
        <v>706</v>
      </c>
      <c r="I4484" t="s">
        <v>19</v>
      </c>
      <c r="J4484" s="3">
        <v>553133398000</v>
      </c>
      <c r="K4484" t="s">
        <v>10368</v>
      </c>
      <c r="L4484" t="s">
        <v>10369</v>
      </c>
      <c r="M4484" t="s">
        <v>337</v>
      </c>
    </row>
    <row r="4485" spans="1:13" x14ac:dyDescent="0.25">
      <c r="A4485" t="s">
        <v>9811</v>
      </c>
      <c r="B4485" t="s">
        <v>13</v>
      </c>
      <c r="C4485" s="1">
        <v>44113</v>
      </c>
      <c r="D4485" t="s">
        <v>9812</v>
      </c>
      <c r="E4485" s="2" t="s">
        <v>32596</v>
      </c>
      <c r="F4485" t="s">
        <v>337</v>
      </c>
      <c r="G4485" t="s">
        <v>9814</v>
      </c>
      <c r="H4485" t="s">
        <v>9815</v>
      </c>
      <c r="I4485" t="s">
        <v>19</v>
      </c>
      <c r="J4485" s="3">
        <f>55-53-32410808</f>
        <v>-32410806</v>
      </c>
      <c r="K4485" t="s">
        <v>9816</v>
      </c>
      <c r="L4485" t="s">
        <v>9814</v>
      </c>
      <c r="M4485" t="s">
        <v>1349</v>
      </c>
    </row>
    <row r="4486" spans="1:13" x14ac:dyDescent="0.25">
      <c r="A4486" t="s">
        <v>848</v>
      </c>
      <c r="B4486" t="s">
        <v>13</v>
      </c>
      <c r="C4486" t="s">
        <v>849</v>
      </c>
      <c r="D4486" t="s">
        <v>850</v>
      </c>
      <c r="E4486" t="s">
        <v>851</v>
      </c>
      <c r="F4486" t="s">
        <v>852</v>
      </c>
      <c r="G4486" t="s">
        <v>853</v>
      </c>
      <c r="H4486" t="s">
        <v>114</v>
      </c>
      <c r="I4486" t="s">
        <v>19</v>
      </c>
      <c r="J4486" s="3" t="s">
        <v>854</v>
      </c>
      <c r="K4486" t="s">
        <v>855</v>
      </c>
      <c r="L4486" t="s">
        <v>32135</v>
      </c>
      <c r="M4486" t="s">
        <v>771</v>
      </c>
    </row>
    <row r="4487" spans="1:13" x14ac:dyDescent="0.25">
      <c r="A4487" t="s">
        <v>8128</v>
      </c>
      <c r="B4487" t="s">
        <v>13</v>
      </c>
      <c r="C4487" s="1">
        <v>44532</v>
      </c>
      <c r="D4487" t="s">
        <v>8129</v>
      </c>
      <c r="E4487" s="2" t="s">
        <v>30948</v>
      </c>
      <c r="F4487" t="s">
        <v>8130</v>
      </c>
      <c r="G4487" t="s">
        <v>8131</v>
      </c>
      <c r="H4487" t="s">
        <v>409</v>
      </c>
      <c r="I4487" t="s">
        <v>19</v>
      </c>
      <c r="J4487" s="3" t="s">
        <v>8132</v>
      </c>
      <c r="K4487" t="s">
        <v>8133</v>
      </c>
      <c r="L4487" t="s">
        <v>32135</v>
      </c>
      <c r="M4487" t="s">
        <v>741</v>
      </c>
    </row>
    <row r="4488" spans="1:13" x14ac:dyDescent="0.25">
      <c r="A4488" t="s">
        <v>16298</v>
      </c>
      <c r="B4488" t="s">
        <v>13</v>
      </c>
      <c r="C4488" s="1">
        <v>43474</v>
      </c>
      <c r="D4488" t="s">
        <v>16299</v>
      </c>
      <c r="E4488" t="s">
        <v>32597</v>
      </c>
      <c r="F4488" t="s">
        <v>1464</v>
      </c>
      <c r="G4488" t="s">
        <v>16300</v>
      </c>
      <c r="H4488" t="s">
        <v>2564</v>
      </c>
      <c r="I4488" t="s">
        <v>19</v>
      </c>
      <c r="J4488" s="3">
        <v>5565992419292</v>
      </c>
      <c r="K4488" t="s">
        <v>16301</v>
      </c>
      <c r="L4488" t="s">
        <v>16302</v>
      </c>
      <c r="M4488" t="s">
        <v>337</v>
      </c>
    </row>
    <row r="4489" spans="1:13" x14ac:dyDescent="0.25">
      <c r="A4489" t="s">
        <v>27977</v>
      </c>
      <c r="B4489" t="s">
        <v>101</v>
      </c>
      <c r="C4489" s="1">
        <v>42314</v>
      </c>
      <c r="D4489" t="s">
        <v>27978</v>
      </c>
      <c r="E4489" t="s">
        <v>27979</v>
      </c>
      <c r="F4489" t="s">
        <v>6686</v>
      </c>
      <c r="G4489" t="s">
        <v>27980</v>
      </c>
      <c r="H4489" t="s">
        <v>36</v>
      </c>
      <c r="I4489" t="s">
        <v>19</v>
      </c>
      <c r="J4489" s="3" t="s">
        <v>27981</v>
      </c>
      <c r="K4489" t="s">
        <v>27982</v>
      </c>
      <c r="L4489" t="s">
        <v>27983</v>
      </c>
      <c r="M4489" t="s">
        <v>337</v>
      </c>
    </row>
    <row r="4490" spans="1:13" x14ac:dyDescent="0.25">
      <c r="A4490" t="s">
        <v>23393</v>
      </c>
      <c r="B4490" t="s">
        <v>101</v>
      </c>
      <c r="C4490" t="s">
        <v>7290</v>
      </c>
      <c r="D4490" t="s">
        <v>23394</v>
      </c>
      <c r="E4490" t="s">
        <v>23395</v>
      </c>
      <c r="F4490" t="s">
        <v>6686</v>
      </c>
      <c r="G4490" t="s">
        <v>6152</v>
      </c>
      <c r="H4490" t="s">
        <v>299</v>
      </c>
      <c r="I4490" t="s">
        <v>19</v>
      </c>
      <c r="J4490" s="3" t="s">
        <v>23396</v>
      </c>
      <c r="K4490" t="s">
        <v>23397</v>
      </c>
      <c r="L4490" t="s">
        <v>23398</v>
      </c>
      <c r="M4490" t="s">
        <v>337</v>
      </c>
    </row>
    <row r="4491" spans="1:13" x14ac:dyDescent="0.25">
      <c r="A4491" t="s">
        <v>4587</v>
      </c>
      <c r="B4491" t="s">
        <v>13</v>
      </c>
      <c r="C4491" s="1">
        <v>44327</v>
      </c>
      <c r="D4491" t="s">
        <v>4588</v>
      </c>
      <c r="E4491" s="2" t="s">
        <v>30811</v>
      </c>
      <c r="F4491" t="s">
        <v>4589</v>
      </c>
      <c r="G4491" t="s">
        <v>550</v>
      </c>
      <c r="H4491" t="s">
        <v>352</v>
      </c>
      <c r="I4491" t="s">
        <v>19</v>
      </c>
      <c r="J4491" s="3" t="s">
        <v>1863</v>
      </c>
      <c r="K4491" t="s">
        <v>4590</v>
      </c>
      <c r="L4491" t="s">
        <v>4591</v>
      </c>
      <c r="M4491" t="s">
        <v>432</v>
      </c>
    </row>
    <row r="4492" spans="1:13" x14ac:dyDescent="0.25">
      <c r="A4492" t="s">
        <v>8895</v>
      </c>
      <c r="B4492" t="s">
        <v>13</v>
      </c>
      <c r="C4492" s="1">
        <v>44086</v>
      </c>
      <c r="D4492" t="s">
        <v>8896</v>
      </c>
      <c r="E4492" t="s">
        <v>8897</v>
      </c>
      <c r="F4492" t="s">
        <v>8898</v>
      </c>
      <c r="G4492" t="s">
        <v>8899</v>
      </c>
      <c r="H4492" t="s">
        <v>3490</v>
      </c>
      <c r="I4492" t="s">
        <v>19</v>
      </c>
      <c r="J4492" s="3">
        <v>79999323056</v>
      </c>
      <c r="K4492" t="s">
        <v>8900</v>
      </c>
      <c r="L4492" t="s">
        <v>8901</v>
      </c>
      <c r="M4492" t="s">
        <v>432</v>
      </c>
    </row>
    <row r="4493" spans="1:13" x14ac:dyDescent="0.25">
      <c r="A4493" t="s">
        <v>2870</v>
      </c>
      <c r="B4493" t="s">
        <v>13</v>
      </c>
      <c r="C4493" t="s">
        <v>2871</v>
      </c>
      <c r="D4493" t="s">
        <v>2872</v>
      </c>
      <c r="E4493" t="s">
        <v>2873</v>
      </c>
      <c r="F4493" t="s">
        <v>2874</v>
      </c>
      <c r="G4493" t="s">
        <v>2875</v>
      </c>
      <c r="H4493" t="s">
        <v>706</v>
      </c>
      <c r="I4493" t="s">
        <v>19</v>
      </c>
      <c r="J4493" s="3" t="s">
        <v>2876</v>
      </c>
      <c r="K4493" t="s">
        <v>2877</v>
      </c>
      <c r="L4493" t="s">
        <v>2878</v>
      </c>
      <c r="M4493" t="s">
        <v>32158</v>
      </c>
    </row>
    <row r="4494" spans="1:13" x14ac:dyDescent="0.25">
      <c r="A4494" t="s">
        <v>30248</v>
      </c>
      <c r="B4494" t="s">
        <v>13</v>
      </c>
      <c r="C4494" t="s">
        <v>15685</v>
      </c>
      <c r="D4494" t="s">
        <v>30249</v>
      </c>
      <c r="E4494" t="s">
        <v>18947</v>
      </c>
      <c r="F4494" t="s">
        <v>1464</v>
      </c>
      <c r="G4494" t="s">
        <v>30250</v>
      </c>
      <c r="H4494" t="s">
        <v>18</v>
      </c>
      <c r="I4494" t="s">
        <v>19</v>
      </c>
      <c r="J4494" s="3">
        <v>551981118904</v>
      </c>
      <c r="K4494" t="s">
        <v>30251</v>
      </c>
      <c r="L4494" t="s">
        <v>30252</v>
      </c>
      <c r="M4494" t="s">
        <v>57</v>
      </c>
    </row>
    <row r="4495" spans="1:13" x14ac:dyDescent="0.25">
      <c r="A4495" t="s">
        <v>9695</v>
      </c>
      <c r="B4495" t="s">
        <v>13</v>
      </c>
      <c r="C4495" s="1">
        <v>43801</v>
      </c>
      <c r="D4495" t="s">
        <v>9696</v>
      </c>
      <c r="E4495" t="s">
        <v>9697</v>
      </c>
      <c r="F4495" t="s">
        <v>1464</v>
      </c>
      <c r="G4495" t="s">
        <v>9698</v>
      </c>
      <c r="H4495" t="s">
        <v>229</v>
      </c>
      <c r="I4495" t="s">
        <v>19</v>
      </c>
      <c r="J4495" s="3">
        <f>55-11-4930-4243</f>
        <v>-9129</v>
      </c>
      <c r="K4495" t="s">
        <v>9699</v>
      </c>
      <c r="L4495" t="s">
        <v>9700</v>
      </c>
      <c r="M4495" t="s">
        <v>337</v>
      </c>
    </row>
    <row r="4496" spans="1:13" x14ac:dyDescent="0.25">
      <c r="A4496" t="s">
        <v>26991</v>
      </c>
      <c r="B4496" t="s">
        <v>13</v>
      </c>
      <c r="C4496" t="s">
        <v>23102</v>
      </c>
      <c r="D4496" t="s">
        <v>26992</v>
      </c>
      <c r="E4496" t="s">
        <v>26993</v>
      </c>
      <c r="F4496" t="s">
        <v>1464</v>
      </c>
      <c r="G4496" t="s">
        <v>26994</v>
      </c>
      <c r="H4496" t="s">
        <v>265</v>
      </c>
      <c r="I4496" t="s">
        <v>19</v>
      </c>
      <c r="J4496" s="3">
        <v>5516991791114</v>
      </c>
      <c r="K4496" t="s">
        <v>26995</v>
      </c>
      <c r="L4496" t="s">
        <v>26996</v>
      </c>
      <c r="M4496" t="s">
        <v>32144</v>
      </c>
    </row>
    <row r="4497" spans="1:13" x14ac:dyDescent="0.25">
      <c r="A4497" t="s">
        <v>19645</v>
      </c>
      <c r="B4497" t="s">
        <v>13</v>
      </c>
      <c r="C4497" t="s">
        <v>19643</v>
      </c>
      <c r="D4497" t="s">
        <v>19646</v>
      </c>
      <c r="E4497" t="s">
        <v>32598</v>
      </c>
      <c r="F4497" t="s">
        <v>1129</v>
      </c>
      <c r="G4497" t="s">
        <v>19647</v>
      </c>
      <c r="H4497" t="s">
        <v>36</v>
      </c>
      <c r="I4497" t="s">
        <v>19</v>
      </c>
      <c r="J4497" s="3">
        <v>551130917459</v>
      </c>
      <c r="K4497" t="s">
        <v>19648</v>
      </c>
      <c r="L4497" t="s">
        <v>321</v>
      </c>
      <c r="M4497" t="s">
        <v>224</v>
      </c>
    </row>
    <row r="4498" spans="1:13" x14ac:dyDescent="0.25">
      <c r="A4498" t="s">
        <v>23401</v>
      </c>
      <c r="B4498" t="s">
        <v>13</v>
      </c>
      <c r="C4498" t="s">
        <v>23402</v>
      </c>
      <c r="D4498" t="s">
        <v>23403</v>
      </c>
      <c r="E4498" t="s">
        <v>23404</v>
      </c>
      <c r="F4498" t="s">
        <v>3084</v>
      </c>
      <c r="G4498" t="s">
        <v>23405</v>
      </c>
      <c r="H4498" t="s">
        <v>36</v>
      </c>
      <c r="I4498" t="s">
        <v>19</v>
      </c>
      <c r="J4498" s="3" t="s">
        <v>23406</v>
      </c>
      <c r="K4498" t="s">
        <v>23407</v>
      </c>
      <c r="L4498" t="s">
        <v>23408</v>
      </c>
      <c r="M4498" t="s">
        <v>32144</v>
      </c>
    </row>
    <row r="4499" spans="1:13" x14ac:dyDescent="0.25">
      <c r="A4499" t="s">
        <v>18401</v>
      </c>
      <c r="B4499" t="s">
        <v>13</v>
      </c>
      <c r="C4499" s="1">
        <v>43587</v>
      </c>
      <c r="D4499" t="s">
        <v>18402</v>
      </c>
      <c r="E4499" t="s">
        <v>18403</v>
      </c>
      <c r="F4499" t="s">
        <v>1464</v>
      </c>
      <c r="G4499" t="s">
        <v>18228</v>
      </c>
      <c r="H4499" t="s">
        <v>352</v>
      </c>
      <c r="I4499" t="s">
        <v>19</v>
      </c>
      <c r="J4499" s="3">
        <f>55-21-39385535</f>
        <v>-39385501</v>
      </c>
      <c r="K4499" t="s">
        <v>18229</v>
      </c>
      <c r="L4499" t="s">
        <v>1232</v>
      </c>
      <c r="M4499" t="s">
        <v>32144</v>
      </c>
    </row>
    <row r="4500" spans="1:13" x14ac:dyDescent="0.25">
      <c r="A4500" t="s">
        <v>17326</v>
      </c>
      <c r="B4500" t="s">
        <v>13</v>
      </c>
      <c r="C4500" s="1">
        <v>43591</v>
      </c>
      <c r="D4500" t="s">
        <v>17327</v>
      </c>
      <c r="E4500" s="2" t="s">
        <v>32599</v>
      </c>
      <c r="F4500" t="s">
        <v>1464</v>
      </c>
      <c r="G4500" t="s">
        <v>17328</v>
      </c>
      <c r="H4500" t="s">
        <v>893</v>
      </c>
      <c r="I4500" t="s">
        <v>19</v>
      </c>
      <c r="J4500" s="3" t="s">
        <v>17329</v>
      </c>
      <c r="K4500" t="s">
        <v>17330</v>
      </c>
      <c r="L4500" t="s">
        <v>1727</v>
      </c>
      <c r="M4500" t="s">
        <v>337</v>
      </c>
    </row>
    <row r="4501" spans="1:13" x14ac:dyDescent="0.25">
      <c r="A4501" t="s">
        <v>21960</v>
      </c>
      <c r="B4501" t="s">
        <v>13</v>
      </c>
      <c r="C4501" s="1">
        <v>43347</v>
      </c>
      <c r="D4501" t="s">
        <v>21961</v>
      </c>
      <c r="E4501" t="s">
        <v>21962</v>
      </c>
      <c r="G4501" t="s">
        <v>4160</v>
      </c>
      <c r="H4501" t="s">
        <v>615</v>
      </c>
      <c r="I4501" t="s">
        <v>19</v>
      </c>
      <c r="J4501" s="3">
        <v>5534988823198</v>
      </c>
      <c r="K4501" t="s">
        <v>4162</v>
      </c>
      <c r="L4501" t="s">
        <v>618</v>
      </c>
      <c r="M4501" t="s">
        <v>337</v>
      </c>
    </row>
    <row r="4502" spans="1:13" x14ac:dyDescent="0.25">
      <c r="A4502" t="s">
        <v>20449</v>
      </c>
      <c r="B4502" t="s">
        <v>13</v>
      </c>
      <c r="C4502" t="s">
        <v>20432</v>
      </c>
      <c r="D4502" t="s">
        <v>20450</v>
      </c>
      <c r="E4502" s="2" t="s">
        <v>31251</v>
      </c>
      <c r="G4502" t="s">
        <v>20452</v>
      </c>
      <c r="H4502" t="s">
        <v>2305</v>
      </c>
      <c r="I4502" t="s">
        <v>19</v>
      </c>
      <c r="J4502" s="3">
        <v>551136542474</v>
      </c>
      <c r="K4502" t="s">
        <v>20453</v>
      </c>
      <c r="L4502" t="s">
        <v>9277</v>
      </c>
      <c r="M4502" t="s">
        <v>129</v>
      </c>
    </row>
    <row r="4503" spans="1:13" x14ac:dyDescent="0.25">
      <c r="A4503" t="s">
        <v>16723</v>
      </c>
      <c r="B4503" t="s">
        <v>13</v>
      </c>
      <c r="C4503" t="s">
        <v>7631</v>
      </c>
      <c r="D4503" t="s">
        <v>16724</v>
      </c>
      <c r="E4503" t="s">
        <v>16725</v>
      </c>
      <c r="F4503" t="s">
        <v>1775</v>
      </c>
      <c r="G4503" t="s">
        <v>16726</v>
      </c>
      <c r="H4503" t="s">
        <v>615</v>
      </c>
      <c r="I4503" t="s">
        <v>19</v>
      </c>
      <c r="J4503" s="3">
        <f>55-34-3218-2967</f>
        <v>-6164</v>
      </c>
      <c r="K4503" t="s">
        <v>16727</v>
      </c>
      <c r="L4503" t="s">
        <v>4191</v>
      </c>
      <c r="M4503" t="s">
        <v>1775</v>
      </c>
    </row>
    <row r="4504" spans="1:13" x14ac:dyDescent="0.25">
      <c r="A4504" t="s">
        <v>27909</v>
      </c>
      <c r="B4504" t="s">
        <v>13</v>
      </c>
      <c r="C4504" t="s">
        <v>23258</v>
      </c>
      <c r="D4504" t="s">
        <v>27910</v>
      </c>
      <c r="E4504" t="s">
        <v>27911</v>
      </c>
      <c r="F4504" t="s">
        <v>11797</v>
      </c>
      <c r="G4504" t="s">
        <v>27912</v>
      </c>
      <c r="H4504" t="s">
        <v>1486</v>
      </c>
      <c r="I4504" t="s">
        <v>19</v>
      </c>
      <c r="J4504" s="3" t="s">
        <v>27913</v>
      </c>
      <c r="K4504" t="s">
        <v>27914</v>
      </c>
      <c r="L4504" t="s">
        <v>1489</v>
      </c>
      <c r="M4504" t="s">
        <v>32195</v>
      </c>
    </row>
    <row r="4505" spans="1:13" x14ac:dyDescent="0.25">
      <c r="A4505" t="s">
        <v>1339</v>
      </c>
      <c r="B4505" t="s">
        <v>13</v>
      </c>
      <c r="C4505" s="1">
        <v>44815</v>
      </c>
      <c r="D4505" t="s">
        <v>1340</v>
      </c>
      <c r="E4505" t="s">
        <v>1341</v>
      </c>
      <c r="F4505" t="s">
        <v>1342</v>
      </c>
      <c r="G4505" t="s">
        <v>1343</v>
      </c>
      <c r="H4505" t="s">
        <v>540</v>
      </c>
      <c r="I4505" t="s">
        <v>19</v>
      </c>
      <c r="J4505" s="3" t="s">
        <v>1344</v>
      </c>
      <c r="K4505" t="s">
        <v>1345</v>
      </c>
      <c r="L4505" t="s">
        <v>1346</v>
      </c>
      <c r="M4505" t="s">
        <v>129</v>
      </c>
    </row>
    <row r="4506" spans="1:13" x14ac:dyDescent="0.25">
      <c r="A4506" t="s">
        <v>27949</v>
      </c>
      <c r="B4506" t="s">
        <v>13</v>
      </c>
      <c r="C4506" t="s">
        <v>27932</v>
      </c>
      <c r="D4506" t="s">
        <v>27950</v>
      </c>
      <c r="E4506" t="s">
        <v>27951</v>
      </c>
      <c r="F4506" t="s">
        <v>306</v>
      </c>
      <c r="G4506" t="s">
        <v>27952</v>
      </c>
      <c r="H4506" t="s">
        <v>36</v>
      </c>
      <c r="I4506" t="s">
        <v>19</v>
      </c>
      <c r="J4506" s="3">
        <v>551155731307</v>
      </c>
      <c r="K4506" t="s">
        <v>27953</v>
      </c>
      <c r="L4506" t="s">
        <v>439</v>
      </c>
      <c r="M4506" t="s">
        <v>32145</v>
      </c>
    </row>
    <row r="4507" spans="1:13" x14ac:dyDescent="0.25">
      <c r="A4507" t="s">
        <v>26632</v>
      </c>
      <c r="B4507" t="s">
        <v>13</v>
      </c>
      <c r="C4507" s="1">
        <v>41343</v>
      </c>
      <c r="D4507" t="s">
        <v>26633</v>
      </c>
      <c r="E4507" t="s">
        <v>26634</v>
      </c>
      <c r="F4507" t="s">
        <v>1349</v>
      </c>
      <c r="G4507" t="s">
        <v>26635</v>
      </c>
      <c r="H4507" t="s">
        <v>114</v>
      </c>
      <c r="I4507" t="s">
        <v>19</v>
      </c>
      <c r="J4507" s="3" t="s">
        <v>26636</v>
      </c>
      <c r="K4507" t="s">
        <v>26637</v>
      </c>
      <c r="L4507" t="s">
        <v>26011</v>
      </c>
      <c r="M4507" t="s">
        <v>1349</v>
      </c>
    </row>
    <row r="4508" spans="1:13" x14ac:dyDescent="0.25">
      <c r="A4508" t="s">
        <v>7016</v>
      </c>
      <c r="B4508" t="s">
        <v>13</v>
      </c>
      <c r="C4508" t="s">
        <v>7009</v>
      </c>
      <c r="D4508" t="s">
        <v>32135</v>
      </c>
      <c r="E4508" s="2" t="s">
        <v>31734</v>
      </c>
      <c r="F4508" t="s">
        <v>1365</v>
      </c>
      <c r="G4508" t="s">
        <v>7017</v>
      </c>
      <c r="H4508" t="s">
        <v>36</v>
      </c>
      <c r="I4508" t="s">
        <v>19</v>
      </c>
      <c r="J4508" s="3">
        <f>55-11-951312250</f>
        <v>-951312206</v>
      </c>
      <c r="K4508" t="s">
        <v>7018</v>
      </c>
      <c r="L4508" t="s">
        <v>32135</v>
      </c>
      <c r="M4508" t="s">
        <v>1775</v>
      </c>
    </row>
    <row r="4509" spans="1:13" x14ac:dyDescent="0.25">
      <c r="A4509" t="s">
        <v>11345</v>
      </c>
      <c r="B4509" t="s">
        <v>13</v>
      </c>
      <c r="C4509" t="s">
        <v>9573</v>
      </c>
      <c r="D4509" t="s">
        <v>11346</v>
      </c>
      <c r="E4509" s="2" t="s">
        <v>32023</v>
      </c>
      <c r="F4509" t="s">
        <v>332</v>
      </c>
      <c r="G4509" t="s">
        <v>11347</v>
      </c>
      <c r="H4509" t="s">
        <v>5366</v>
      </c>
      <c r="I4509" t="s">
        <v>19</v>
      </c>
      <c r="J4509" s="3" t="s">
        <v>11348</v>
      </c>
      <c r="K4509" t="s">
        <v>11349</v>
      </c>
      <c r="L4509" t="s">
        <v>11350</v>
      </c>
      <c r="M4509" t="s">
        <v>337</v>
      </c>
    </row>
    <row r="4510" spans="1:13" x14ac:dyDescent="0.25">
      <c r="A4510" t="s">
        <v>12347</v>
      </c>
      <c r="B4510" t="s">
        <v>13</v>
      </c>
      <c r="C4510" t="s">
        <v>12316</v>
      </c>
      <c r="D4510" t="s">
        <v>12348</v>
      </c>
      <c r="E4510" s="2" t="s">
        <v>32070</v>
      </c>
      <c r="F4510" t="s">
        <v>6686</v>
      </c>
      <c r="G4510" t="s">
        <v>12349</v>
      </c>
      <c r="H4510" t="s">
        <v>105</v>
      </c>
      <c r="I4510" t="s">
        <v>19</v>
      </c>
      <c r="J4510" s="3">
        <f>55-21-26299464</f>
        <v>-26299430</v>
      </c>
      <c r="K4510" t="s">
        <v>12350</v>
      </c>
      <c r="L4510" t="s">
        <v>108</v>
      </c>
      <c r="M4510" t="s">
        <v>337</v>
      </c>
    </row>
    <row r="4511" spans="1:13" x14ac:dyDescent="0.25">
      <c r="A4511" t="s">
        <v>21275</v>
      </c>
      <c r="B4511" t="s">
        <v>13</v>
      </c>
      <c r="C4511" t="s">
        <v>21271</v>
      </c>
      <c r="D4511" t="s">
        <v>21276</v>
      </c>
      <c r="E4511" t="s">
        <v>32600</v>
      </c>
      <c r="F4511" t="s">
        <v>1349</v>
      </c>
      <c r="G4511" t="s">
        <v>21277</v>
      </c>
      <c r="H4511" t="s">
        <v>352</v>
      </c>
      <c r="I4511" t="s">
        <v>19</v>
      </c>
      <c r="J4511" s="3" t="s">
        <v>21278</v>
      </c>
      <c r="K4511" t="s">
        <v>21279</v>
      </c>
      <c r="L4511" t="s">
        <v>10607</v>
      </c>
      <c r="M4511" t="s">
        <v>1349</v>
      </c>
    </row>
    <row r="4512" spans="1:13" x14ac:dyDescent="0.25">
      <c r="A4512" t="s">
        <v>23506</v>
      </c>
      <c r="B4512" t="s">
        <v>13</v>
      </c>
      <c r="C4512" t="s">
        <v>11911</v>
      </c>
      <c r="D4512" t="s">
        <v>23507</v>
      </c>
      <c r="E4512" t="s">
        <v>23508</v>
      </c>
      <c r="F4512" t="s">
        <v>1464</v>
      </c>
      <c r="G4512" t="s">
        <v>23509</v>
      </c>
      <c r="H4512" t="s">
        <v>12737</v>
      </c>
      <c r="I4512" t="s">
        <v>19</v>
      </c>
      <c r="J4512" s="3">
        <v>558738221051</v>
      </c>
      <c r="K4512" t="s">
        <v>23510</v>
      </c>
      <c r="L4512" t="s">
        <v>23511</v>
      </c>
      <c r="M4512" t="s">
        <v>337</v>
      </c>
    </row>
    <row r="4513" spans="1:13" x14ac:dyDescent="0.25">
      <c r="A4513" t="s">
        <v>15240</v>
      </c>
      <c r="B4513" t="s">
        <v>13</v>
      </c>
      <c r="C4513" s="1">
        <v>43134</v>
      </c>
      <c r="D4513" t="s">
        <v>15241</v>
      </c>
      <c r="E4513" t="s">
        <v>15242</v>
      </c>
      <c r="F4513" t="s">
        <v>1129</v>
      </c>
      <c r="G4513" t="s">
        <v>15243</v>
      </c>
      <c r="H4513" t="s">
        <v>36</v>
      </c>
      <c r="I4513" t="s">
        <v>19</v>
      </c>
      <c r="J4513" s="3" t="s">
        <v>15244</v>
      </c>
      <c r="K4513" t="s">
        <v>15245</v>
      </c>
      <c r="L4513" t="s">
        <v>15072</v>
      </c>
      <c r="M4513" t="s">
        <v>224</v>
      </c>
    </row>
    <row r="4514" spans="1:13" x14ac:dyDescent="0.25">
      <c r="A4514" t="s">
        <v>26262</v>
      </c>
      <c r="B4514" t="s">
        <v>13</v>
      </c>
      <c r="C4514" t="s">
        <v>26253</v>
      </c>
      <c r="D4514" t="s">
        <v>26263</v>
      </c>
      <c r="E4514" t="s">
        <v>26264</v>
      </c>
      <c r="F4514" t="s">
        <v>1464</v>
      </c>
      <c r="G4514" t="s">
        <v>9535</v>
      </c>
      <c r="H4514" t="s">
        <v>706</v>
      </c>
      <c r="I4514" t="s">
        <v>19</v>
      </c>
      <c r="J4514" s="3" t="s">
        <v>26265</v>
      </c>
      <c r="K4514" t="s">
        <v>9536</v>
      </c>
      <c r="L4514" t="s">
        <v>3966</v>
      </c>
      <c r="M4514" t="s">
        <v>32149</v>
      </c>
    </row>
    <row r="4515" spans="1:13" x14ac:dyDescent="0.25">
      <c r="A4515" t="s">
        <v>29358</v>
      </c>
      <c r="B4515" t="s">
        <v>13</v>
      </c>
      <c r="C4515" t="s">
        <v>29345</v>
      </c>
      <c r="D4515" t="s">
        <v>29359</v>
      </c>
      <c r="E4515" t="s">
        <v>29360</v>
      </c>
      <c r="F4515" t="s">
        <v>2947</v>
      </c>
      <c r="G4515" t="s">
        <v>29361</v>
      </c>
      <c r="H4515" t="s">
        <v>195</v>
      </c>
      <c r="I4515" t="s">
        <v>19</v>
      </c>
      <c r="J4515" s="3" t="s">
        <v>29362</v>
      </c>
      <c r="K4515" t="s">
        <v>29363</v>
      </c>
      <c r="L4515" t="s">
        <v>197</v>
      </c>
      <c r="M4515" t="s">
        <v>771</v>
      </c>
    </row>
    <row r="4516" spans="1:13" x14ac:dyDescent="0.25">
      <c r="A4516" t="s">
        <v>3875</v>
      </c>
      <c r="B4516" t="s">
        <v>13</v>
      </c>
      <c r="C4516" t="s">
        <v>3862</v>
      </c>
      <c r="D4516" t="s">
        <v>32135</v>
      </c>
      <c r="E4516" t="s">
        <v>2523</v>
      </c>
      <c r="F4516" t="s">
        <v>3876</v>
      </c>
      <c r="G4516" t="s">
        <v>3877</v>
      </c>
      <c r="H4516" t="s">
        <v>18</v>
      </c>
      <c r="I4516" t="s">
        <v>19</v>
      </c>
      <c r="J4516" s="3" t="s">
        <v>3878</v>
      </c>
      <c r="K4516" t="s">
        <v>3879</v>
      </c>
      <c r="L4516" t="s">
        <v>3880</v>
      </c>
      <c r="M4516" t="s">
        <v>771</v>
      </c>
    </row>
    <row r="4517" spans="1:13" x14ac:dyDescent="0.25">
      <c r="A4517" t="s">
        <v>9622</v>
      </c>
      <c r="B4517" t="s">
        <v>13</v>
      </c>
      <c r="C4517" t="s">
        <v>7003</v>
      </c>
      <c r="D4517" t="s">
        <v>9623</v>
      </c>
      <c r="E4517" t="s">
        <v>4200</v>
      </c>
      <c r="F4517" t="s">
        <v>1432</v>
      </c>
      <c r="G4517" t="s">
        <v>9624</v>
      </c>
      <c r="H4517" t="s">
        <v>9625</v>
      </c>
      <c r="I4517" t="s">
        <v>19</v>
      </c>
      <c r="J4517" s="3">
        <v>551135220788</v>
      </c>
      <c r="K4517" t="s">
        <v>9626</v>
      </c>
      <c r="L4517" t="s">
        <v>2845</v>
      </c>
      <c r="M4517" t="s">
        <v>1432</v>
      </c>
    </row>
    <row r="4518" spans="1:13" x14ac:dyDescent="0.25">
      <c r="A4518" t="s">
        <v>4970</v>
      </c>
      <c r="B4518" t="s">
        <v>13</v>
      </c>
      <c r="C4518" t="s">
        <v>4959</v>
      </c>
      <c r="D4518" t="s">
        <v>4971</v>
      </c>
      <c r="E4518" t="s">
        <v>2523</v>
      </c>
      <c r="F4518" t="s">
        <v>160</v>
      </c>
      <c r="G4518" t="s">
        <v>123</v>
      </c>
      <c r="H4518" t="s">
        <v>32135</v>
      </c>
      <c r="I4518" t="s">
        <v>19</v>
      </c>
      <c r="J4518" s="3">
        <v>5584999763599</v>
      </c>
      <c r="K4518" t="s">
        <v>124</v>
      </c>
      <c r="L4518" t="s">
        <v>32135</v>
      </c>
      <c r="M4518" t="s">
        <v>32147</v>
      </c>
    </row>
    <row r="4519" spans="1:13" x14ac:dyDescent="0.25">
      <c r="A4519" t="s">
        <v>29364</v>
      </c>
      <c r="B4519" t="s">
        <v>13</v>
      </c>
      <c r="C4519" t="s">
        <v>29365</v>
      </c>
      <c r="D4519" t="s">
        <v>29366</v>
      </c>
      <c r="E4519" t="s">
        <v>4200</v>
      </c>
      <c r="F4519" t="s">
        <v>1464</v>
      </c>
      <c r="G4519" t="s">
        <v>29367</v>
      </c>
      <c r="H4519" t="s">
        <v>36</v>
      </c>
      <c r="I4519" t="s">
        <v>19</v>
      </c>
      <c r="J4519" s="3" t="s">
        <v>29368</v>
      </c>
      <c r="K4519" t="s">
        <v>29369</v>
      </c>
      <c r="L4519" t="s">
        <v>439</v>
      </c>
      <c r="M4519" t="s">
        <v>57</v>
      </c>
    </row>
    <row r="4520" spans="1:13" x14ac:dyDescent="0.25">
      <c r="A4520" t="s">
        <v>27885</v>
      </c>
      <c r="B4520" t="s">
        <v>13</v>
      </c>
      <c r="C4520" t="s">
        <v>8726</v>
      </c>
      <c r="D4520" t="s">
        <v>27886</v>
      </c>
      <c r="E4520" t="s">
        <v>4771</v>
      </c>
      <c r="F4520" t="s">
        <v>1464</v>
      </c>
      <c r="G4520" t="s">
        <v>19465</v>
      </c>
      <c r="H4520" t="s">
        <v>7504</v>
      </c>
      <c r="I4520" t="s">
        <v>19</v>
      </c>
      <c r="J4520" s="3">
        <v>556131071803</v>
      </c>
      <c r="K4520" t="s">
        <v>27887</v>
      </c>
      <c r="L4520" t="s">
        <v>19411</v>
      </c>
      <c r="M4520" t="s">
        <v>57</v>
      </c>
    </row>
    <row r="4521" spans="1:13" x14ac:dyDescent="0.25">
      <c r="A4521" t="s">
        <v>3173</v>
      </c>
      <c r="B4521" t="s">
        <v>13</v>
      </c>
      <c r="C4521" t="s">
        <v>3167</v>
      </c>
      <c r="D4521" t="s">
        <v>32135</v>
      </c>
      <c r="E4521" t="s">
        <v>2523</v>
      </c>
      <c r="F4521" t="s">
        <v>3174</v>
      </c>
      <c r="G4521" t="s">
        <v>3175</v>
      </c>
      <c r="H4521" t="s">
        <v>893</v>
      </c>
      <c r="I4521" t="s">
        <v>19</v>
      </c>
      <c r="J4521" s="3" t="s">
        <v>3176</v>
      </c>
      <c r="K4521" t="s">
        <v>3177</v>
      </c>
      <c r="L4521" t="s">
        <v>3178</v>
      </c>
      <c r="M4521" t="s">
        <v>337</v>
      </c>
    </row>
    <row r="4522" spans="1:13" x14ac:dyDescent="0.25">
      <c r="A4522" t="s">
        <v>6968</v>
      </c>
      <c r="B4522" t="s">
        <v>13</v>
      </c>
      <c r="C4522" s="1">
        <v>44384</v>
      </c>
      <c r="D4522" t="s">
        <v>32135</v>
      </c>
      <c r="E4522" t="s">
        <v>4771</v>
      </c>
      <c r="F4522" t="s">
        <v>6969</v>
      </c>
      <c r="G4522" t="s">
        <v>6970</v>
      </c>
      <c r="H4522" t="s">
        <v>28</v>
      </c>
      <c r="I4522" t="s">
        <v>19</v>
      </c>
      <c r="J4522" s="3" t="s">
        <v>6971</v>
      </c>
      <c r="K4522" t="s">
        <v>6972</v>
      </c>
      <c r="L4522" t="s">
        <v>32135</v>
      </c>
      <c r="M4522" t="s">
        <v>337</v>
      </c>
    </row>
    <row r="4523" spans="1:13" x14ac:dyDescent="0.25">
      <c r="A4523" t="s">
        <v>9701</v>
      </c>
      <c r="B4523" t="s">
        <v>13</v>
      </c>
      <c r="C4523" s="1">
        <v>43557</v>
      </c>
      <c r="D4523" t="s">
        <v>9702</v>
      </c>
      <c r="E4523" t="s">
        <v>9703</v>
      </c>
      <c r="F4523" t="s">
        <v>1464</v>
      </c>
      <c r="G4523" t="s">
        <v>9704</v>
      </c>
      <c r="H4523" t="s">
        <v>4993</v>
      </c>
      <c r="I4523" t="s">
        <v>19</v>
      </c>
      <c r="J4523" s="3">
        <f>55-11-4317-6051</f>
        <v>-10324</v>
      </c>
      <c r="K4523" t="s">
        <v>9699</v>
      </c>
      <c r="L4523" t="s">
        <v>9700</v>
      </c>
      <c r="M4523" t="s">
        <v>57</v>
      </c>
    </row>
    <row r="4524" spans="1:13" x14ac:dyDescent="0.25">
      <c r="A4524" t="s">
        <v>20712</v>
      </c>
      <c r="B4524" t="s">
        <v>13</v>
      </c>
      <c r="C4524" s="1">
        <v>43075</v>
      </c>
      <c r="D4524" t="s">
        <v>20713</v>
      </c>
      <c r="E4524" s="2" t="s">
        <v>31263</v>
      </c>
      <c r="F4524" t="s">
        <v>1464</v>
      </c>
      <c r="G4524" t="s">
        <v>2135</v>
      </c>
      <c r="H4524" t="s">
        <v>1486</v>
      </c>
      <c r="I4524" t="s">
        <v>19</v>
      </c>
      <c r="J4524" s="3" t="s">
        <v>19200</v>
      </c>
      <c r="K4524" t="s">
        <v>2137</v>
      </c>
      <c r="L4524" t="s">
        <v>1489</v>
      </c>
      <c r="M4524" t="s">
        <v>32144</v>
      </c>
    </row>
    <row r="4525" spans="1:13" x14ac:dyDescent="0.25">
      <c r="A4525" t="s">
        <v>13624</v>
      </c>
      <c r="B4525" t="s">
        <v>13</v>
      </c>
      <c r="C4525" s="1">
        <v>44137</v>
      </c>
      <c r="D4525" t="s">
        <v>13625</v>
      </c>
      <c r="E4525" t="s">
        <v>13626</v>
      </c>
      <c r="F4525" t="s">
        <v>2758</v>
      </c>
      <c r="G4525" t="s">
        <v>11078</v>
      </c>
      <c r="H4525" t="s">
        <v>2395</v>
      </c>
      <c r="I4525" t="s">
        <v>19</v>
      </c>
      <c r="J4525" s="3">
        <v>5508433152247</v>
      </c>
      <c r="K4525" t="s">
        <v>11079</v>
      </c>
      <c r="L4525" t="s">
        <v>1880</v>
      </c>
      <c r="M4525" t="s">
        <v>32149</v>
      </c>
    </row>
    <row r="4526" spans="1:13" x14ac:dyDescent="0.25">
      <c r="A4526" t="s">
        <v>4769</v>
      </c>
      <c r="B4526" t="s">
        <v>13</v>
      </c>
      <c r="C4526" t="s">
        <v>2420</v>
      </c>
      <c r="D4526" t="s">
        <v>4770</v>
      </c>
      <c r="E4526" s="2" t="s">
        <v>30824</v>
      </c>
      <c r="F4526" t="s">
        <v>846</v>
      </c>
      <c r="G4526" t="s">
        <v>4772</v>
      </c>
      <c r="H4526" t="s">
        <v>428</v>
      </c>
      <c r="I4526" t="s">
        <v>19</v>
      </c>
      <c r="J4526" s="3" t="s">
        <v>4773</v>
      </c>
      <c r="K4526" t="s">
        <v>4774</v>
      </c>
      <c r="L4526" t="s">
        <v>1295</v>
      </c>
      <c r="M4526" t="s">
        <v>337</v>
      </c>
    </row>
    <row r="4527" spans="1:13" x14ac:dyDescent="0.25">
      <c r="A4527" t="s">
        <v>2520</v>
      </c>
      <c r="B4527" t="s">
        <v>13</v>
      </c>
      <c r="C4527" t="s">
        <v>2521</v>
      </c>
      <c r="D4527" t="s">
        <v>2522</v>
      </c>
      <c r="E4527" s="2" t="s">
        <v>30741</v>
      </c>
      <c r="F4527" t="s">
        <v>1697</v>
      </c>
      <c r="G4527" t="s">
        <v>2524</v>
      </c>
      <c r="H4527" t="s">
        <v>352</v>
      </c>
      <c r="I4527" t="s">
        <v>19</v>
      </c>
      <c r="J4527" s="3" t="s">
        <v>2525</v>
      </c>
      <c r="K4527" t="s">
        <v>2526</v>
      </c>
      <c r="L4527" t="s">
        <v>2527</v>
      </c>
      <c r="M4527" t="s">
        <v>337</v>
      </c>
    </row>
    <row r="4528" spans="1:13" x14ac:dyDescent="0.25">
      <c r="A4528" t="s">
        <v>14295</v>
      </c>
      <c r="B4528" t="s">
        <v>13</v>
      </c>
      <c r="C4528" s="1">
        <v>44075</v>
      </c>
      <c r="D4528" t="s">
        <v>14296</v>
      </c>
      <c r="E4528" s="2" t="s">
        <v>31088</v>
      </c>
      <c r="F4528" t="s">
        <v>1464</v>
      </c>
      <c r="G4528" t="s">
        <v>14297</v>
      </c>
      <c r="H4528" t="s">
        <v>114</v>
      </c>
      <c r="I4528" t="s">
        <v>19</v>
      </c>
      <c r="J4528" s="3">
        <f>55-79-991990209</f>
        <v>-991990233</v>
      </c>
      <c r="K4528" t="s">
        <v>14298</v>
      </c>
      <c r="L4528" t="s">
        <v>82</v>
      </c>
      <c r="M4528" t="s">
        <v>32147</v>
      </c>
    </row>
    <row r="4529" spans="1:13" x14ac:dyDescent="0.25">
      <c r="A4529" t="s">
        <v>16986</v>
      </c>
      <c r="B4529" t="s">
        <v>13</v>
      </c>
      <c r="C4529" t="s">
        <v>16959</v>
      </c>
      <c r="D4529" t="s">
        <v>16987</v>
      </c>
      <c r="E4529" t="s">
        <v>16988</v>
      </c>
      <c r="F4529" t="s">
        <v>32121</v>
      </c>
      <c r="G4529" t="s">
        <v>16989</v>
      </c>
      <c r="H4529" t="s">
        <v>36</v>
      </c>
      <c r="I4529" t="s">
        <v>19</v>
      </c>
      <c r="J4529" s="3" t="s">
        <v>16990</v>
      </c>
      <c r="K4529" t="s">
        <v>16991</v>
      </c>
      <c r="L4529" t="s">
        <v>5007</v>
      </c>
      <c r="M4529" t="s">
        <v>32121</v>
      </c>
    </row>
    <row r="4530" spans="1:13" x14ac:dyDescent="0.25">
      <c r="A4530" t="s">
        <v>6340</v>
      </c>
      <c r="B4530" t="s">
        <v>13</v>
      </c>
      <c r="C4530" t="s">
        <v>6331</v>
      </c>
      <c r="D4530" t="s">
        <v>32135</v>
      </c>
      <c r="E4530" t="s">
        <v>6341</v>
      </c>
      <c r="F4530" t="s">
        <v>6342</v>
      </c>
      <c r="G4530" t="s">
        <v>6343</v>
      </c>
      <c r="H4530" t="s">
        <v>6344</v>
      </c>
      <c r="I4530" t="s">
        <v>19</v>
      </c>
      <c r="J4530" s="3">
        <f>55-98-98719-3398</f>
        <v>-102160</v>
      </c>
      <c r="K4530" t="s">
        <v>6345</v>
      </c>
      <c r="L4530" t="s">
        <v>32135</v>
      </c>
      <c r="M4530" t="s">
        <v>32121</v>
      </c>
    </row>
    <row r="4531" spans="1:13" x14ac:dyDescent="0.25">
      <c r="A4531" t="s">
        <v>26834</v>
      </c>
      <c r="B4531" t="s">
        <v>13</v>
      </c>
      <c r="C4531" s="1">
        <v>42403</v>
      </c>
      <c r="D4531" t="s">
        <v>26835</v>
      </c>
      <c r="E4531" t="s">
        <v>32601</v>
      </c>
      <c r="F4531" t="s">
        <v>5940</v>
      </c>
      <c r="G4531" t="s">
        <v>26836</v>
      </c>
      <c r="H4531" t="s">
        <v>4993</v>
      </c>
      <c r="I4531" t="s">
        <v>19</v>
      </c>
      <c r="J4531" s="3" t="s">
        <v>26837</v>
      </c>
      <c r="K4531" t="s">
        <v>26838</v>
      </c>
      <c r="L4531" t="s">
        <v>26839</v>
      </c>
      <c r="M4531" t="s">
        <v>32121</v>
      </c>
    </row>
    <row r="4532" spans="1:13" x14ac:dyDescent="0.25">
      <c r="A4532" t="s">
        <v>30171</v>
      </c>
      <c r="B4532" t="s">
        <v>13</v>
      </c>
      <c r="C4532" t="s">
        <v>30172</v>
      </c>
      <c r="D4532" t="s">
        <v>30173</v>
      </c>
      <c r="E4532" t="s">
        <v>30174</v>
      </c>
      <c r="F4532" t="s">
        <v>332</v>
      </c>
      <c r="G4532" t="s">
        <v>30175</v>
      </c>
      <c r="H4532" t="s">
        <v>36</v>
      </c>
      <c r="I4532" t="s">
        <v>19</v>
      </c>
      <c r="J4532" s="3" t="s">
        <v>30176</v>
      </c>
      <c r="K4532" t="s">
        <v>30177</v>
      </c>
      <c r="L4532" t="s">
        <v>3512</v>
      </c>
      <c r="M4532" t="s">
        <v>337</v>
      </c>
    </row>
    <row r="4533" spans="1:13" x14ac:dyDescent="0.25">
      <c r="A4533" t="s">
        <v>18202</v>
      </c>
      <c r="B4533" t="s">
        <v>13</v>
      </c>
      <c r="C4533" s="1">
        <v>43558</v>
      </c>
      <c r="D4533" t="s">
        <v>18203</v>
      </c>
      <c r="E4533" t="s">
        <v>18204</v>
      </c>
      <c r="F4533" t="s">
        <v>3084</v>
      </c>
      <c r="G4533" t="s">
        <v>9005</v>
      </c>
      <c r="H4533" t="s">
        <v>36</v>
      </c>
      <c r="I4533" t="s">
        <v>19</v>
      </c>
      <c r="J4533" s="3">
        <f>55-11-30696988</f>
        <v>-30696944</v>
      </c>
      <c r="K4533" t="s">
        <v>9006</v>
      </c>
      <c r="L4533" t="s">
        <v>18205</v>
      </c>
      <c r="M4533" t="s">
        <v>32144</v>
      </c>
    </row>
    <row r="4534" spans="1:13" x14ac:dyDescent="0.25">
      <c r="A4534" t="s">
        <v>17493</v>
      </c>
      <c r="B4534" t="s">
        <v>13</v>
      </c>
      <c r="C4534" s="1">
        <v>42979</v>
      </c>
      <c r="D4534" t="s">
        <v>17494</v>
      </c>
      <c r="E4534" t="s">
        <v>17495</v>
      </c>
      <c r="F4534" t="s">
        <v>3084</v>
      </c>
      <c r="G4534" t="s">
        <v>17496</v>
      </c>
      <c r="H4534" t="s">
        <v>36</v>
      </c>
      <c r="I4534" t="s">
        <v>19</v>
      </c>
      <c r="J4534" s="3" t="s">
        <v>17497</v>
      </c>
      <c r="K4534" t="s">
        <v>17498</v>
      </c>
      <c r="L4534" t="s">
        <v>17499</v>
      </c>
      <c r="M4534" t="s">
        <v>32144</v>
      </c>
    </row>
    <row r="4535" spans="1:13" x14ac:dyDescent="0.25">
      <c r="A4535" t="s">
        <v>5408</v>
      </c>
      <c r="B4535" t="s">
        <v>13</v>
      </c>
      <c r="C4535" s="1">
        <v>44420</v>
      </c>
      <c r="D4535" t="s">
        <v>5409</v>
      </c>
      <c r="E4535" t="s">
        <v>5410</v>
      </c>
      <c r="F4535" t="s">
        <v>3147</v>
      </c>
      <c r="G4535" t="s">
        <v>5411</v>
      </c>
      <c r="H4535" t="s">
        <v>150</v>
      </c>
      <c r="I4535" t="s">
        <v>19</v>
      </c>
      <c r="J4535" s="3" t="s">
        <v>5412</v>
      </c>
      <c r="K4535" t="s">
        <v>5413</v>
      </c>
      <c r="L4535" t="s">
        <v>32135</v>
      </c>
      <c r="M4535" t="s">
        <v>32144</v>
      </c>
    </row>
    <row r="4536" spans="1:13" x14ac:dyDescent="0.25">
      <c r="A4536" t="s">
        <v>19731</v>
      </c>
      <c r="B4536" t="s">
        <v>13</v>
      </c>
      <c r="C4536" t="s">
        <v>19732</v>
      </c>
      <c r="D4536" t="s">
        <v>19733</v>
      </c>
      <c r="E4536" t="s">
        <v>19734</v>
      </c>
      <c r="F4536" t="s">
        <v>3084</v>
      </c>
      <c r="G4536" t="s">
        <v>19735</v>
      </c>
      <c r="H4536" t="s">
        <v>36</v>
      </c>
      <c r="I4536" t="s">
        <v>19</v>
      </c>
      <c r="J4536" s="3" t="s">
        <v>19736</v>
      </c>
      <c r="K4536" t="s">
        <v>19737</v>
      </c>
      <c r="L4536" t="s">
        <v>19738</v>
      </c>
      <c r="M4536" t="s">
        <v>32144</v>
      </c>
    </row>
    <row r="4537" spans="1:13" x14ac:dyDescent="0.25">
      <c r="A4537" t="s">
        <v>21158</v>
      </c>
      <c r="B4537" t="s">
        <v>13</v>
      </c>
      <c r="C4537" s="1">
        <v>43196</v>
      </c>
      <c r="D4537" t="s">
        <v>21159</v>
      </c>
      <c r="E4537" t="s">
        <v>21160</v>
      </c>
      <c r="F4537" t="s">
        <v>3084</v>
      </c>
      <c r="G4537" t="s">
        <v>21161</v>
      </c>
      <c r="H4537" t="s">
        <v>409</v>
      </c>
      <c r="I4537" t="s">
        <v>19</v>
      </c>
      <c r="J4537" s="3">
        <f>55-48-37213512</f>
        <v>-37213505</v>
      </c>
      <c r="K4537" t="s">
        <v>21162</v>
      </c>
      <c r="L4537" t="s">
        <v>21163</v>
      </c>
      <c r="M4537" t="s">
        <v>32144</v>
      </c>
    </row>
    <row r="4538" spans="1:13" x14ac:dyDescent="0.25">
      <c r="A4538" t="s">
        <v>9262</v>
      </c>
      <c r="B4538" t="s">
        <v>13</v>
      </c>
      <c r="C4538" t="s">
        <v>9263</v>
      </c>
      <c r="D4538" t="s">
        <v>9264</v>
      </c>
      <c r="E4538" t="s">
        <v>9265</v>
      </c>
      <c r="F4538" t="s">
        <v>3084</v>
      </c>
      <c r="G4538" t="s">
        <v>9266</v>
      </c>
      <c r="H4538" t="s">
        <v>1656</v>
      </c>
      <c r="I4538" t="s">
        <v>19</v>
      </c>
      <c r="J4538" s="3">
        <v>55055991898239</v>
      </c>
      <c r="K4538" t="s">
        <v>9267</v>
      </c>
      <c r="L4538" t="s">
        <v>1658</v>
      </c>
      <c r="M4538" t="s">
        <v>32144</v>
      </c>
    </row>
    <row r="4539" spans="1:13" x14ac:dyDescent="0.25">
      <c r="A4539" t="s">
        <v>25694</v>
      </c>
      <c r="B4539" t="s">
        <v>13</v>
      </c>
      <c r="C4539" t="s">
        <v>25680</v>
      </c>
      <c r="D4539" t="s">
        <v>25695</v>
      </c>
      <c r="E4539" t="s">
        <v>6998</v>
      </c>
      <c r="F4539" t="s">
        <v>1464</v>
      </c>
      <c r="G4539" t="s">
        <v>22671</v>
      </c>
      <c r="H4539" t="s">
        <v>88</v>
      </c>
      <c r="I4539" t="s">
        <v>19</v>
      </c>
      <c r="J4539" s="3" t="s">
        <v>25696</v>
      </c>
      <c r="K4539" t="s">
        <v>22672</v>
      </c>
      <c r="L4539" t="s">
        <v>25697</v>
      </c>
      <c r="M4539" t="s">
        <v>32144</v>
      </c>
    </row>
    <row r="4540" spans="1:13" x14ac:dyDescent="0.25">
      <c r="A4540" t="s">
        <v>6996</v>
      </c>
      <c r="B4540" t="s">
        <v>13</v>
      </c>
      <c r="C4540" s="1">
        <v>44203</v>
      </c>
      <c r="D4540" t="s">
        <v>6997</v>
      </c>
      <c r="E4540" t="s">
        <v>6998</v>
      </c>
      <c r="F4540" t="s">
        <v>6998</v>
      </c>
      <c r="G4540" t="s">
        <v>6999</v>
      </c>
      <c r="H4540" t="s">
        <v>32135</v>
      </c>
      <c r="I4540" t="s">
        <v>19</v>
      </c>
      <c r="J4540" s="3" t="s">
        <v>7000</v>
      </c>
      <c r="K4540" t="s">
        <v>7001</v>
      </c>
      <c r="L4540" t="s">
        <v>32135</v>
      </c>
      <c r="M4540" t="s">
        <v>32144</v>
      </c>
    </row>
    <row r="4541" spans="1:13" x14ac:dyDescent="0.25">
      <c r="A4541" t="s">
        <v>9012</v>
      </c>
      <c r="B4541" t="s">
        <v>13</v>
      </c>
      <c r="C4541" t="s">
        <v>499</v>
      </c>
      <c r="D4541" t="s">
        <v>9013</v>
      </c>
      <c r="E4541" t="s">
        <v>9014</v>
      </c>
      <c r="G4541" t="s">
        <v>9015</v>
      </c>
      <c r="H4541" t="s">
        <v>352</v>
      </c>
      <c r="I4541" t="s">
        <v>19</v>
      </c>
      <c r="J4541" s="3">
        <v>552121345000</v>
      </c>
      <c r="K4541" t="s">
        <v>9016</v>
      </c>
      <c r="L4541" t="s">
        <v>1957</v>
      </c>
      <c r="M4541" t="s">
        <v>57</v>
      </c>
    </row>
    <row r="4542" spans="1:13" x14ac:dyDescent="0.25">
      <c r="A4542" t="s">
        <v>6193</v>
      </c>
      <c r="B4542" t="s">
        <v>13</v>
      </c>
      <c r="C4542" t="s">
        <v>5601</v>
      </c>
      <c r="D4542" t="s">
        <v>6194</v>
      </c>
      <c r="E4542" t="s">
        <v>6195</v>
      </c>
      <c r="F4542" t="s">
        <v>6195</v>
      </c>
      <c r="G4542" t="s">
        <v>6196</v>
      </c>
      <c r="H4542" t="s">
        <v>1215</v>
      </c>
      <c r="I4542" t="s">
        <v>19</v>
      </c>
      <c r="J4542" s="3">
        <v>5518997049077</v>
      </c>
      <c r="K4542" t="s">
        <v>6197</v>
      </c>
      <c r="L4542" t="s">
        <v>32135</v>
      </c>
      <c r="M4542" t="s">
        <v>1775</v>
      </c>
    </row>
    <row r="4543" spans="1:13" x14ac:dyDescent="0.25">
      <c r="A4543" t="s">
        <v>24080</v>
      </c>
      <c r="B4543" t="s">
        <v>13</v>
      </c>
      <c r="C4543" t="s">
        <v>19111</v>
      </c>
      <c r="D4543" t="s">
        <v>24081</v>
      </c>
      <c r="E4543" t="s">
        <v>7286</v>
      </c>
      <c r="F4543" t="s">
        <v>9969</v>
      </c>
      <c r="G4543" t="s">
        <v>24082</v>
      </c>
      <c r="H4543" t="s">
        <v>5543</v>
      </c>
      <c r="I4543" t="s">
        <v>19</v>
      </c>
      <c r="J4543" s="3" t="s">
        <v>24083</v>
      </c>
      <c r="K4543" t="s">
        <v>24084</v>
      </c>
      <c r="L4543" t="s">
        <v>19061</v>
      </c>
      <c r="M4543" t="s">
        <v>32149</v>
      </c>
    </row>
    <row r="4544" spans="1:13" x14ac:dyDescent="0.25">
      <c r="A4544" t="s">
        <v>7284</v>
      </c>
      <c r="B4544" t="s">
        <v>13</v>
      </c>
      <c r="C4544" s="1">
        <v>44202</v>
      </c>
      <c r="D4544" t="s">
        <v>7285</v>
      </c>
      <c r="E4544" t="s">
        <v>7286</v>
      </c>
      <c r="F4544" t="s">
        <v>537</v>
      </c>
      <c r="G4544" t="s">
        <v>7287</v>
      </c>
      <c r="H4544" t="s">
        <v>4092</v>
      </c>
      <c r="I4544" t="s">
        <v>19</v>
      </c>
      <c r="J4544" s="3">
        <v>5514991317722</v>
      </c>
      <c r="K4544" t="s">
        <v>7288</v>
      </c>
      <c r="L4544" t="s">
        <v>32135</v>
      </c>
      <c r="M4544" t="s">
        <v>1775</v>
      </c>
    </row>
    <row r="4545" spans="1:13" x14ac:dyDescent="0.25">
      <c r="A4545" t="s">
        <v>7390</v>
      </c>
      <c r="B4545" t="s">
        <v>101</v>
      </c>
      <c r="C4545" t="s">
        <v>7363</v>
      </c>
      <c r="D4545" t="s">
        <v>7391</v>
      </c>
      <c r="E4545" t="s">
        <v>7286</v>
      </c>
      <c r="F4545" t="s">
        <v>32147</v>
      </c>
      <c r="G4545" t="s">
        <v>7392</v>
      </c>
      <c r="H4545" t="s">
        <v>1486</v>
      </c>
      <c r="I4545" t="s">
        <v>19</v>
      </c>
      <c r="J4545" s="3">
        <f>55-34-91944037</f>
        <v>-91944016</v>
      </c>
      <c r="K4545" t="s">
        <v>7393</v>
      </c>
      <c r="L4545" t="s">
        <v>1489</v>
      </c>
      <c r="M4545" t="s">
        <v>32147</v>
      </c>
    </row>
    <row r="4546" spans="1:13" x14ac:dyDescent="0.25">
      <c r="A4546" t="s">
        <v>29215</v>
      </c>
      <c r="B4546" t="s">
        <v>13</v>
      </c>
      <c r="C4546" s="1">
        <v>41822</v>
      </c>
      <c r="D4546" t="s">
        <v>29216</v>
      </c>
      <c r="E4546" t="s">
        <v>29217</v>
      </c>
      <c r="F4546" t="s">
        <v>27037</v>
      </c>
      <c r="G4546" t="s">
        <v>29218</v>
      </c>
      <c r="H4546" t="s">
        <v>299</v>
      </c>
      <c r="I4546" t="s">
        <v>19</v>
      </c>
      <c r="J4546" s="3" t="s">
        <v>29219</v>
      </c>
      <c r="K4546" t="s">
        <v>29220</v>
      </c>
      <c r="L4546" t="s">
        <v>29221</v>
      </c>
      <c r="M4546" t="s">
        <v>129</v>
      </c>
    </row>
    <row r="4547" spans="1:13" x14ac:dyDescent="0.25">
      <c r="A4547" t="s">
        <v>2996</v>
      </c>
      <c r="B4547" t="s">
        <v>13</v>
      </c>
      <c r="C4547" t="s">
        <v>2972</v>
      </c>
      <c r="D4547" t="s">
        <v>2997</v>
      </c>
      <c r="E4547" s="2" t="s">
        <v>30760</v>
      </c>
      <c r="F4547" t="s">
        <v>34</v>
      </c>
      <c r="G4547" t="s">
        <v>2998</v>
      </c>
      <c r="H4547" t="s">
        <v>352</v>
      </c>
      <c r="I4547" t="s">
        <v>19</v>
      </c>
      <c r="J4547" s="3" t="s">
        <v>2999</v>
      </c>
      <c r="K4547" t="s">
        <v>3000</v>
      </c>
      <c r="L4547" t="s">
        <v>3001</v>
      </c>
      <c r="M4547" t="s">
        <v>1775</v>
      </c>
    </row>
    <row r="4548" spans="1:13" x14ac:dyDescent="0.25">
      <c r="A4548" t="s">
        <v>7662</v>
      </c>
      <c r="B4548" t="s">
        <v>13</v>
      </c>
      <c r="C4548" t="s">
        <v>7663</v>
      </c>
      <c r="D4548" t="s">
        <v>7664</v>
      </c>
      <c r="E4548" s="2" t="s">
        <v>32602</v>
      </c>
      <c r="F4548" t="s">
        <v>2036</v>
      </c>
      <c r="G4548" t="s">
        <v>7665</v>
      </c>
      <c r="H4548" t="s">
        <v>2164</v>
      </c>
      <c r="I4548" t="s">
        <v>19</v>
      </c>
      <c r="J4548" s="3" t="s">
        <v>7666</v>
      </c>
      <c r="K4548" t="s">
        <v>7667</v>
      </c>
      <c r="L4548" t="s">
        <v>7668</v>
      </c>
      <c r="M4548" t="s">
        <v>57</v>
      </c>
    </row>
    <row r="4549" spans="1:13" x14ac:dyDescent="0.25">
      <c r="A4549" t="s">
        <v>23192</v>
      </c>
      <c r="B4549" t="s">
        <v>13</v>
      </c>
      <c r="C4549" t="s">
        <v>23193</v>
      </c>
      <c r="D4549" t="s">
        <v>23194</v>
      </c>
      <c r="E4549" s="2" t="s">
        <v>31596</v>
      </c>
      <c r="F4549" t="s">
        <v>2036</v>
      </c>
      <c r="G4549" t="s">
        <v>23195</v>
      </c>
      <c r="H4549" t="s">
        <v>372</v>
      </c>
      <c r="I4549" t="s">
        <v>19</v>
      </c>
      <c r="J4549" s="3" t="s">
        <v>23196</v>
      </c>
      <c r="K4549" t="s">
        <v>23197</v>
      </c>
      <c r="L4549" t="s">
        <v>23198</v>
      </c>
      <c r="M4549" t="s">
        <v>57</v>
      </c>
    </row>
    <row r="4550" spans="1:13" x14ac:dyDescent="0.25">
      <c r="A4550" t="s">
        <v>16793</v>
      </c>
      <c r="B4550" t="s">
        <v>13</v>
      </c>
      <c r="C4550" s="1">
        <v>43745</v>
      </c>
      <c r="D4550" t="s">
        <v>16794</v>
      </c>
      <c r="E4550" s="2" t="s">
        <v>31162</v>
      </c>
      <c r="F4550" t="s">
        <v>1464</v>
      </c>
      <c r="G4550" t="s">
        <v>16795</v>
      </c>
      <c r="H4550" t="s">
        <v>16796</v>
      </c>
      <c r="I4550" t="s">
        <v>19</v>
      </c>
      <c r="J4550" s="3">
        <v>5504332582110</v>
      </c>
      <c r="K4550" t="s">
        <v>16797</v>
      </c>
      <c r="L4550" t="s">
        <v>16798</v>
      </c>
      <c r="M4550" t="s">
        <v>1775</v>
      </c>
    </row>
    <row r="4551" spans="1:13" x14ac:dyDescent="0.25">
      <c r="A4551" t="s">
        <v>27739</v>
      </c>
      <c r="B4551" t="s">
        <v>13</v>
      </c>
      <c r="C4551" t="s">
        <v>27733</v>
      </c>
      <c r="D4551" t="s">
        <v>27740</v>
      </c>
      <c r="E4551" t="s">
        <v>27741</v>
      </c>
      <c r="F4551" t="s">
        <v>1464</v>
      </c>
      <c r="G4551" t="s">
        <v>27742</v>
      </c>
      <c r="H4551" t="s">
        <v>71</v>
      </c>
      <c r="I4551" t="s">
        <v>19</v>
      </c>
      <c r="J4551" s="3" t="s">
        <v>27743</v>
      </c>
      <c r="K4551" t="s">
        <v>27744</v>
      </c>
      <c r="L4551" t="s">
        <v>27745</v>
      </c>
      <c r="M4551" t="s">
        <v>32147</v>
      </c>
    </row>
    <row r="4552" spans="1:13" x14ac:dyDescent="0.25">
      <c r="A4552" t="s">
        <v>21971</v>
      </c>
      <c r="B4552" t="s">
        <v>13</v>
      </c>
      <c r="C4552" t="s">
        <v>21972</v>
      </c>
      <c r="D4552" t="s">
        <v>21973</v>
      </c>
      <c r="E4552" t="s">
        <v>32796</v>
      </c>
      <c r="F4552" t="s">
        <v>2036</v>
      </c>
      <c r="G4552" t="s">
        <v>21974</v>
      </c>
      <c r="H4552" t="s">
        <v>10967</v>
      </c>
      <c r="I4552" t="s">
        <v>19</v>
      </c>
      <c r="J4552" s="3" t="s">
        <v>21975</v>
      </c>
      <c r="K4552" t="s">
        <v>21976</v>
      </c>
      <c r="L4552" t="s">
        <v>10969</v>
      </c>
      <c r="M4552" t="s">
        <v>57</v>
      </c>
    </row>
    <row r="4553" spans="1:13" x14ac:dyDescent="0.25">
      <c r="A4553" t="s">
        <v>24861</v>
      </c>
      <c r="B4553" t="s">
        <v>13</v>
      </c>
      <c r="C4553" s="1">
        <v>42622</v>
      </c>
      <c r="D4553" t="s">
        <v>24862</v>
      </c>
      <c r="E4553" t="s">
        <v>24863</v>
      </c>
      <c r="F4553" t="s">
        <v>1464</v>
      </c>
      <c r="G4553" t="s">
        <v>24864</v>
      </c>
      <c r="H4553" t="s">
        <v>489</v>
      </c>
      <c r="I4553" t="s">
        <v>19</v>
      </c>
      <c r="J4553" s="3" t="s">
        <v>24865</v>
      </c>
      <c r="K4553" t="s">
        <v>24866</v>
      </c>
      <c r="L4553" t="s">
        <v>24867</v>
      </c>
      <c r="M4553" t="s">
        <v>32144</v>
      </c>
    </row>
    <row r="4554" spans="1:13" x14ac:dyDescent="0.25">
      <c r="A4554" t="s">
        <v>14740</v>
      </c>
      <c r="B4554" t="s">
        <v>13</v>
      </c>
      <c r="C4554" s="1">
        <v>43536</v>
      </c>
      <c r="D4554" t="s">
        <v>14741</v>
      </c>
      <c r="E4554" t="s">
        <v>32797</v>
      </c>
      <c r="F4554" t="s">
        <v>2036</v>
      </c>
      <c r="G4554" t="s">
        <v>14742</v>
      </c>
      <c r="H4554" t="s">
        <v>105</v>
      </c>
      <c r="I4554" t="s">
        <v>19</v>
      </c>
      <c r="J4554" s="3">
        <f>55-21-2629-9464</f>
        <v>-12059</v>
      </c>
      <c r="K4554" t="s">
        <v>14743</v>
      </c>
      <c r="L4554" t="s">
        <v>108</v>
      </c>
      <c r="M4554" t="s">
        <v>57</v>
      </c>
    </row>
    <row r="4555" spans="1:13" x14ac:dyDescent="0.25">
      <c r="A4555" t="s">
        <v>2095</v>
      </c>
      <c r="B4555" t="s">
        <v>13</v>
      </c>
      <c r="C4555" t="s">
        <v>2081</v>
      </c>
      <c r="D4555" t="s">
        <v>2096</v>
      </c>
      <c r="E4555" s="2" t="s">
        <v>30725</v>
      </c>
      <c r="F4555" t="s">
        <v>2097</v>
      </c>
      <c r="G4555" t="s">
        <v>2098</v>
      </c>
      <c r="H4555" t="s">
        <v>472</v>
      </c>
      <c r="I4555" t="s">
        <v>19</v>
      </c>
      <c r="J4555" s="3" t="s">
        <v>2099</v>
      </c>
      <c r="K4555" t="s">
        <v>2100</v>
      </c>
      <c r="L4555" t="s">
        <v>2101</v>
      </c>
      <c r="M4555" t="s">
        <v>771</v>
      </c>
    </row>
    <row r="4556" spans="1:13" x14ac:dyDescent="0.25">
      <c r="A4556" t="s">
        <v>29007</v>
      </c>
      <c r="B4556" t="s">
        <v>13</v>
      </c>
      <c r="C4556" s="1">
        <v>41889</v>
      </c>
      <c r="D4556" t="s">
        <v>29008</v>
      </c>
      <c r="E4556" t="s">
        <v>32603</v>
      </c>
      <c r="F4556" t="s">
        <v>1464</v>
      </c>
      <c r="G4556" t="s">
        <v>29009</v>
      </c>
      <c r="H4556" t="s">
        <v>1335</v>
      </c>
      <c r="I4556" t="s">
        <v>19</v>
      </c>
      <c r="J4556" s="3" t="s">
        <v>29010</v>
      </c>
      <c r="K4556" t="s">
        <v>29011</v>
      </c>
      <c r="L4556" t="s">
        <v>1461</v>
      </c>
      <c r="M4556" t="s">
        <v>1775</v>
      </c>
    </row>
    <row r="4557" spans="1:13" x14ac:dyDescent="0.25">
      <c r="A4557" t="s">
        <v>28335</v>
      </c>
      <c r="B4557" t="s">
        <v>13</v>
      </c>
      <c r="C4557" s="1">
        <v>42281</v>
      </c>
      <c r="D4557" t="s">
        <v>28336</v>
      </c>
      <c r="E4557" t="s">
        <v>28337</v>
      </c>
      <c r="F4557" t="s">
        <v>2036</v>
      </c>
      <c r="G4557" t="s">
        <v>11717</v>
      </c>
      <c r="H4557" t="s">
        <v>1072</v>
      </c>
      <c r="I4557" t="s">
        <v>19</v>
      </c>
      <c r="J4557" s="3" t="s">
        <v>28338</v>
      </c>
      <c r="K4557" t="s">
        <v>11718</v>
      </c>
      <c r="L4557" t="s">
        <v>91</v>
      </c>
      <c r="M4557" t="s">
        <v>57</v>
      </c>
    </row>
    <row r="4558" spans="1:13" x14ac:dyDescent="0.25">
      <c r="A4558" t="s">
        <v>25873</v>
      </c>
      <c r="B4558" t="s">
        <v>13</v>
      </c>
      <c r="C4558" t="s">
        <v>18841</v>
      </c>
      <c r="D4558" t="s">
        <v>25874</v>
      </c>
      <c r="E4558" t="s">
        <v>32604</v>
      </c>
      <c r="F4558" t="s">
        <v>3023</v>
      </c>
      <c r="G4558" t="s">
        <v>25875</v>
      </c>
      <c r="H4558" t="s">
        <v>255</v>
      </c>
      <c r="I4558" t="s">
        <v>19</v>
      </c>
      <c r="J4558" s="3">
        <v>5562985104397</v>
      </c>
      <c r="K4558" t="s">
        <v>25876</v>
      </c>
      <c r="L4558" t="s">
        <v>25877</v>
      </c>
      <c r="M4558" t="s">
        <v>57</v>
      </c>
    </row>
    <row r="4559" spans="1:13" x14ac:dyDescent="0.25">
      <c r="A4559" t="s">
        <v>20555</v>
      </c>
      <c r="B4559" t="s">
        <v>13</v>
      </c>
      <c r="C4559" t="s">
        <v>10976</v>
      </c>
      <c r="D4559" t="s">
        <v>20556</v>
      </c>
      <c r="E4559" t="s">
        <v>20557</v>
      </c>
      <c r="F4559" t="s">
        <v>2036</v>
      </c>
      <c r="G4559" t="s">
        <v>20558</v>
      </c>
      <c r="H4559" t="s">
        <v>18</v>
      </c>
      <c r="I4559" t="s">
        <v>19</v>
      </c>
      <c r="J4559" s="3" t="s">
        <v>20559</v>
      </c>
      <c r="K4559" t="s">
        <v>20560</v>
      </c>
      <c r="L4559" t="s">
        <v>285</v>
      </c>
      <c r="M4559" t="s">
        <v>57</v>
      </c>
    </row>
    <row r="4560" spans="1:13" x14ac:dyDescent="0.25">
      <c r="A4560" t="s">
        <v>25231</v>
      </c>
      <c r="B4560" t="s">
        <v>101</v>
      </c>
      <c r="C4560" t="s">
        <v>9337</v>
      </c>
      <c r="D4560" t="s">
        <v>25232</v>
      </c>
      <c r="E4560" t="s">
        <v>32605</v>
      </c>
      <c r="F4560" t="s">
        <v>2036</v>
      </c>
      <c r="G4560" t="s">
        <v>1081</v>
      </c>
      <c r="H4560" t="s">
        <v>489</v>
      </c>
      <c r="I4560" t="s">
        <v>19</v>
      </c>
      <c r="J4560" s="3" t="s">
        <v>25160</v>
      </c>
      <c r="K4560" t="s">
        <v>11449</v>
      </c>
      <c r="L4560" t="s">
        <v>25233</v>
      </c>
      <c r="M4560" t="s">
        <v>57</v>
      </c>
    </row>
    <row r="4561" spans="1:13" x14ac:dyDescent="0.25">
      <c r="A4561" t="s">
        <v>28648</v>
      </c>
      <c r="B4561" t="s">
        <v>13</v>
      </c>
      <c r="C4561" s="1">
        <v>42065</v>
      </c>
      <c r="D4561" t="s">
        <v>28649</v>
      </c>
      <c r="E4561" t="s">
        <v>32798</v>
      </c>
      <c r="F4561" t="s">
        <v>2036</v>
      </c>
      <c r="G4561" t="s">
        <v>18096</v>
      </c>
      <c r="H4561" t="s">
        <v>4092</v>
      </c>
      <c r="I4561" t="s">
        <v>19</v>
      </c>
      <c r="J4561" s="3" t="s">
        <v>15525</v>
      </c>
      <c r="K4561" t="s">
        <v>18097</v>
      </c>
      <c r="L4561" t="s">
        <v>18098</v>
      </c>
      <c r="M4561" t="s">
        <v>57</v>
      </c>
    </row>
    <row r="4562" spans="1:13" x14ac:dyDescent="0.25">
      <c r="A4562" t="s">
        <v>8246</v>
      </c>
      <c r="B4562" t="s">
        <v>13</v>
      </c>
      <c r="C4562" s="1">
        <v>44441</v>
      </c>
      <c r="D4562" t="s">
        <v>8247</v>
      </c>
      <c r="E4562" t="s">
        <v>6195</v>
      </c>
      <c r="F4562" t="s">
        <v>2036</v>
      </c>
      <c r="G4562" t="s">
        <v>8248</v>
      </c>
      <c r="H4562" t="s">
        <v>540</v>
      </c>
      <c r="I4562" t="s">
        <v>19</v>
      </c>
      <c r="J4562" s="3" t="s">
        <v>8249</v>
      </c>
      <c r="K4562" t="s">
        <v>8250</v>
      </c>
      <c r="L4562" t="s">
        <v>8251</v>
      </c>
      <c r="M4562" t="s">
        <v>57</v>
      </c>
    </row>
    <row r="4563" spans="1:13" x14ac:dyDescent="0.25">
      <c r="A4563" t="s">
        <v>7183</v>
      </c>
      <c r="B4563" t="s">
        <v>13</v>
      </c>
      <c r="C4563" s="1">
        <v>44414</v>
      </c>
      <c r="D4563" t="s">
        <v>7184</v>
      </c>
      <c r="E4563" t="s">
        <v>6195</v>
      </c>
      <c r="F4563" t="s">
        <v>6195</v>
      </c>
      <c r="G4563" t="s">
        <v>7185</v>
      </c>
      <c r="H4563" t="s">
        <v>1047</v>
      </c>
      <c r="I4563" t="s">
        <v>19</v>
      </c>
      <c r="J4563" s="3" t="s">
        <v>7186</v>
      </c>
      <c r="K4563" t="s">
        <v>7187</v>
      </c>
      <c r="L4563" t="s">
        <v>1050</v>
      </c>
      <c r="M4563" t="s">
        <v>57</v>
      </c>
    </row>
    <row r="4564" spans="1:13" x14ac:dyDescent="0.25">
      <c r="A4564" t="s">
        <v>28241</v>
      </c>
      <c r="B4564" t="s">
        <v>13</v>
      </c>
      <c r="C4564" s="1">
        <v>42190</v>
      </c>
      <c r="D4564" t="s">
        <v>28242</v>
      </c>
      <c r="E4564" t="s">
        <v>28243</v>
      </c>
      <c r="F4564" t="s">
        <v>2036</v>
      </c>
      <c r="G4564" t="s">
        <v>28244</v>
      </c>
      <c r="H4564" t="s">
        <v>18</v>
      </c>
      <c r="I4564" t="s">
        <v>19</v>
      </c>
      <c r="J4564" s="3">
        <v>551935218805</v>
      </c>
      <c r="K4564" t="s">
        <v>28245</v>
      </c>
      <c r="L4564" t="s">
        <v>28246</v>
      </c>
      <c r="M4564" t="s">
        <v>57</v>
      </c>
    </row>
    <row r="4565" spans="1:13" x14ac:dyDescent="0.25">
      <c r="A4565" t="s">
        <v>7492</v>
      </c>
      <c r="B4565" t="s">
        <v>13</v>
      </c>
      <c r="C4565" t="s">
        <v>7493</v>
      </c>
      <c r="D4565" t="s">
        <v>7494</v>
      </c>
      <c r="E4565" t="s">
        <v>7495</v>
      </c>
      <c r="F4565" t="s">
        <v>224</v>
      </c>
      <c r="G4565" t="s">
        <v>7496</v>
      </c>
      <c r="H4565" t="s">
        <v>2545</v>
      </c>
      <c r="I4565" t="s">
        <v>19</v>
      </c>
      <c r="J4565" s="3">
        <f>55-19-35264365</f>
        <v>-35264329</v>
      </c>
      <c r="K4565" t="s">
        <v>7497</v>
      </c>
      <c r="L4565" t="s">
        <v>32135</v>
      </c>
      <c r="M4565" t="s">
        <v>224</v>
      </c>
    </row>
    <row r="4566" spans="1:13" x14ac:dyDescent="0.25">
      <c r="A4566" t="s">
        <v>17901</v>
      </c>
      <c r="B4566" t="s">
        <v>13</v>
      </c>
      <c r="C4566" s="1">
        <v>43469</v>
      </c>
      <c r="D4566" t="s">
        <v>17902</v>
      </c>
      <c r="E4566" s="2" t="s">
        <v>31367</v>
      </c>
      <c r="F4566" t="s">
        <v>2036</v>
      </c>
      <c r="G4566" t="s">
        <v>3839</v>
      </c>
      <c r="H4566" t="s">
        <v>1466</v>
      </c>
      <c r="I4566" t="s">
        <v>19</v>
      </c>
      <c r="J4566" s="3" t="s">
        <v>10770</v>
      </c>
      <c r="K4566" t="s">
        <v>3842</v>
      </c>
      <c r="L4566" t="s">
        <v>13333</v>
      </c>
      <c r="M4566" t="s">
        <v>57</v>
      </c>
    </row>
    <row r="4567" spans="1:13" x14ac:dyDescent="0.25">
      <c r="A4567" t="s">
        <v>9556</v>
      </c>
      <c r="B4567" t="s">
        <v>13</v>
      </c>
      <c r="C4567" t="s">
        <v>6204</v>
      </c>
      <c r="D4567" t="s">
        <v>9557</v>
      </c>
      <c r="E4567" t="s">
        <v>32606</v>
      </c>
      <c r="F4567" t="s">
        <v>9519</v>
      </c>
      <c r="G4567" t="s">
        <v>9558</v>
      </c>
      <c r="H4567" t="s">
        <v>18</v>
      </c>
      <c r="I4567" t="s">
        <v>19</v>
      </c>
      <c r="J4567" s="3">
        <f>55-19-35218752</f>
        <v>-35218716</v>
      </c>
      <c r="K4567" t="s">
        <v>9559</v>
      </c>
      <c r="L4567" t="s">
        <v>9560</v>
      </c>
      <c r="M4567" t="s">
        <v>32145</v>
      </c>
    </row>
    <row r="4568" spans="1:13" x14ac:dyDescent="0.25">
      <c r="A4568" t="s">
        <v>13103</v>
      </c>
      <c r="B4568" t="s">
        <v>13</v>
      </c>
      <c r="C4568" s="1">
        <v>44077</v>
      </c>
      <c r="D4568" t="s">
        <v>13104</v>
      </c>
      <c r="E4568" t="s">
        <v>13105</v>
      </c>
      <c r="F4568" t="s">
        <v>32121</v>
      </c>
      <c r="G4568" t="s">
        <v>13106</v>
      </c>
      <c r="H4568" t="s">
        <v>299</v>
      </c>
      <c r="I4568" t="s">
        <v>19</v>
      </c>
      <c r="J4568" s="3">
        <f>55-14-38801001</f>
        <v>-38800960</v>
      </c>
      <c r="K4568" t="s">
        <v>13107</v>
      </c>
      <c r="L4568" t="s">
        <v>13108</v>
      </c>
      <c r="M4568" t="s">
        <v>32121</v>
      </c>
    </row>
    <row r="4569" spans="1:13" x14ac:dyDescent="0.25">
      <c r="A4569" t="s">
        <v>26904</v>
      </c>
      <c r="B4569" t="s">
        <v>13</v>
      </c>
      <c r="C4569" t="s">
        <v>26706</v>
      </c>
      <c r="D4569" t="s">
        <v>26905</v>
      </c>
      <c r="E4569" t="s">
        <v>26906</v>
      </c>
      <c r="F4569" t="s">
        <v>8193</v>
      </c>
      <c r="G4569" t="s">
        <v>26907</v>
      </c>
      <c r="H4569" t="s">
        <v>409</v>
      </c>
      <c r="I4569" t="s">
        <v>19</v>
      </c>
      <c r="J4569" s="3" t="s">
        <v>26908</v>
      </c>
      <c r="K4569" t="s">
        <v>26909</v>
      </c>
      <c r="L4569" t="s">
        <v>7763</v>
      </c>
      <c r="M4569" t="s">
        <v>129</v>
      </c>
    </row>
    <row r="4570" spans="1:13" x14ac:dyDescent="0.25">
      <c r="A4570" t="s">
        <v>25998</v>
      </c>
      <c r="B4570" t="s">
        <v>101</v>
      </c>
      <c r="C4570" t="s">
        <v>25999</v>
      </c>
      <c r="D4570" t="s">
        <v>26000</v>
      </c>
      <c r="E4570" t="s">
        <v>26001</v>
      </c>
      <c r="F4570" t="s">
        <v>1464</v>
      </c>
      <c r="G4570" t="s">
        <v>26002</v>
      </c>
      <c r="H4570" t="s">
        <v>352</v>
      </c>
      <c r="I4570" t="s">
        <v>19</v>
      </c>
      <c r="J4570" s="3">
        <v>552139386849</v>
      </c>
      <c r="K4570" t="s">
        <v>26003</v>
      </c>
      <c r="L4570" t="s">
        <v>26004</v>
      </c>
      <c r="M4570" t="s">
        <v>32121</v>
      </c>
    </row>
    <row r="4571" spans="1:13" x14ac:dyDescent="0.25">
      <c r="A4571" t="s">
        <v>29133</v>
      </c>
      <c r="B4571" t="s">
        <v>13</v>
      </c>
      <c r="C4571" s="1">
        <v>41764</v>
      </c>
      <c r="D4571" t="s">
        <v>29134</v>
      </c>
      <c r="E4571" t="s">
        <v>1436</v>
      </c>
      <c r="F4571" t="s">
        <v>22061</v>
      </c>
      <c r="G4571" t="s">
        <v>29135</v>
      </c>
      <c r="H4571" t="s">
        <v>472</v>
      </c>
      <c r="I4571" t="s">
        <v>19</v>
      </c>
      <c r="J4571" s="3" t="s">
        <v>29136</v>
      </c>
      <c r="K4571" t="s">
        <v>29137</v>
      </c>
      <c r="L4571" t="s">
        <v>29138</v>
      </c>
      <c r="M4571" t="s">
        <v>32121</v>
      </c>
    </row>
    <row r="4572" spans="1:13" x14ac:dyDescent="0.25">
      <c r="A4572" t="s">
        <v>16455</v>
      </c>
      <c r="B4572" t="s">
        <v>13</v>
      </c>
      <c r="C4572" t="s">
        <v>16456</v>
      </c>
      <c r="D4572" t="s">
        <v>16457</v>
      </c>
      <c r="E4572" t="s">
        <v>1436</v>
      </c>
      <c r="F4572" t="s">
        <v>32121</v>
      </c>
      <c r="G4572" t="s">
        <v>16458</v>
      </c>
      <c r="H4572" t="s">
        <v>615</v>
      </c>
      <c r="I4572" t="s">
        <v>19</v>
      </c>
      <c r="J4572" s="3">
        <f>55-34-32182935</f>
        <v>-32182914</v>
      </c>
      <c r="K4572" t="s">
        <v>16459</v>
      </c>
      <c r="L4572" t="s">
        <v>618</v>
      </c>
      <c r="M4572" t="s">
        <v>32121</v>
      </c>
    </row>
    <row r="4573" spans="1:13" x14ac:dyDescent="0.25">
      <c r="A4573" t="s">
        <v>14106</v>
      </c>
      <c r="B4573" t="s">
        <v>13</v>
      </c>
      <c r="C4573" s="1">
        <v>43195</v>
      </c>
      <c r="D4573" t="s">
        <v>14107</v>
      </c>
      <c r="E4573" t="s">
        <v>1436</v>
      </c>
      <c r="F4573" t="s">
        <v>32121</v>
      </c>
      <c r="G4573" t="s">
        <v>14108</v>
      </c>
      <c r="H4573" t="s">
        <v>615</v>
      </c>
      <c r="I4573" t="s">
        <v>19</v>
      </c>
      <c r="J4573" s="3">
        <v>55034991826560</v>
      </c>
      <c r="K4573" t="s">
        <v>14109</v>
      </c>
      <c r="L4573" t="s">
        <v>618</v>
      </c>
      <c r="M4573" t="s">
        <v>32121</v>
      </c>
    </row>
    <row r="4574" spans="1:13" x14ac:dyDescent="0.25">
      <c r="A4574" t="s">
        <v>25540</v>
      </c>
      <c r="B4574" t="s">
        <v>13</v>
      </c>
      <c r="C4574" s="1">
        <v>42622</v>
      </c>
      <c r="D4574" t="s">
        <v>25541</v>
      </c>
      <c r="E4574" t="s">
        <v>1436</v>
      </c>
      <c r="F4574" t="s">
        <v>32121</v>
      </c>
      <c r="G4574" t="s">
        <v>25475</v>
      </c>
      <c r="H4574" t="s">
        <v>428</v>
      </c>
      <c r="I4574" t="s">
        <v>19</v>
      </c>
      <c r="J4574" s="3" t="s">
        <v>25476</v>
      </c>
      <c r="K4574" t="s">
        <v>25477</v>
      </c>
      <c r="L4574" t="s">
        <v>7007</v>
      </c>
      <c r="M4574" t="s">
        <v>32121</v>
      </c>
    </row>
    <row r="4575" spans="1:13" x14ac:dyDescent="0.25">
      <c r="A4575" t="s">
        <v>26266</v>
      </c>
      <c r="B4575" t="s">
        <v>13</v>
      </c>
      <c r="C4575" t="s">
        <v>26253</v>
      </c>
      <c r="D4575" t="s">
        <v>26267</v>
      </c>
      <c r="E4575" t="s">
        <v>1436</v>
      </c>
      <c r="F4575" t="s">
        <v>32121</v>
      </c>
      <c r="G4575" t="s">
        <v>26268</v>
      </c>
      <c r="H4575" t="s">
        <v>26269</v>
      </c>
      <c r="I4575" t="s">
        <v>19</v>
      </c>
      <c r="J4575" s="3" t="s">
        <v>26270</v>
      </c>
      <c r="K4575" t="s">
        <v>26271</v>
      </c>
      <c r="L4575" t="s">
        <v>1774</v>
      </c>
      <c r="M4575" t="s">
        <v>32121</v>
      </c>
    </row>
    <row r="4576" spans="1:13" x14ac:dyDescent="0.25">
      <c r="A4576" t="s">
        <v>24558</v>
      </c>
      <c r="B4576" t="s">
        <v>13</v>
      </c>
      <c r="C4576" s="1">
        <v>42919</v>
      </c>
      <c r="D4576" t="s">
        <v>24559</v>
      </c>
      <c r="E4576" t="s">
        <v>24560</v>
      </c>
      <c r="F4576" t="s">
        <v>8193</v>
      </c>
      <c r="G4576" t="s">
        <v>24561</v>
      </c>
      <c r="H4576" t="s">
        <v>927</v>
      </c>
      <c r="I4576" t="s">
        <v>19</v>
      </c>
      <c r="J4576" s="3" t="s">
        <v>24562</v>
      </c>
      <c r="K4576" t="s">
        <v>24563</v>
      </c>
      <c r="L4576" t="s">
        <v>24564</v>
      </c>
      <c r="M4576" t="s">
        <v>32121</v>
      </c>
    </row>
    <row r="4577" spans="1:13" x14ac:dyDescent="0.25">
      <c r="A4577" t="s">
        <v>2560</v>
      </c>
      <c r="B4577" t="s">
        <v>13</v>
      </c>
      <c r="C4577" s="1">
        <v>44903</v>
      </c>
      <c r="D4577" t="s">
        <v>32135</v>
      </c>
      <c r="E4577" t="s">
        <v>2561</v>
      </c>
      <c r="F4577" t="s">
        <v>2562</v>
      </c>
      <c r="G4577" t="s">
        <v>2563</v>
      </c>
      <c r="H4577" t="s">
        <v>2564</v>
      </c>
      <c r="I4577" t="s">
        <v>19</v>
      </c>
      <c r="J4577" s="3" t="s">
        <v>2565</v>
      </c>
      <c r="K4577" t="s">
        <v>2566</v>
      </c>
      <c r="L4577" t="s">
        <v>2567</v>
      </c>
      <c r="M4577" t="s">
        <v>32183</v>
      </c>
    </row>
    <row r="4578" spans="1:13" x14ac:dyDescent="0.25">
      <c r="A4578" t="s">
        <v>21901</v>
      </c>
      <c r="B4578" t="s">
        <v>13</v>
      </c>
      <c r="C4578" s="1">
        <v>43438</v>
      </c>
      <c r="D4578" t="s">
        <v>21902</v>
      </c>
      <c r="E4578" t="s">
        <v>32607</v>
      </c>
      <c r="F4578" t="s">
        <v>32121</v>
      </c>
      <c r="G4578" t="s">
        <v>21903</v>
      </c>
      <c r="H4578" t="s">
        <v>18</v>
      </c>
      <c r="I4578" t="s">
        <v>19</v>
      </c>
      <c r="J4578" s="3">
        <f>55-19-35219304</f>
        <v>-35219268</v>
      </c>
      <c r="K4578" t="s">
        <v>21904</v>
      </c>
      <c r="L4578" t="s">
        <v>21905</v>
      </c>
      <c r="M4578" t="s">
        <v>32121</v>
      </c>
    </row>
    <row r="4579" spans="1:13" x14ac:dyDescent="0.25">
      <c r="A4579" t="s">
        <v>14877</v>
      </c>
      <c r="B4579" t="s">
        <v>13</v>
      </c>
      <c r="C4579" t="s">
        <v>14813</v>
      </c>
      <c r="D4579" t="s">
        <v>14878</v>
      </c>
      <c r="E4579" s="2" t="s">
        <v>32608</v>
      </c>
      <c r="F4579" t="s">
        <v>32121</v>
      </c>
      <c r="G4579" t="s">
        <v>14879</v>
      </c>
      <c r="H4579" t="s">
        <v>540</v>
      </c>
      <c r="I4579" t="s">
        <v>19</v>
      </c>
      <c r="J4579" s="3" t="s">
        <v>14880</v>
      </c>
      <c r="K4579" t="s">
        <v>14881</v>
      </c>
      <c r="L4579" t="s">
        <v>14882</v>
      </c>
      <c r="M4579" t="s">
        <v>32121</v>
      </c>
    </row>
    <row r="4580" spans="1:13" x14ac:dyDescent="0.25">
      <c r="A4580" t="s">
        <v>9763</v>
      </c>
      <c r="B4580" t="s">
        <v>13</v>
      </c>
      <c r="C4580" t="s">
        <v>9752</v>
      </c>
      <c r="D4580" t="s">
        <v>9764</v>
      </c>
      <c r="E4580" s="2" t="s">
        <v>32609</v>
      </c>
      <c r="F4580" t="s">
        <v>32121</v>
      </c>
      <c r="G4580" t="s">
        <v>9766</v>
      </c>
      <c r="H4580" t="s">
        <v>472</v>
      </c>
      <c r="I4580" t="s">
        <v>19</v>
      </c>
      <c r="J4580" s="3">
        <f>55-81-987688400</f>
        <v>-987688426</v>
      </c>
      <c r="K4580" t="s">
        <v>9767</v>
      </c>
      <c r="L4580" t="s">
        <v>2101</v>
      </c>
      <c r="M4580" t="s">
        <v>32121</v>
      </c>
    </row>
    <row r="4581" spans="1:13" x14ac:dyDescent="0.25">
      <c r="A4581" t="s">
        <v>15673</v>
      </c>
      <c r="B4581" t="s">
        <v>13</v>
      </c>
      <c r="C4581" s="1">
        <v>43687</v>
      </c>
      <c r="D4581" t="s">
        <v>15674</v>
      </c>
      <c r="E4581" s="2" t="s">
        <v>32610</v>
      </c>
      <c r="F4581" t="s">
        <v>1464</v>
      </c>
      <c r="G4581" t="s">
        <v>15675</v>
      </c>
      <c r="H4581" t="s">
        <v>2678</v>
      </c>
      <c r="I4581" t="s">
        <v>19</v>
      </c>
      <c r="J4581" s="3" t="s">
        <v>15676</v>
      </c>
      <c r="K4581" t="s">
        <v>15677</v>
      </c>
      <c r="L4581" t="s">
        <v>4608</v>
      </c>
      <c r="M4581" t="s">
        <v>32121</v>
      </c>
    </row>
    <row r="4582" spans="1:13" x14ac:dyDescent="0.25">
      <c r="A4582" t="s">
        <v>20755</v>
      </c>
      <c r="B4582" t="s">
        <v>13</v>
      </c>
      <c r="C4582" s="1">
        <v>43197</v>
      </c>
      <c r="D4582" t="s">
        <v>20756</v>
      </c>
      <c r="E4582" t="s">
        <v>32611</v>
      </c>
      <c r="F4582" t="s">
        <v>32121</v>
      </c>
      <c r="G4582" t="s">
        <v>20757</v>
      </c>
      <c r="H4582" t="s">
        <v>472</v>
      </c>
      <c r="I4582" t="s">
        <v>19</v>
      </c>
      <c r="J4582" s="3" t="s">
        <v>20758</v>
      </c>
      <c r="K4582" t="s">
        <v>20759</v>
      </c>
      <c r="L4582" t="s">
        <v>20760</v>
      </c>
      <c r="M4582" t="s">
        <v>32121</v>
      </c>
    </row>
    <row r="4583" spans="1:13" x14ac:dyDescent="0.25">
      <c r="A4583" t="s">
        <v>15900</v>
      </c>
      <c r="B4583" t="s">
        <v>13</v>
      </c>
      <c r="C4583" t="s">
        <v>15876</v>
      </c>
      <c r="D4583" t="s">
        <v>15901</v>
      </c>
      <c r="E4583" t="s">
        <v>32612</v>
      </c>
      <c r="F4583" t="s">
        <v>32121</v>
      </c>
      <c r="G4583" t="s">
        <v>15902</v>
      </c>
      <c r="H4583" t="s">
        <v>1877</v>
      </c>
      <c r="I4583" t="s">
        <v>19</v>
      </c>
      <c r="J4583" s="3">
        <f>55-85-987437673</f>
        <v>-987437703</v>
      </c>
      <c r="K4583" t="s">
        <v>15903</v>
      </c>
      <c r="L4583" t="s">
        <v>15904</v>
      </c>
      <c r="M4583" t="s">
        <v>32121</v>
      </c>
    </row>
    <row r="4584" spans="1:13" x14ac:dyDescent="0.25">
      <c r="A4584" t="s">
        <v>8752</v>
      </c>
      <c r="B4584" t="s">
        <v>13</v>
      </c>
      <c r="C4584" t="s">
        <v>8748</v>
      </c>
      <c r="D4584" t="s">
        <v>8753</v>
      </c>
      <c r="E4584" s="2" t="s">
        <v>30959</v>
      </c>
      <c r="G4584" t="s">
        <v>8754</v>
      </c>
      <c r="H4584" t="s">
        <v>265</v>
      </c>
      <c r="I4584" t="s">
        <v>19</v>
      </c>
      <c r="J4584" s="3">
        <f>55-16-33153000</f>
        <v>-33152961</v>
      </c>
      <c r="K4584" t="s">
        <v>8755</v>
      </c>
      <c r="L4584" t="s">
        <v>1569</v>
      </c>
      <c r="M4584" t="s">
        <v>32121</v>
      </c>
    </row>
    <row r="4585" spans="1:13" x14ac:dyDescent="0.25">
      <c r="A4585" t="s">
        <v>17309</v>
      </c>
      <c r="B4585" t="s">
        <v>13</v>
      </c>
      <c r="C4585" s="1">
        <v>43591</v>
      </c>
      <c r="D4585" t="s">
        <v>17310</v>
      </c>
      <c r="E4585" s="2" t="s">
        <v>31761</v>
      </c>
      <c r="F4585" t="s">
        <v>8193</v>
      </c>
      <c r="G4585" t="s">
        <v>17311</v>
      </c>
      <c r="H4585" t="s">
        <v>71</v>
      </c>
      <c r="I4585" t="s">
        <v>19</v>
      </c>
      <c r="J4585" s="3" t="s">
        <v>17312</v>
      </c>
      <c r="K4585" t="s">
        <v>17313</v>
      </c>
      <c r="L4585" t="s">
        <v>1366</v>
      </c>
      <c r="M4585" t="s">
        <v>32180</v>
      </c>
    </row>
    <row r="4586" spans="1:13" x14ac:dyDescent="0.25">
      <c r="A4586" t="s">
        <v>29597</v>
      </c>
      <c r="B4586" t="s">
        <v>13</v>
      </c>
      <c r="C4586" s="1">
        <v>41493</v>
      </c>
      <c r="D4586" t="s">
        <v>29598</v>
      </c>
      <c r="E4586" t="s">
        <v>29599</v>
      </c>
      <c r="F4586" t="s">
        <v>32121</v>
      </c>
      <c r="G4586" t="s">
        <v>307</v>
      </c>
      <c r="H4586" t="s">
        <v>308</v>
      </c>
      <c r="I4586" t="s">
        <v>309</v>
      </c>
      <c r="J4586" s="3" t="s">
        <v>310</v>
      </c>
      <c r="K4586" t="s">
        <v>311</v>
      </c>
      <c r="L4586" t="s">
        <v>312</v>
      </c>
      <c r="M4586" t="s">
        <v>32121</v>
      </c>
    </row>
    <row r="4587" spans="1:13" x14ac:dyDescent="0.25">
      <c r="A4587" t="s">
        <v>26430</v>
      </c>
      <c r="B4587" t="s">
        <v>101</v>
      </c>
      <c r="C4587" t="s">
        <v>26431</v>
      </c>
      <c r="D4587" t="s">
        <v>26432</v>
      </c>
      <c r="E4587" t="s">
        <v>26433</v>
      </c>
      <c r="F4587" t="s">
        <v>32121</v>
      </c>
      <c r="G4587" t="s">
        <v>26434</v>
      </c>
      <c r="H4587" t="s">
        <v>36</v>
      </c>
      <c r="I4587" t="s">
        <v>19</v>
      </c>
      <c r="J4587" s="3" t="s">
        <v>26435</v>
      </c>
      <c r="K4587" t="s">
        <v>26436</v>
      </c>
      <c r="L4587" t="s">
        <v>26437</v>
      </c>
      <c r="M4587" t="s">
        <v>32205</v>
      </c>
    </row>
    <row r="4588" spans="1:13" x14ac:dyDescent="0.25">
      <c r="A4588" t="s">
        <v>11918</v>
      </c>
      <c r="B4588" t="s">
        <v>13</v>
      </c>
      <c r="C4588" s="1">
        <v>44048</v>
      </c>
      <c r="D4588" t="s">
        <v>11919</v>
      </c>
      <c r="E4588" s="2" t="s">
        <v>31828</v>
      </c>
      <c r="F4588" t="s">
        <v>1464</v>
      </c>
      <c r="G4588" t="s">
        <v>11920</v>
      </c>
      <c r="H4588" t="s">
        <v>2564</v>
      </c>
      <c r="I4588" t="s">
        <v>19</v>
      </c>
      <c r="J4588" s="3" t="s">
        <v>11921</v>
      </c>
      <c r="K4588" t="s">
        <v>11922</v>
      </c>
      <c r="L4588" t="s">
        <v>11923</v>
      </c>
      <c r="M4588" t="s">
        <v>32183</v>
      </c>
    </row>
    <row r="4589" spans="1:13" x14ac:dyDescent="0.25">
      <c r="A4589" t="s">
        <v>1958</v>
      </c>
      <c r="B4589" t="s">
        <v>101</v>
      </c>
      <c r="C4589" t="s">
        <v>2063</v>
      </c>
      <c r="D4589" t="s">
        <v>2064</v>
      </c>
      <c r="E4589" s="2" t="s">
        <v>31792</v>
      </c>
      <c r="F4589" t="s">
        <v>1847</v>
      </c>
      <c r="G4589" t="s">
        <v>1961</v>
      </c>
      <c r="H4589" t="s">
        <v>1802</v>
      </c>
      <c r="I4589" t="s">
        <v>19</v>
      </c>
      <c r="J4589" s="3">
        <v>551432358256</v>
      </c>
      <c r="K4589" t="s">
        <v>1962</v>
      </c>
      <c r="L4589" t="s">
        <v>1963</v>
      </c>
      <c r="M4589" t="s">
        <v>32121</v>
      </c>
    </row>
    <row r="4590" spans="1:13" x14ac:dyDescent="0.25">
      <c r="A4590" t="s">
        <v>26445</v>
      </c>
      <c r="B4590" t="s">
        <v>13</v>
      </c>
      <c r="C4590" t="s">
        <v>26446</v>
      </c>
      <c r="D4590" t="s">
        <v>26447</v>
      </c>
      <c r="E4590" t="s">
        <v>26448</v>
      </c>
      <c r="F4590" t="s">
        <v>32121</v>
      </c>
      <c r="G4590" t="s">
        <v>26449</v>
      </c>
      <c r="H4590" t="s">
        <v>195</v>
      </c>
      <c r="I4590" t="s">
        <v>19</v>
      </c>
      <c r="J4590" s="3">
        <v>5516981354025</v>
      </c>
      <c r="K4590" t="s">
        <v>26450</v>
      </c>
      <c r="L4590" t="s">
        <v>197</v>
      </c>
      <c r="M4590" t="s">
        <v>32121</v>
      </c>
    </row>
    <row r="4591" spans="1:13" x14ac:dyDescent="0.25">
      <c r="A4591" t="s">
        <v>27205</v>
      </c>
      <c r="B4591" t="s">
        <v>13</v>
      </c>
      <c r="C4591" t="s">
        <v>27200</v>
      </c>
      <c r="D4591" t="s">
        <v>27206</v>
      </c>
      <c r="E4591" t="s">
        <v>27207</v>
      </c>
      <c r="F4591" t="s">
        <v>1464</v>
      </c>
      <c r="G4591" t="s">
        <v>27208</v>
      </c>
      <c r="H4591" t="s">
        <v>352</v>
      </c>
      <c r="I4591" t="s">
        <v>19</v>
      </c>
      <c r="J4591" s="3">
        <v>552125541911</v>
      </c>
      <c r="K4591" t="s">
        <v>27209</v>
      </c>
      <c r="L4591" t="s">
        <v>4617</v>
      </c>
      <c r="M4591" t="s">
        <v>32121</v>
      </c>
    </row>
    <row r="4592" spans="1:13" x14ac:dyDescent="0.25">
      <c r="A4592" t="s">
        <v>3233</v>
      </c>
      <c r="B4592" t="s">
        <v>13</v>
      </c>
      <c r="C4592" s="1">
        <v>43292</v>
      </c>
      <c r="D4592" t="s">
        <v>3234</v>
      </c>
      <c r="E4592" t="s">
        <v>3235</v>
      </c>
      <c r="F4592" t="s">
        <v>32121</v>
      </c>
      <c r="G4592" t="s">
        <v>3236</v>
      </c>
      <c r="H4592" t="s">
        <v>36</v>
      </c>
      <c r="I4592" t="s">
        <v>19</v>
      </c>
      <c r="J4592" s="3">
        <f>55-11-55764430</f>
        <v>-55764386</v>
      </c>
      <c r="K4592" t="s">
        <v>3237</v>
      </c>
      <c r="L4592" t="s">
        <v>439</v>
      </c>
      <c r="M4592" t="s">
        <v>32121</v>
      </c>
    </row>
    <row r="4593" spans="1:13" x14ac:dyDescent="0.25">
      <c r="A4593" t="s">
        <v>9514</v>
      </c>
      <c r="B4593" t="s">
        <v>13</v>
      </c>
      <c r="C4593" t="s">
        <v>9515</v>
      </c>
      <c r="D4593" t="s">
        <v>9516</v>
      </c>
      <c r="E4593" s="2" t="s">
        <v>32118</v>
      </c>
      <c r="F4593" t="s">
        <v>9519</v>
      </c>
      <c r="G4593" t="s">
        <v>9520</v>
      </c>
      <c r="H4593" t="s">
        <v>352</v>
      </c>
      <c r="I4593" t="s">
        <v>19</v>
      </c>
      <c r="J4593" s="3" t="s">
        <v>9521</v>
      </c>
      <c r="K4593" t="s">
        <v>9522</v>
      </c>
      <c r="L4593" t="s">
        <v>9523</v>
      </c>
      <c r="M4593" t="s">
        <v>32145</v>
      </c>
    </row>
    <row r="4594" spans="1:13" x14ac:dyDescent="0.25">
      <c r="A4594" t="s">
        <v>28186</v>
      </c>
      <c r="B4594" t="s">
        <v>13</v>
      </c>
      <c r="C4594" s="1">
        <v>42159</v>
      </c>
      <c r="D4594" t="s">
        <v>28187</v>
      </c>
      <c r="E4594" t="s">
        <v>28188</v>
      </c>
      <c r="F4594" t="s">
        <v>32121</v>
      </c>
      <c r="G4594" t="s">
        <v>28189</v>
      </c>
      <c r="H4594" t="s">
        <v>18</v>
      </c>
      <c r="I4594" t="s">
        <v>19</v>
      </c>
      <c r="J4594" s="3">
        <v>551935219428</v>
      </c>
      <c r="K4594" t="s">
        <v>28190</v>
      </c>
      <c r="L4594" t="s">
        <v>285</v>
      </c>
      <c r="M4594" t="s">
        <v>32121</v>
      </c>
    </row>
    <row r="4595" spans="1:13" x14ac:dyDescent="0.25">
      <c r="A4595" t="s">
        <v>9909</v>
      </c>
      <c r="B4595" t="s">
        <v>13</v>
      </c>
      <c r="C4595" t="s">
        <v>9910</v>
      </c>
      <c r="D4595" t="s">
        <v>9911</v>
      </c>
      <c r="E4595" t="s">
        <v>9765</v>
      </c>
      <c r="F4595" t="s">
        <v>32121</v>
      </c>
      <c r="G4595" t="s">
        <v>307</v>
      </c>
      <c r="H4595" t="s">
        <v>308</v>
      </c>
      <c r="I4595" t="s">
        <v>309</v>
      </c>
      <c r="J4595" s="3" t="s">
        <v>310</v>
      </c>
      <c r="K4595" t="s">
        <v>311</v>
      </c>
      <c r="L4595" t="s">
        <v>312</v>
      </c>
      <c r="M4595" t="s">
        <v>32121</v>
      </c>
    </row>
    <row r="4596" spans="1:13" x14ac:dyDescent="0.25">
      <c r="A4596" t="s">
        <v>15806</v>
      </c>
      <c r="B4596" t="s">
        <v>13</v>
      </c>
      <c r="C4596" s="1">
        <v>43506</v>
      </c>
      <c r="D4596" t="s">
        <v>15807</v>
      </c>
      <c r="E4596" s="2" t="s">
        <v>31450</v>
      </c>
      <c r="F4596" t="s">
        <v>32121</v>
      </c>
      <c r="G4596" t="s">
        <v>15808</v>
      </c>
      <c r="H4596" t="s">
        <v>15809</v>
      </c>
      <c r="I4596" t="s">
        <v>19</v>
      </c>
      <c r="J4596" s="3">
        <f>55-14-6536156221</f>
        <v>-6536156180</v>
      </c>
      <c r="K4596" t="s">
        <v>15810</v>
      </c>
      <c r="L4596" t="s">
        <v>9099</v>
      </c>
      <c r="M4596" t="s">
        <v>32121</v>
      </c>
    </row>
    <row r="4597" spans="1:13" x14ac:dyDescent="0.25">
      <c r="A4597" t="s">
        <v>7399</v>
      </c>
      <c r="B4597" t="s">
        <v>13</v>
      </c>
      <c r="C4597" t="s">
        <v>7363</v>
      </c>
      <c r="D4597" t="s">
        <v>7400</v>
      </c>
      <c r="E4597" t="s">
        <v>7401</v>
      </c>
      <c r="F4597" t="s">
        <v>7402</v>
      </c>
      <c r="G4597" t="s">
        <v>7403</v>
      </c>
      <c r="H4597" t="s">
        <v>472</v>
      </c>
      <c r="I4597" t="s">
        <v>19</v>
      </c>
      <c r="J4597" s="3">
        <f>55-81-992161866</f>
        <v>-992161892</v>
      </c>
      <c r="K4597" t="s">
        <v>7404</v>
      </c>
      <c r="L4597" t="s">
        <v>7405</v>
      </c>
      <c r="M4597" t="s">
        <v>32183</v>
      </c>
    </row>
    <row r="4598" spans="1:13" x14ac:dyDescent="0.25">
      <c r="A4598" t="s">
        <v>21808</v>
      </c>
      <c r="B4598" t="s">
        <v>13</v>
      </c>
      <c r="C4598" t="s">
        <v>21809</v>
      </c>
      <c r="D4598" t="s">
        <v>21810</v>
      </c>
      <c r="E4598" s="2" t="s">
        <v>31552</v>
      </c>
      <c r="F4598" t="s">
        <v>32121</v>
      </c>
      <c r="G4598" t="s">
        <v>21811</v>
      </c>
      <c r="H4598" t="s">
        <v>141</v>
      </c>
      <c r="I4598" t="s">
        <v>19</v>
      </c>
      <c r="J4598" s="3" t="s">
        <v>21812</v>
      </c>
      <c r="K4598" t="s">
        <v>21813</v>
      </c>
      <c r="L4598" t="s">
        <v>1058</v>
      </c>
      <c r="M4598" t="s">
        <v>32121</v>
      </c>
    </row>
    <row r="4599" spans="1:13" x14ac:dyDescent="0.25">
      <c r="A4599" t="s">
        <v>8683</v>
      </c>
      <c r="B4599" t="s">
        <v>13</v>
      </c>
      <c r="C4599" t="s">
        <v>8633</v>
      </c>
      <c r="D4599" t="s">
        <v>8684</v>
      </c>
      <c r="E4599" s="2" t="s">
        <v>31387</v>
      </c>
      <c r="F4599" t="s">
        <v>8686</v>
      </c>
      <c r="G4599" t="s">
        <v>8687</v>
      </c>
      <c r="H4599" t="s">
        <v>8688</v>
      </c>
      <c r="I4599" t="s">
        <v>19</v>
      </c>
      <c r="J4599" s="3" t="s">
        <v>8689</v>
      </c>
      <c r="K4599" t="s">
        <v>8690</v>
      </c>
      <c r="L4599" t="s">
        <v>32135</v>
      </c>
      <c r="M4599" t="s">
        <v>32121</v>
      </c>
    </row>
    <row r="4600" spans="1:13" x14ac:dyDescent="0.25">
      <c r="A4600" t="s">
        <v>24013</v>
      </c>
      <c r="B4600" t="s">
        <v>13</v>
      </c>
      <c r="C4600" s="1">
        <v>43015</v>
      </c>
      <c r="D4600" t="s">
        <v>24014</v>
      </c>
      <c r="E4600" t="s">
        <v>24015</v>
      </c>
      <c r="F4600" t="s">
        <v>1464</v>
      </c>
      <c r="G4600" t="s">
        <v>24016</v>
      </c>
      <c r="H4600" t="s">
        <v>615</v>
      </c>
      <c r="I4600" t="s">
        <v>19</v>
      </c>
      <c r="J4600" s="3" t="s">
        <v>24017</v>
      </c>
      <c r="K4600" t="s">
        <v>24018</v>
      </c>
      <c r="L4600" t="s">
        <v>4191</v>
      </c>
      <c r="M4600" t="s">
        <v>32121</v>
      </c>
    </row>
    <row r="4601" spans="1:13" x14ac:dyDescent="0.25">
      <c r="A4601" t="s">
        <v>30383</v>
      </c>
      <c r="B4601" t="s">
        <v>13</v>
      </c>
      <c r="C4601" s="1">
        <v>40882</v>
      </c>
      <c r="D4601" t="s">
        <v>30384</v>
      </c>
      <c r="E4601" t="s">
        <v>12035</v>
      </c>
      <c r="F4601" t="s">
        <v>2947</v>
      </c>
      <c r="G4601" t="s">
        <v>30380</v>
      </c>
      <c r="H4601" t="s">
        <v>428</v>
      </c>
      <c r="I4601" t="s">
        <v>19</v>
      </c>
      <c r="J4601" s="3" t="s">
        <v>30381</v>
      </c>
      <c r="K4601" t="s">
        <v>30382</v>
      </c>
      <c r="L4601" t="s">
        <v>1269</v>
      </c>
      <c r="M4601" t="s">
        <v>771</v>
      </c>
    </row>
    <row r="4602" spans="1:13" x14ac:dyDescent="0.25">
      <c r="A4602" t="s">
        <v>18884</v>
      </c>
      <c r="B4602" t="s">
        <v>13</v>
      </c>
      <c r="C4602" s="1">
        <v>43202</v>
      </c>
      <c r="D4602" t="s">
        <v>18885</v>
      </c>
      <c r="E4602" t="s">
        <v>18886</v>
      </c>
      <c r="F4602" t="s">
        <v>771</v>
      </c>
      <c r="G4602" t="s">
        <v>18887</v>
      </c>
      <c r="H4602" t="s">
        <v>18888</v>
      </c>
      <c r="I4602" t="s">
        <v>19</v>
      </c>
      <c r="J4602" s="3">
        <f>55-51-995068434</f>
        <v>-995068430</v>
      </c>
      <c r="K4602" t="s">
        <v>18889</v>
      </c>
      <c r="L4602" t="s">
        <v>18890</v>
      </c>
      <c r="M4602" t="s">
        <v>771</v>
      </c>
    </row>
    <row r="4603" spans="1:13" x14ac:dyDescent="0.25">
      <c r="A4603" t="s">
        <v>29855</v>
      </c>
      <c r="B4603" t="s">
        <v>13</v>
      </c>
      <c r="C4603" t="s">
        <v>14184</v>
      </c>
      <c r="D4603" t="s">
        <v>29856</v>
      </c>
      <c r="E4603" t="s">
        <v>29857</v>
      </c>
      <c r="F4603" t="s">
        <v>2947</v>
      </c>
      <c r="G4603" t="s">
        <v>14697</v>
      </c>
      <c r="H4603" t="s">
        <v>36</v>
      </c>
      <c r="I4603" t="s">
        <v>19</v>
      </c>
      <c r="J4603" s="3">
        <v>551130913136</v>
      </c>
      <c r="K4603" t="s">
        <v>14699</v>
      </c>
      <c r="L4603" t="s">
        <v>2725</v>
      </c>
      <c r="M4603" t="s">
        <v>771</v>
      </c>
    </row>
    <row r="4604" spans="1:13" x14ac:dyDescent="0.25">
      <c r="A4604" t="s">
        <v>25163</v>
      </c>
      <c r="B4604" t="s">
        <v>13</v>
      </c>
      <c r="C4604" s="1">
        <v>42562</v>
      </c>
      <c r="D4604" t="s">
        <v>25164</v>
      </c>
      <c r="E4604" t="s">
        <v>32799</v>
      </c>
      <c r="F4604" t="s">
        <v>2947</v>
      </c>
      <c r="G4604" t="s">
        <v>25165</v>
      </c>
      <c r="H4604" t="s">
        <v>105</v>
      </c>
      <c r="I4604" t="s">
        <v>19</v>
      </c>
      <c r="J4604" s="3" t="s">
        <v>25166</v>
      </c>
      <c r="K4604" t="s">
        <v>25167</v>
      </c>
      <c r="L4604" t="s">
        <v>25168</v>
      </c>
      <c r="M4604" t="s">
        <v>771</v>
      </c>
    </row>
    <row r="4605" spans="1:13" x14ac:dyDescent="0.25">
      <c r="A4605" t="s">
        <v>23061</v>
      </c>
      <c r="B4605" t="s">
        <v>13</v>
      </c>
      <c r="C4605" s="1">
        <v>42989</v>
      </c>
      <c r="D4605" t="s">
        <v>23062</v>
      </c>
      <c r="E4605" t="s">
        <v>23063</v>
      </c>
      <c r="F4605" t="s">
        <v>2947</v>
      </c>
      <c r="G4605" t="s">
        <v>23064</v>
      </c>
      <c r="H4605" t="s">
        <v>105</v>
      </c>
      <c r="I4605" t="s">
        <v>19</v>
      </c>
      <c r="J4605" s="3" t="s">
        <v>23065</v>
      </c>
      <c r="K4605" t="s">
        <v>23066</v>
      </c>
      <c r="L4605" t="s">
        <v>23067</v>
      </c>
      <c r="M4605" t="s">
        <v>771</v>
      </c>
    </row>
    <row r="4606" spans="1:13" x14ac:dyDescent="0.25">
      <c r="A4606" t="s">
        <v>12380</v>
      </c>
      <c r="B4606" t="s">
        <v>13</v>
      </c>
      <c r="C4606" s="1">
        <v>44078</v>
      </c>
      <c r="D4606" t="s">
        <v>12381</v>
      </c>
      <c r="E4606" t="s">
        <v>12382</v>
      </c>
      <c r="F4606" t="s">
        <v>12383</v>
      </c>
      <c r="G4606" t="s">
        <v>12384</v>
      </c>
      <c r="H4606" t="s">
        <v>12385</v>
      </c>
      <c r="I4606" t="s">
        <v>19</v>
      </c>
      <c r="J4606" s="3">
        <f>55-61-985975012</f>
        <v>-985975018</v>
      </c>
      <c r="K4606" t="s">
        <v>12386</v>
      </c>
      <c r="L4606" t="s">
        <v>12387</v>
      </c>
      <c r="M4606" t="s">
        <v>32155</v>
      </c>
    </row>
    <row r="4607" spans="1:13" x14ac:dyDescent="0.25">
      <c r="A4607" t="s">
        <v>29737</v>
      </c>
      <c r="B4607" t="s">
        <v>13</v>
      </c>
      <c r="C4607" t="s">
        <v>29738</v>
      </c>
      <c r="D4607" t="s">
        <v>29739</v>
      </c>
      <c r="E4607" t="s">
        <v>7603</v>
      </c>
      <c r="F4607" t="s">
        <v>224</v>
      </c>
      <c r="G4607" t="s">
        <v>1868</v>
      </c>
      <c r="H4607" t="s">
        <v>29667</v>
      </c>
      <c r="I4607" t="s">
        <v>19</v>
      </c>
      <c r="J4607" s="3" t="s">
        <v>29740</v>
      </c>
      <c r="K4607" t="s">
        <v>1870</v>
      </c>
      <c r="L4607" t="s">
        <v>197</v>
      </c>
      <c r="M4607" t="s">
        <v>224</v>
      </c>
    </row>
    <row r="4608" spans="1:13" x14ac:dyDescent="0.25">
      <c r="A4608" t="s">
        <v>13559</v>
      </c>
      <c r="B4608" t="s">
        <v>101</v>
      </c>
      <c r="C4608" t="s">
        <v>13550</v>
      </c>
      <c r="D4608" t="s">
        <v>13560</v>
      </c>
      <c r="E4608" t="s">
        <v>8685</v>
      </c>
      <c r="F4608" t="s">
        <v>32121</v>
      </c>
      <c r="G4608" t="s">
        <v>13561</v>
      </c>
      <c r="H4608" t="s">
        <v>927</v>
      </c>
      <c r="I4608" t="s">
        <v>19</v>
      </c>
      <c r="J4608" s="3" t="s">
        <v>13562</v>
      </c>
      <c r="K4608" t="s">
        <v>13563</v>
      </c>
      <c r="L4608" t="s">
        <v>439</v>
      </c>
      <c r="M4608" t="s">
        <v>32121</v>
      </c>
    </row>
    <row r="4609" spans="1:13" x14ac:dyDescent="0.25">
      <c r="A4609" t="s">
        <v>7600</v>
      </c>
      <c r="B4609" t="s">
        <v>13</v>
      </c>
      <c r="C4609" t="s">
        <v>7601</v>
      </c>
      <c r="D4609" t="s">
        <v>7602</v>
      </c>
      <c r="E4609" s="2" t="s">
        <v>30933</v>
      </c>
      <c r="F4609" t="s">
        <v>7603</v>
      </c>
      <c r="G4609" t="s">
        <v>7604</v>
      </c>
      <c r="H4609" t="s">
        <v>7605</v>
      </c>
      <c r="I4609" t="s">
        <v>19</v>
      </c>
      <c r="J4609" s="3" t="s">
        <v>7606</v>
      </c>
      <c r="K4609" t="s">
        <v>7607</v>
      </c>
      <c r="L4609" t="s">
        <v>32135</v>
      </c>
      <c r="M4609" t="s">
        <v>32121</v>
      </c>
    </row>
    <row r="4610" spans="1:13" x14ac:dyDescent="0.25">
      <c r="A4610" t="s">
        <v>28793</v>
      </c>
      <c r="B4610" t="s">
        <v>13</v>
      </c>
      <c r="C4610" t="s">
        <v>28794</v>
      </c>
      <c r="D4610" t="s">
        <v>28795</v>
      </c>
      <c r="E4610" t="s">
        <v>28796</v>
      </c>
      <c r="F4610" t="s">
        <v>8193</v>
      </c>
      <c r="G4610" t="s">
        <v>28797</v>
      </c>
      <c r="H4610" t="s">
        <v>706</v>
      </c>
      <c r="I4610" t="s">
        <v>19</v>
      </c>
      <c r="J4610" s="3" t="s">
        <v>28798</v>
      </c>
      <c r="K4610" t="s">
        <v>28799</v>
      </c>
      <c r="L4610" t="s">
        <v>28800</v>
      </c>
      <c r="M4610" t="s">
        <v>129</v>
      </c>
    </row>
    <row r="4611" spans="1:13" x14ac:dyDescent="0.25">
      <c r="A4611" t="s">
        <v>6834</v>
      </c>
      <c r="B4611" t="s">
        <v>13</v>
      </c>
      <c r="C4611" s="1">
        <v>43380</v>
      </c>
      <c r="D4611" t="s">
        <v>6835</v>
      </c>
      <c r="E4611" s="2" t="s">
        <v>31400</v>
      </c>
      <c r="F4611" t="s">
        <v>6656</v>
      </c>
      <c r="G4611" t="s">
        <v>6836</v>
      </c>
      <c r="H4611" t="s">
        <v>706</v>
      </c>
      <c r="I4611" t="s">
        <v>19</v>
      </c>
      <c r="J4611" s="3">
        <v>5531985177473</v>
      </c>
      <c r="K4611" t="s">
        <v>6837</v>
      </c>
      <c r="L4611" t="s">
        <v>1944</v>
      </c>
      <c r="M4611" t="s">
        <v>6656</v>
      </c>
    </row>
    <row r="4612" spans="1:13" x14ac:dyDescent="0.25">
      <c r="A4612" t="s">
        <v>19131</v>
      </c>
      <c r="B4612" t="s">
        <v>13</v>
      </c>
      <c r="C4612" s="1">
        <v>43111</v>
      </c>
      <c r="D4612" t="s">
        <v>19132</v>
      </c>
      <c r="E4612" t="s">
        <v>19133</v>
      </c>
      <c r="F4612" t="s">
        <v>1464</v>
      </c>
      <c r="G4612" t="s">
        <v>19134</v>
      </c>
      <c r="H4612" t="s">
        <v>1949</v>
      </c>
      <c r="I4612" t="s">
        <v>19</v>
      </c>
      <c r="J4612" s="3" t="s">
        <v>19135</v>
      </c>
      <c r="K4612" t="s">
        <v>19136</v>
      </c>
      <c r="L4612" t="s">
        <v>19137</v>
      </c>
      <c r="M4612" t="s">
        <v>32121</v>
      </c>
    </row>
    <row r="4613" spans="1:13" x14ac:dyDescent="0.25">
      <c r="A4613" t="s">
        <v>5595</v>
      </c>
      <c r="B4613" t="s">
        <v>13</v>
      </c>
      <c r="C4613" t="s">
        <v>4413</v>
      </c>
      <c r="D4613" t="s">
        <v>32135</v>
      </c>
      <c r="E4613" s="2" t="s">
        <v>30849</v>
      </c>
      <c r="F4613" t="s">
        <v>5596</v>
      </c>
      <c r="G4613" t="s">
        <v>5597</v>
      </c>
      <c r="H4613" t="s">
        <v>5598</v>
      </c>
      <c r="I4613" t="s">
        <v>19</v>
      </c>
      <c r="J4613" s="3">
        <v>5596991794988</v>
      </c>
      <c r="K4613" t="s">
        <v>5599</v>
      </c>
      <c r="L4613" t="s">
        <v>32135</v>
      </c>
      <c r="M4613" t="s">
        <v>129</v>
      </c>
    </row>
    <row r="4614" spans="1:13" x14ac:dyDescent="0.25">
      <c r="A4614" t="s">
        <v>9358</v>
      </c>
      <c r="B4614" t="s">
        <v>13</v>
      </c>
      <c r="C4614" s="1">
        <v>43871</v>
      </c>
      <c r="D4614" t="s">
        <v>9359</v>
      </c>
      <c r="E4614" t="s">
        <v>9360</v>
      </c>
      <c r="F4614" t="s">
        <v>1464</v>
      </c>
      <c r="G4614" t="s">
        <v>9361</v>
      </c>
      <c r="H4614" t="s">
        <v>489</v>
      </c>
      <c r="I4614" t="s">
        <v>19</v>
      </c>
      <c r="J4614" s="3" t="s">
        <v>9362</v>
      </c>
      <c r="K4614" t="s">
        <v>9363</v>
      </c>
      <c r="L4614" t="s">
        <v>9364</v>
      </c>
      <c r="M4614" t="s">
        <v>6656</v>
      </c>
    </row>
    <row r="4615" spans="1:13" x14ac:dyDescent="0.25">
      <c r="A4615" t="s">
        <v>1881</v>
      </c>
      <c r="B4615" t="s">
        <v>13</v>
      </c>
      <c r="C4615" t="s">
        <v>1872</v>
      </c>
      <c r="D4615" t="s">
        <v>1882</v>
      </c>
      <c r="E4615" s="2" t="s">
        <v>31565</v>
      </c>
      <c r="F4615" t="s">
        <v>1885</v>
      </c>
      <c r="G4615" t="s">
        <v>1886</v>
      </c>
      <c r="H4615" t="s">
        <v>88</v>
      </c>
      <c r="I4615" t="s">
        <v>19</v>
      </c>
      <c r="J4615" s="3">
        <f>55-84-32154270</f>
        <v>-32154299</v>
      </c>
      <c r="K4615" t="s">
        <v>1887</v>
      </c>
      <c r="L4615" t="s">
        <v>1888</v>
      </c>
      <c r="M4615" t="s">
        <v>6656</v>
      </c>
    </row>
    <row r="4616" spans="1:13" x14ac:dyDescent="0.25">
      <c r="A4616" t="s">
        <v>17376</v>
      </c>
      <c r="B4616" t="s">
        <v>13</v>
      </c>
      <c r="C4616" s="1">
        <v>43561</v>
      </c>
      <c r="D4616" t="s">
        <v>17377</v>
      </c>
      <c r="E4616" s="2" t="s">
        <v>31174</v>
      </c>
      <c r="F4616" t="s">
        <v>10500</v>
      </c>
      <c r="G4616" t="s">
        <v>17378</v>
      </c>
      <c r="H4616" t="s">
        <v>489</v>
      </c>
      <c r="I4616" t="s">
        <v>19</v>
      </c>
      <c r="J4616" s="3">
        <f>5541-991074278</f>
        <v>-991068737</v>
      </c>
      <c r="K4616" t="s">
        <v>17379</v>
      </c>
      <c r="L4616" t="s">
        <v>3210</v>
      </c>
      <c r="M4616" t="s">
        <v>129</v>
      </c>
    </row>
    <row r="4617" spans="1:13" x14ac:dyDescent="0.25">
      <c r="A4617" t="s">
        <v>11451</v>
      </c>
      <c r="B4617" t="s">
        <v>13</v>
      </c>
      <c r="C4617" t="s">
        <v>11438</v>
      </c>
      <c r="D4617" t="s">
        <v>11452</v>
      </c>
      <c r="E4617" t="s">
        <v>11453</v>
      </c>
      <c r="F4617" t="s">
        <v>6656</v>
      </c>
      <c r="G4617" t="s">
        <v>11454</v>
      </c>
      <c r="H4617" t="s">
        <v>753</v>
      </c>
      <c r="I4617" t="s">
        <v>19</v>
      </c>
      <c r="J4617" s="3" t="s">
        <v>11455</v>
      </c>
      <c r="K4617" t="s">
        <v>11456</v>
      </c>
      <c r="L4617" t="s">
        <v>2762</v>
      </c>
      <c r="M4617" t="s">
        <v>741</v>
      </c>
    </row>
    <row r="4618" spans="1:13" x14ac:dyDescent="0.25">
      <c r="A4618" t="s">
        <v>9140</v>
      </c>
      <c r="B4618" t="s">
        <v>13</v>
      </c>
      <c r="C4618" s="1">
        <v>43901</v>
      </c>
      <c r="D4618" t="s">
        <v>9141</v>
      </c>
      <c r="E4618" t="s">
        <v>9142</v>
      </c>
      <c r="F4618" t="s">
        <v>32121</v>
      </c>
      <c r="G4618" t="s">
        <v>9143</v>
      </c>
      <c r="H4618" t="s">
        <v>428</v>
      </c>
      <c r="I4618" t="s">
        <v>19</v>
      </c>
      <c r="J4618" s="3">
        <f>55-54-981117015</f>
        <v>-981117014</v>
      </c>
      <c r="K4618" t="s">
        <v>9144</v>
      </c>
      <c r="L4618" t="s">
        <v>9145</v>
      </c>
      <c r="M4618" t="s">
        <v>32121</v>
      </c>
    </row>
    <row r="4619" spans="1:13" x14ac:dyDescent="0.25">
      <c r="A4619" t="s">
        <v>20076</v>
      </c>
      <c r="B4619" t="s">
        <v>13</v>
      </c>
      <c r="C4619" s="1">
        <v>43381</v>
      </c>
      <c r="D4619" t="s">
        <v>20077</v>
      </c>
      <c r="E4619" t="s">
        <v>20078</v>
      </c>
      <c r="F4619" t="s">
        <v>1190</v>
      </c>
      <c r="G4619" t="s">
        <v>20079</v>
      </c>
      <c r="H4619" t="s">
        <v>1656</v>
      </c>
      <c r="I4619" t="s">
        <v>19</v>
      </c>
      <c r="J4619" s="3" t="s">
        <v>20080</v>
      </c>
      <c r="K4619" t="s">
        <v>20081</v>
      </c>
      <c r="L4619" t="s">
        <v>1658</v>
      </c>
      <c r="M4619" t="s">
        <v>432</v>
      </c>
    </row>
    <row r="4620" spans="1:13" x14ac:dyDescent="0.25">
      <c r="A4620" t="s">
        <v>20653</v>
      </c>
      <c r="B4620" t="s">
        <v>13</v>
      </c>
      <c r="C4620" s="1">
        <v>43350</v>
      </c>
      <c r="D4620" t="s">
        <v>20654</v>
      </c>
      <c r="E4620" s="2" t="s">
        <v>31262</v>
      </c>
      <c r="F4620" t="s">
        <v>1464</v>
      </c>
      <c r="G4620" t="s">
        <v>20655</v>
      </c>
      <c r="H4620" t="s">
        <v>2626</v>
      </c>
      <c r="I4620" t="s">
        <v>19</v>
      </c>
      <c r="J4620" s="3" t="s">
        <v>20656</v>
      </c>
      <c r="K4620" t="s">
        <v>20657</v>
      </c>
      <c r="L4620" t="s">
        <v>3305</v>
      </c>
      <c r="M4620" t="s">
        <v>6656</v>
      </c>
    </row>
    <row r="4621" spans="1:13" x14ac:dyDescent="0.25">
      <c r="A4621" t="s">
        <v>4697</v>
      </c>
      <c r="B4621" t="s">
        <v>13</v>
      </c>
      <c r="C4621" t="s">
        <v>4698</v>
      </c>
      <c r="D4621" t="s">
        <v>4699</v>
      </c>
      <c r="E4621" t="s">
        <v>4700</v>
      </c>
      <c r="F4621" t="s">
        <v>4349</v>
      </c>
      <c r="G4621" t="s">
        <v>1886</v>
      </c>
      <c r="H4621" t="s">
        <v>88</v>
      </c>
      <c r="I4621" t="s">
        <v>19</v>
      </c>
      <c r="J4621" s="3">
        <f>55-84-991818144</f>
        <v>-991818173</v>
      </c>
      <c r="K4621" t="s">
        <v>4701</v>
      </c>
      <c r="L4621" t="s">
        <v>91</v>
      </c>
      <c r="M4621" t="s">
        <v>6656</v>
      </c>
    </row>
    <row r="4622" spans="1:13" x14ac:dyDescent="0.25">
      <c r="A4622" t="s">
        <v>26154</v>
      </c>
      <c r="B4622" t="s">
        <v>13</v>
      </c>
      <c r="C4622" t="s">
        <v>23624</v>
      </c>
      <c r="D4622" t="s">
        <v>26155</v>
      </c>
      <c r="E4622" s="2" t="s">
        <v>32089</v>
      </c>
      <c r="F4622" t="s">
        <v>10500</v>
      </c>
      <c r="G4622" t="s">
        <v>26156</v>
      </c>
      <c r="H4622" t="s">
        <v>798</v>
      </c>
      <c r="I4622" t="s">
        <v>19</v>
      </c>
      <c r="J4622" s="3" t="s">
        <v>26157</v>
      </c>
      <c r="K4622" t="s">
        <v>26158</v>
      </c>
      <c r="L4622" t="s">
        <v>1767</v>
      </c>
      <c r="M4622" t="s">
        <v>129</v>
      </c>
    </row>
    <row r="4623" spans="1:13" x14ac:dyDescent="0.25">
      <c r="A4623" t="s">
        <v>26549</v>
      </c>
      <c r="B4623" t="s">
        <v>13</v>
      </c>
      <c r="C4623" s="1">
        <v>42708</v>
      </c>
      <c r="D4623" t="s">
        <v>26550</v>
      </c>
      <c r="E4623" t="s">
        <v>26551</v>
      </c>
      <c r="F4623" t="s">
        <v>1464</v>
      </c>
      <c r="G4623" t="s">
        <v>26552</v>
      </c>
      <c r="H4623" t="s">
        <v>753</v>
      </c>
      <c r="I4623" t="s">
        <v>19</v>
      </c>
      <c r="J4623" s="3">
        <v>556781252870</v>
      </c>
      <c r="K4623" t="s">
        <v>26553</v>
      </c>
      <c r="L4623" t="s">
        <v>15267</v>
      </c>
      <c r="M4623" t="s">
        <v>6656</v>
      </c>
    </row>
    <row r="4624" spans="1:13" x14ac:dyDescent="0.25">
      <c r="A4624" t="s">
        <v>15889</v>
      </c>
      <c r="B4624" t="s">
        <v>13</v>
      </c>
      <c r="C4624" t="s">
        <v>15876</v>
      </c>
      <c r="D4624" t="s">
        <v>15890</v>
      </c>
      <c r="E4624" t="s">
        <v>15891</v>
      </c>
      <c r="F4624" t="s">
        <v>6656</v>
      </c>
      <c r="G4624" t="s">
        <v>15892</v>
      </c>
      <c r="H4624" t="s">
        <v>753</v>
      </c>
      <c r="I4624" t="s">
        <v>19</v>
      </c>
      <c r="J4624" s="3" t="s">
        <v>15893</v>
      </c>
      <c r="K4624" t="s">
        <v>15894</v>
      </c>
      <c r="L4624" t="s">
        <v>2762</v>
      </c>
      <c r="M4624" t="s">
        <v>741</v>
      </c>
    </row>
    <row r="4625" spans="1:13" x14ac:dyDescent="0.25">
      <c r="A4625" t="s">
        <v>17673</v>
      </c>
      <c r="B4625" t="s">
        <v>13</v>
      </c>
      <c r="C4625" t="s">
        <v>17669</v>
      </c>
      <c r="D4625" t="s">
        <v>17674</v>
      </c>
      <c r="E4625" s="2" t="s">
        <v>31988</v>
      </c>
      <c r="F4625" t="s">
        <v>1464</v>
      </c>
      <c r="G4625" t="s">
        <v>17675</v>
      </c>
      <c r="H4625" t="s">
        <v>14594</v>
      </c>
      <c r="I4625" t="s">
        <v>19</v>
      </c>
      <c r="J4625" s="3">
        <f>55-61-31078418/ 55-61-31078419/ 55-61-33770615</f>
        <v>-34900867.309090912</v>
      </c>
      <c r="K4625" t="s">
        <v>17676</v>
      </c>
      <c r="L4625" t="s">
        <v>7649</v>
      </c>
      <c r="M4625" t="s">
        <v>32121</v>
      </c>
    </row>
    <row r="4626" spans="1:13" x14ac:dyDescent="0.25">
      <c r="A4626" t="s">
        <v>28156</v>
      </c>
      <c r="B4626" t="s">
        <v>13</v>
      </c>
      <c r="C4626" t="s">
        <v>28157</v>
      </c>
      <c r="D4626" t="s">
        <v>28158</v>
      </c>
      <c r="E4626" s="2" t="s">
        <v>31908</v>
      </c>
      <c r="F4626" t="s">
        <v>10500</v>
      </c>
      <c r="G4626" t="s">
        <v>17462</v>
      </c>
      <c r="H4626" t="s">
        <v>265</v>
      </c>
      <c r="I4626" t="s">
        <v>19</v>
      </c>
      <c r="J4626" s="3">
        <f>55163602-2478</f>
        <v>55161124</v>
      </c>
      <c r="K4626" t="s">
        <v>17463</v>
      </c>
      <c r="L4626" t="s">
        <v>391</v>
      </c>
      <c r="M4626" t="s">
        <v>129</v>
      </c>
    </row>
    <row r="4627" spans="1:13" x14ac:dyDescent="0.25">
      <c r="A4627" t="s">
        <v>28128</v>
      </c>
      <c r="B4627" t="s">
        <v>13</v>
      </c>
      <c r="C4627" t="s">
        <v>28129</v>
      </c>
      <c r="D4627" t="s">
        <v>28130</v>
      </c>
      <c r="E4627" t="s">
        <v>28131</v>
      </c>
      <c r="F4627" t="s">
        <v>1464</v>
      </c>
      <c r="G4627" t="s">
        <v>28132</v>
      </c>
      <c r="H4627" t="s">
        <v>36</v>
      </c>
      <c r="I4627" t="s">
        <v>19</v>
      </c>
      <c r="J4627" s="3">
        <v>551159081951</v>
      </c>
      <c r="K4627" t="s">
        <v>28133</v>
      </c>
      <c r="L4627" t="s">
        <v>439</v>
      </c>
      <c r="M4627" t="s">
        <v>6656</v>
      </c>
    </row>
    <row r="4628" spans="1:13" x14ac:dyDescent="0.25">
      <c r="A4628" t="s">
        <v>10225</v>
      </c>
      <c r="B4628" t="s">
        <v>13</v>
      </c>
      <c r="C4628" t="s">
        <v>10191</v>
      </c>
      <c r="D4628" t="s">
        <v>10226</v>
      </c>
      <c r="E4628" s="2" t="s">
        <v>30987</v>
      </c>
      <c r="F4628" t="s">
        <v>1464</v>
      </c>
      <c r="G4628" t="s">
        <v>10227</v>
      </c>
      <c r="H4628" t="s">
        <v>10228</v>
      </c>
      <c r="I4628" t="s">
        <v>19</v>
      </c>
      <c r="J4628" s="3">
        <v>5562984081202</v>
      </c>
      <c r="K4628" t="s">
        <v>10229</v>
      </c>
      <c r="L4628" t="s">
        <v>2467</v>
      </c>
      <c r="M4628" t="s">
        <v>6656</v>
      </c>
    </row>
    <row r="4629" spans="1:13" x14ac:dyDescent="0.25">
      <c r="A4629" t="s">
        <v>26355</v>
      </c>
      <c r="B4629" t="s">
        <v>13</v>
      </c>
      <c r="C4629" s="1">
        <v>42495</v>
      </c>
      <c r="D4629" t="s">
        <v>26356</v>
      </c>
      <c r="E4629" t="s">
        <v>9518</v>
      </c>
      <c r="F4629" t="s">
        <v>6656</v>
      </c>
      <c r="G4629" t="s">
        <v>26357</v>
      </c>
      <c r="H4629" t="s">
        <v>26358</v>
      </c>
      <c r="I4629" t="s">
        <v>19</v>
      </c>
      <c r="J4629" s="3" t="s">
        <v>26359</v>
      </c>
      <c r="K4629" t="s">
        <v>26360</v>
      </c>
      <c r="L4629" t="s">
        <v>13011</v>
      </c>
      <c r="M4629" t="s">
        <v>6656</v>
      </c>
    </row>
    <row r="4630" spans="1:13" x14ac:dyDescent="0.25">
      <c r="A4630" t="s">
        <v>26627</v>
      </c>
      <c r="B4630" t="s">
        <v>13</v>
      </c>
      <c r="C4630" s="1">
        <v>42464</v>
      </c>
      <c r="D4630" t="s">
        <v>26628</v>
      </c>
      <c r="E4630" t="s">
        <v>1574</v>
      </c>
      <c r="F4630" t="s">
        <v>6656</v>
      </c>
      <c r="G4630" t="s">
        <v>752</v>
      </c>
      <c r="H4630" t="s">
        <v>753</v>
      </c>
      <c r="I4630" t="s">
        <v>19</v>
      </c>
      <c r="J4630" s="3" t="s">
        <v>26629</v>
      </c>
      <c r="K4630" t="s">
        <v>755</v>
      </c>
      <c r="L4630" t="s">
        <v>756</v>
      </c>
      <c r="M4630" t="s">
        <v>6656</v>
      </c>
    </row>
    <row r="4631" spans="1:13" x14ac:dyDescent="0.25">
      <c r="A4631" t="s">
        <v>28400</v>
      </c>
      <c r="B4631" t="s">
        <v>101</v>
      </c>
      <c r="C4631" t="s">
        <v>28398</v>
      </c>
      <c r="D4631" t="s">
        <v>28401</v>
      </c>
      <c r="E4631" t="s">
        <v>1574</v>
      </c>
      <c r="F4631" t="s">
        <v>10500</v>
      </c>
      <c r="G4631" t="s">
        <v>28402</v>
      </c>
      <c r="H4631" t="s">
        <v>36</v>
      </c>
      <c r="I4631" t="s">
        <v>19</v>
      </c>
      <c r="J4631" s="3" t="s">
        <v>28403</v>
      </c>
      <c r="K4631" t="s">
        <v>28404</v>
      </c>
      <c r="L4631" t="s">
        <v>439</v>
      </c>
      <c r="M4631" t="s">
        <v>129</v>
      </c>
    </row>
    <row r="4632" spans="1:13" x14ac:dyDescent="0.25">
      <c r="A4632" t="s">
        <v>19702</v>
      </c>
      <c r="B4632" t="s">
        <v>13</v>
      </c>
      <c r="C4632" t="s">
        <v>17176</v>
      </c>
      <c r="D4632" t="s">
        <v>19703</v>
      </c>
      <c r="E4632" t="s">
        <v>1574</v>
      </c>
      <c r="F4632" t="s">
        <v>1464</v>
      </c>
      <c r="G4632" t="s">
        <v>19704</v>
      </c>
      <c r="H4632" t="s">
        <v>1781</v>
      </c>
      <c r="I4632" t="s">
        <v>19</v>
      </c>
      <c r="J4632" s="3" t="s">
        <v>19705</v>
      </c>
      <c r="K4632" t="s">
        <v>19377</v>
      </c>
      <c r="L4632" t="s">
        <v>3210</v>
      </c>
      <c r="M4632" t="s">
        <v>6656</v>
      </c>
    </row>
    <row r="4633" spans="1:13" x14ac:dyDescent="0.25">
      <c r="A4633" t="s">
        <v>23723</v>
      </c>
      <c r="B4633" t="s">
        <v>13</v>
      </c>
      <c r="C4633" t="s">
        <v>23720</v>
      </c>
      <c r="D4633" t="s">
        <v>23724</v>
      </c>
      <c r="E4633" t="s">
        <v>1574</v>
      </c>
      <c r="F4633" t="s">
        <v>1464</v>
      </c>
      <c r="G4633" t="s">
        <v>23725</v>
      </c>
      <c r="H4633" t="s">
        <v>1656</v>
      </c>
      <c r="I4633" t="s">
        <v>19</v>
      </c>
      <c r="J4633" s="3" t="s">
        <v>23726</v>
      </c>
      <c r="K4633" t="s">
        <v>23727</v>
      </c>
      <c r="L4633" t="s">
        <v>1658</v>
      </c>
      <c r="M4633" t="s">
        <v>6656</v>
      </c>
    </row>
    <row r="4634" spans="1:13" x14ac:dyDescent="0.25">
      <c r="A4634" t="s">
        <v>26997</v>
      </c>
      <c r="B4634" t="s">
        <v>13</v>
      </c>
      <c r="C4634" t="s">
        <v>23102</v>
      </c>
      <c r="D4634">
        <v>1</v>
      </c>
      <c r="E4634" t="s">
        <v>32613</v>
      </c>
      <c r="F4634" t="s">
        <v>1464</v>
      </c>
      <c r="G4634" t="s">
        <v>26998</v>
      </c>
      <c r="H4634" t="s">
        <v>26999</v>
      </c>
      <c r="I4634" t="s">
        <v>19</v>
      </c>
      <c r="J4634" s="3" t="s">
        <v>27000</v>
      </c>
      <c r="K4634" t="s">
        <v>27001</v>
      </c>
      <c r="L4634" t="s">
        <v>27002</v>
      </c>
      <c r="M4634" t="s">
        <v>6656</v>
      </c>
    </row>
    <row r="4635" spans="1:13" x14ac:dyDescent="0.25">
      <c r="A4635" t="s">
        <v>30511</v>
      </c>
      <c r="B4635" t="s">
        <v>13</v>
      </c>
      <c r="C4635" t="s">
        <v>30512</v>
      </c>
      <c r="D4635" t="s">
        <v>30513</v>
      </c>
      <c r="E4635" t="s">
        <v>30514</v>
      </c>
      <c r="F4635" t="s">
        <v>1129</v>
      </c>
      <c r="G4635" t="s">
        <v>1868</v>
      </c>
      <c r="H4635" t="s">
        <v>195</v>
      </c>
      <c r="I4635" t="s">
        <v>19</v>
      </c>
      <c r="J4635" s="3" t="s">
        <v>30515</v>
      </c>
      <c r="K4635" t="s">
        <v>1870</v>
      </c>
      <c r="L4635" t="s">
        <v>1606</v>
      </c>
      <c r="M4635" t="s">
        <v>224</v>
      </c>
    </row>
    <row r="4636" spans="1:13" x14ac:dyDescent="0.25">
      <c r="A4636" t="s">
        <v>24812</v>
      </c>
      <c r="B4636" t="s">
        <v>13</v>
      </c>
      <c r="C4636" s="1">
        <v>42795</v>
      </c>
      <c r="D4636" t="s">
        <v>24813</v>
      </c>
      <c r="E4636" t="s">
        <v>24814</v>
      </c>
      <c r="F4636" t="s">
        <v>32121</v>
      </c>
      <c r="G4636" t="s">
        <v>24815</v>
      </c>
      <c r="H4636" t="s">
        <v>7605</v>
      </c>
      <c r="I4636" t="s">
        <v>19</v>
      </c>
      <c r="J4636" s="3" t="s">
        <v>24816</v>
      </c>
      <c r="K4636" t="s">
        <v>24817</v>
      </c>
      <c r="L4636" t="s">
        <v>21600</v>
      </c>
      <c r="M4636" t="s">
        <v>32121</v>
      </c>
    </row>
    <row r="4637" spans="1:13" x14ac:dyDescent="0.25">
      <c r="A4637" t="s">
        <v>26315</v>
      </c>
      <c r="B4637" t="s">
        <v>13</v>
      </c>
      <c r="C4637" s="1">
        <v>42618</v>
      </c>
      <c r="D4637" t="s">
        <v>26316</v>
      </c>
      <c r="E4637" t="s">
        <v>26317</v>
      </c>
      <c r="F4637" t="s">
        <v>2758</v>
      </c>
      <c r="G4637" t="s">
        <v>26318</v>
      </c>
      <c r="H4637" t="s">
        <v>489</v>
      </c>
      <c r="I4637" t="s">
        <v>19</v>
      </c>
      <c r="J4637" s="3" t="s">
        <v>26319</v>
      </c>
      <c r="K4637" t="s">
        <v>26320</v>
      </c>
      <c r="L4637" t="s">
        <v>625</v>
      </c>
      <c r="M4637" t="s">
        <v>32149</v>
      </c>
    </row>
    <row r="4638" spans="1:13" x14ac:dyDescent="0.25">
      <c r="A4638" t="s">
        <v>24545</v>
      </c>
      <c r="B4638" t="s">
        <v>13</v>
      </c>
      <c r="C4638" t="s">
        <v>24546</v>
      </c>
      <c r="D4638" t="s">
        <v>24547</v>
      </c>
      <c r="E4638" t="s">
        <v>24548</v>
      </c>
      <c r="F4638" t="s">
        <v>24549</v>
      </c>
      <c r="G4638" t="s">
        <v>24550</v>
      </c>
      <c r="H4638" t="s">
        <v>428</v>
      </c>
      <c r="I4638" t="s">
        <v>19</v>
      </c>
      <c r="J4638" s="3">
        <f>55-51-3320-3000</f>
        <v>-6316</v>
      </c>
      <c r="K4638" t="s">
        <v>24551</v>
      </c>
      <c r="L4638" t="s">
        <v>24552</v>
      </c>
      <c r="M4638" t="s">
        <v>6656</v>
      </c>
    </row>
    <row r="4639" spans="1:13" x14ac:dyDescent="0.25">
      <c r="A4639" t="s">
        <v>22996</v>
      </c>
      <c r="B4639" t="s">
        <v>13</v>
      </c>
      <c r="C4639" t="s">
        <v>22997</v>
      </c>
      <c r="D4639" t="s">
        <v>22998</v>
      </c>
      <c r="E4639" t="s">
        <v>21257</v>
      </c>
      <c r="F4639" t="s">
        <v>129</v>
      </c>
      <c r="G4639" t="s">
        <v>22999</v>
      </c>
      <c r="H4639" t="s">
        <v>265</v>
      </c>
      <c r="I4639" t="s">
        <v>19</v>
      </c>
      <c r="J4639" s="3">
        <v>551636021173</v>
      </c>
      <c r="K4639" t="s">
        <v>23000</v>
      </c>
      <c r="L4639" t="s">
        <v>4334</v>
      </c>
      <c r="M4639" t="s">
        <v>129</v>
      </c>
    </row>
    <row r="4640" spans="1:13" x14ac:dyDescent="0.25">
      <c r="A4640" t="s">
        <v>21255</v>
      </c>
      <c r="B4640" t="s">
        <v>13</v>
      </c>
      <c r="C4640" t="s">
        <v>14151</v>
      </c>
      <c r="D4640" t="s">
        <v>21256</v>
      </c>
      <c r="E4640" t="s">
        <v>21257</v>
      </c>
      <c r="F4640" t="s">
        <v>8193</v>
      </c>
      <c r="G4640" t="s">
        <v>1081</v>
      </c>
      <c r="H4640" t="s">
        <v>489</v>
      </c>
      <c r="I4640" t="s">
        <v>19</v>
      </c>
      <c r="J4640" s="3" t="s">
        <v>21258</v>
      </c>
      <c r="K4640" t="s">
        <v>11449</v>
      </c>
      <c r="L4640" t="s">
        <v>625</v>
      </c>
      <c r="M4640" t="s">
        <v>129</v>
      </c>
    </row>
    <row r="4641" spans="1:13" x14ac:dyDescent="0.25">
      <c r="A4641" t="s">
        <v>19583</v>
      </c>
      <c r="B4641" t="s">
        <v>13</v>
      </c>
      <c r="C4641" t="s">
        <v>19584</v>
      </c>
      <c r="D4641" t="s">
        <v>19585</v>
      </c>
      <c r="E4641" s="2" t="s">
        <v>31574</v>
      </c>
      <c r="G4641" t="s">
        <v>19586</v>
      </c>
      <c r="H4641" t="s">
        <v>88</v>
      </c>
      <c r="I4641" t="s">
        <v>19</v>
      </c>
      <c r="J4641" s="3">
        <f>55-84-988958528</f>
        <v>-988958557</v>
      </c>
      <c r="K4641" t="s">
        <v>19587</v>
      </c>
      <c r="L4641" t="s">
        <v>91</v>
      </c>
      <c r="M4641" t="s">
        <v>32121</v>
      </c>
    </row>
    <row r="4642" spans="1:13" x14ac:dyDescent="0.25">
      <c r="A4642" t="s">
        <v>26946</v>
      </c>
      <c r="B4642" t="s">
        <v>13</v>
      </c>
      <c r="C4642" s="1">
        <v>42706</v>
      </c>
      <c r="D4642" t="s">
        <v>26947</v>
      </c>
      <c r="E4642" t="s">
        <v>26948</v>
      </c>
      <c r="F4642" t="s">
        <v>32121</v>
      </c>
      <c r="G4642" t="s">
        <v>26949</v>
      </c>
      <c r="H4642" t="s">
        <v>5543</v>
      </c>
      <c r="I4642" t="s">
        <v>19</v>
      </c>
      <c r="J4642" s="3">
        <v>551636022536</v>
      </c>
      <c r="K4642" t="s">
        <v>26950</v>
      </c>
      <c r="L4642" t="s">
        <v>1569</v>
      </c>
      <c r="M4642" t="s">
        <v>32121</v>
      </c>
    </row>
    <row r="4643" spans="1:13" x14ac:dyDescent="0.25">
      <c r="A4643" t="s">
        <v>12421</v>
      </c>
      <c r="B4643" t="s">
        <v>13</v>
      </c>
      <c r="C4643" s="1">
        <v>44047</v>
      </c>
      <c r="D4643" t="s">
        <v>12422</v>
      </c>
      <c r="E4643" t="s">
        <v>32614</v>
      </c>
      <c r="F4643" t="s">
        <v>1464</v>
      </c>
      <c r="G4643" t="s">
        <v>12423</v>
      </c>
      <c r="H4643" t="s">
        <v>299</v>
      </c>
      <c r="I4643" t="s">
        <v>19</v>
      </c>
      <c r="J4643" s="3" t="s">
        <v>12424</v>
      </c>
      <c r="K4643" t="s">
        <v>12425</v>
      </c>
      <c r="L4643" t="s">
        <v>12426</v>
      </c>
      <c r="M4643" t="s">
        <v>32144</v>
      </c>
    </row>
    <row r="4644" spans="1:13" x14ac:dyDescent="0.25">
      <c r="A4644" t="s">
        <v>25710</v>
      </c>
      <c r="B4644" t="s">
        <v>13</v>
      </c>
      <c r="C4644" t="s">
        <v>25701</v>
      </c>
      <c r="D4644" t="s">
        <v>25711</v>
      </c>
      <c r="E4644" t="s">
        <v>25712</v>
      </c>
      <c r="F4644" t="s">
        <v>1464</v>
      </c>
      <c r="G4644" t="s">
        <v>25713</v>
      </c>
      <c r="H4644" t="s">
        <v>16411</v>
      </c>
      <c r="I4644" t="s">
        <v>19</v>
      </c>
      <c r="J4644" s="3" t="s">
        <v>25714</v>
      </c>
      <c r="K4644" t="s">
        <v>25715</v>
      </c>
      <c r="L4644" t="s">
        <v>25716</v>
      </c>
      <c r="M4644" t="s">
        <v>1775</v>
      </c>
    </row>
    <row r="4645" spans="1:13" x14ac:dyDescent="0.25">
      <c r="A4645" t="s">
        <v>22114</v>
      </c>
      <c r="B4645" t="s">
        <v>101</v>
      </c>
      <c r="C4645" s="1">
        <v>43103</v>
      </c>
      <c r="D4645" t="s">
        <v>22115</v>
      </c>
      <c r="E4645" s="2" t="s">
        <v>32615</v>
      </c>
      <c r="F4645" t="s">
        <v>2104</v>
      </c>
      <c r="G4645" t="s">
        <v>22116</v>
      </c>
      <c r="H4645" t="s">
        <v>18</v>
      </c>
      <c r="I4645" t="s">
        <v>19</v>
      </c>
      <c r="J4645" s="3">
        <f>55-19-993436868</f>
        <v>-993436832</v>
      </c>
      <c r="K4645" t="s">
        <v>22117</v>
      </c>
      <c r="L4645" t="s">
        <v>22118</v>
      </c>
      <c r="M4645" t="s">
        <v>1775</v>
      </c>
    </row>
    <row r="4646" spans="1:13" x14ac:dyDescent="0.25">
      <c r="A4646" t="s">
        <v>15521</v>
      </c>
      <c r="B4646" t="s">
        <v>13</v>
      </c>
      <c r="C4646" t="s">
        <v>10383</v>
      </c>
      <c r="D4646" t="s">
        <v>15522</v>
      </c>
      <c r="E4646" t="s">
        <v>15523</v>
      </c>
      <c r="F4646" t="s">
        <v>792</v>
      </c>
      <c r="G4646" t="s">
        <v>15524</v>
      </c>
      <c r="H4646" t="s">
        <v>4092</v>
      </c>
      <c r="I4646" t="s">
        <v>19</v>
      </c>
      <c r="J4646" s="3" t="s">
        <v>15525</v>
      </c>
      <c r="K4646" t="s">
        <v>15526</v>
      </c>
      <c r="L4646" t="s">
        <v>15527</v>
      </c>
      <c r="M4646" t="s">
        <v>792</v>
      </c>
    </row>
    <row r="4647" spans="1:13" x14ac:dyDescent="0.25">
      <c r="A4647" t="s">
        <v>25038</v>
      </c>
      <c r="B4647" t="s">
        <v>13</v>
      </c>
      <c r="C4647" s="1">
        <v>42533</v>
      </c>
      <c r="D4647" t="s">
        <v>25039</v>
      </c>
      <c r="E4647" t="s">
        <v>25040</v>
      </c>
      <c r="F4647" t="s">
        <v>1432</v>
      </c>
      <c r="G4647" t="s">
        <v>25041</v>
      </c>
      <c r="H4647" t="s">
        <v>7234</v>
      </c>
      <c r="I4647" t="s">
        <v>19</v>
      </c>
      <c r="J4647" s="3">
        <v>5511999705955</v>
      </c>
      <c r="K4647" t="s">
        <v>25042</v>
      </c>
      <c r="L4647" t="s">
        <v>8569</v>
      </c>
      <c r="M4647" t="s">
        <v>1432</v>
      </c>
    </row>
    <row r="4648" spans="1:13" x14ac:dyDescent="0.25">
      <c r="A4648" t="s">
        <v>17008</v>
      </c>
      <c r="B4648" t="s">
        <v>101</v>
      </c>
      <c r="C4648" t="s">
        <v>2945</v>
      </c>
      <c r="D4648" t="s">
        <v>17009</v>
      </c>
      <c r="E4648" t="s">
        <v>17010</v>
      </c>
      <c r="F4648" t="s">
        <v>1190</v>
      </c>
      <c r="G4648" t="s">
        <v>17011</v>
      </c>
      <c r="H4648" t="s">
        <v>11783</v>
      </c>
      <c r="I4648" t="s">
        <v>19</v>
      </c>
      <c r="J4648" s="3">
        <f>55-11988990331</f>
        <v>-11988990276</v>
      </c>
      <c r="K4648" t="s">
        <v>17012</v>
      </c>
      <c r="L4648" t="s">
        <v>17013</v>
      </c>
      <c r="M4648" t="s">
        <v>432</v>
      </c>
    </row>
    <row r="4649" spans="1:13" x14ac:dyDescent="0.25">
      <c r="A4649" t="s">
        <v>16309</v>
      </c>
      <c r="B4649" t="s">
        <v>13</v>
      </c>
      <c r="C4649" t="s">
        <v>16304</v>
      </c>
      <c r="D4649" t="s">
        <v>16310</v>
      </c>
      <c r="E4649" t="s">
        <v>16311</v>
      </c>
      <c r="F4649" t="s">
        <v>6686</v>
      </c>
      <c r="G4649" t="s">
        <v>16312</v>
      </c>
      <c r="H4649" t="s">
        <v>2564</v>
      </c>
      <c r="I4649" t="s">
        <v>19</v>
      </c>
      <c r="J4649" s="3">
        <v>556530511946</v>
      </c>
      <c r="K4649" t="s">
        <v>16313</v>
      </c>
      <c r="L4649" t="s">
        <v>16314</v>
      </c>
      <c r="M4649" t="s">
        <v>337</v>
      </c>
    </row>
    <row r="4650" spans="1:13" x14ac:dyDescent="0.25">
      <c r="A4650" t="s">
        <v>23762</v>
      </c>
      <c r="B4650" t="s">
        <v>13</v>
      </c>
      <c r="C4650" t="s">
        <v>23755</v>
      </c>
      <c r="D4650" t="s">
        <v>23763</v>
      </c>
      <c r="E4650" t="s">
        <v>32616</v>
      </c>
      <c r="F4650" t="s">
        <v>1464</v>
      </c>
      <c r="G4650" t="s">
        <v>23764</v>
      </c>
      <c r="H4650" t="s">
        <v>265</v>
      </c>
      <c r="I4650" t="s">
        <v>19</v>
      </c>
      <c r="J4650" s="3" t="s">
        <v>23765</v>
      </c>
      <c r="K4650" t="s">
        <v>15255</v>
      </c>
      <c r="L4650" t="s">
        <v>23766</v>
      </c>
      <c r="M4650" t="s">
        <v>337</v>
      </c>
    </row>
    <row r="4651" spans="1:13" x14ac:dyDescent="0.25">
      <c r="A4651" t="s">
        <v>7608</v>
      </c>
      <c r="B4651" t="s">
        <v>13</v>
      </c>
      <c r="C4651" t="s">
        <v>7230</v>
      </c>
      <c r="D4651" t="s">
        <v>7609</v>
      </c>
      <c r="E4651" t="s">
        <v>7610</v>
      </c>
      <c r="F4651" t="s">
        <v>2758</v>
      </c>
      <c r="G4651" t="s">
        <v>7611</v>
      </c>
      <c r="H4651" t="s">
        <v>7612</v>
      </c>
      <c r="I4651" t="s">
        <v>19</v>
      </c>
      <c r="J4651" s="3">
        <f>55-34-991661125</f>
        <v>-991661104</v>
      </c>
      <c r="K4651" t="s">
        <v>7613</v>
      </c>
      <c r="L4651" t="s">
        <v>7614</v>
      </c>
      <c r="M4651" t="s">
        <v>32149</v>
      </c>
    </row>
    <row r="4652" spans="1:13" x14ac:dyDescent="0.25">
      <c r="A4652" t="s">
        <v>5703</v>
      </c>
      <c r="B4652" t="s">
        <v>13</v>
      </c>
      <c r="C4652" t="s">
        <v>5704</v>
      </c>
      <c r="D4652" t="s">
        <v>5705</v>
      </c>
      <c r="E4652" t="s">
        <v>78</v>
      </c>
      <c r="F4652" t="s">
        <v>785</v>
      </c>
      <c r="G4652" t="s">
        <v>5706</v>
      </c>
      <c r="H4652" t="s">
        <v>428</v>
      </c>
      <c r="I4652" t="s">
        <v>19</v>
      </c>
      <c r="J4652" s="3" t="s">
        <v>5707</v>
      </c>
      <c r="K4652" t="s">
        <v>5708</v>
      </c>
      <c r="L4652" t="s">
        <v>5709</v>
      </c>
      <c r="M4652" t="s">
        <v>785</v>
      </c>
    </row>
    <row r="4653" spans="1:13" x14ac:dyDescent="0.25">
      <c r="A4653" t="s">
        <v>917</v>
      </c>
      <c r="B4653" t="s">
        <v>13</v>
      </c>
      <c r="C4653" t="s">
        <v>918</v>
      </c>
      <c r="D4653" t="s">
        <v>32135</v>
      </c>
      <c r="E4653" t="s">
        <v>919</v>
      </c>
      <c r="F4653" t="s">
        <v>253</v>
      </c>
      <c r="G4653" t="s">
        <v>920</v>
      </c>
      <c r="H4653" t="s">
        <v>28</v>
      </c>
      <c r="I4653" t="s">
        <v>19</v>
      </c>
      <c r="J4653" s="3" t="s">
        <v>921</v>
      </c>
      <c r="K4653" t="s">
        <v>922</v>
      </c>
      <c r="L4653" t="s">
        <v>923</v>
      </c>
      <c r="M4653" t="s">
        <v>32149</v>
      </c>
    </row>
    <row r="4654" spans="1:13" x14ac:dyDescent="0.25">
      <c r="A4654" t="s">
        <v>12592</v>
      </c>
      <c r="B4654" t="s">
        <v>13</v>
      </c>
      <c r="C4654" t="s">
        <v>12593</v>
      </c>
      <c r="D4654" t="s">
        <v>12594</v>
      </c>
      <c r="E4654" t="s">
        <v>12595</v>
      </c>
      <c r="F4654" t="s">
        <v>2758</v>
      </c>
      <c r="G4654" t="s">
        <v>12596</v>
      </c>
      <c r="H4654" t="s">
        <v>1656</v>
      </c>
      <c r="I4654" t="s">
        <v>19</v>
      </c>
      <c r="J4654" s="3">
        <v>55981145878</v>
      </c>
      <c r="K4654" t="s">
        <v>12597</v>
      </c>
      <c r="L4654" t="s">
        <v>12598</v>
      </c>
      <c r="M4654" t="s">
        <v>32149</v>
      </c>
    </row>
    <row r="4655" spans="1:13" x14ac:dyDescent="0.25">
      <c r="A4655" t="s">
        <v>17489</v>
      </c>
      <c r="B4655" t="s">
        <v>13</v>
      </c>
      <c r="C4655" t="s">
        <v>10990</v>
      </c>
      <c r="D4655" t="s">
        <v>17490</v>
      </c>
      <c r="E4655" t="s">
        <v>12595</v>
      </c>
      <c r="F4655" t="s">
        <v>2758</v>
      </c>
      <c r="G4655" t="s">
        <v>17491</v>
      </c>
      <c r="H4655" t="s">
        <v>1656</v>
      </c>
      <c r="I4655" t="s">
        <v>19</v>
      </c>
      <c r="J4655" s="3">
        <v>5532208000</v>
      </c>
      <c r="K4655" t="s">
        <v>17492</v>
      </c>
      <c r="L4655" t="s">
        <v>12598</v>
      </c>
      <c r="M4655" t="s">
        <v>32149</v>
      </c>
    </row>
    <row r="4656" spans="1:13" x14ac:dyDescent="0.25">
      <c r="A4656" t="s">
        <v>14407</v>
      </c>
      <c r="B4656" t="s">
        <v>13</v>
      </c>
      <c r="C4656" s="1">
        <v>43862</v>
      </c>
      <c r="D4656" t="s">
        <v>14408</v>
      </c>
      <c r="E4656" t="s">
        <v>78</v>
      </c>
      <c r="F4656" t="s">
        <v>2758</v>
      </c>
      <c r="G4656" t="s">
        <v>14409</v>
      </c>
      <c r="H4656" t="s">
        <v>36</v>
      </c>
      <c r="I4656" t="s">
        <v>19</v>
      </c>
      <c r="J4656" s="3">
        <f>55-11-22815164</f>
        <v>-22815120</v>
      </c>
      <c r="K4656" t="s">
        <v>14410</v>
      </c>
      <c r="L4656" t="s">
        <v>14411</v>
      </c>
      <c r="M4656" t="s">
        <v>32149</v>
      </c>
    </row>
    <row r="4657" spans="1:13" x14ac:dyDescent="0.25">
      <c r="A4657" t="s">
        <v>12866</v>
      </c>
      <c r="B4657" t="s">
        <v>13</v>
      </c>
      <c r="C4657" t="s">
        <v>12867</v>
      </c>
      <c r="D4657" t="s">
        <v>12868</v>
      </c>
      <c r="E4657" t="s">
        <v>12595</v>
      </c>
      <c r="F4657" t="s">
        <v>2758</v>
      </c>
      <c r="G4657" t="s">
        <v>12869</v>
      </c>
      <c r="H4657" t="s">
        <v>489</v>
      </c>
      <c r="I4657" t="s">
        <v>19</v>
      </c>
      <c r="J4657" s="3">
        <f>55-41-991448815</f>
        <v>-991448801</v>
      </c>
      <c r="K4657" t="s">
        <v>12870</v>
      </c>
      <c r="L4657" t="s">
        <v>809</v>
      </c>
      <c r="M4657" t="s">
        <v>32149</v>
      </c>
    </row>
    <row r="4658" spans="1:13" x14ac:dyDescent="0.25">
      <c r="A4658" t="s">
        <v>14470</v>
      </c>
      <c r="B4658" t="s">
        <v>13</v>
      </c>
      <c r="C4658" t="s">
        <v>14435</v>
      </c>
      <c r="D4658" t="s">
        <v>14471</v>
      </c>
      <c r="E4658" t="s">
        <v>14472</v>
      </c>
      <c r="F4658" t="s">
        <v>2758</v>
      </c>
      <c r="G4658" t="s">
        <v>9131</v>
      </c>
      <c r="H4658" t="s">
        <v>1486</v>
      </c>
      <c r="I4658" t="s">
        <v>19</v>
      </c>
      <c r="J4658" s="3">
        <f>55-34-3700-6606</f>
        <v>-10285</v>
      </c>
      <c r="K4658" t="s">
        <v>2137</v>
      </c>
      <c r="L4658" t="s">
        <v>1489</v>
      </c>
      <c r="M4658" t="s">
        <v>32149</v>
      </c>
    </row>
    <row r="4659" spans="1:13" x14ac:dyDescent="0.25">
      <c r="A4659" t="s">
        <v>20454</v>
      </c>
      <c r="B4659" t="s">
        <v>13</v>
      </c>
      <c r="C4659" t="s">
        <v>20432</v>
      </c>
      <c r="D4659" t="s">
        <v>20455</v>
      </c>
      <c r="E4659" t="s">
        <v>20456</v>
      </c>
      <c r="F4659" t="s">
        <v>2758</v>
      </c>
      <c r="G4659" t="s">
        <v>20457</v>
      </c>
      <c r="H4659" t="s">
        <v>10228</v>
      </c>
      <c r="I4659" t="s">
        <v>19</v>
      </c>
      <c r="J4659" s="3">
        <f>55-62-991321139</f>
        <v>-991321146</v>
      </c>
      <c r="K4659" t="s">
        <v>20458</v>
      </c>
      <c r="L4659" t="s">
        <v>2467</v>
      </c>
      <c r="M4659" t="s">
        <v>32149</v>
      </c>
    </row>
    <row r="4660" spans="1:13" x14ac:dyDescent="0.25">
      <c r="A4660" t="s">
        <v>637</v>
      </c>
      <c r="B4660" t="s">
        <v>13</v>
      </c>
      <c r="C4660" s="1">
        <v>45078</v>
      </c>
      <c r="D4660" t="s">
        <v>638</v>
      </c>
      <c r="E4660" t="s">
        <v>639</v>
      </c>
      <c r="F4660" t="s">
        <v>640</v>
      </c>
      <c r="G4660" t="s">
        <v>641</v>
      </c>
      <c r="H4660" t="s">
        <v>642</v>
      </c>
      <c r="I4660" t="s">
        <v>19</v>
      </c>
      <c r="J4660" s="3">
        <f>55-48-32517599</f>
        <v>-32517592</v>
      </c>
      <c r="K4660" t="s">
        <v>643</v>
      </c>
      <c r="L4660" t="s">
        <v>412</v>
      </c>
      <c r="M4660" t="s">
        <v>32121</v>
      </c>
    </row>
    <row r="4661" spans="1:13" x14ac:dyDescent="0.25">
      <c r="A4661" t="s">
        <v>25545</v>
      </c>
      <c r="B4661" t="s">
        <v>13</v>
      </c>
      <c r="C4661" s="1">
        <v>42591</v>
      </c>
      <c r="D4661" t="s">
        <v>25546</v>
      </c>
      <c r="E4661" t="s">
        <v>25547</v>
      </c>
      <c r="F4661" t="s">
        <v>8193</v>
      </c>
      <c r="G4661" t="s">
        <v>25548</v>
      </c>
      <c r="H4661" t="s">
        <v>25549</v>
      </c>
      <c r="I4661" t="s">
        <v>19</v>
      </c>
      <c r="J4661" s="3" t="s">
        <v>25550</v>
      </c>
      <c r="K4661" t="s">
        <v>25551</v>
      </c>
      <c r="L4661" t="s">
        <v>25552</v>
      </c>
      <c r="M4661" t="s">
        <v>129</v>
      </c>
    </row>
    <row r="4662" spans="1:13" x14ac:dyDescent="0.25">
      <c r="A4662" t="s">
        <v>7394</v>
      </c>
      <c r="B4662" t="s">
        <v>13</v>
      </c>
      <c r="C4662" t="s">
        <v>7363</v>
      </c>
      <c r="D4662" t="s">
        <v>7395</v>
      </c>
      <c r="E4662" t="s">
        <v>7396</v>
      </c>
      <c r="F4662" t="s">
        <v>1464</v>
      </c>
      <c r="G4662" t="s">
        <v>7397</v>
      </c>
      <c r="H4662" t="s">
        <v>88</v>
      </c>
      <c r="I4662" t="s">
        <v>19</v>
      </c>
      <c r="J4662" s="3">
        <v>5584996796244</v>
      </c>
      <c r="K4662" t="s">
        <v>7398</v>
      </c>
      <c r="L4662" t="s">
        <v>91</v>
      </c>
      <c r="M4662" t="s">
        <v>6656</v>
      </c>
    </row>
    <row r="4663" spans="1:13" x14ac:dyDescent="0.25">
      <c r="A4663" t="s">
        <v>15895</v>
      </c>
      <c r="B4663" t="s">
        <v>13</v>
      </c>
      <c r="C4663" t="s">
        <v>15876</v>
      </c>
      <c r="D4663" t="s">
        <v>15896</v>
      </c>
      <c r="E4663" t="s">
        <v>15897</v>
      </c>
      <c r="F4663" t="s">
        <v>10500</v>
      </c>
      <c r="G4663" t="s">
        <v>15898</v>
      </c>
      <c r="H4663" t="s">
        <v>372</v>
      </c>
      <c r="I4663" t="s">
        <v>19</v>
      </c>
      <c r="J4663" s="3">
        <v>5501931241515</v>
      </c>
      <c r="K4663" t="s">
        <v>15899</v>
      </c>
      <c r="L4663" t="s">
        <v>11426</v>
      </c>
      <c r="M4663" t="s">
        <v>32121</v>
      </c>
    </row>
    <row r="4664" spans="1:13" x14ac:dyDescent="0.25">
      <c r="A4664" t="s">
        <v>17460</v>
      </c>
      <c r="B4664" t="s">
        <v>13</v>
      </c>
      <c r="C4664" s="1">
        <v>43561</v>
      </c>
      <c r="D4664" t="s">
        <v>17461</v>
      </c>
      <c r="E4664" s="2" t="s">
        <v>31907</v>
      </c>
      <c r="F4664" t="s">
        <v>1464</v>
      </c>
      <c r="G4664" t="s">
        <v>17462</v>
      </c>
      <c r="H4664" t="s">
        <v>265</v>
      </c>
      <c r="I4664" t="s">
        <v>19</v>
      </c>
      <c r="J4664" s="3">
        <v>551639636629</v>
      </c>
      <c r="K4664" t="s">
        <v>17463</v>
      </c>
      <c r="L4664" t="s">
        <v>3558</v>
      </c>
      <c r="M4664" t="s">
        <v>6656</v>
      </c>
    </row>
    <row r="4665" spans="1:13" x14ac:dyDescent="0.25">
      <c r="A4665" t="s">
        <v>17238</v>
      </c>
      <c r="B4665" t="s">
        <v>101</v>
      </c>
      <c r="C4665" s="1">
        <v>43652</v>
      </c>
      <c r="D4665" t="s">
        <v>17239</v>
      </c>
      <c r="E4665" t="s">
        <v>17240</v>
      </c>
      <c r="F4665" t="s">
        <v>10500</v>
      </c>
      <c r="G4665" t="s">
        <v>17241</v>
      </c>
      <c r="H4665" t="s">
        <v>150</v>
      </c>
      <c r="I4665" t="s">
        <v>19</v>
      </c>
      <c r="J4665" s="3">
        <v>5511996192225</v>
      </c>
      <c r="K4665" t="s">
        <v>17242</v>
      </c>
      <c r="L4665" t="s">
        <v>17243</v>
      </c>
      <c r="M4665" t="s">
        <v>32121</v>
      </c>
    </row>
    <row r="4666" spans="1:13" x14ac:dyDescent="0.25">
      <c r="A4666" t="s">
        <v>22475</v>
      </c>
      <c r="B4666" t="s">
        <v>13</v>
      </c>
      <c r="C4666" t="s">
        <v>8036</v>
      </c>
      <c r="D4666" t="s">
        <v>22476</v>
      </c>
      <c r="E4666" t="s">
        <v>22477</v>
      </c>
      <c r="F4666" t="s">
        <v>432</v>
      </c>
      <c r="G4666" t="s">
        <v>22478</v>
      </c>
      <c r="H4666" t="s">
        <v>540</v>
      </c>
      <c r="I4666" t="s">
        <v>19</v>
      </c>
      <c r="J4666" s="3" t="s">
        <v>22479</v>
      </c>
      <c r="K4666" t="s">
        <v>22480</v>
      </c>
      <c r="L4666" t="s">
        <v>22481</v>
      </c>
      <c r="M4666" t="s">
        <v>432</v>
      </c>
    </row>
    <row r="4667" spans="1:13" x14ac:dyDescent="0.25">
      <c r="A4667" t="s">
        <v>16400</v>
      </c>
      <c r="B4667" t="s">
        <v>13</v>
      </c>
      <c r="C4667" t="s">
        <v>16385</v>
      </c>
      <c r="D4667" t="s">
        <v>16401</v>
      </c>
      <c r="E4667" t="s">
        <v>16402</v>
      </c>
      <c r="F4667" t="s">
        <v>6498</v>
      </c>
      <c r="G4667" t="s">
        <v>3839</v>
      </c>
      <c r="H4667" t="s">
        <v>1466</v>
      </c>
      <c r="I4667" t="s">
        <v>19</v>
      </c>
      <c r="J4667" s="3" t="s">
        <v>10770</v>
      </c>
      <c r="K4667" t="s">
        <v>3842</v>
      </c>
      <c r="L4667" t="s">
        <v>13333</v>
      </c>
      <c r="M4667" t="s">
        <v>1775</v>
      </c>
    </row>
    <row r="4668" spans="1:13" x14ac:dyDescent="0.25">
      <c r="A4668" t="s">
        <v>26107</v>
      </c>
      <c r="B4668" t="s">
        <v>13</v>
      </c>
      <c r="C4668" s="1">
        <v>42406</v>
      </c>
      <c r="D4668" t="s">
        <v>26108</v>
      </c>
      <c r="E4668" t="s">
        <v>26109</v>
      </c>
      <c r="F4668" t="s">
        <v>1464</v>
      </c>
      <c r="G4668" t="s">
        <v>12178</v>
      </c>
      <c r="H4668" t="s">
        <v>4236</v>
      </c>
      <c r="I4668" t="s">
        <v>19</v>
      </c>
      <c r="J4668" s="3" t="s">
        <v>26110</v>
      </c>
      <c r="K4668" t="s">
        <v>12179</v>
      </c>
      <c r="L4668" t="s">
        <v>7453</v>
      </c>
      <c r="M4668" t="s">
        <v>337</v>
      </c>
    </row>
    <row r="4669" spans="1:13" x14ac:dyDescent="0.25">
      <c r="A4669" t="s">
        <v>24343</v>
      </c>
      <c r="B4669" t="s">
        <v>13</v>
      </c>
      <c r="C4669" s="1">
        <v>42799</v>
      </c>
      <c r="D4669" t="s">
        <v>24344</v>
      </c>
      <c r="E4669" t="s">
        <v>24345</v>
      </c>
      <c r="F4669" t="s">
        <v>1464</v>
      </c>
      <c r="G4669" t="s">
        <v>12178</v>
      </c>
      <c r="H4669" t="s">
        <v>4236</v>
      </c>
      <c r="I4669" t="s">
        <v>19</v>
      </c>
      <c r="J4669" s="3" t="s">
        <v>24346</v>
      </c>
      <c r="K4669" t="s">
        <v>12179</v>
      </c>
      <c r="L4669" t="s">
        <v>7453</v>
      </c>
      <c r="M4669" t="s">
        <v>337</v>
      </c>
    </row>
    <row r="4670" spans="1:13" x14ac:dyDescent="0.25">
      <c r="A4670" t="s">
        <v>20643</v>
      </c>
      <c r="B4670" t="s">
        <v>13</v>
      </c>
      <c r="C4670" s="1">
        <v>43380</v>
      </c>
      <c r="D4670" t="s">
        <v>20644</v>
      </c>
      <c r="E4670" s="2" t="s">
        <v>31261</v>
      </c>
      <c r="F4670" t="s">
        <v>10034</v>
      </c>
      <c r="G4670" t="s">
        <v>20645</v>
      </c>
      <c r="H4670" t="s">
        <v>489</v>
      </c>
      <c r="I4670" t="s">
        <v>19</v>
      </c>
      <c r="J4670" s="3">
        <f>55-41-988585888</f>
        <v>-988585874</v>
      </c>
      <c r="K4670" t="s">
        <v>20646</v>
      </c>
      <c r="L4670" t="s">
        <v>2661</v>
      </c>
      <c r="M4670" t="s">
        <v>741</v>
      </c>
    </row>
    <row r="4671" spans="1:13" x14ac:dyDescent="0.25">
      <c r="A4671" t="s">
        <v>26126</v>
      </c>
      <c r="B4671" t="s">
        <v>13</v>
      </c>
      <c r="C4671" t="s">
        <v>26115</v>
      </c>
      <c r="D4671" t="s">
        <v>26127</v>
      </c>
      <c r="E4671" t="s">
        <v>32617</v>
      </c>
      <c r="F4671" t="s">
        <v>10034</v>
      </c>
      <c r="G4671" t="s">
        <v>26128</v>
      </c>
      <c r="H4671" t="s">
        <v>36</v>
      </c>
      <c r="I4671" t="s">
        <v>19</v>
      </c>
      <c r="J4671" s="3" t="s">
        <v>26129</v>
      </c>
      <c r="K4671" t="s">
        <v>13160</v>
      </c>
      <c r="L4671" t="s">
        <v>2344</v>
      </c>
      <c r="M4671" t="s">
        <v>741</v>
      </c>
    </row>
    <row r="4672" spans="1:13" x14ac:dyDescent="0.25">
      <c r="A4672" t="s">
        <v>25507</v>
      </c>
      <c r="B4672" t="s">
        <v>13</v>
      </c>
      <c r="C4672" s="1">
        <v>42713</v>
      </c>
      <c r="D4672" t="s">
        <v>25508</v>
      </c>
      <c r="E4672" t="s">
        <v>25509</v>
      </c>
      <c r="F4672" t="s">
        <v>2947</v>
      </c>
      <c r="G4672" t="s">
        <v>25510</v>
      </c>
      <c r="H4672" t="s">
        <v>25414</v>
      </c>
      <c r="I4672" t="s">
        <v>19</v>
      </c>
      <c r="J4672" s="3" t="s">
        <v>25511</v>
      </c>
      <c r="K4672" t="s">
        <v>25415</v>
      </c>
      <c r="L4672" t="s">
        <v>25416</v>
      </c>
      <c r="M4672" t="s">
        <v>771</v>
      </c>
    </row>
    <row r="4673" spans="1:13" x14ac:dyDescent="0.25">
      <c r="A4673" t="s">
        <v>18583</v>
      </c>
      <c r="B4673" t="s">
        <v>13</v>
      </c>
      <c r="C4673" s="1">
        <v>43647</v>
      </c>
      <c r="D4673" t="s">
        <v>18584</v>
      </c>
      <c r="E4673" t="s">
        <v>18585</v>
      </c>
      <c r="F4673" t="s">
        <v>32121</v>
      </c>
      <c r="G4673" t="s">
        <v>18586</v>
      </c>
      <c r="H4673" t="s">
        <v>2440</v>
      </c>
      <c r="I4673" t="s">
        <v>19</v>
      </c>
      <c r="J4673" s="3">
        <v>556232096280</v>
      </c>
      <c r="K4673" t="s">
        <v>18587</v>
      </c>
      <c r="L4673" t="s">
        <v>4713</v>
      </c>
      <c r="M4673" t="s">
        <v>32121</v>
      </c>
    </row>
    <row r="4674" spans="1:13" x14ac:dyDescent="0.25">
      <c r="A4674" t="s">
        <v>29810</v>
      </c>
      <c r="B4674" t="s">
        <v>13</v>
      </c>
      <c r="C4674" t="s">
        <v>29811</v>
      </c>
      <c r="D4674" t="s">
        <v>29812</v>
      </c>
      <c r="E4674" t="s">
        <v>29813</v>
      </c>
      <c r="F4674" t="s">
        <v>2036</v>
      </c>
      <c r="G4674" t="s">
        <v>29814</v>
      </c>
      <c r="H4674" t="s">
        <v>29815</v>
      </c>
      <c r="I4674" t="s">
        <v>19</v>
      </c>
      <c r="J4674" s="3" t="s">
        <v>29816</v>
      </c>
      <c r="K4674" t="s">
        <v>29817</v>
      </c>
      <c r="L4674" t="s">
        <v>29607</v>
      </c>
      <c r="M4674" t="s">
        <v>57</v>
      </c>
    </row>
    <row r="4675" spans="1:13" x14ac:dyDescent="0.25">
      <c r="A4675" t="s">
        <v>12153</v>
      </c>
      <c r="B4675" t="s">
        <v>13</v>
      </c>
      <c r="C4675" t="s">
        <v>12154</v>
      </c>
      <c r="D4675" t="s">
        <v>12155</v>
      </c>
      <c r="E4675" s="2" t="s">
        <v>31433</v>
      </c>
      <c r="F4675" t="s">
        <v>1464</v>
      </c>
      <c r="G4675" t="s">
        <v>12156</v>
      </c>
      <c r="H4675" t="s">
        <v>18</v>
      </c>
      <c r="I4675" t="s">
        <v>19</v>
      </c>
      <c r="J4675" s="3" t="s">
        <v>12157</v>
      </c>
      <c r="K4675" t="s">
        <v>12158</v>
      </c>
      <c r="L4675" t="s">
        <v>12159</v>
      </c>
      <c r="M4675" t="s">
        <v>6656</v>
      </c>
    </row>
    <row r="4676" spans="1:13" x14ac:dyDescent="0.25">
      <c r="A4676" t="s">
        <v>14277</v>
      </c>
      <c r="B4676" t="s">
        <v>13</v>
      </c>
      <c r="C4676" s="1">
        <v>44075</v>
      </c>
      <c r="D4676" t="s">
        <v>14278</v>
      </c>
      <c r="E4676" t="s">
        <v>32618</v>
      </c>
      <c r="F4676" t="s">
        <v>1464</v>
      </c>
      <c r="G4676" t="s">
        <v>14269</v>
      </c>
      <c r="H4676" t="s">
        <v>141</v>
      </c>
      <c r="I4676" t="s">
        <v>19</v>
      </c>
      <c r="J4676" s="3">
        <v>558232155000</v>
      </c>
      <c r="K4676" t="s">
        <v>14270</v>
      </c>
      <c r="L4676" t="s">
        <v>14271</v>
      </c>
      <c r="M4676" t="s">
        <v>337</v>
      </c>
    </row>
    <row r="4677" spans="1:13" x14ac:dyDescent="0.25">
      <c r="A4677" t="s">
        <v>6558</v>
      </c>
      <c r="B4677" t="s">
        <v>13</v>
      </c>
      <c r="C4677" t="s">
        <v>6551</v>
      </c>
      <c r="D4677" t="s">
        <v>6559</v>
      </c>
      <c r="E4677" t="s">
        <v>32619</v>
      </c>
      <c r="F4677" t="s">
        <v>6560</v>
      </c>
      <c r="G4677" t="s">
        <v>6561</v>
      </c>
      <c r="H4677" t="s">
        <v>105</v>
      </c>
      <c r="I4677" t="s">
        <v>19</v>
      </c>
      <c r="J4677" s="3">
        <f>55-21-26299189</f>
        <v>-26299155</v>
      </c>
      <c r="K4677" t="s">
        <v>6562</v>
      </c>
      <c r="L4677" t="s">
        <v>32135</v>
      </c>
      <c r="M4677" t="s">
        <v>337</v>
      </c>
    </row>
    <row r="4678" spans="1:13" x14ac:dyDescent="0.25">
      <c r="A4678" t="s">
        <v>19945</v>
      </c>
      <c r="B4678" t="s">
        <v>13</v>
      </c>
      <c r="C4678" t="s">
        <v>19946</v>
      </c>
      <c r="D4678" t="s">
        <v>19947</v>
      </c>
      <c r="E4678" t="s">
        <v>32620</v>
      </c>
      <c r="F4678" t="s">
        <v>306</v>
      </c>
      <c r="G4678" t="s">
        <v>16144</v>
      </c>
      <c r="H4678" t="s">
        <v>255</v>
      </c>
      <c r="I4678" t="s">
        <v>19</v>
      </c>
      <c r="J4678" s="3">
        <f>55-62-32096270</f>
        <v>-32096277</v>
      </c>
      <c r="K4678" t="s">
        <v>16146</v>
      </c>
      <c r="L4678" t="s">
        <v>9587</v>
      </c>
      <c r="M4678" t="s">
        <v>32145</v>
      </c>
    </row>
    <row r="4679" spans="1:13" x14ac:dyDescent="0.25">
      <c r="A4679" t="s">
        <v>28247</v>
      </c>
      <c r="B4679" t="s">
        <v>13</v>
      </c>
      <c r="C4679" s="1">
        <v>42129</v>
      </c>
      <c r="D4679" t="s">
        <v>28248</v>
      </c>
      <c r="E4679" t="s">
        <v>28249</v>
      </c>
      <c r="F4679" t="s">
        <v>2036</v>
      </c>
      <c r="G4679" t="s">
        <v>27299</v>
      </c>
      <c r="H4679" t="s">
        <v>428</v>
      </c>
      <c r="I4679" t="s">
        <v>19</v>
      </c>
      <c r="J4679" s="3" t="s">
        <v>28250</v>
      </c>
      <c r="K4679" t="s">
        <v>28251</v>
      </c>
      <c r="L4679" t="s">
        <v>28252</v>
      </c>
      <c r="M4679" t="s">
        <v>57</v>
      </c>
    </row>
    <row r="4680" spans="1:13" x14ac:dyDescent="0.25">
      <c r="A4680" t="s">
        <v>28667</v>
      </c>
      <c r="B4680" t="s">
        <v>13</v>
      </c>
      <c r="C4680" t="s">
        <v>28668</v>
      </c>
      <c r="D4680" t="s">
        <v>28669</v>
      </c>
      <c r="E4680" t="s">
        <v>28670</v>
      </c>
      <c r="F4680" t="s">
        <v>11797</v>
      </c>
      <c r="G4680" t="s">
        <v>18096</v>
      </c>
      <c r="H4680" t="s">
        <v>4092</v>
      </c>
      <c r="I4680" t="s">
        <v>19</v>
      </c>
      <c r="J4680" s="3" t="s">
        <v>15525</v>
      </c>
      <c r="K4680" t="s">
        <v>28671</v>
      </c>
      <c r="L4680" t="s">
        <v>28672</v>
      </c>
      <c r="M4680" t="s">
        <v>32195</v>
      </c>
    </row>
    <row r="4681" spans="1:13" x14ac:dyDescent="0.25">
      <c r="A4681" t="s">
        <v>26536</v>
      </c>
      <c r="B4681" t="s">
        <v>13</v>
      </c>
      <c r="C4681" t="s">
        <v>26537</v>
      </c>
      <c r="D4681" t="s">
        <v>26538</v>
      </c>
      <c r="E4681" t="s">
        <v>32800</v>
      </c>
      <c r="F4681" t="s">
        <v>2036</v>
      </c>
      <c r="G4681" t="s">
        <v>26539</v>
      </c>
      <c r="H4681" t="s">
        <v>753</v>
      </c>
      <c r="I4681" t="s">
        <v>19</v>
      </c>
      <c r="J4681" s="3" t="s">
        <v>26540</v>
      </c>
      <c r="K4681" t="s">
        <v>26541</v>
      </c>
      <c r="L4681" t="s">
        <v>2762</v>
      </c>
      <c r="M4681" t="s">
        <v>57</v>
      </c>
    </row>
    <row r="4682" spans="1:13" x14ac:dyDescent="0.25">
      <c r="A4682" t="s">
        <v>28866</v>
      </c>
      <c r="B4682" t="s">
        <v>13</v>
      </c>
      <c r="C4682" s="1">
        <v>41680</v>
      </c>
      <c r="D4682" t="s">
        <v>28867</v>
      </c>
      <c r="E4682" t="s">
        <v>32621</v>
      </c>
      <c r="F4682" t="s">
        <v>306</v>
      </c>
      <c r="G4682" t="s">
        <v>28868</v>
      </c>
      <c r="H4682" t="s">
        <v>36</v>
      </c>
      <c r="I4682" t="s">
        <v>19</v>
      </c>
      <c r="J4682" s="3" t="s">
        <v>28869</v>
      </c>
      <c r="K4682" t="s">
        <v>28870</v>
      </c>
      <c r="L4682" t="s">
        <v>328</v>
      </c>
      <c r="M4682" t="s">
        <v>32145</v>
      </c>
    </row>
    <row r="4683" spans="1:13" x14ac:dyDescent="0.25">
      <c r="A4683" t="s">
        <v>17370</v>
      </c>
      <c r="B4683" t="s">
        <v>13</v>
      </c>
      <c r="C4683" s="1">
        <v>43561</v>
      </c>
      <c r="D4683" t="s">
        <v>17371</v>
      </c>
      <c r="E4683" t="s">
        <v>17372</v>
      </c>
      <c r="F4683" t="s">
        <v>6686</v>
      </c>
      <c r="G4683" t="s">
        <v>17373</v>
      </c>
      <c r="H4683" t="s">
        <v>36</v>
      </c>
      <c r="I4683" t="s">
        <v>19</v>
      </c>
      <c r="J4683" s="3" t="s">
        <v>17374</v>
      </c>
      <c r="K4683" t="s">
        <v>17375</v>
      </c>
      <c r="L4683" t="s">
        <v>7405</v>
      </c>
      <c r="M4683" t="s">
        <v>337</v>
      </c>
    </row>
    <row r="4684" spans="1:13" x14ac:dyDescent="0.25">
      <c r="A4684" t="s">
        <v>11509</v>
      </c>
      <c r="B4684" t="s">
        <v>13</v>
      </c>
      <c r="C4684" s="1">
        <v>43927</v>
      </c>
      <c r="D4684" t="s">
        <v>11510</v>
      </c>
      <c r="E4684" t="s">
        <v>11511</v>
      </c>
      <c r="F4684" t="s">
        <v>1464</v>
      </c>
      <c r="G4684" t="s">
        <v>11300</v>
      </c>
      <c r="H4684" t="s">
        <v>1802</v>
      </c>
      <c r="I4684" t="s">
        <v>19</v>
      </c>
      <c r="J4684" s="3">
        <v>5514988089805</v>
      </c>
      <c r="K4684" t="s">
        <v>11301</v>
      </c>
      <c r="L4684" t="s">
        <v>11302</v>
      </c>
      <c r="M4684" t="s">
        <v>337</v>
      </c>
    </row>
    <row r="4685" spans="1:13" x14ac:dyDescent="0.25">
      <c r="A4685" t="s">
        <v>26741</v>
      </c>
      <c r="B4685" t="s">
        <v>13</v>
      </c>
      <c r="C4685" t="s">
        <v>26730</v>
      </c>
      <c r="D4685" t="s">
        <v>26742</v>
      </c>
      <c r="E4685" t="s">
        <v>26743</v>
      </c>
      <c r="F4685" t="s">
        <v>8193</v>
      </c>
      <c r="G4685" t="s">
        <v>26744</v>
      </c>
      <c r="H4685" t="s">
        <v>36</v>
      </c>
      <c r="I4685" t="s">
        <v>19</v>
      </c>
      <c r="J4685" s="3">
        <v>5511999390802</v>
      </c>
      <c r="K4685" t="s">
        <v>26745</v>
      </c>
      <c r="L4685" t="s">
        <v>26746</v>
      </c>
      <c r="M4685" t="s">
        <v>129</v>
      </c>
    </row>
    <row r="4686" spans="1:13" x14ac:dyDescent="0.25">
      <c r="A4686" t="s">
        <v>16507</v>
      </c>
      <c r="B4686" t="s">
        <v>13</v>
      </c>
      <c r="C4686" t="s">
        <v>16508</v>
      </c>
      <c r="D4686" t="s">
        <v>16509</v>
      </c>
      <c r="E4686" t="s">
        <v>13862</v>
      </c>
      <c r="F4686" t="s">
        <v>129</v>
      </c>
      <c r="G4686" t="s">
        <v>2178</v>
      </c>
      <c r="H4686" t="s">
        <v>2112</v>
      </c>
      <c r="I4686" t="s">
        <v>19</v>
      </c>
      <c r="J4686" s="3">
        <f>55-45-32207344</f>
        <v>-32207334</v>
      </c>
      <c r="K4686" t="s">
        <v>14019</v>
      </c>
      <c r="L4686" t="s">
        <v>14020</v>
      </c>
      <c r="M4686" t="s">
        <v>129</v>
      </c>
    </row>
    <row r="4687" spans="1:13" x14ac:dyDescent="0.25">
      <c r="A4687" t="s">
        <v>13860</v>
      </c>
      <c r="B4687" t="s">
        <v>13</v>
      </c>
      <c r="C4687" t="s">
        <v>7230</v>
      </c>
      <c r="D4687" t="s">
        <v>13861</v>
      </c>
      <c r="E4687" s="2" t="s">
        <v>31083</v>
      </c>
      <c r="F4687" t="s">
        <v>1464</v>
      </c>
      <c r="G4687" t="s">
        <v>13863</v>
      </c>
      <c r="H4687" t="s">
        <v>195</v>
      </c>
      <c r="I4687" t="s">
        <v>19</v>
      </c>
      <c r="J4687" s="3" t="s">
        <v>13864</v>
      </c>
      <c r="K4687" t="s">
        <v>13865</v>
      </c>
      <c r="L4687" t="s">
        <v>197</v>
      </c>
      <c r="M4687" t="s">
        <v>129</v>
      </c>
    </row>
    <row r="4688" spans="1:13" x14ac:dyDescent="0.25">
      <c r="A4688" t="s">
        <v>9710</v>
      </c>
      <c r="B4688" t="s">
        <v>13</v>
      </c>
      <c r="C4688" t="s">
        <v>5087</v>
      </c>
      <c r="D4688" t="s">
        <v>9711</v>
      </c>
      <c r="E4688" t="s">
        <v>9712</v>
      </c>
      <c r="F4688" t="s">
        <v>8193</v>
      </c>
      <c r="G4688" t="s">
        <v>8281</v>
      </c>
      <c r="H4688" t="s">
        <v>131</v>
      </c>
      <c r="I4688" t="s">
        <v>19</v>
      </c>
      <c r="J4688" s="3">
        <v>5581997860507</v>
      </c>
      <c r="K4688" t="s">
        <v>8282</v>
      </c>
      <c r="L4688" t="s">
        <v>4689</v>
      </c>
      <c r="M4688" t="s">
        <v>129</v>
      </c>
    </row>
    <row r="4689" spans="1:13" x14ac:dyDescent="0.25">
      <c r="A4689" t="s">
        <v>20270</v>
      </c>
      <c r="B4689" t="s">
        <v>13</v>
      </c>
      <c r="C4689" t="s">
        <v>20252</v>
      </c>
      <c r="D4689" t="s">
        <v>20271</v>
      </c>
      <c r="E4689" t="s">
        <v>20272</v>
      </c>
      <c r="F4689" t="s">
        <v>8193</v>
      </c>
      <c r="G4689" t="s">
        <v>12119</v>
      </c>
      <c r="H4689" t="s">
        <v>12120</v>
      </c>
      <c r="I4689" t="s">
        <v>19</v>
      </c>
      <c r="J4689" s="3">
        <f>55-24-992192494</f>
        <v>-992192463</v>
      </c>
      <c r="K4689" t="s">
        <v>12121</v>
      </c>
      <c r="L4689" t="s">
        <v>12122</v>
      </c>
      <c r="M4689" t="s">
        <v>129</v>
      </c>
    </row>
    <row r="4690" spans="1:13" x14ac:dyDescent="0.25">
      <c r="A4690" t="s">
        <v>10920</v>
      </c>
      <c r="B4690" t="s">
        <v>13</v>
      </c>
      <c r="C4690" t="s">
        <v>10921</v>
      </c>
      <c r="D4690" t="s">
        <v>10922</v>
      </c>
      <c r="E4690" t="s">
        <v>10923</v>
      </c>
      <c r="F4690" t="s">
        <v>2036</v>
      </c>
      <c r="G4690" t="s">
        <v>10924</v>
      </c>
      <c r="H4690" t="s">
        <v>706</v>
      </c>
      <c r="I4690" t="s">
        <v>19</v>
      </c>
      <c r="J4690" s="3">
        <v>3133180517</v>
      </c>
      <c r="K4690" t="s">
        <v>10925</v>
      </c>
      <c r="L4690" t="s">
        <v>565</v>
      </c>
      <c r="M4690" t="s">
        <v>57</v>
      </c>
    </row>
    <row r="4691" spans="1:13" x14ac:dyDescent="0.25">
      <c r="A4691" t="s">
        <v>12841</v>
      </c>
      <c r="B4691" t="s">
        <v>13</v>
      </c>
      <c r="C4691" t="s">
        <v>12842</v>
      </c>
      <c r="D4691" t="s">
        <v>12843</v>
      </c>
      <c r="E4691" t="s">
        <v>12844</v>
      </c>
      <c r="F4691" t="s">
        <v>4639</v>
      </c>
      <c r="G4691" t="s">
        <v>12845</v>
      </c>
      <c r="H4691" t="s">
        <v>472</v>
      </c>
      <c r="I4691" t="s">
        <v>19</v>
      </c>
      <c r="J4691" s="3" t="s">
        <v>12846</v>
      </c>
      <c r="K4691" t="s">
        <v>9915</v>
      </c>
      <c r="L4691" t="s">
        <v>2101</v>
      </c>
      <c r="M4691" t="s">
        <v>785</v>
      </c>
    </row>
    <row r="4692" spans="1:13" x14ac:dyDescent="0.25">
      <c r="A4692" t="s">
        <v>7331</v>
      </c>
      <c r="B4692" t="s">
        <v>13</v>
      </c>
      <c r="C4692" t="s">
        <v>7332</v>
      </c>
      <c r="D4692" t="s">
        <v>7333</v>
      </c>
      <c r="E4692" t="s">
        <v>7334</v>
      </c>
      <c r="F4692" t="s">
        <v>7335</v>
      </c>
      <c r="G4692" t="s">
        <v>6547</v>
      </c>
      <c r="H4692" t="s">
        <v>936</v>
      </c>
      <c r="I4692" t="s">
        <v>19</v>
      </c>
      <c r="J4692" s="3" t="s">
        <v>7336</v>
      </c>
      <c r="K4692" t="s">
        <v>6549</v>
      </c>
      <c r="L4692" t="s">
        <v>7337</v>
      </c>
      <c r="M4692" t="s">
        <v>1432</v>
      </c>
    </row>
    <row r="4693" spans="1:13" x14ac:dyDescent="0.25">
      <c r="A4693" t="s">
        <v>14095</v>
      </c>
      <c r="B4693" t="s">
        <v>13</v>
      </c>
      <c r="C4693" t="s">
        <v>7928</v>
      </c>
      <c r="D4693" t="s">
        <v>14096</v>
      </c>
      <c r="E4693" s="2" t="s">
        <v>31819</v>
      </c>
      <c r="F4693" t="s">
        <v>4338</v>
      </c>
      <c r="G4693" t="s">
        <v>14098</v>
      </c>
      <c r="H4693" t="s">
        <v>18</v>
      </c>
      <c r="I4693" t="s">
        <v>19</v>
      </c>
      <c r="J4693" s="3">
        <f>55-19-3343-8688</f>
        <v>-11995</v>
      </c>
      <c r="K4693" t="s">
        <v>14099</v>
      </c>
      <c r="L4693" t="s">
        <v>6036</v>
      </c>
      <c r="M4693" t="s">
        <v>1432</v>
      </c>
    </row>
    <row r="4694" spans="1:13" x14ac:dyDescent="0.25">
      <c r="A4694" t="s">
        <v>4043</v>
      </c>
      <c r="B4694" t="s">
        <v>101</v>
      </c>
      <c r="C4694" s="1">
        <v>44655</v>
      </c>
      <c r="D4694" t="s">
        <v>32135</v>
      </c>
      <c r="E4694" s="2" t="s">
        <v>31422</v>
      </c>
      <c r="F4694" t="s">
        <v>4044</v>
      </c>
      <c r="G4694" t="s">
        <v>4045</v>
      </c>
      <c r="H4694" t="s">
        <v>798</v>
      </c>
      <c r="I4694" t="s">
        <v>19</v>
      </c>
      <c r="J4694" s="3" t="s">
        <v>4046</v>
      </c>
      <c r="K4694" t="s">
        <v>4047</v>
      </c>
      <c r="L4694" t="s">
        <v>3256</v>
      </c>
      <c r="M4694" t="s">
        <v>1432</v>
      </c>
    </row>
    <row r="4695" spans="1:13" x14ac:dyDescent="0.25">
      <c r="A4695" t="s">
        <v>28775</v>
      </c>
      <c r="B4695" t="s">
        <v>13</v>
      </c>
      <c r="C4695" s="1">
        <v>41710</v>
      </c>
      <c r="D4695" t="s">
        <v>28776</v>
      </c>
      <c r="E4695" t="s">
        <v>28777</v>
      </c>
      <c r="F4695" t="s">
        <v>771</v>
      </c>
      <c r="G4695" t="s">
        <v>27566</v>
      </c>
      <c r="H4695" t="s">
        <v>36</v>
      </c>
      <c r="I4695" t="s">
        <v>19</v>
      </c>
      <c r="J4695" s="3" t="s">
        <v>28706</v>
      </c>
      <c r="K4695" t="s">
        <v>27569</v>
      </c>
      <c r="L4695" t="s">
        <v>27570</v>
      </c>
      <c r="M4695" t="s">
        <v>771</v>
      </c>
    </row>
    <row r="4696" spans="1:13" x14ac:dyDescent="0.25">
      <c r="A4696" t="s">
        <v>20242</v>
      </c>
      <c r="B4696" t="s">
        <v>13</v>
      </c>
      <c r="C4696" t="s">
        <v>20229</v>
      </c>
      <c r="D4696" t="s">
        <v>20243</v>
      </c>
      <c r="E4696" t="s">
        <v>20244</v>
      </c>
      <c r="F4696" t="s">
        <v>129</v>
      </c>
      <c r="G4696" t="s">
        <v>20245</v>
      </c>
      <c r="H4696" t="s">
        <v>18</v>
      </c>
      <c r="I4696" t="s">
        <v>19</v>
      </c>
      <c r="J4696" s="3">
        <v>551935219306</v>
      </c>
      <c r="K4696" t="s">
        <v>20246</v>
      </c>
      <c r="L4696" t="s">
        <v>285</v>
      </c>
      <c r="M4696" t="s">
        <v>129</v>
      </c>
    </row>
    <row r="4697" spans="1:13" x14ac:dyDescent="0.25">
      <c r="A4697" t="s">
        <v>29501</v>
      </c>
      <c r="B4697" t="s">
        <v>13</v>
      </c>
      <c r="C4697" s="1">
        <v>41463</v>
      </c>
      <c r="D4697" t="s">
        <v>29502</v>
      </c>
      <c r="E4697" t="s">
        <v>29503</v>
      </c>
      <c r="F4697" t="s">
        <v>1464</v>
      </c>
      <c r="G4697" t="s">
        <v>29504</v>
      </c>
      <c r="H4697" t="s">
        <v>936</v>
      </c>
      <c r="I4697" t="s">
        <v>19</v>
      </c>
      <c r="J4697" s="3" t="s">
        <v>29505</v>
      </c>
      <c r="K4697" t="s">
        <v>29506</v>
      </c>
      <c r="L4697" t="s">
        <v>12959</v>
      </c>
      <c r="M4697" t="s">
        <v>785</v>
      </c>
    </row>
    <row r="4698" spans="1:13" x14ac:dyDescent="0.25">
      <c r="A4698" t="s">
        <v>14608</v>
      </c>
      <c r="B4698" t="s">
        <v>13</v>
      </c>
      <c r="C4698" s="1">
        <v>43811</v>
      </c>
      <c r="D4698" t="s">
        <v>14609</v>
      </c>
      <c r="E4698" s="2" t="s">
        <v>31100</v>
      </c>
      <c r="F4698" t="s">
        <v>2947</v>
      </c>
      <c r="G4698" t="s">
        <v>14610</v>
      </c>
      <c r="H4698" t="s">
        <v>36</v>
      </c>
      <c r="I4698" t="s">
        <v>19</v>
      </c>
      <c r="J4698" s="3">
        <v>5511981194089</v>
      </c>
      <c r="K4698" t="s">
        <v>14611</v>
      </c>
      <c r="L4698" t="s">
        <v>223</v>
      </c>
      <c r="M4698" t="s">
        <v>771</v>
      </c>
    </row>
    <row r="4699" spans="1:13" x14ac:dyDescent="0.25">
      <c r="A4699" t="s">
        <v>27348</v>
      </c>
      <c r="B4699" t="s">
        <v>13</v>
      </c>
      <c r="C4699" t="s">
        <v>27326</v>
      </c>
      <c r="D4699" t="s">
        <v>27349</v>
      </c>
      <c r="E4699" t="s">
        <v>20331</v>
      </c>
      <c r="F4699" t="s">
        <v>771</v>
      </c>
      <c r="G4699" t="s">
        <v>27350</v>
      </c>
      <c r="H4699" t="s">
        <v>428</v>
      </c>
      <c r="I4699" t="s">
        <v>19</v>
      </c>
      <c r="J4699" s="3" t="s">
        <v>27351</v>
      </c>
      <c r="K4699" t="s">
        <v>27352</v>
      </c>
      <c r="L4699" t="s">
        <v>1126</v>
      </c>
      <c r="M4699" t="s">
        <v>771</v>
      </c>
    </row>
    <row r="4700" spans="1:13" x14ac:dyDescent="0.25">
      <c r="A4700" t="s">
        <v>30571</v>
      </c>
      <c r="B4700" t="s">
        <v>13</v>
      </c>
      <c r="C4700" s="1">
        <v>40552</v>
      </c>
      <c r="D4700" t="s">
        <v>30572</v>
      </c>
      <c r="E4700" t="s">
        <v>30573</v>
      </c>
      <c r="F4700" t="s">
        <v>8193</v>
      </c>
      <c r="G4700" t="s">
        <v>30574</v>
      </c>
      <c r="H4700" t="s">
        <v>30575</v>
      </c>
      <c r="I4700" t="s">
        <v>19</v>
      </c>
      <c r="J4700" s="3" t="s">
        <v>30576</v>
      </c>
      <c r="K4700" t="s">
        <v>30577</v>
      </c>
      <c r="L4700" t="s">
        <v>30578</v>
      </c>
      <c r="M4700" t="s">
        <v>129</v>
      </c>
    </row>
    <row r="4701" spans="1:13" x14ac:dyDescent="0.25">
      <c r="A4701" t="s">
        <v>27466</v>
      </c>
      <c r="B4701" t="s">
        <v>13</v>
      </c>
      <c r="C4701" t="s">
        <v>27467</v>
      </c>
      <c r="D4701" t="s">
        <v>27468</v>
      </c>
      <c r="E4701" t="s">
        <v>27469</v>
      </c>
      <c r="F4701" t="s">
        <v>129</v>
      </c>
      <c r="G4701" t="s">
        <v>8744</v>
      </c>
      <c r="H4701" t="s">
        <v>11685</v>
      </c>
      <c r="I4701" t="s">
        <v>19</v>
      </c>
      <c r="J4701" s="3">
        <v>5585987160736</v>
      </c>
      <c r="K4701" t="s">
        <v>27470</v>
      </c>
      <c r="L4701" t="s">
        <v>1909</v>
      </c>
      <c r="M4701" t="s">
        <v>1349</v>
      </c>
    </row>
    <row r="4702" spans="1:13" x14ac:dyDescent="0.25">
      <c r="A4702" t="s">
        <v>17744</v>
      </c>
      <c r="B4702" t="s">
        <v>13</v>
      </c>
      <c r="C4702" s="1">
        <v>43528</v>
      </c>
      <c r="D4702" t="s">
        <v>17745</v>
      </c>
      <c r="E4702" s="2" t="s">
        <v>31971</v>
      </c>
      <c r="F4702" t="s">
        <v>1464</v>
      </c>
      <c r="G4702" t="s">
        <v>17746</v>
      </c>
      <c r="H4702" t="s">
        <v>1486</v>
      </c>
      <c r="I4702" t="s">
        <v>19</v>
      </c>
      <c r="J4702" s="3">
        <f>55-34-991058114</f>
        <v>-991058093</v>
      </c>
      <c r="K4702" t="s">
        <v>14054</v>
      </c>
      <c r="L4702" t="s">
        <v>1489</v>
      </c>
      <c r="M4702" t="s">
        <v>1775</v>
      </c>
    </row>
    <row r="4703" spans="1:13" x14ac:dyDescent="0.25">
      <c r="A4703" t="s">
        <v>6005</v>
      </c>
      <c r="B4703" t="s">
        <v>13</v>
      </c>
      <c r="C4703" t="s">
        <v>6006</v>
      </c>
      <c r="D4703" t="s">
        <v>6007</v>
      </c>
      <c r="E4703" t="s">
        <v>6008</v>
      </c>
      <c r="F4703" t="s">
        <v>442</v>
      </c>
      <c r="G4703" t="s">
        <v>6009</v>
      </c>
      <c r="H4703" t="s">
        <v>195</v>
      </c>
      <c r="I4703" t="s">
        <v>19</v>
      </c>
      <c r="J4703" s="3" t="s">
        <v>6010</v>
      </c>
      <c r="K4703" t="s">
        <v>6011</v>
      </c>
      <c r="L4703" t="s">
        <v>197</v>
      </c>
      <c r="M4703" t="s">
        <v>32144</v>
      </c>
    </row>
    <row r="4704" spans="1:13" x14ac:dyDescent="0.25">
      <c r="A4704" t="s">
        <v>14429</v>
      </c>
      <c r="B4704" t="s">
        <v>13</v>
      </c>
      <c r="C4704" s="1">
        <v>43862</v>
      </c>
      <c r="D4704" t="s">
        <v>14430</v>
      </c>
      <c r="E4704" s="2" t="s">
        <v>31092</v>
      </c>
      <c r="F4704" t="s">
        <v>6686</v>
      </c>
      <c r="G4704" t="s">
        <v>14431</v>
      </c>
      <c r="H4704" t="s">
        <v>936</v>
      </c>
      <c r="I4704" t="s">
        <v>19</v>
      </c>
      <c r="J4704" s="3">
        <f>55-71-999572121</f>
        <v>-999572137</v>
      </c>
      <c r="K4704" t="s">
        <v>14432</v>
      </c>
      <c r="L4704" t="s">
        <v>14433</v>
      </c>
      <c r="M4704" t="s">
        <v>337</v>
      </c>
    </row>
    <row r="4705" spans="1:13" x14ac:dyDescent="0.25">
      <c r="A4705" t="s">
        <v>16291</v>
      </c>
      <c r="B4705" t="s">
        <v>13</v>
      </c>
      <c r="C4705" s="1">
        <v>43322</v>
      </c>
      <c r="D4705" t="s">
        <v>16292</v>
      </c>
      <c r="E4705" s="2" t="s">
        <v>31152</v>
      </c>
      <c r="F4705" t="s">
        <v>3084</v>
      </c>
      <c r="G4705" t="s">
        <v>3952</v>
      </c>
      <c r="H4705" t="s">
        <v>299</v>
      </c>
      <c r="I4705" t="s">
        <v>19</v>
      </c>
      <c r="J4705" s="3" t="s">
        <v>13958</v>
      </c>
      <c r="K4705" t="s">
        <v>13959</v>
      </c>
      <c r="L4705" t="s">
        <v>13960</v>
      </c>
      <c r="M4705" t="s">
        <v>32144</v>
      </c>
    </row>
    <row r="4706" spans="1:13" x14ac:dyDescent="0.25">
      <c r="A4706" t="s">
        <v>23713</v>
      </c>
      <c r="B4706" t="s">
        <v>13</v>
      </c>
      <c r="C4706" t="s">
        <v>23692</v>
      </c>
      <c r="D4706" t="s">
        <v>23714</v>
      </c>
      <c r="E4706" s="2" t="s">
        <v>31332</v>
      </c>
      <c r="F4706" t="s">
        <v>6130</v>
      </c>
      <c r="G4706" t="s">
        <v>23715</v>
      </c>
      <c r="H4706" t="s">
        <v>23716</v>
      </c>
      <c r="I4706" t="s">
        <v>19</v>
      </c>
      <c r="J4706" s="3">
        <v>551936815756</v>
      </c>
      <c r="K4706" t="s">
        <v>23717</v>
      </c>
      <c r="L4706" t="s">
        <v>23718</v>
      </c>
      <c r="M4706" t="s">
        <v>32144</v>
      </c>
    </row>
    <row r="4707" spans="1:13" x14ac:dyDescent="0.25">
      <c r="A4707" t="s">
        <v>17454</v>
      </c>
      <c r="B4707" t="s">
        <v>13</v>
      </c>
      <c r="C4707" s="1">
        <v>43561</v>
      </c>
      <c r="D4707" t="s">
        <v>17455</v>
      </c>
      <c r="E4707" t="s">
        <v>17456</v>
      </c>
      <c r="F4707" t="s">
        <v>10034</v>
      </c>
      <c r="G4707" t="s">
        <v>17457</v>
      </c>
      <c r="H4707" t="s">
        <v>299</v>
      </c>
      <c r="I4707" t="s">
        <v>19</v>
      </c>
      <c r="J4707" s="3">
        <f>55-14-38801171</f>
        <v>-38801130</v>
      </c>
      <c r="K4707" t="s">
        <v>17458</v>
      </c>
      <c r="L4707" t="s">
        <v>17459</v>
      </c>
      <c r="M4707" t="s">
        <v>741</v>
      </c>
    </row>
    <row r="4708" spans="1:13" x14ac:dyDescent="0.25">
      <c r="A4708" t="s">
        <v>22207</v>
      </c>
      <c r="B4708" t="s">
        <v>13</v>
      </c>
      <c r="C4708" t="s">
        <v>22204</v>
      </c>
      <c r="D4708" t="s">
        <v>22208</v>
      </c>
      <c r="E4708" t="s">
        <v>22209</v>
      </c>
      <c r="F4708" t="s">
        <v>1464</v>
      </c>
      <c r="G4708" t="s">
        <v>22210</v>
      </c>
      <c r="H4708" t="s">
        <v>36</v>
      </c>
      <c r="I4708" t="s">
        <v>19</v>
      </c>
      <c r="J4708" s="3" t="s">
        <v>22211</v>
      </c>
      <c r="K4708" t="s">
        <v>22212</v>
      </c>
      <c r="L4708" t="s">
        <v>39</v>
      </c>
      <c r="M4708" t="s">
        <v>57</v>
      </c>
    </row>
    <row r="4709" spans="1:13" x14ac:dyDescent="0.25">
      <c r="A4709" t="s">
        <v>23776</v>
      </c>
      <c r="B4709" t="s">
        <v>101</v>
      </c>
      <c r="C4709" t="s">
        <v>15868</v>
      </c>
      <c r="D4709" t="s">
        <v>23777</v>
      </c>
      <c r="E4709" t="s">
        <v>23778</v>
      </c>
      <c r="F4709" t="s">
        <v>1349</v>
      </c>
      <c r="G4709" t="s">
        <v>23779</v>
      </c>
      <c r="H4709" t="s">
        <v>18</v>
      </c>
      <c r="I4709" t="s">
        <v>19</v>
      </c>
      <c r="J4709" s="3" t="s">
        <v>23780</v>
      </c>
      <c r="K4709" t="s">
        <v>23781</v>
      </c>
      <c r="L4709" t="s">
        <v>285</v>
      </c>
      <c r="M4709" t="s">
        <v>1349</v>
      </c>
    </row>
    <row r="4710" spans="1:13" x14ac:dyDescent="0.25">
      <c r="A4710" t="s">
        <v>4676</v>
      </c>
      <c r="B4710" t="s">
        <v>101</v>
      </c>
      <c r="C4710" t="s">
        <v>4495</v>
      </c>
      <c r="D4710" t="s">
        <v>4677</v>
      </c>
      <c r="E4710" t="s">
        <v>4678</v>
      </c>
      <c r="F4710" t="s">
        <v>4679</v>
      </c>
      <c r="G4710" t="s">
        <v>4680</v>
      </c>
      <c r="H4710" t="s">
        <v>4681</v>
      </c>
      <c r="I4710" t="s">
        <v>19</v>
      </c>
      <c r="J4710" s="3">
        <v>5519982067793</v>
      </c>
      <c r="K4710" t="s">
        <v>4682</v>
      </c>
      <c r="L4710" t="s">
        <v>4683</v>
      </c>
      <c r="M4710" t="s">
        <v>1349</v>
      </c>
    </row>
    <row r="4711" spans="1:13" x14ac:dyDescent="0.25">
      <c r="A4711" t="s">
        <v>16534</v>
      </c>
      <c r="B4711" t="s">
        <v>13</v>
      </c>
      <c r="C4711" t="s">
        <v>16520</v>
      </c>
      <c r="D4711" t="s">
        <v>16535</v>
      </c>
      <c r="E4711" s="2" t="s">
        <v>31554</v>
      </c>
      <c r="F4711" t="s">
        <v>332</v>
      </c>
      <c r="G4711" t="s">
        <v>16536</v>
      </c>
      <c r="H4711" t="s">
        <v>2071</v>
      </c>
      <c r="I4711" t="s">
        <v>19</v>
      </c>
      <c r="J4711" s="3">
        <f>55-92-33054924</f>
        <v>-33054961</v>
      </c>
      <c r="K4711" t="s">
        <v>16537</v>
      </c>
      <c r="L4711" t="s">
        <v>13490</v>
      </c>
      <c r="M4711" t="s">
        <v>337</v>
      </c>
    </row>
    <row r="4712" spans="1:13" x14ac:dyDescent="0.25">
      <c r="A4712" t="s">
        <v>26643</v>
      </c>
      <c r="B4712" t="s">
        <v>13</v>
      </c>
      <c r="C4712" s="1">
        <v>42373</v>
      </c>
      <c r="D4712" t="s">
        <v>26644</v>
      </c>
      <c r="E4712" s="2" t="s">
        <v>31727</v>
      </c>
      <c r="F4712" t="s">
        <v>1349</v>
      </c>
      <c r="G4712" t="s">
        <v>26340</v>
      </c>
      <c r="H4712" t="s">
        <v>150</v>
      </c>
      <c r="I4712" t="s">
        <v>19</v>
      </c>
      <c r="J4712" s="3" t="s">
        <v>26341</v>
      </c>
      <c r="K4712" t="s">
        <v>26342</v>
      </c>
      <c r="L4712" t="s">
        <v>26343</v>
      </c>
      <c r="M4712" t="s">
        <v>1349</v>
      </c>
    </row>
    <row r="4713" spans="1:13" x14ac:dyDescent="0.25">
      <c r="A4713" t="s">
        <v>24094</v>
      </c>
      <c r="B4713" t="s">
        <v>13</v>
      </c>
      <c r="C4713" t="s">
        <v>12010</v>
      </c>
      <c r="D4713" t="s">
        <v>24095</v>
      </c>
      <c r="E4713" t="s">
        <v>24096</v>
      </c>
      <c r="F4713" t="s">
        <v>1349</v>
      </c>
      <c r="G4713" t="s">
        <v>24097</v>
      </c>
      <c r="H4713" t="s">
        <v>428</v>
      </c>
      <c r="I4713" t="s">
        <v>19</v>
      </c>
      <c r="J4713" s="3" t="s">
        <v>24098</v>
      </c>
      <c r="K4713" t="s">
        <v>24099</v>
      </c>
      <c r="L4713" t="s">
        <v>24100</v>
      </c>
      <c r="M4713" t="s">
        <v>1349</v>
      </c>
    </row>
    <row r="4714" spans="1:13" x14ac:dyDescent="0.25">
      <c r="A4714" t="s">
        <v>25069</v>
      </c>
      <c r="B4714" t="s">
        <v>13</v>
      </c>
      <c r="C4714" s="1">
        <v>42381</v>
      </c>
      <c r="D4714" t="s">
        <v>25070</v>
      </c>
      <c r="E4714" t="s">
        <v>25071</v>
      </c>
      <c r="F4714" t="s">
        <v>1349</v>
      </c>
      <c r="G4714" t="s">
        <v>25072</v>
      </c>
      <c r="H4714" t="s">
        <v>428</v>
      </c>
      <c r="I4714" t="s">
        <v>19</v>
      </c>
      <c r="J4714" s="3" t="s">
        <v>25073</v>
      </c>
      <c r="K4714" t="s">
        <v>25074</v>
      </c>
      <c r="L4714" t="s">
        <v>25075</v>
      </c>
      <c r="M4714" t="s">
        <v>1349</v>
      </c>
    </row>
    <row r="4715" spans="1:13" x14ac:dyDescent="0.25">
      <c r="A4715" t="s">
        <v>24165</v>
      </c>
      <c r="B4715" t="s">
        <v>13</v>
      </c>
      <c r="C4715" t="s">
        <v>24166</v>
      </c>
      <c r="D4715" t="s">
        <v>24167</v>
      </c>
      <c r="E4715" t="s">
        <v>24168</v>
      </c>
      <c r="F4715" t="s">
        <v>1349</v>
      </c>
      <c r="G4715" t="s">
        <v>24169</v>
      </c>
      <c r="H4715" t="s">
        <v>409</v>
      </c>
      <c r="I4715" t="s">
        <v>19</v>
      </c>
      <c r="J4715" s="3" t="s">
        <v>24170</v>
      </c>
      <c r="K4715" t="s">
        <v>24171</v>
      </c>
      <c r="L4715" t="s">
        <v>1823</v>
      </c>
      <c r="M4715" t="s">
        <v>1349</v>
      </c>
    </row>
    <row r="4716" spans="1:13" x14ac:dyDescent="0.25">
      <c r="A4716" t="s">
        <v>25184</v>
      </c>
      <c r="B4716" t="s">
        <v>13</v>
      </c>
      <c r="C4716" s="1">
        <v>42380</v>
      </c>
      <c r="D4716" t="s">
        <v>25185</v>
      </c>
      <c r="E4716" t="s">
        <v>25186</v>
      </c>
      <c r="F4716" t="s">
        <v>1464</v>
      </c>
      <c r="G4716" t="s">
        <v>25187</v>
      </c>
      <c r="H4716" t="s">
        <v>18</v>
      </c>
      <c r="I4716" t="s">
        <v>19</v>
      </c>
      <c r="J4716" s="3" t="s">
        <v>25188</v>
      </c>
      <c r="K4716" t="s">
        <v>25189</v>
      </c>
      <c r="L4716" t="s">
        <v>12713</v>
      </c>
      <c r="M4716" t="s">
        <v>129</v>
      </c>
    </row>
    <row r="4717" spans="1:13" x14ac:dyDescent="0.25">
      <c r="A4717" t="s">
        <v>22900</v>
      </c>
      <c r="B4717" t="s">
        <v>101</v>
      </c>
      <c r="C4717" t="s">
        <v>22901</v>
      </c>
      <c r="D4717" t="s">
        <v>22902</v>
      </c>
      <c r="E4717" s="2" t="s">
        <v>31751</v>
      </c>
      <c r="F4717" t="s">
        <v>129</v>
      </c>
      <c r="G4717" t="s">
        <v>22903</v>
      </c>
      <c r="H4717" t="s">
        <v>36</v>
      </c>
      <c r="I4717" t="s">
        <v>19</v>
      </c>
      <c r="J4717" s="3" t="s">
        <v>22904</v>
      </c>
      <c r="K4717" t="s">
        <v>22905</v>
      </c>
      <c r="L4717" t="s">
        <v>13879</v>
      </c>
      <c r="M4717" t="s">
        <v>129</v>
      </c>
    </row>
    <row r="4718" spans="1:13" x14ac:dyDescent="0.25">
      <c r="A4718" t="s">
        <v>5576</v>
      </c>
      <c r="B4718" t="s">
        <v>13</v>
      </c>
      <c r="C4718" t="s">
        <v>5577</v>
      </c>
      <c r="D4718" t="s">
        <v>5578</v>
      </c>
      <c r="E4718" t="s">
        <v>5579</v>
      </c>
      <c r="F4718" t="s">
        <v>5580</v>
      </c>
      <c r="G4718" t="s">
        <v>5581</v>
      </c>
      <c r="H4718" t="s">
        <v>5582</v>
      </c>
      <c r="I4718" t="s">
        <v>19</v>
      </c>
      <c r="J4718" s="3" t="s">
        <v>5583</v>
      </c>
      <c r="K4718" t="s">
        <v>5584</v>
      </c>
      <c r="L4718" t="s">
        <v>32135</v>
      </c>
      <c r="M4718" t="s">
        <v>129</v>
      </c>
    </row>
    <row r="4719" spans="1:13" x14ac:dyDescent="0.25">
      <c r="A4719" t="s">
        <v>21977</v>
      </c>
      <c r="B4719" t="s">
        <v>101</v>
      </c>
      <c r="C4719" t="s">
        <v>21978</v>
      </c>
      <c r="D4719" t="s">
        <v>21979</v>
      </c>
      <c r="E4719" t="s">
        <v>21980</v>
      </c>
      <c r="F4719" t="s">
        <v>1464</v>
      </c>
      <c r="G4719" t="s">
        <v>21981</v>
      </c>
      <c r="H4719" t="s">
        <v>45</v>
      </c>
      <c r="I4719" t="s">
        <v>19</v>
      </c>
      <c r="J4719" s="3">
        <v>5585988190410</v>
      </c>
      <c r="K4719" t="s">
        <v>21982</v>
      </c>
      <c r="L4719" t="s">
        <v>21981</v>
      </c>
      <c r="M4719" t="s">
        <v>337</v>
      </c>
    </row>
    <row r="4720" spans="1:13" x14ac:dyDescent="0.25">
      <c r="A4720" t="s">
        <v>21021</v>
      </c>
      <c r="B4720" t="s">
        <v>13</v>
      </c>
      <c r="C4720" t="s">
        <v>21006</v>
      </c>
      <c r="D4720" t="s">
        <v>21022</v>
      </c>
      <c r="E4720" t="s">
        <v>21023</v>
      </c>
      <c r="F4720" t="s">
        <v>306</v>
      </c>
      <c r="G4720" t="s">
        <v>21024</v>
      </c>
      <c r="H4720" t="s">
        <v>6091</v>
      </c>
      <c r="I4720" t="s">
        <v>19</v>
      </c>
      <c r="J4720" s="3">
        <f>55-99-999041415</f>
        <v>-999041459</v>
      </c>
      <c r="K4720" t="s">
        <v>21025</v>
      </c>
      <c r="L4720" t="s">
        <v>21026</v>
      </c>
      <c r="M4720" t="s">
        <v>32145</v>
      </c>
    </row>
    <row r="4721" spans="1:13" x14ac:dyDescent="0.25">
      <c r="A4721" t="s">
        <v>118</v>
      </c>
      <c r="B4721" t="s">
        <v>13</v>
      </c>
      <c r="C4721" t="s">
        <v>119</v>
      </c>
      <c r="D4721" t="s">
        <v>120</v>
      </c>
      <c r="E4721" t="s">
        <v>121</v>
      </c>
      <c r="F4721" t="s">
        <v>122</v>
      </c>
      <c r="G4721" t="s">
        <v>123</v>
      </c>
      <c r="H4721" t="s">
        <v>88</v>
      </c>
      <c r="I4721" t="s">
        <v>19</v>
      </c>
      <c r="J4721" s="3">
        <f>55-84-999763599</f>
        <v>-999763628</v>
      </c>
      <c r="K4721" t="s">
        <v>124</v>
      </c>
      <c r="L4721" t="s">
        <v>125</v>
      </c>
      <c r="M4721" t="s">
        <v>337</v>
      </c>
    </row>
    <row r="4722" spans="1:13" x14ac:dyDescent="0.25">
      <c r="A4722" t="s">
        <v>4219</v>
      </c>
      <c r="B4722" t="s">
        <v>13</v>
      </c>
      <c r="C4722" t="s">
        <v>4220</v>
      </c>
      <c r="D4722" t="s">
        <v>32135</v>
      </c>
      <c r="E4722" t="s">
        <v>4221</v>
      </c>
      <c r="F4722" t="s">
        <v>4222</v>
      </c>
      <c r="G4722" t="s">
        <v>4223</v>
      </c>
      <c r="H4722" t="s">
        <v>36</v>
      </c>
      <c r="I4722" t="s">
        <v>19</v>
      </c>
      <c r="J4722" s="3">
        <f>55-11-947118487</f>
        <v>-947118443</v>
      </c>
      <c r="K4722" t="s">
        <v>4224</v>
      </c>
      <c r="L4722" t="s">
        <v>4225</v>
      </c>
      <c r="M4722" t="s">
        <v>57</v>
      </c>
    </row>
    <row r="4723" spans="1:13" x14ac:dyDescent="0.25">
      <c r="A4723" t="s">
        <v>6349</v>
      </c>
      <c r="B4723" t="s">
        <v>101</v>
      </c>
      <c r="C4723" t="s">
        <v>6347</v>
      </c>
      <c r="D4723" t="s">
        <v>32135</v>
      </c>
      <c r="E4723" t="s">
        <v>2708</v>
      </c>
      <c r="F4723" t="s">
        <v>4639</v>
      </c>
      <c r="G4723" t="s">
        <v>5400</v>
      </c>
      <c r="H4723" t="s">
        <v>1622</v>
      </c>
      <c r="I4723" t="s">
        <v>19</v>
      </c>
      <c r="J4723" s="3" t="s">
        <v>5401</v>
      </c>
      <c r="K4723" t="s">
        <v>1624</v>
      </c>
      <c r="L4723" t="s">
        <v>32135</v>
      </c>
      <c r="M4723" t="s">
        <v>785</v>
      </c>
    </row>
    <row r="4724" spans="1:13" x14ac:dyDescent="0.25">
      <c r="A4724" t="s">
        <v>6624</v>
      </c>
      <c r="B4724" t="s">
        <v>101</v>
      </c>
      <c r="C4724" t="s">
        <v>6625</v>
      </c>
      <c r="D4724" t="s">
        <v>32135</v>
      </c>
      <c r="E4724" t="s">
        <v>2708</v>
      </c>
      <c r="F4724" t="s">
        <v>4639</v>
      </c>
      <c r="G4724" t="s">
        <v>5400</v>
      </c>
      <c r="H4724" t="s">
        <v>1622</v>
      </c>
      <c r="I4724" t="s">
        <v>19</v>
      </c>
      <c r="J4724" s="3" t="s">
        <v>5401</v>
      </c>
      <c r="K4724" t="s">
        <v>1624</v>
      </c>
      <c r="L4724" t="s">
        <v>32135</v>
      </c>
      <c r="M4724" t="s">
        <v>785</v>
      </c>
    </row>
    <row r="4725" spans="1:13" x14ac:dyDescent="0.25">
      <c r="A4725" t="s">
        <v>2706</v>
      </c>
      <c r="B4725" t="s">
        <v>13</v>
      </c>
      <c r="C4725" s="1">
        <v>44600</v>
      </c>
      <c r="D4725" t="s">
        <v>2707</v>
      </c>
      <c r="E4725" t="s">
        <v>2708</v>
      </c>
      <c r="F4725" t="s">
        <v>780</v>
      </c>
      <c r="G4725" t="s">
        <v>2709</v>
      </c>
      <c r="H4725" t="s">
        <v>36</v>
      </c>
      <c r="I4725" t="s">
        <v>19</v>
      </c>
      <c r="J4725" s="3" t="s">
        <v>2710</v>
      </c>
      <c r="K4725" t="s">
        <v>2711</v>
      </c>
      <c r="L4725" t="s">
        <v>2712</v>
      </c>
      <c r="M4725" t="s">
        <v>785</v>
      </c>
    </row>
    <row r="4726" spans="1:13" x14ac:dyDescent="0.25">
      <c r="A4726" t="s">
        <v>9578</v>
      </c>
      <c r="B4726" t="s">
        <v>13</v>
      </c>
      <c r="C4726" t="s">
        <v>5619</v>
      </c>
      <c r="D4726" t="s">
        <v>9579</v>
      </c>
      <c r="E4726" t="s">
        <v>2596</v>
      </c>
      <c r="F4726" t="s">
        <v>3084</v>
      </c>
      <c r="G4726" t="s">
        <v>9580</v>
      </c>
      <c r="H4726" t="s">
        <v>36</v>
      </c>
      <c r="I4726" t="s">
        <v>19</v>
      </c>
      <c r="J4726" s="3">
        <f>55-11-995729829</f>
        <v>-995729785</v>
      </c>
      <c r="K4726" t="s">
        <v>9581</v>
      </c>
      <c r="L4726" t="s">
        <v>9582</v>
      </c>
      <c r="M4726" t="s">
        <v>32144</v>
      </c>
    </row>
    <row r="4727" spans="1:13" x14ac:dyDescent="0.25">
      <c r="A4727" t="s">
        <v>3703</v>
      </c>
      <c r="B4727" t="s">
        <v>13</v>
      </c>
      <c r="C4727" s="1">
        <v>44717</v>
      </c>
      <c r="D4727" t="s">
        <v>3704</v>
      </c>
      <c r="E4727" s="2" t="s">
        <v>31841</v>
      </c>
      <c r="F4727" t="s">
        <v>1349</v>
      </c>
      <c r="G4727" t="s">
        <v>3706</v>
      </c>
      <c r="H4727" t="s">
        <v>45</v>
      </c>
      <c r="I4727" t="s">
        <v>19</v>
      </c>
      <c r="J4727" s="3" t="s">
        <v>3707</v>
      </c>
      <c r="K4727" t="s">
        <v>3708</v>
      </c>
      <c r="L4727" t="s">
        <v>48</v>
      </c>
      <c r="M4727" t="s">
        <v>1349</v>
      </c>
    </row>
    <row r="4728" spans="1:13" x14ac:dyDescent="0.25">
      <c r="A4728" t="s">
        <v>6233</v>
      </c>
      <c r="B4728" t="s">
        <v>101</v>
      </c>
      <c r="C4728" t="s">
        <v>6234</v>
      </c>
      <c r="D4728" t="s">
        <v>6235</v>
      </c>
      <c r="E4728" s="2" t="s">
        <v>30883</v>
      </c>
      <c r="F4728" t="s">
        <v>2596</v>
      </c>
      <c r="G4728" t="s">
        <v>6236</v>
      </c>
      <c r="H4728" t="s">
        <v>229</v>
      </c>
      <c r="I4728" t="s">
        <v>19</v>
      </c>
      <c r="J4728" s="3" t="s">
        <v>6237</v>
      </c>
      <c r="K4728" t="s">
        <v>231</v>
      </c>
      <c r="L4728" t="s">
        <v>32135</v>
      </c>
      <c r="M4728" t="s">
        <v>32144</v>
      </c>
    </row>
    <row r="4729" spans="1:13" x14ac:dyDescent="0.25">
      <c r="A4729" t="s">
        <v>2594</v>
      </c>
      <c r="B4729" t="s">
        <v>13</v>
      </c>
      <c r="C4729" s="1">
        <v>44842</v>
      </c>
      <c r="D4729" t="s">
        <v>2595</v>
      </c>
      <c r="E4729" s="2" t="s">
        <v>30746</v>
      </c>
      <c r="F4729" t="s">
        <v>1589</v>
      </c>
      <c r="G4729" t="s">
        <v>2597</v>
      </c>
      <c r="H4729" t="s">
        <v>2598</v>
      </c>
      <c r="I4729" t="s">
        <v>19</v>
      </c>
      <c r="J4729" s="3">
        <v>554731451600</v>
      </c>
      <c r="K4729" t="s">
        <v>2599</v>
      </c>
      <c r="L4729" t="s">
        <v>2600</v>
      </c>
      <c r="M4729" t="s">
        <v>771</v>
      </c>
    </row>
    <row r="4730" spans="1:13" x14ac:dyDescent="0.25">
      <c r="A4730" t="s">
        <v>11139</v>
      </c>
      <c r="B4730" t="s">
        <v>13</v>
      </c>
      <c r="C4730" s="1">
        <v>44019</v>
      </c>
      <c r="D4730" t="s">
        <v>11140</v>
      </c>
      <c r="E4730" s="2" t="s">
        <v>31986</v>
      </c>
      <c r="F4730" t="s">
        <v>3084</v>
      </c>
      <c r="G4730" t="s">
        <v>11141</v>
      </c>
      <c r="H4730" t="s">
        <v>706</v>
      </c>
      <c r="I4730" t="s">
        <v>19</v>
      </c>
      <c r="J4730" s="3" t="s">
        <v>11142</v>
      </c>
      <c r="K4730" t="s">
        <v>11143</v>
      </c>
      <c r="L4730" t="s">
        <v>565</v>
      </c>
      <c r="M4730" t="s">
        <v>32144</v>
      </c>
    </row>
    <row r="4731" spans="1:13" x14ac:dyDescent="0.25">
      <c r="A4731" t="s">
        <v>1400</v>
      </c>
      <c r="B4731" t="s">
        <v>13</v>
      </c>
      <c r="C4731" s="1">
        <v>44753</v>
      </c>
      <c r="D4731" t="s">
        <v>1401</v>
      </c>
      <c r="E4731" t="s">
        <v>1402</v>
      </c>
      <c r="F4731" t="s">
        <v>1109</v>
      </c>
      <c r="G4731" t="s">
        <v>1403</v>
      </c>
      <c r="H4731" t="s">
        <v>409</v>
      </c>
      <c r="I4731" t="s">
        <v>19</v>
      </c>
      <c r="J4731" s="3">
        <v>554837216158</v>
      </c>
      <c r="K4731" t="s">
        <v>1404</v>
      </c>
      <c r="L4731" t="s">
        <v>412</v>
      </c>
      <c r="M4731" t="s">
        <v>32144</v>
      </c>
    </row>
    <row r="4732" spans="1:13" x14ac:dyDescent="0.25">
      <c r="A4732" t="s">
        <v>20121</v>
      </c>
      <c r="B4732" t="s">
        <v>13</v>
      </c>
      <c r="C4732" s="1">
        <v>43289</v>
      </c>
      <c r="D4732" t="s">
        <v>20122</v>
      </c>
      <c r="E4732" t="s">
        <v>5973</v>
      </c>
      <c r="F4732" t="s">
        <v>1464</v>
      </c>
      <c r="G4732" t="s">
        <v>8407</v>
      </c>
      <c r="H4732" t="s">
        <v>88</v>
      </c>
      <c r="I4732" t="s">
        <v>19</v>
      </c>
      <c r="J4732" s="3">
        <f>55-84-994010602</f>
        <v>-994010631</v>
      </c>
      <c r="K4732" t="s">
        <v>20123</v>
      </c>
      <c r="L4732" t="s">
        <v>91</v>
      </c>
      <c r="M4732" t="s">
        <v>57</v>
      </c>
    </row>
    <row r="4733" spans="1:13" x14ac:dyDescent="0.25">
      <c r="A4733" t="s">
        <v>12140</v>
      </c>
      <c r="B4733" t="s">
        <v>13</v>
      </c>
      <c r="C4733" t="s">
        <v>9668</v>
      </c>
      <c r="D4733" t="s">
        <v>12141</v>
      </c>
      <c r="E4733" s="2" t="s">
        <v>31535</v>
      </c>
      <c r="F4733" t="s">
        <v>1464</v>
      </c>
      <c r="G4733" t="s">
        <v>12142</v>
      </c>
      <c r="H4733" t="s">
        <v>1090</v>
      </c>
      <c r="I4733" t="s">
        <v>19</v>
      </c>
      <c r="J4733" s="3" t="s">
        <v>12143</v>
      </c>
      <c r="K4733" t="s">
        <v>12144</v>
      </c>
      <c r="L4733" t="s">
        <v>1092</v>
      </c>
      <c r="M4733" t="s">
        <v>32144</v>
      </c>
    </row>
    <row r="4734" spans="1:13" x14ac:dyDescent="0.25">
      <c r="A4734" t="s">
        <v>15617</v>
      </c>
      <c r="B4734" t="s">
        <v>13</v>
      </c>
      <c r="C4734" s="1">
        <v>43748</v>
      </c>
      <c r="D4734" t="s">
        <v>15618</v>
      </c>
      <c r="E4734" s="2" t="s">
        <v>31743</v>
      </c>
      <c r="F4734" t="s">
        <v>1129</v>
      </c>
      <c r="G4734" t="s">
        <v>15619</v>
      </c>
      <c r="H4734" t="s">
        <v>36</v>
      </c>
      <c r="I4734" t="s">
        <v>19</v>
      </c>
      <c r="J4734" s="3">
        <v>5534991979797</v>
      </c>
      <c r="K4734" t="s">
        <v>15620</v>
      </c>
      <c r="L4734" t="s">
        <v>439</v>
      </c>
      <c r="M4734" t="s">
        <v>224</v>
      </c>
    </row>
    <row r="4735" spans="1:13" x14ac:dyDescent="0.25">
      <c r="A4735" t="s">
        <v>19538</v>
      </c>
      <c r="B4735" t="s">
        <v>13</v>
      </c>
      <c r="C4735" t="s">
        <v>13535</v>
      </c>
      <c r="D4735" t="s">
        <v>19539</v>
      </c>
      <c r="E4735" s="2" t="s">
        <v>31660</v>
      </c>
      <c r="F4735" t="s">
        <v>1464</v>
      </c>
      <c r="G4735" t="s">
        <v>19540</v>
      </c>
      <c r="H4735" t="s">
        <v>265</v>
      </c>
      <c r="I4735" t="s">
        <v>19</v>
      </c>
      <c r="J4735" s="3">
        <f>55-16-33154800</f>
        <v>-33154761</v>
      </c>
      <c r="K4735" t="s">
        <v>19541</v>
      </c>
      <c r="L4735" t="s">
        <v>11138</v>
      </c>
      <c r="M4735" t="s">
        <v>57</v>
      </c>
    </row>
    <row r="4736" spans="1:13" x14ac:dyDescent="0.25">
      <c r="A4736" t="s">
        <v>3257</v>
      </c>
      <c r="B4736" t="s">
        <v>13</v>
      </c>
      <c r="C4736" t="s">
        <v>3244</v>
      </c>
      <c r="D4736" t="s">
        <v>3258</v>
      </c>
      <c r="E4736" s="2" t="s">
        <v>31364</v>
      </c>
      <c r="F4736" t="s">
        <v>1939</v>
      </c>
      <c r="G4736" t="s">
        <v>1469</v>
      </c>
      <c r="H4736" t="s">
        <v>1466</v>
      </c>
      <c r="I4736" t="s">
        <v>19</v>
      </c>
      <c r="J4736" s="3" t="s">
        <v>3259</v>
      </c>
      <c r="K4736" t="s">
        <v>3260</v>
      </c>
      <c r="L4736" t="s">
        <v>1469</v>
      </c>
      <c r="M4736" t="s">
        <v>57</v>
      </c>
    </row>
    <row r="4737" spans="1:13" x14ac:dyDescent="0.25">
      <c r="A4737" t="s">
        <v>16924</v>
      </c>
      <c r="B4737" t="s">
        <v>13</v>
      </c>
      <c r="C4737" t="s">
        <v>16919</v>
      </c>
      <c r="D4737" t="s">
        <v>16925</v>
      </c>
      <c r="E4737" s="2" t="s">
        <v>31835</v>
      </c>
      <c r="F4737" t="s">
        <v>1464</v>
      </c>
      <c r="G4737" t="s">
        <v>5953</v>
      </c>
      <c r="H4737" t="s">
        <v>409</v>
      </c>
      <c r="I4737" t="s">
        <v>19</v>
      </c>
      <c r="J4737" s="3">
        <f>5548-36648600</f>
        <v>-36643052</v>
      </c>
      <c r="K4737" t="s">
        <v>5956</v>
      </c>
      <c r="L4737" t="s">
        <v>1823</v>
      </c>
      <c r="M4737" t="s">
        <v>32144</v>
      </c>
    </row>
    <row r="4738" spans="1:13" x14ac:dyDescent="0.25">
      <c r="A4738" t="s">
        <v>20519</v>
      </c>
      <c r="B4738" t="s">
        <v>13</v>
      </c>
      <c r="C4738" t="s">
        <v>20499</v>
      </c>
      <c r="D4738" t="s">
        <v>20520</v>
      </c>
      <c r="E4738" t="s">
        <v>32622</v>
      </c>
      <c r="F4738" t="s">
        <v>8193</v>
      </c>
      <c r="G4738" t="s">
        <v>14950</v>
      </c>
      <c r="H4738" t="s">
        <v>540</v>
      </c>
      <c r="I4738" t="s">
        <v>19</v>
      </c>
      <c r="J4738" s="3">
        <f>55-91-31311708</f>
        <v>-31311744</v>
      </c>
      <c r="K4738" t="s">
        <v>14951</v>
      </c>
      <c r="L4738" t="s">
        <v>8251</v>
      </c>
      <c r="M4738" t="s">
        <v>129</v>
      </c>
    </row>
    <row r="4739" spans="1:13" x14ac:dyDescent="0.25">
      <c r="A4739" t="s">
        <v>15037</v>
      </c>
      <c r="B4739" t="s">
        <v>13</v>
      </c>
      <c r="C4739" t="s">
        <v>6701</v>
      </c>
      <c r="D4739" t="s">
        <v>15038</v>
      </c>
      <c r="E4739" t="s">
        <v>15039</v>
      </c>
      <c r="F4739" t="s">
        <v>1464</v>
      </c>
      <c r="G4739" t="s">
        <v>15040</v>
      </c>
      <c r="H4739" t="s">
        <v>36</v>
      </c>
      <c r="I4739" t="s">
        <v>19</v>
      </c>
      <c r="J4739" s="3">
        <f>55-11-35055555</f>
        <v>-35055511</v>
      </c>
      <c r="K4739" t="s">
        <v>15041</v>
      </c>
      <c r="L4739" t="s">
        <v>15042</v>
      </c>
      <c r="M4739" t="s">
        <v>57</v>
      </c>
    </row>
    <row r="4740" spans="1:13" x14ac:dyDescent="0.25">
      <c r="A4740" t="s">
        <v>1270</v>
      </c>
      <c r="B4740" t="s">
        <v>13</v>
      </c>
      <c r="C4740" t="s">
        <v>1220</v>
      </c>
      <c r="D4740" t="s">
        <v>1271</v>
      </c>
      <c r="E4740" s="2" t="s">
        <v>31700</v>
      </c>
      <c r="F4740" t="s">
        <v>1273</v>
      </c>
      <c r="G4740" t="s">
        <v>1274</v>
      </c>
      <c r="H4740" t="s">
        <v>927</v>
      </c>
      <c r="I4740" t="s">
        <v>19</v>
      </c>
      <c r="J4740" s="3" t="s">
        <v>1275</v>
      </c>
      <c r="K4740" t="s">
        <v>1276</v>
      </c>
      <c r="L4740" t="s">
        <v>439</v>
      </c>
      <c r="M4740" t="s">
        <v>32144</v>
      </c>
    </row>
    <row r="4741" spans="1:13" x14ac:dyDescent="0.25">
      <c r="A4741" t="s">
        <v>26940</v>
      </c>
      <c r="B4741" t="s">
        <v>13</v>
      </c>
      <c r="C4741" s="1">
        <v>42706</v>
      </c>
      <c r="D4741" t="s">
        <v>26941</v>
      </c>
      <c r="E4741" t="s">
        <v>26942</v>
      </c>
      <c r="F4741" t="s">
        <v>1432</v>
      </c>
      <c r="G4741" t="s">
        <v>26943</v>
      </c>
      <c r="H4741" t="s">
        <v>1486</v>
      </c>
      <c r="I4741" t="s">
        <v>19</v>
      </c>
      <c r="J4741" s="3" t="s">
        <v>26944</v>
      </c>
      <c r="K4741" t="s">
        <v>26945</v>
      </c>
      <c r="L4741" t="s">
        <v>1489</v>
      </c>
      <c r="M4741" t="s">
        <v>1432</v>
      </c>
    </row>
    <row r="4742" spans="1:13" x14ac:dyDescent="0.25">
      <c r="A4742" t="s">
        <v>16557</v>
      </c>
      <c r="B4742" t="s">
        <v>13</v>
      </c>
      <c r="C4742" s="1">
        <v>43654</v>
      </c>
      <c r="D4742" t="s">
        <v>16558</v>
      </c>
      <c r="E4742" t="s">
        <v>2865</v>
      </c>
      <c r="F4742" t="s">
        <v>1464</v>
      </c>
      <c r="G4742" t="s">
        <v>16559</v>
      </c>
      <c r="H4742" t="s">
        <v>12120</v>
      </c>
      <c r="I4742" t="s">
        <v>19</v>
      </c>
      <c r="J4742" s="3">
        <f>55-24-981458990</f>
        <v>-981458959</v>
      </c>
      <c r="K4742" t="s">
        <v>16560</v>
      </c>
      <c r="L4742" t="s">
        <v>12122</v>
      </c>
      <c r="M4742" t="s">
        <v>32121</v>
      </c>
    </row>
    <row r="4743" spans="1:13" x14ac:dyDescent="0.25">
      <c r="A4743" t="s">
        <v>15938</v>
      </c>
      <c r="B4743" t="s">
        <v>13</v>
      </c>
      <c r="C4743" t="s">
        <v>15935</v>
      </c>
      <c r="D4743" t="s">
        <v>15939</v>
      </c>
      <c r="E4743" t="s">
        <v>15940</v>
      </c>
      <c r="F4743" t="s">
        <v>432</v>
      </c>
      <c r="G4743" t="s">
        <v>15941</v>
      </c>
      <c r="H4743" t="s">
        <v>428</v>
      </c>
      <c r="I4743" t="s">
        <v>19</v>
      </c>
      <c r="J4743" s="3">
        <f>55-51-33598241</f>
        <v>-33598237</v>
      </c>
      <c r="K4743" t="s">
        <v>15942</v>
      </c>
      <c r="L4743" t="s">
        <v>1295</v>
      </c>
      <c r="M4743" t="s">
        <v>432</v>
      </c>
    </row>
    <row r="4744" spans="1:13" x14ac:dyDescent="0.25">
      <c r="A4744" t="s">
        <v>29572</v>
      </c>
      <c r="B4744" t="s">
        <v>13</v>
      </c>
      <c r="C4744" t="s">
        <v>15706</v>
      </c>
      <c r="D4744" t="s">
        <v>29573</v>
      </c>
      <c r="E4744" t="s">
        <v>29574</v>
      </c>
      <c r="F4744" t="s">
        <v>1190</v>
      </c>
      <c r="G4744" t="s">
        <v>15128</v>
      </c>
      <c r="H4744" t="s">
        <v>372</v>
      </c>
      <c r="I4744" t="s">
        <v>19</v>
      </c>
      <c r="J4744" s="3" t="s">
        <v>29575</v>
      </c>
      <c r="K4744" t="s">
        <v>29576</v>
      </c>
      <c r="L4744" t="s">
        <v>14182</v>
      </c>
      <c r="M4744" t="s">
        <v>32145</v>
      </c>
    </row>
    <row r="4745" spans="1:13" x14ac:dyDescent="0.25">
      <c r="A4745" t="s">
        <v>14176</v>
      </c>
      <c r="B4745" t="s">
        <v>13</v>
      </c>
      <c r="C4745" s="1">
        <v>41402</v>
      </c>
      <c r="D4745" t="s">
        <v>14177</v>
      </c>
      <c r="E4745" t="s">
        <v>14178</v>
      </c>
      <c r="F4745" t="s">
        <v>1190</v>
      </c>
      <c r="G4745" t="s">
        <v>14179</v>
      </c>
      <c r="H4745" t="s">
        <v>372</v>
      </c>
      <c r="I4745" t="s">
        <v>19</v>
      </c>
      <c r="J4745" s="3" t="s">
        <v>14180</v>
      </c>
      <c r="K4745" t="s">
        <v>14181</v>
      </c>
      <c r="L4745" t="s">
        <v>14182</v>
      </c>
      <c r="M4745" t="s">
        <v>432</v>
      </c>
    </row>
    <row r="4746" spans="1:13" x14ac:dyDescent="0.25">
      <c r="A4746" t="s">
        <v>1715</v>
      </c>
      <c r="B4746" t="s">
        <v>13</v>
      </c>
      <c r="C4746" s="1">
        <v>44387</v>
      </c>
      <c r="D4746" t="s">
        <v>1716</v>
      </c>
      <c r="E4746" s="2" t="s">
        <v>31540</v>
      </c>
      <c r="F4746" t="s">
        <v>1717</v>
      </c>
      <c r="G4746" t="s">
        <v>1718</v>
      </c>
      <c r="H4746" t="s">
        <v>28</v>
      </c>
      <c r="I4746" t="s">
        <v>19</v>
      </c>
      <c r="J4746" s="3" t="s">
        <v>1719</v>
      </c>
      <c r="K4746" t="s">
        <v>1720</v>
      </c>
      <c r="L4746" t="s">
        <v>923</v>
      </c>
      <c r="M4746" t="s">
        <v>432</v>
      </c>
    </row>
    <row r="4747" spans="1:13" x14ac:dyDescent="0.25">
      <c r="A4747" t="s">
        <v>19344</v>
      </c>
      <c r="B4747" t="s">
        <v>13</v>
      </c>
      <c r="C4747" s="1">
        <v>43230</v>
      </c>
      <c r="D4747" t="s">
        <v>19345</v>
      </c>
      <c r="E4747" t="s">
        <v>6372</v>
      </c>
      <c r="F4747" t="s">
        <v>1464</v>
      </c>
      <c r="G4747" t="s">
        <v>19346</v>
      </c>
      <c r="H4747" t="s">
        <v>195</v>
      </c>
      <c r="I4747" t="s">
        <v>19</v>
      </c>
      <c r="J4747" s="3">
        <v>5518996839483</v>
      </c>
      <c r="K4747" t="s">
        <v>19347</v>
      </c>
      <c r="L4747" t="s">
        <v>197</v>
      </c>
      <c r="M4747" t="s">
        <v>432</v>
      </c>
    </row>
    <row r="4748" spans="1:13" x14ac:dyDescent="0.25">
      <c r="A4748" t="s">
        <v>14957</v>
      </c>
      <c r="B4748" t="s">
        <v>13</v>
      </c>
      <c r="C4748" t="s">
        <v>6364</v>
      </c>
      <c r="D4748" t="s">
        <v>14958</v>
      </c>
      <c r="E4748" t="s">
        <v>6372</v>
      </c>
      <c r="F4748" t="s">
        <v>6372</v>
      </c>
      <c r="G4748" t="s">
        <v>14959</v>
      </c>
      <c r="H4748" t="s">
        <v>36</v>
      </c>
      <c r="I4748" t="s">
        <v>19</v>
      </c>
      <c r="J4748" s="3">
        <f>55-11-30617180</f>
        <v>-30617136</v>
      </c>
      <c r="K4748" t="s">
        <v>14960</v>
      </c>
      <c r="L4748" t="s">
        <v>9093</v>
      </c>
      <c r="M4748" t="s">
        <v>432</v>
      </c>
    </row>
    <row r="4749" spans="1:13" x14ac:dyDescent="0.25">
      <c r="A4749" t="s">
        <v>19357</v>
      </c>
      <c r="B4749" t="s">
        <v>13</v>
      </c>
      <c r="C4749" s="1">
        <v>43200</v>
      </c>
      <c r="D4749" t="s">
        <v>19358</v>
      </c>
      <c r="E4749" t="s">
        <v>19359</v>
      </c>
      <c r="F4749" t="s">
        <v>432</v>
      </c>
      <c r="G4749" t="s">
        <v>19360</v>
      </c>
      <c r="H4749" t="s">
        <v>489</v>
      </c>
      <c r="I4749" t="s">
        <v>19</v>
      </c>
      <c r="J4749" s="3">
        <f>55-41-998130445</f>
        <v>-998130431</v>
      </c>
      <c r="K4749" t="s">
        <v>19361</v>
      </c>
      <c r="L4749" t="s">
        <v>3207</v>
      </c>
      <c r="M4749" t="s">
        <v>432</v>
      </c>
    </row>
    <row r="4750" spans="1:13" x14ac:dyDescent="0.25">
      <c r="A4750" t="s">
        <v>25978</v>
      </c>
      <c r="B4750" t="s">
        <v>13</v>
      </c>
      <c r="C4750" s="1">
        <v>42497</v>
      </c>
      <c r="D4750" t="s">
        <v>25979</v>
      </c>
      <c r="E4750" t="s">
        <v>25980</v>
      </c>
      <c r="F4750" t="s">
        <v>771</v>
      </c>
      <c r="G4750" t="s">
        <v>25281</v>
      </c>
      <c r="H4750" t="s">
        <v>16411</v>
      </c>
      <c r="I4750" t="s">
        <v>19</v>
      </c>
      <c r="J4750" s="3" t="s">
        <v>25282</v>
      </c>
      <c r="K4750" t="s">
        <v>25283</v>
      </c>
      <c r="L4750" t="s">
        <v>25284</v>
      </c>
      <c r="M4750" t="s">
        <v>771</v>
      </c>
    </row>
    <row r="4751" spans="1:13" x14ac:dyDescent="0.25">
      <c r="A4751" t="s">
        <v>21354</v>
      </c>
      <c r="B4751" t="s">
        <v>101</v>
      </c>
      <c r="C4751" t="s">
        <v>7645</v>
      </c>
      <c r="D4751" t="s">
        <v>21355</v>
      </c>
      <c r="E4751" t="s">
        <v>5326</v>
      </c>
      <c r="F4751" t="s">
        <v>771</v>
      </c>
      <c r="G4751" t="s">
        <v>21356</v>
      </c>
      <c r="H4751" t="s">
        <v>428</v>
      </c>
      <c r="I4751" t="s">
        <v>19</v>
      </c>
      <c r="J4751" s="3">
        <f>55-51-32137068</f>
        <v>-32137064</v>
      </c>
      <c r="K4751" t="s">
        <v>21357</v>
      </c>
      <c r="L4751" t="s">
        <v>21358</v>
      </c>
      <c r="M4751" t="s">
        <v>771</v>
      </c>
    </row>
    <row r="4752" spans="1:13" x14ac:dyDescent="0.25">
      <c r="A4752" t="s">
        <v>25279</v>
      </c>
      <c r="B4752" t="s">
        <v>13</v>
      </c>
      <c r="C4752" t="s">
        <v>25256</v>
      </c>
      <c r="D4752" t="s">
        <v>25280</v>
      </c>
      <c r="E4752" t="s">
        <v>5326</v>
      </c>
      <c r="F4752" t="s">
        <v>1190</v>
      </c>
      <c r="G4752" t="s">
        <v>25281</v>
      </c>
      <c r="H4752" t="s">
        <v>16411</v>
      </c>
      <c r="I4752" t="s">
        <v>19</v>
      </c>
      <c r="J4752" s="3" t="s">
        <v>25282</v>
      </c>
      <c r="K4752" t="s">
        <v>25283</v>
      </c>
      <c r="L4752" t="s">
        <v>25284</v>
      </c>
      <c r="M4752" t="s">
        <v>432</v>
      </c>
    </row>
    <row r="4753" spans="1:13" x14ac:dyDescent="0.25">
      <c r="A4753" t="s">
        <v>17776</v>
      </c>
      <c r="B4753" t="s">
        <v>101</v>
      </c>
      <c r="C4753" t="s">
        <v>17764</v>
      </c>
      <c r="D4753" t="s">
        <v>17777</v>
      </c>
      <c r="E4753" t="s">
        <v>17778</v>
      </c>
      <c r="F4753" t="s">
        <v>10500</v>
      </c>
      <c r="G4753" t="s">
        <v>17779</v>
      </c>
      <c r="H4753" t="s">
        <v>17780</v>
      </c>
      <c r="I4753" t="s">
        <v>17781</v>
      </c>
      <c r="J4753" s="3">
        <v>59899698248</v>
      </c>
      <c r="K4753" t="s">
        <v>17782</v>
      </c>
      <c r="L4753" t="s">
        <v>17783</v>
      </c>
      <c r="M4753" t="s">
        <v>129</v>
      </c>
    </row>
    <row r="4754" spans="1:13" x14ac:dyDescent="0.25">
      <c r="A4754" t="s">
        <v>24565</v>
      </c>
      <c r="B4754" t="s">
        <v>13</v>
      </c>
      <c r="C4754" t="s">
        <v>24566</v>
      </c>
      <c r="D4754" t="s">
        <v>24567</v>
      </c>
      <c r="E4754" t="s">
        <v>24568</v>
      </c>
      <c r="F4754" t="s">
        <v>741</v>
      </c>
      <c r="G4754" t="s">
        <v>24569</v>
      </c>
      <c r="H4754" t="s">
        <v>7820</v>
      </c>
      <c r="I4754" t="s">
        <v>19</v>
      </c>
      <c r="J4754" s="3" t="s">
        <v>24570</v>
      </c>
      <c r="K4754" t="s">
        <v>24571</v>
      </c>
      <c r="L4754" t="s">
        <v>24572</v>
      </c>
      <c r="M4754" t="s">
        <v>741</v>
      </c>
    </row>
    <row r="4755" spans="1:13" x14ac:dyDescent="0.25">
      <c r="A4755" t="s">
        <v>14568</v>
      </c>
      <c r="B4755" t="s">
        <v>13</v>
      </c>
      <c r="C4755" t="s">
        <v>14558</v>
      </c>
      <c r="D4755" t="s">
        <v>14569</v>
      </c>
      <c r="E4755" t="s">
        <v>32623</v>
      </c>
      <c r="F4755" t="s">
        <v>1464</v>
      </c>
      <c r="G4755" t="s">
        <v>14570</v>
      </c>
      <c r="H4755" t="s">
        <v>9186</v>
      </c>
      <c r="I4755" t="s">
        <v>19</v>
      </c>
      <c r="J4755" s="3">
        <f>55-11-949629512</f>
        <v>-949629468</v>
      </c>
      <c r="K4755" t="s">
        <v>14571</v>
      </c>
      <c r="L4755" t="s">
        <v>14572</v>
      </c>
      <c r="M4755" t="s">
        <v>337</v>
      </c>
    </row>
    <row r="4756" spans="1:13" x14ac:dyDescent="0.25">
      <c r="A4756" t="s">
        <v>5999</v>
      </c>
      <c r="B4756" t="s">
        <v>13</v>
      </c>
      <c r="C4756" s="1">
        <v>44510</v>
      </c>
      <c r="D4756" t="s">
        <v>32135</v>
      </c>
      <c r="E4756" s="2" t="s">
        <v>32624</v>
      </c>
      <c r="F4756" t="s">
        <v>6000</v>
      </c>
      <c r="G4756" t="s">
        <v>6002</v>
      </c>
      <c r="H4756" t="s">
        <v>6003</v>
      </c>
      <c r="I4756" t="s">
        <v>19</v>
      </c>
      <c r="J4756" s="3">
        <f>55-22-997731804</f>
        <v>-997731771</v>
      </c>
      <c r="K4756" t="s">
        <v>6004</v>
      </c>
      <c r="L4756" t="s">
        <v>32135</v>
      </c>
      <c r="M4756" t="s">
        <v>337</v>
      </c>
    </row>
    <row r="4757" spans="1:13" x14ac:dyDescent="0.25">
      <c r="A4757" t="s">
        <v>13880</v>
      </c>
      <c r="B4757" t="s">
        <v>13</v>
      </c>
      <c r="C4757" t="s">
        <v>7230</v>
      </c>
      <c r="D4757" t="s">
        <v>13881</v>
      </c>
      <c r="E4757" s="2" t="s">
        <v>32625</v>
      </c>
      <c r="G4757" t="s">
        <v>13882</v>
      </c>
      <c r="H4757" t="s">
        <v>1466</v>
      </c>
      <c r="I4757" t="s">
        <v>19</v>
      </c>
      <c r="J4757" s="3">
        <v>55035992053355</v>
      </c>
      <c r="K4757" t="s">
        <v>13883</v>
      </c>
      <c r="L4757" t="s">
        <v>1469</v>
      </c>
      <c r="M4757" t="s">
        <v>337</v>
      </c>
    </row>
    <row r="4758" spans="1:13" x14ac:dyDescent="0.25">
      <c r="A4758" t="s">
        <v>3784</v>
      </c>
      <c r="B4758" t="s">
        <v>13</v>
      </c>
      <c r="C4758" t="s">
        <v>3780</v>
      </c>
      <c r="D4758" t="s">
        <v>32135</v>
      </c>
      <c r="E4758" t="s">
        <v>3785</v>
      </c>
      <c r="F4758" t="s">
        <v>3786</v>
      </c>
      <c r="G4758" t="s">
        <v>3787</v>
      </c>
      <c r="H4758" t="s">
        <v>642</v>
      </c>
      <c r="I4758" t="s">
        <v>19</v>
      </c>
      <c r="J4758" s="3" t="s">
        <v>3788</v>
      </c>
      <c r="K4758" t="s">
        <v>3789</v>
      </c>
      <c r="L4758" t="s">
        <v>412</v>
      </c>
      <c r="M4758" t="s">
        <v>337</v>
      </c>
    </row>
    <row r="4759" spans="1:13" x14ac:dyDescent="0.25">
      <c r="A4759" t="s">
        <v>26327</v>
      </c>
      <c r="B4759" t="s">
        <v>13</v>
      </c>
      <c r="C4759" s="1">
        <v>42526</v>
      </c>
      <c r="D4759" t="s">
        <v>26328</v>
      </c>
      <c r="E4759" t="s">
        <v>26329</v>
      </c>
      <c r="F4759" t="s">
        <v>332</v>
      </c>
      <c r="G4759" t="s">
        <v>26330</v>
      </c>
      <c r="H4759" t="s">
        <v>578</v>
      </c>
      <c r="I4759" t="s">
        <v>19</v>
      </c>
      <c r="J4759" s="3">
        <v>559233054908</v>
      </c>
      <c r="K4759" t="s">
        <v>4428</v>
      </c>
      <c r="L4759" t="s">
        <v>13490</v>
      </c>
      <c r="M4759" t="s">
        <v>337</v>
      </c>
    </row>
    <row r="4760" spans="1:13" x14ac:dyDescent="0.25">
      <c r="A4760" t="s">
        <v>16575</v>
      </c>
      <c r="B4760" t="s">
        <v>13</v>
      </c>
      <c r="C4760" s="1">
        <v>43654</v>
      </c>
      <c r="D4760" t="s">
        <v>16576</v>
      </c>
      <c r="E4760" s="2" t="s">
        <v>31380</v>
      </c>
      <c r="F4760" t="s">
        <v>1464</v>
      </c>
      <c r="G4760" t="s">
        <v>13460</v>
      </c>
      <c r="H4760" t="s">
        <v>714</v>
      </c>
      <c r="I4760" t="s">
        <v>19</v>
      </c>
      <c r="J4760" s="3">
        <v>551836363278</v>
      </c>
      <c r="K4760" t="s">
        <v>13461</v>
      </c>
      <c r="L4760" t="s">
        <v>13462</v>
      </c>
      <c r="M4760" t="s">
        <v>337</v>
      </c>
    </row>
    <row r="4761" spans="1:13" x14ac:dyDescent="0.25">
      <c r="A4761" t="s">
        <v>24707</v>
      </c>
      <c r="B4761" t="s">
        <v>13</v>
      </c>
      <c r="C4761" t="s">
        <v>24679</v>
      </c>
      <c r="D4761" t="s">
        <v>24708</v>
      </c>
      <c r="E4761" t="s">
        <v>3174</v>
      </c>
      <c r="F4761" t="s">
        <v>337</v>
      </c>
      <c r="G4761" t="s">
        <v>24709</v>
      </c>
      <c r="H4761" t="s">
        <v>578</v>
      </c>
      <c r="I4761" t="s">
        <v>19</v>
      </c>
      <c r="J4761" s="3" t="s">
        <v>24710</v>
      </c>
      <c r="K4761" t="s">
        <v>24711</v>
      </c>
      <c r="L4761" t="s">
        <v>24712</v>
      </c>
      <c r="M4761" t="s">
        <v>337</v>
      </c>
    </row>
    <row r="4762" spans="1:13" x14ac:dyDescent="0.25">
      <c r="A4762" t="s">
        <v>21649</v>
      </c>
      <c r="B4762" t="s">
        <v>13</v>
      </c>
      <c r="C4762" s="1">
        <v>43195</v>
      </c>
      <c r="D4762" t="s">
        <v>21650</v>
      </c>
      <c r="E4762" t="s">
        <v>4195</v>
      </c>
      <c r="F4762" t="s">
        <v>337</v>
      </c>
      <c r="G4762" t="s">
        <v>21651</v>
      </c>
      <c r="H4762" t="s">
        <v>578</v>
      </c>
      <c r="I4762" t="s">
        <v>19</v>
      </c>
      <c r="J4762" s="3">
        <v>5592994690317</v>
      </c>
      <c r="K4762" t="s">
        <v>21652</v>
      </c>
      <c r="L4762" t="s">
        <v>21653</v>
      </c>
      <c r="M4762" t="s">
        <v>337</v>
      </c>
    </row>
    <row r="4763" spans="1:13" x14ac:dyDescent="0.25">
      <c r="A4763" t="s">
        <v>27159</v>
      </c>
      <c r="B4763" t="s">
        <v>13</v>
      </c>
      <c r="C4763" s="1">
        <v>42522</v>
      </c>
      <c r="D4763" t="s">
        <v>27160</v>
      </c>
      <c r="E4763" t="s">
        <v>3174</v>
      </c>
      <c r="F4763" t="s">
        <v>337</v>
      </c>
      <c r="G4763" t="s">
        <v>27161</v>
      </c>
      <c r="H4763" t="s">
        <v>578</v>
      </c>
      <c r="I4763" t="s">
        <v>19</v>
      </c>
      <c r="J4763" s="3">
        <v>559281211167</v>
      </c>
      <c r="K4763" t="s">
        <v>27162</v>
      </c>
      <c r="L4763" t="s">
        <v>24712</v>
      </c>
      <c r="M4763" t="s">
        <v>337</v>
      </c>
    </row>
    <row r="4764" spans="1:13" x14ac:dyDescent="0.25">
      <c r="A4764" t="s">
        <v>13023</v>
      </c>
      <c r="B4764" t="s">
        <v>13</v>
      </c>
      <c r="C4764" s="1">
        <v>44107</v>
      </c>
      <c r="D4764" t="s">
        <v>13024</v>
      </c>
      <c r="E4764" t="s">
        <v>3174</v>
      </c>
      <c r="F4764" t="s">
        <v>1464</v>
      </c>
      <c r="G4764" t="s">
        <v>13025</v>
      </c>
      <c r="H4764" t="s">
        <v>489</v>
      </c>
      <c r="I4764" t="s">
        <v>19</v>
      </c>
      <c r="J4764" s="3">
        <v>554133173000</v>
      </c>
      <c r="K4764" t="s">
        <v>13026</v>
      </c>
      <c r="L4764" t="s">
        <v>809</v>
      </c>
      <c r="M4764" t="s">
        <v>337</v>
      </c>
    </row>
    <row r="4765" spans="1:13" x14ac:dyDescent="0.25">
      <c r="A4765" t="s">
        <v>4424</v>
      </c>
      <c r="B4765" t="s">
        <v>13</v>
      </c>
      <c r="C4765" s="1">
        <v>44776</v>
      </c>
      <c r="D4765" t="s">
        <v>4425</v>
      </c>
      <c r="E4765" t="s">
        <v>3174</v>
      </c>
      <c r="F4765" t="s">
        <v>2089</v>
      </c>
      <c r="G4765" t="s">
        <v>4426</v>
      </c>
      <c r="H4765" t="s">
        <v>578</v>
      </c>
      <c r="I4765" t="s">
        <v>19</v>
      </c>
      <c r="J4765" s="3" t="s">
        <v>4427</v>
      </c>
      <c r="K4765" t="s">
        <v>4428</v>
      </c>
      <c r="L4765" t="s">
        <v>678</v>
      </c>
      <c r="M4765" t="s">
        <v>337</v>
      </c>
    </row>
    <row r="4766" spans="1:13" x14ac:dyDescent="0.25">
      <c r="A4766" t="s">
        <v>18133</v>
      </c>
      <c r="B4766" t="s">
        <v>13</v>
      </c>
      <c r="C4766" t="s">
        <v>9547</v>
      </c>
      <c r="D4766" t="s">
        <v>18134</v>
      </c>
      <c r="E4766" s="2" t="s">
        <v>31190</v>
      </c>
      <c r="F4766" t="s">
        <v>1464</v>
      </c>
      <c r="G4766" t="s">
        <v>18135</v>
      </c>
      <c r="H4766" t="s">
        <v>893</v>
      </c>
      <c r="I4766" t="s">
        <v>19</v>
      </c>
      <c r="J4766" s="3" t="s">
        <v>18136</v>
      </c>
      <c r="K4766" t="s">
        <v>18137</v>
      </c>
      <c r="L4766" t="s">
        <v>7453</v>
      </c>
      <c r="M4766" t="s">
        <v>432</v>
      </c>
    </row>
    <row r="4767" spans="1:13" x14ac:dyDescent="0.25">
      <c r="A4767" t="s">
        <v>12484</v>
      </c>
      <c r="B4767" t="s">
        <v>13</v>
      </c>
      <c r="C4767" s="1">
        <v>43986</v>
      </c>
      <c r="D4767" t="s">
        <v>12485</v>
      </c>
      <c r="E4767" t="s">
        <v>12486</v>
      </c>
      <c r="F4767" t="s">
        <v>1464</v>
      </c>
      <c r="G4767" t="s">
        <v>12487</v>
      </c>
      <c r="H4767" t="s">
        <v>352</v>
      </c>
      <c r="I4767" t="s">
        <v>19</v>
      </c>
      <c r="J4767" s="3" t="s">
        <v>12488</v>
      </c>
      <c r="K4767" t="s">
        <v>12489</v>
      </c>
      <c r="L4767" t="s">
        <v>1232</v>
      </c>
      <c r="M4767" t="s">
        <v>337</v>
      </c>
    </row>
    <row r="4768" spans="1:13" x14ac:dyDescent="0.25">
      <c r="A4768" t="s">
        <v>12805</v>
      </c>
      <c r="B4768" t="s">
        <v>13</v>
      </c>
      <c r="C4768" t="s">
        <v>12765</v>
      </c>
      <c r="D4768" t="s">
        <v>12806</v>
      </c>
      <c r="E4768" s="2" t="s">
        <v>32117</v>
      </c>
      <c r="F4768" t="s">
        <v>1464</v>
      </c>
      <c r="G4768" t="s">
        <v>12808</v>
      </c>
      <c r="H4768" t="s">
        <v>372</v>
      </c>
      <c r="I4768" t="s">
        <v>19</v>
      </c>
      <c r="J4768" s="3">
        <v>551921065391</v>
      </c>
      <c r="K4768" t="s">
        <v>12809</v>
      </c>
      <c r="L4768" t="s">
        <v>12810</v>
      </c>
      <c r="M4768" t="s">
        <v>337</v>
      </c>
    </row>
    <row r="4769" spans="1:13" x14ac:dyDescent="0.25">
      <c r="A4769" t="s">
        <v>15352</v>
      </c>
      <c r="B4769" t="s">
        <v>13</v>
      </c>
      <c r="C4769" t="s">
        <v>15332</v>
      </c>
      <c r="D4769" t="s">
        <v>15353</v>
      </c>
      <c r="E4769" s="2" t="s">
        <v>31125</v>
      </c>
      <c r="F4769" t="s">
        <v>1464</v>
      </c>
      <c r="G4769" t="s">
        <v>15354</v>
      </c>
      <c r="H4769" t="s">
        <v>462</v>
      </c>
      <c r="I4769" t="s">
        <v>19</v>
      </c>
      <c r="J4769" s="3">
        <v>5544997160736</v>
      </c>
      <c r="K4769" t="s">
        <v>15355</v>
      </c>
      <c r="L4769" t="s">
        <v>15356</v>
      </c>
      <c r="M4769" t="s">
        <v>337</v>
      </c>
    </row>
    <row r="4770" spans="1:13" x14ac:dyDescent="0.25">
      <c r="A4770" t="s">
        <v>17944</v>
      </c>
      <c r="B4770" t="s">
        <v>13</v>
      </c>
      <c r="C4770" t="s">
        <v>16588</v>
      </c>
      <c r="D4770" t="s">
        <v>17945</v>
      </c>
      <c r="E4770" s="2" t="s">
        <v>31555</v>
      </c>
      <c r="F4770" t="s">
        <v>1464</v>
      </c>
      <c r="G4770" t="s">
        <v>17946</v>
      </c>
      <c r="H4770" t="s">
        <v>578</v>
      </c>
      <c r="I4770" t="s">
        <v>19</v>
      </c>
      <c r="J4770" s="3">
        <v>559233054924</v>
      </c>
      <c r="K4770" t="s">
        <v>17947</v>
      </c>
      <c r="L4770" t="s">
        <v>13286</v>
      </c>
      <c r="M4770" t="s">
        <v>32145</v>
      </c>
    </row>
    <row r="4771" spans="1:13" x14ac:dyDescent="0.25">
      <c r="A4771" t="s">
        <v>4996</v>
      </c>
      <c r="B4771" t="s">
        <v>13</v>
      </c>
      <c r="C4771" t="s">
        <v>4986</v>
      </c>
      <c r="D4771" t="s">
        <v>32135</v>
      </c>
      <c r="E4771" s="2" t="s">
        <v>32069</v>
      </c>
      <c r="F4771" t="s">
        <v>4997</v>
      </c>
      <c r="G4771" t="s">
        <v>4998</v>
      </c>
      <c r="H4771" t="s">
        <v>4999</v>
      </c>
      <c r="I4771" t="s">
        <v>19</v>
      </c>
      <c r="J4771" s="3">
        <v>554784091561</v>
      </c>
      <c r="K4771" t="s">
        <v>5000</v>
      </c>
      <c r="L4771" t="s">
        <v>32135</v>
      </c>
      <c r="M4771" t="s">
        <v>337</v>
      </c>
    </row>
    <row r="4772" spans="1:13" x14ac:dyDescent="0.25">
      <c r="A4772" t="s">
        <v>5344</v>
      </c>
      <c r="B4772" t="s">
        <v>13</v>
      </c>
      <c r="C4772" t="s">
        <v>4935</v>
      </c>
      <c r="D4772" t="s">
        <v>32135</v>
      </c>
      <c r="E4772" t="s">
        <v>5345</v>
      </c>
      <c r="F4772" t="s">
        <v>5346</v>
      </c>
      <c r="G4772" t="s">
        <v>4998</v>
      </c>
      <c r="H4772" t="s">
        <v>4999</v>
      </c>
      <c r="I4772" t="s">
        <v>19</v>
      </c>
      <c r="J4772" s="3">
        <v>554784091561</v>
      </c>
      <c r="K4772" t="s">
        <v>5000</v>
      </c>
      <c r="L4772" t="s">
        <v>32135</v>
      </c>
      <c r="M4772" t="s">
        <v>337</v>
      </c>
    </row>
    <row r="4773" spans="1:13" x14ac:dyDescent="0.25">
      <c r="A4773" t="s">
        <v>27163</v>
      </c>
      <c r="B4773" t="s">
        <v>13</v>
      </c>
      <c r="C4773" s="1">
        <v>42491</v>
      </c>
      <c r="D4773" t="s">
        <v>27164</v>
      </c>
      <c r="E4773" t="s">
        <v>27165</v>
      </c>
      <c r="F4773" t="s">
        <v>1464</v>
      </c>
      <c r="G4773" t="s">
        <v>27166</v>
      </c>
      <c r="H4773" t="s">
        <v>1656</v>
      </c>
      <c r="I4773" t="s">
        <v>19</v>
      </c>
      <c r="J4773" s="3" t="s">
        <v>27167</v>
      </c>
      <c r="K4773" t="s">
        <v>27168</v>
      </c>
      <c r="L4773" t="s">
        <v>1658</v>
      </c>
      <c r="M4773" t="s">
        <v>337</v>
      </c>
    </row>
    <row r="4774" spans="1:13" x14ac:dyDescent="0.25">
      <c r="A4774" t="s">
        <v>4865</v>
      </c>
      <c r="B4774" t="s">
        <v>13</v>
      </c>
      <c r="C4774" t="s">
        <v>4866</v>
      </c>
      <c r="D4774" t="s">
        <v>4867</v>
      </c>
      <c r="E4774" t="s">
        <v>32626</v>
      </c>
      <c r="F4774" t="s">
        <v>3069</v>
      </c>
      <c r="G4774" t="s">
        <v>4868</v>
      </c>
      <c r="H4774" t="s">
        <v>18</v>
      </c>
      <c r="I4774" t="s">
        <v>19</v>
      </c>
      <c r="J4774" s="3" t="s">
        <v>4869</v>
      </c>
      <c r="K4774" t="s">
        <v>4870</v>
      </c>
      <c r="L4774" t="s">
        <v>32135</v>
      </c>
      <c r="M4774" t="s">
        <v>337</v>
      </c>
    </row>
    <row r="4775" spans="1:13" x14ac:dyDescent="0.25">
      <c r="A4775" t="s">
        <v>1462</v>
      </c>
      <c r="B4775" t="s">
        <v>13</v>
      </c>
      <c r="C4775" s="1">
        <v>44631</v>
      </c>
      <c r="D4775" t="s">
        <v>1463</v>
      </c>
      <c r="E4775" s="2" t="s">
        <v>30708</v>
      </c>
      <c r="F4775" t="s">
        <v>1464</v>
      </c>
      <c r="G4775" t="s">
        <v>1465</v>
      </c>
      <c r="H4775" t="s">
        <v>1466</v>
      </c>
      <c r="I4775" t="s">
        <v>19</v>
      </c>
      <c r="J4775" s="3" t="s">
        <v>1467</v>
      </c>
      <c r="K4775" t="s">
        <v>1468</v>
      </c>
      <c r="L4775" t="s">
        <v>1469</v>
      </c>
      <c r="M4775" t="s">
        <v>337</v>
      </c>
    </row>
    <row r="4776" spans="1:13" x14ac:dyDescent="0.25">
      <c r="A4776" t="s">
        <v>6051</v>
      </c>
      <c r="B4776" t="s">
        <v>13</v>
      </c>
      <c r="C4776" s="1">
        <v>44479</v>
      </c>
      <c r="D4776" t="s">
        <v>6052</v>
      </c>
      <c r="E4776" t="s">
        <v>6053</v>
      </c>
      <c r="F4776" t="s">
        <v>6054</v>
      </c>
      <c r="G4776" t="s">
        <v>6055</v>
      </c>
      <c r="H4776" t="s">
        <v>6056</v>
      </c>
      <c r="I4776" t="s">
        <v>19</v>
      </c>
      <c r="J4776" s="3">
        <f>55-16-997731926</f>
        <v>-997731887</v>
      </c>
      <c r="K4776" t="s">
        <v>6057</v>
      </c>
      <c r="L4776" t="s">
        <v>32135</v>
      </c>
      <c r="M4776" t="s">
        <v>32121</v>
      </c>
    </row>
    <row r="4777" spans="1:13" x14ac:dyDescent="0.25">
      <c r="A4777" t="s">
        <v>15449</v>
      </c>
      <c r="B4777" t="s">
        <v>13</v>
      </c>
      <c r="C4777" t="s">
        <v>10689</v>
      </c>
      <c r="D4777" t="s">
        <v>15450</v>
      </c>
      <c r="E4777" t="s">
        <v>15451</v>
      </c>
      <c r="F4777" t="s">
        <v>337</v>
      </c>
      <c r="G4777" t="s">
        <v>15452</v>
      </c>
      <c r="H4777" t="s">
        <v>36</v>
      </c>
      <c r="I4777" t="s">
        <v>19</v>
      </c>
      <c r="J4777" s="3">
        <f>55112141-8555</f>
        <v>55103586</v>
      </c>
      <c r="K4777" t="s">
        <v>15453</v>
      </c>
      <c r="L4777" t="s">
        <v>15454</v>
      </c>
      <c r="M4777" t="s">
        <v>337</v>
      </c>
    </row>
    <row r="4778" spans="1:13" x14ac:dyDescent="0.25">
      <c r="A4778" t="s">
        <v>14719</v>
      </c>
      <c r="B4778" t="s">
        <v>101</v>
      </c>
      <c r="C4778" s="1">
        <v>43597</v>
      </c>
      <c r="D4778" t="s">
        <v>14720</v>
      </c>
      <c r="E4778" t="s">
        <v>14721</v>
      </c>
      <c r="F4778" t="s">
        <v>8193</v>
      </c>
      <c r="G4778" t="s">
        <v>1621</v>
      </c>
      <c r="H4778" t="s">
        <v>1622</v>
      </c>
      <c r="I4778" t="s">
        <v>19</v>
      </c>
      <c r="J4778" s="3" t="s">
        <v>1623</v>
      </c>
      <c r="K4778" t="s">
        <v>1624</v>
      </c>
      <c r="L4778" t="s">
        <v>10697</v>
      </c>
      <c r="M4778" t="s">
        <v>129</v>
      </c>
    </row>
    <row r="4779" spans="1:13" x14ac:dyDescent="0.25">
      <c r="A4779" t="s">
        <v>3740</v>
      </c>
      <c r="B4779" t="s">
        <v>101</v>
      </c>
      <c r="C4779" s="1">
        <v>44597</v>
      </c>
      <c r="D4779" t="s">
        <v>3741</v>
      </c>
      <c r="E4779" t="s">
        <v>3742</v>
      </c>
      <c r="F4779" t="s">
        <v>3743</v>
      </c>
      <c r="G4779" t="s">
        <v>3744</v>
      </c>
      <c r="H4779" t="s">
        <v>753</v>
      </c>
      <c r="I4779" t="s">
        <v>19</v>
      </c>
      <c r="J4779" s="3">
        <v>5567992140351</v>
      </c>
      <c r="K4779" t="s">
        <v>57</v>
      </c>
      <c r="L4779" t="s">
        <v>3745</v>
      </c>
      <c r="M4779" t="s">
        <v>224</v>
      </c>
    </row>
    <row r="4780" spans="1:13" x14ac:dyDescent="0.25">
      <c r="A4780" t="s">
        <v>19630</v>
      </c>
      <c r="B4780" t="s">
        <v>13</v>
      </c>
      <c r="C4780" t="s">
        <v>6734</v>
      </c>
      <c r="D4780" t="s">
        <v>19631</v>
      </c>
      <c r="E4780" s="2" t="s">
        <v>32627</v>
      </c>
      <c r="F4780" t="s">
        <v>1464</v>
      </c>
      <c r="G4780" t="s">
        <v>11622</v>
      </c>
      <c r="H4780" t="s">
        <v>88</v>
      </c>
      <c r="I4780" t="s">
        <v>19</v>
      </c>
      <c r="J4780" s="3" t="s">
        <v>19632</v>
      </c>
      <c r="K4780" t="s">
        <v>11623</v>
      </c>
      <c r="L4780" t="s">
        <v>91</v>
      </c>
      <c r="M4780" t="s">
        <v>337</v>
      </c>
    </row>
    <row r="4781" spans="1:13" x14ac:dyDescent="0.25">
      <c r="A4781" t="s">
        <v>30000</v>
      </c>
      <c r="B4781" t="s">
        <v>13</v>
      </c>
      <c r="C4781" t="s">
        <v>30001</v>
      </c>
      <c r="D4781" t="s">
        <v>30002</v>
      </c>
      <c r="E4781" t="s">
        <v>30003</v>
      </c>
      <c r="F4781" t="s">
        <v>1129</v>
      </c>
      <c r="G4781" t="s">
        <v>30004</v>
      </c>
      <c r="H4781" t="s">
        <v>18</v>
      </c>
      <c r="I4781" t="s">
        <v>19</v>
      </c>
      <c r="J4781" s="3" t="s">
        <v>30005</v>
      </c>
      <c r="K4781" t="s">
        <v>30006</v>
      </c>
      <c r="L4781" t="s">
        <v>30007</v>
      </c>
      <c r="M4781" t="s">
        <v>224</v>
      </c>
    </row>
    <row r="4782" spans="1:13" x14ac:dyDescent="0.25">
      <c r="A4782" t="s">
        <v>6418</v>
      </c>
      <c r="B4782" t="s">
        <v>101</v>
      </c>
      <c r="C4782" t="s">
        <v>6401</v>
      </c>
      <c r="D4782" t="s">
        <v>6419</v>
      </c>
      <c r="E4782" s="2" t="s">
        <v>30892</v>
      </c>
      <c r="F4782" t="s">
        <v>1464</v>
      </c>
      <c r="G4782" t="s">
        <v>6420</v>
      </c>
      <c r="H4782" t="s">
        <v>1802</v>
      </c>
      <c r="I4782" t="s">
        <v>19</v>
      </c>
      <c r="J4782" s="3" t="s">
        <v>6421</v>
      </c>
      <c r="K4782" t="s">
        <v>6422</v>
      </c>
      <c r="L4782" t="s">
        <v>6423</v>
      </c>
      <c r="M4782" t="s">
        <v>337</v>
      </c>
    </row>
    <row r="4783" spans="1:13" x14ac:dyDescent="0.25">
      <c r="A4783" t="s">
        <v>9292</v>
      </c>
      <c r="B4783" t="s">
        <v>13</v>
      </c>
      <c r="C4783" s="1">
        <v>44053</v>
      </c>
      <c r="D4783" t="s">
        <v>9293</v>
      </c>
      <c r="E4783" t="s">
        <v>9294</v>
      </c>
      <c r="F4783" t="s">
        <v>9295</v>
      </c>
      <c r="G4783" t="s">
        <v>9296</v>
      </c>
      <c r="H4783" t="s">
        <v>195</v>
      </c>
      <c r="I4783" t="s">
        <v>19</v>
      </c>
      <c r="J4783" s="3">
        <f>55163306-6883</f>
        <v>55156423</v>
      </c>
      <c r="K4783" t="s">
        <v>9297</v>
      </c>
      <c r="L4783" t="s">
        <v>197</v>
      </c>
      <c r="M4783" t="s">
        <v>224</v>
      </c>
    </row>
    <row r="4784" spans="1:13" x14ac:dyDescent="0.25">
      <c r="A4784" t="s">
        <v>12678</v>
      </c>
      <c r="B4784" t="s">
        <v>13</v>
      </c>
      <c r="C4784" t="s">
        <v>7663</v>
      </c>
      <c r="D4784" t="s">
        <v>12679</v>
      </c>
      <c r="E4784" s="2" t="s">
        <v>31650</v>
      </c>
      <c r="F4784" t="s">
        <v>1464</v>
      </c>
      <c r="G4784" t="s">
        <v>12680</v>
      </c>
      <c r="H4784" t="s">
        <v>265</v>
      </c>
      <c r="I4784" t="s">
        <v>19</v>
      </c>
      <c r="J4784" s="3">
        <f>55-16-33153416</f>
        <v>-33153377</v>
      </c>
      <c r="K4784" t="s">
        <v>12681</v>
      </c>
      <c r="L4784" t="s">
        <v>6584</v>
      </c>
      <c r="M4784" t="s">
        <v>32144</v>
      </c>
    </row>
    <row r="4785" spans="1:13" x14ac:dyDescent="0.25">
      <c r="A4785" t="s">
        <v>5327</v>
      </c>
      <c r="B4785" t="s">
        <v>13</v>
      </c>
      <c r="C4785" t="s">
        <v>4935</v>
      </c>
      <c r="D4785" t="s">
        <v>5328</v>
      </c>
      <c r="E4785" s="2" t="s">
        <v>31582</v>
      </c>
      <c r="F4785" t="s">
        <v>5329</v>
      </c>
      <c r="G4785" t="s">
        <v>5330</v>
      </c>
      <c r="H4785" t="s">
        <v>1027</v>
      </c>
      <c r="I4785" t="s">
        <v>19</v>
      </c>
      <c r="J4785" s="3" t="s">
        <v>5331</v>
      </c>
      <c r="K4785" t="s">
        <v>5332</v>
      </c>
      <c r="L4785" t="s">
        <v>32135</v>
      </c>
      <c r="M4785" t="s">
        <v>32144</v>
      </c>
    </row>
    <row r="4786" spans="1:13" x14ac:dyDescent="0.25">
      <c r="A4786" t="s">
        <v>21699</v>
      </c>
      <c r="B4786" t="s">
        <v>13</v>
      </c>
      <c r="C4786" t="s">
        <v>14184</v>
      </c>
      <c r="D4786" t="s">
        <v>21700</v>
      </c>
      <c r="E4786" t="s">
        <v>21701</v>
      </c>
      <c r="F4786" t="s">
        <v>2036</v>
      </c>
      <c r="G4786" t="s">
        <v>5721</v>
      </c>
      <c r="H4786" t="s">
        <v>489</v>
      </c>
      <c r="I4786" t="s">
        <v>19</v>
      </c>
      <c r="J4786" s="3" t="s">
        <v>21702</v>
      </c>
      <c r="K4786" t="s">
        <v>5723</v>
      </c>
      <c r="L4786" t="s">
        <v>21703</v>
      </c>
      <c r="M4786" t="s">
        <v>57</v>
      </c>
    </row>
    <row r="4787" spans="1:13" x14ac:dyDescent="0.25">
      <c r="A4787" t="s">
        <v>29692</v>
      </c>
      <c r="B4787" t="s">
        <v>13</v>
      </c>
      <c r="C4787" t="s">
        <v>29686</v>
      </c>
      <c r="D4787" t="s">
        <v>29693</v>
      </c>
      <c r="E4787" t="s">
        <v>29694</v>
      </c>
      <c r="F4787" t="s">
        <v>1464</v>
      </c>
      <c r="G4787" t="s">
        <v>18542</v>
      </c>
      <c r="H4787" t="s">
        <v>29695</v>
      </c>
      <c r="I4787" t="s">
        <v>19</v>
      </c>
      <c r="J4787" s="3" t="s">
        <v>29696</v>
      </c>
      <c r="K4787" t="s">
        <v>29697</v>
      </c>
      <c r="L4787" t="s">
        <v>29698</v>
      </c>
      <c r="M4787" t="s">
        <v>1775</v>
      </c>
    </row>
    <row r="4788" spans="1:13" x14ac:dyDescent="0.25">
      <c r="A4788" t="s">
        <v>11427</v>
      </c>
      <c r="B4788" t="s">
        <v>101</v>
      </c>
      <c r="C4788" t="s">
        <v>11417</v>
      </c>
      <c r="D4788" t="s">
        <v>11428</v>
      </c>
      <c r="E4788" s="2" t="s">
        <v>32628</v>
      </c>
      <c r="F4788" t="s">
        <v>1464</v>
      </c>
      <c r="G4788" t="s">
        <v>11429</v>
      </c>
      <c r="H4788" t="s">
        <v>150</v>
      </c>
      <c r="I4788" t="s">
        <v>19</v>
      </c>
      <c r="J4788" s="3">
        <f>55113505-5019</f>
        <v>55108486</v>
      </c>
      <c r="K4788" t="s">
        <v>11430</v>
      </c>
      <c r="L4788" t="s">
        <v>11431</v>
      </c>
      <c r="M4788" t="s">
        <v>1349</v>
      </c>
    </row>
    <row r="4789" spans="1:13" x14ac:dyDescent="0.25">
      <c r="A4789" t="s">
        <v>19144</v>
      </c>
      <c r="B4789" t="s">
        <v>13</v>
      </c>
      <c r="C4789" t="s">
        <v>19139</v>
      </c>
      <c r="D4789" t="s">
        <v>19145</v>
      </c>
      <c r="E4789" s="2" t="s">
        <v>32629</v>
      </c>
      <c r="F4789" t="s">
        <v>1464</v>
      </c>
      <c r="G4789" t="s">
        <v>19146</v>
      </c>
      <c r="H4789" t="s">
        <v>19147</v>
      </c>
      <c r="I4789" t="s">
        <v>19</v>
      </c>
      <c r="J4789" s="3">
        <v>55054999548875</v>
      </c>
      <c r="K4789" t="s">
        <v>19148</v>
      </c>
      <c r="L4789" t="s">
        <v>19149</v>
      </c>
      <c r="M4789" t="s">
        <v>1349</v>
      </c>
    </row>
    <row r="4790" spans="1:13" x14ac:dyDescent="0.25">
      <c r="A4790" t="s">
        <v>6618</v>
      </c>
      <c r="B4790" t="s">
        <v>13</v>
      </c>
      <c r="C4790" t="s">
        <v>6619</v>
      </c>
      <c r="D4790" t="s">
        <v>32135</v>
      </c>
      <c r="E4790" s="2" t="s">
        <v>30900</v>
      </c>
      <c r="F4790" t="s">
        <v>2490</v>
      </c>
      <c r="G4790" t="s">
        <v>6620</v>
      </c>
      <c r="H4790" t="s">
        <v>6621</v>
      </c>
      <c r="I4790" t="s">
        <v>19</v>
      </c>
      <c r="J4790" s="3" t="s">
        <v>6622</v>
      </c>
      <c r="K4790" t="s">
        <v>6623</v>
      </c>
      <c r="L4790" t="s">
        <v>32135</v>
      </c>
      <c r="M4790" t="s">
        <v>1349</v>
      </c>
    </row>
    <row r="4791" spans="1:13" x14ac:dyDescent="0.25">
      <c r="A4791" t="s">
        <v>4419</v>
      </c>
      <c r="B4791" t="s">
        <v>13</v>
      </c>
      <c r="C4791" s="1">
        <v>44776</v>
      </c>
      <c r="D4791" t="s">
        <v>32135</v>
      </c>
      <c r="E4791" t="s">
        <v>4420</v>
      </c>
      <c r="F4791" t="s">
        <v>253</v>
      </c>
      <c r="G4791" t="s">
        <v>4421</v>
      </c>
      <c r="H4791" t="s">
        <v>489</v>
      </c>
      <c r="I4791" t="s">
        <v>19</v>
      </c>
      <c r="J4791" s="3" t="s">
        <v>4422</v>
      </c>
      <c r="K4791" t="s">
        <v>4423</v>
      </c>
      <c r="L4791" t="s">
        <v>2661</v>
      </c>
      <c r="M4791" t="s">
        <v>32149</v>
      </c>
    </row>
    <row r="4792" spans="1:13" x14ac:dyDescent="0.25">
      <c r="A4792" t="s">
        <v>2355</v>
      </c>
      <c r="B4792" t="s">
        <v>13</v>
      </c>
      <c r="C4792" t="s">
        <v>2346</v>
      </c>
      <c r="D4792" t="s">
        <v>2356</v>
      </c>
      <c r="E4792" t="s">
        <v>1653</v>
      </c>
      <c r="F4792" t="s">
        <v>2128</v>
      </c>
      <c r="G4792" t="s">
        <v>321</v>
      </c>
      <c r="H4792" t="s">
        <v>36</v>
      </c>
      <c r="I4792" t="s">
        <v>19</v>
      </c>
      <c r="J4792" s="3" t="s">
        <v>2357</v>
      </c>
      <c r="K4792" t="s">
        <v>2358</v>
      </c>
      <c r="L4792" t="s">
        <v>321</v>
      </c>
      <c r="M4792" t="s">
        <v>1349</v>
      </c>
    </row>
    <row r="4793" spans="1:13" x14ac:dyDescent="0.25">
      <c r="A4793" t="s">
        <v>6578</v>
      </c>
      <c r="B4793" t="s">
        <v>13</v>
      </c>
      <c r="C4793" t="s">
        <v>6579</v>
      </c>
      <c r="D4793" t="s">
        <v>6580</v>
      </c>
      <c r="E4793" s="2" t="s">
        <v>30898</v>
      </c>
      <c r="F4793" t="s">
        <v>1349</v>
      </c>
      <c r="G4793" t="s">
        <v>6581</v>
      </c>
      <c r="H4793" t="s">
        <v>265</v>
      </c>
      <c r="I4793" t="s">
        <v>19</v>
      </c>
      <c r="J4793" s="3" t="s">
        <v>6582</v>
      </c>
      <c r="K4793" t="s">
        <v>6583</v>
      </c>
      <c r="L4793" t="s">
        <v>6584</v>
      </c>
      <c r="M4793" t="s">
        <v>1349</v>
      </c>
    </row>
    <row r="4794" spans="1:13" x14ac:dyDescent="0.25">
      <c r="A4794" t="s">
        <v>9336</v>
      </c>
      <c r="B4794" t="s">
        <v>13</v>
      </c>
      <c r="C4794" t="s">
        <v>9337</v>
      </c>
      <c r="D4794" t="s">
        <v>9338</v>
      </c>
      <c r="E4794" s="2" t="s">
        <v>32124</v>
      </c>
      <c r="F4794" t="s">
        <v>4639</v>
      </c>
      <c r="G4794" t="s">
        <v>307</v>
      </c>
      <c r="H4794" t="s">
        <v>308</v>
      </c>
      <c r="I4794" t="s">
        <v>309</v>
      </c>
      <c r="J4794" s="3" t="s">
        <v>310</v>
      </c>
      <c r="K4794" t="s">
        <v>311</v>
      </c>
      <c r="L4794" t="s">
        <v>312</v>
      </c>
      <c r="M4794" t="s">
        <v>785</v>
      </c>
    </row>
    <row r="4795" spans="1:13" x14ac:dyDescent="0.25">
      <c r="A4795" t="s">
        <v>12149</v>
      </c>
      <c r="B4795" t="s">
        <v>13</v>
      </c>
      <c r="C4795" s="1">
        <v>43534</v>
      </c>
      <c r="D4795" t="s">
        <v>12150</v>
      </c>
      <c r="E4795" s="2" t="s">
        <v>32630</v>
      </c>
      <c r="F4795" t="s">
        <v>4639</v>
      </c>
      <c r="G4795" t="s">
        <v>12151</v>
      </c>
      <c r="H4795" t="s">
        <v>798</v>
      </c>
      <c r="I4795" t="s">
        <v>19</v>
      </c>
      <c r="J4795" s="3">
        <v>5561985867107</v>
      </c>
      <c r="K4795" t="s">
        <v>12152</v>
      </c>
      <c r="L4795" t="s">
        <v>1767</v>
      </c>
      <c r="M4795" t="s">
        <v>1349</v>
      </c>
    </row>
    <row r="4796" spans="1:13" x14ac:dyDescent="0.25">
      <c r="A4796" t="s">
        <v>25248</v>
      </c>
      <c r="B4796" t="s">
        <v>13</v>
      </c>
      <c r="C4796" t="s">
        <v>9337</v>
      </c>
      <c r="D4796" t="s">
        <v>25249</v>
      </c>
      <c r="E4796" t="s">
        <v>25250</v>
      </c>
      <c r="F4796" t="s">
        <v>332</v>
      </c>
      <c r="G4796" t="s">
        <v>7903</v>
      </c>
      <c r="H4796" t="s">
        <v>25251</v>
      </c>
      <c r="I4796" t="s">
        <v>19</v>
      </c>
      <c r="J4796" s="3" t="s">
        <v>22729</v>
      </c>
      <c r="K4796" t="s">
        <v>7905</v>
      </c>
      <c r="L4796" t="s">
        <v>7906</v>
      </c>
      <c r="M4796" t="s">
        <v>337</v>
      </c>
    </row>
    <row r="4797" spans="1:13" x14ac:dyDescent="0.25">
      <c r="A4797" t="s">
        <v>22293</v>
      </c>
      <c r="B4797" t="s">
        <v>13</v>
      </c>
      <c r="C4797" s="1">
        <v>43222</v>
      </c>
      <c r="D4797" t="s">
        <v>22294</v>
      </c>
      <c r="E4797" t="s">
        <v>32631</v>
      </c>
      <c r="F4797" t="s">
        <v>2036</v>
      </c>
      <c r="G4797" t="s">
        <v>22295</v>
      </c>
      <c r="H4797" t="s">
        <v>7653</v>
      </c>
      <c r="I4797" t="s">
        <v>2059</v>
      </c>
      <c r="J4797" s="3">
        <f>34-954-486505</f>
        <v>-487425</v>
      </c>
      <c r="K4797" t="s">
        <v>22296</v>
      </c>
      <c r="L4797" t="s">
        <v>7655</v>
      </c>
      <c r="M4797" t="s">
        <v>57</v>
      </c>
    </row>
    <row r="4798" spans="1:13" x14ac:dyDescent="0.25">
      <c r="A4798" t="s">
        <v>22773</v>
      </c>
      <c r="B4798" t="s">
        <v>13</v>
      </c>
      <c r="C4798" t="s">
        <v>22768</v>
      </c>
      <c r="D4798" t="s">
        <v>22774</v>
      </c>
      <c r="E4798" t="s">
        <v>22775</v>
      </c>
      <c r="F4798" t="s">
        <v>1349</v>
      </c>
      <c r="G4798" t="s">
        <v>22776</v>
      </c>
      <c r="H4798" t="s">
        <v>22777</v>
      </c>
      <c r="I4798" t="s">
        <v>19</v>
      </c>
      <c r="J4798" s="3" t="s">
        <v>22778</v>
      </c>
      <c r="K4798" t="s">
        <v>22779</v>
      </c>
      <c r="L4798" t="s">
        <v>9723</v>
      </c>
      <c r="M4798" t="s">
        <v>1349</v>
      </c>
    </row>
    <row r="4799" spans="1:13" x14ac:dyDescent="0.25">
      <c r="A4799" t="s">
        <v>23318</v>
      </c>
      <c r="B4799" t="s">
        <v>13</v>
      </c>
      <c r="C4799" t="s">
        <v>23294</v>
      </c>
      <c r="D4799" t="s">
        <v>23319</v>
      </c>
      <c r="E4799" t="s">
        <v>23320</v>
      </c>
      <c r="F4799" t="s">
        <v>1464</v>
      </c>
      <c r="G4799" t="s">
        <v>23321</v>
      </c>
      <c r="H4799" t="s">
        <v>45</v>
      </c>
      <c r="I4799" t="s">
        <v>19</v>
      </c>
      <c r="J4799" s="3" t="s">
        <v>23322</v>
      </c>
      <c r="K4799" t="s">
        <v>23323</v>
      </c>
      <c r="L4799" t="s">
        <v>23324</v>
      </c>
      <c r="M4799" t="s">
        <v>1349</v>
      </c>
    </row>
    <row r="4800" spans="1:13" x14ac:dyDescent="0.25">
      <c r="A4800" t="s">
        <v>20382</v>
      </c>
      <c r="B4800" t="s">
        <v>13</v>
      </c>
      <c r="C4800" t="s">
        <v>12154</v>
      </c>
      <c r="D4800" t="s">
        <v>20383</v>
      </c>
      <c r="E4800" s="2" t="s">
        <v>31249</v>
      </c>
      <c r="F4800" t="s">
        <v>1464</v>
      </c>
      <c r="G4800" t="s">
        <v>20384</v>
      </c>
      <c r="H4800" t="s">
        <v>428</v>
      </c>
      <c r="I4800" t="s">
        <v>19</v>
      </c>
      <c r="J4800" s="3" t="s">
        <v>20385</v>
      </c>
      <c r="K4800" t="s">
        <v>20386</v>
      </c>
      <c r="L4800" t="s">
        <v>1295</v>
      </c>
      <c r="M4800" t="s">
        <v>57</v>
      </c>
    </row>
    <row r="4801" spans="1:13" x14ac:dyDescent="0.25">
      <c r="A4801" t="s">
        <v>1594</v>
      </c>
      <c r="B4801" t="s">
        <v>13</v>
      </c>
      <c r="C4801" t="s">
        <v>1580</v>
      </c>
      <c r="D4801" t="s">
        <v>1595</v>
      </c>
      <c r="E4801" s="2" t="s">
        <v>31838</v>
      </c>
      <c r="F4801" t="s">
        <v>1314</v>
      </c>
      <c r="G4801" t="s">
        <v>1596</v>
      </c>
      <c r="H4801" t="s">
        <v>1597</v>
      </c>
      <c r="I4801" t="s">
        <v>19</v>
      </c>
      <c r="J4801" s="3" t="s">
        <v>1598</v>
      </c>
      <c r="K4801" t="s">
        <v>1599</v>
      </c>
      <c r="L4801" t="s">
        <v>1600</v>
      </c>
      <c r="M4801" t="s">
        <v>57</v>
      </c>
    </row>
    <row r="4802" spans="1:13" x14ac:dyDescent="0.25">
      <c r="A4802" t="s">
        <v>15176</v>
      </c>
      <c r="B4802" t="s">
        <v>101</v>
      </c>
      <c r="C4802" t="s">
        <v>15171</v>
      </c>
      <c r="D4802" t="s">
        <v>15177</v>
      </c>
      <c r="E4802" t="s">
        <v>15178</v>
      </c>
      <c r="F4802" t="s">
        <v>771</v>
      </c>
      <c r="G4802" t="s">
        <v>15179</v>
      </c>
      <c r="H4802" t="s">
        <v>7504</v>
      </c>
      <c r="I4802" t="s">
        <v>19</v>
      </c>
      <c r="J4802" s="3">
        <f>55-61-33254955</f>
        <v>-33254961</v>
      </c>
      <c r="K4802" t="s">
        <v>15180</v>
      </c>
      <c r="L4802" t="s">
        <v>15181</v>
      </c>
      <c r="M4802" t="s">
        <v>771</v>
      </c>
    </row>
    <row r="4803" spans="1:13" x14ac:dyDescent="0.25">
      <c r="A4803" t="s">
        <v>5394</v>
      </c>
      <c r="B4803" t="s">
        <v>13</v>
      </c>
      <c r="C4803" s="1">
        <v>44420</v>
      </c>
      <c r="D4803" t="s">
        <v>32135</v>
      </c>
      <c r="E4803" s="2" t="s">
        <v>30846</v>
      </c>
      <c r="F4803" t="s">
        <v>5395</v>
      </c>
      <c r="G4803" t="s">
        <v>5396</v>
      </c>
      <c r="H4803" t="s">
        <v>36</v>
      </c>
      <c r="I4803" t="s">
        <v>19</v>
      </c>
      <c r="J4803" s="3" t="s">
        <v>5397</v>
      </c>
      <c r="K4803" t="s">
        <v>5398</v>
      </c>
      <c r="L4803" t="s">
        <v>32135</v>
      </c>
      <c r="M4803" t="s">
        <v>32144</v>
      </c>
    </row>
    <row r="4804" spans="1:13" x14ac:dyDescent="0.25">
      <c r="A4804" t="s">
        <v>27090</v>
      </c>
      <c r="B4804" t="s">
        <v>13</v>
      </c>
      <c r="C4804" t="s">
        <v>27087</v>
      </c>
      <c r="D4804" t="s">
        <v>27091</v>
      </c>
      <c r="E4804" t="s">
        <v>27092</v>
      </c>
      <c r="F4804" t="s">
        <v>8193</v>
      </c>
      <c r="G4804" t="s">
        <v>27093</v>
      </c>
      <c r="H4804" t="s">
        <v>18</v>
      </c>
      <c r="I4804" t="s">
        <v>19</v>
      </c>
      <c r="J4804" s="3" t="s">
        <v>27094</v>
      </c>
      <c r="K4804" t="s">
        <v>27095</v>
      </c>
      <c r="L4804" t="s">
        <v>12982</v>
      </c>
      <c r="M4804" t="s">
        <v>129</v>
      </c>
    </row>
    <row r="4805" spans="1:13" x14ac:dyDescent="0.25">
      <c r="A4805" t="s">
        <v>29278</v>
      </c>
      <c r="B4805" t="s">
        <v>13</v>
      </c>
      <c r="C4805" t="s">
        <v>29272</v>
      </c>
      <c r="D4805" t="s">
        <v>29279</v>
      </c>
      <c r="E4805" t="s">
        <v>29280</v>
      </c>
      <c r="F4805" t="s">
        <v>337</v>
      </c>
      <c r="G4805" t="s">
        <v>307</v>
      </c>
      <c r="H4805" t="s">
        <v>308</v>
      </c>
      <c r="I4805" t="s">
        <v>309</v>
      </c>
      <c r="J4805" s="3" t="s">
        <v>310</v>
      </c>
      <c r="K4805" t="s">
        <v>311</v>
      </c>
      <c r="L4805" t="s">
        <v>312</v>
      </c>
      <c r="M4805" t="s">
        <v>337</v>
      </c>
    </row>
    <row r="4806" spans="1:13" x14ac:dyDescent="0.25">
      <c r="A4806" t="s">
        <v>14043</v>
      </c>
      <c r="B4806" t="s">
        <v>101</v>
      </c>
      <c r="C4806" t="s">
        <v>14039</v>
      </c>
      <c r="D4806" t="s">
        <v>14044</v>
      </c>
      <c r="E4806" t="s">
        <v>14045</v>
      </c>
      <c r="F4806" t="s">
        <v>2758</v>
      </c>
      <c r="G4806" t="s">
        <v>1621</v>
      </c>
      <c r="H4806" t="s">
        <v>1622</v>
      </c>
      <c r="I4806" t="s">
        <v>19</v>
      </c>
      <c r="J4806" s="3" t="s">
        <v>1623</v>
      </c>
      <c r="K4806" t="s">
        <v>1624</v>
      </c>
      <c r="L4806" t="s">
        <v>10697</v>
      </c>
      <c r="M4806" t="s">
        <v>32149</v>
      </c>
    </row>
    <row r="4807" spans="1:13" x14ac:dyDescent="0.25">
      <c r="A4807" t="s">
        <v>8167</v>
      </c>
      <c r="B4807" t="s">
        <v>13</v>
      </c>
      <c r="C4807" s="1">
        <v>44471</v>
      </c>
      <c r="D4807" t="s">
        <v>32135</v>
      </c>
      <c r="E4807" t="s">
        <v>8168</v>
      </c>
      <c r="F4807" t="s">
        <v>8169</v>
      </c>
      <c r="G4807" t="s">
        <v>8170</v>
      </c>
      <c r="H4807" t="s">
        <v>36</v>
      </c>
      <c r="I4807" t="s">
        <v>19</v>
      </c>
      <c r="J4807" s="3" t="s">
        <v>8171</v>
      </c>
      <c r="K4807" t="s">
        <v>8172</v>
      </c>
      <c r="L4807" t="s">
        <v>32135</v>
      </c>
      <c r="M4807" t="s">
        <v>1349</v>
      </c>
    </row>
    <row r="4808" spans="1:13" x14ac:dyDescent="0.25">
      <c r="A4808" t="s">
        <v>4065</v>
      </c>
      <c r="B4808" t="s">
        <v>13</v>
      </c>
      <c r="C4808" t="s">
        <v>4066</v>
      </c>
      <c r="D4808" t="s">
        <v>4067</v>
      </c>
      <c r="E4808" t="s">
        <v>4068</v>
      </c>
      <c r="F4808" t="s">
        <v>1086</v>
      </c>
      <c r="G4808" t="s">
        <v>4069</v>
      </c>
      <c r="H4808" t="s">
        <v>428</v>
      </c>
      <c r="I4808" t="s">
        <v>19</v>
      </c>
      <c r="J4808" s="3">
        <v>555133038854</v>
      </c>
      <c r="K4808" t="s">
        <v>4070</v>
      </c>
      <c r="L4808" t="s">
        <v>1113</v>
      </c>
      <c r="M4808" t="s">
        <v>32144</v>
      </c>
    </row>
    <row r="4809" spans="1:13" x14ac:dyDescent="0.25">
      <c r="A4809" t="s">
        <v>21202</v>
      </c>
      <c r="B4809" t="s">
        <v>13</v>
      </c>
      <c r="C4809" t="s">
        <v>21193</v>
      </c>
      <c r="D4809" t="s">
        <v>21203</v>
      </c>
      <c r="E4809" t="s">
        <v>21204</v>
      </c>
      <c r="F4809" t="s">
        <v>3084</v>
      </c>
      <c r="G4809" t="s">
        <v>21205</v>
      </c>
      <c r="H4809" t="s">
        <v>706</v>
      </c>
      <c r="I4809" t="s">
        <v>19</v>
      </c>
      <c r="J4809" s="3" t="s">
        <v>21206</v>
      </c>
      <c r="K4809" t="s">
        <v>21207</v>
      </c>
      <c r="L4809" t="s">
        <v>565</v>
      </c>
      <c r="M4809" t="s">
        <v>32144</v>
      </c>
    </row>
    <row r="4810" spans="1:13" x14ac:dyDescent="0.25">
      <c r="A4810" t="s">
        <v>16138</v>
      </c>
      <c r="B4810" t="s">
        <v>13</v>
      </c>
      <c r="C4810" t="s">
        <v>15792</v>
      </c>
      <c r="D4810" t="s">
        <v>16139</v>
      </c>
      <c r="E4810" s="2" t="s">
        <v>32632</v>
      </c>
      <c r="F4810" t="s">
        <v>3084</v>
      </c>
      <c r="G4810" t="s">
        <v>16140</v>
      </c>
      <c r="H4810" t="s">
        <v>472</v>
      </c>
      <c r="I4810" t="s">
        <v>19</v>
      </c>
      <c r="J4810" s="3">
        <f>55-81-31833500</f>
        <v>-31833526</v>
      </c>
      <c r="K4810" t="s">
        <v>16141</v>
      </c>
      <c r="L4810" t="s">
        <v>1193</v>
      </c>
      <c r="M4810" t="s">
        <v>32144</v>
      </c>
    </row>
    <row r="4811" spans="1:13" x14ac:dyDescent="0.25">
      <c r="A4811" t="s">
        <v>20958</v>
      </c>
      <c r="B4811" t="s">
        <v>13</v>
      </c>
      <c r="C4811" t="s">
        <v>5341</v>
      </c>
      <c r="D4811" t="s">
        <v>20959</v>
      </c>
      <c r="E4811" s="2" t="s">
        <v>31749</v>
      </c>
      <c r="F4811" t="s">
        <v>1129</v>
      </c>
      <c r="G4811" t="s">
        <v>14874</v>
      </c>
      <c r="H4811" t="s">
        <v>36</v>
      </c>
      <c r="I4811" t="s">
        <v>19</v>
      </c>
      <c r="J4811" s="3" t="s">
        <v>14875</v>
      </c>
      <c r="K4811" t="s">
        <v>10052</v>
      </c>
      <c r="L4811" t="s">
        <v>14876</v>
      </c>
      <c r="M4811" t="s">
        <v>224</v>
      </c>
    </row>
    <row r="4812" spans="1:13" x14ac:dyDescent="0.25">
      <c r="A4812" t="s">
        <v>16473</v>
      </c>
      <c r="B4812" t="s">
        <v>13</v>
      </c>
      <c r="C4812" t="s">
        <v>14247</v>
      </c>
      <c r="D4812" t="s">
        <v>16474</v>
      </c>
      <c r="E4812" t="s">
        <v>16475</v>
      </c>
      <c r="F4812" t="s">
        <v>1349</v>
      </c>
      <c r="G4812" t="s">
        <v>16476</v>
      </c>
      <c r="H4812" t="s">
        <v>18</v>
      </c>
      <c r="I4812" t="s">
        <v>19</v>
      </c>
      <c r="J4812" s="3">
        <f>55-19-999103111</f>
        <v>-999103075</v>
      </c>
      <c r="K4812" t="s">
        <v>16477</v>
      </c>
      <c r="L4812" t="s">
        <v>16478</v>
      </c>
      <c r="M4812" t="s">
        <v>1349</v>
      </c>
    </row>
    <row r="4813" spans="1:13" x14ac:dyDescent="0.25">
      <c r="A4813" t="s">
        <v>30664</v>
      </c>
      <c r="B4813" t="s">
        <v>13</v>
      </c>
      <c r="C4813" t="s">
        <v>29488</v>
      </c>
      <c r="D4813" t="s">
        <v>30665</v>
      </c>
      <c r="E4813" t="s">
        <v>30666</v>
      </c>
      <c r="F4813" t="s">
        <v>1349</v>
      </c>
      <c r="G4813" t="s">
        <v>30653</v>
      </c>
      <c r="H4813" t="s">
        <v>36</v>
      </c>
      <c r="I4813" t="s">
        <v>19</v>
      </c>
      <c r="J4813" s="3" t="s">
        <v>30654</v>
      </c>
      <c r="K4813" t="s">
        <v>30655</v>
      </c>
      <c r="L4813" t="s">
        <v>29493</v>
      </c>
      <c r="M4813" t="s">
        <v>1349</v>
      </c>
    </row>
    <row r="4814" spans="1:13" x14ac:dyDescent="0.25">
      <c r="A4814" t="s">
        <v>17300</v>
      </c>
      <c r="B4814" t="s">
        <v>13</v>
      </c>
      <c r="C4814" s="1">
        <v>43591</v>
      </c>
      <c r="D4814" t="s">
        <v>17301</v>
      </c>
      <c r="E4814" t="s">
        <v>17302</v>
      </c>
      <c r="F4814" t="s">
        <v>57</v>
      </c>
      <c r="G4814" t="s">
        <v>10574</v>
      </c>
      <c r="H4814" t="s">
        <v>36</v>
      </c>
      <c r="I4814" t="s">
        <v>19</v>
      </c>
      <c r="J4814" s="3" t="s">
        <v>10575</v>
      </c>
      <c r="K4814" t="s">
        <v>10576</v>
      </c>
      <c r="L4814" t="s">
        <v>10577</v>
      </c>
      <c r="M4814" t="s">
        <v>57</v>
      </c>
    </row>
    <row r="4815" spans="1:13" x14ac:dyDescent="0.25">
      <c r="A4815" t="s">
        <v>28561</v>
      </c>
      <c r="B4815" t="s">
        <v>13</v>
      </c>
      <c r="C4815" t="s">
        <v>28562</v>
      </c>
      <c r="D4815" t="s">
        <v>28563</v>
      </c>
      <c r="E4815" t="s">
        <v>32633</v>
      </c>
      <c r="F4815" t="s">
        <v>3023</v>
      </c>
      <c r="G4815" t="s">
        <v>28564</v>
      </c>
      <c r="H4815" t="s">
        <v>71</v>
      </c>
      <c r="I4815" t="s">
        <v>19</v>
      </c>
      <c r="J4815" s="3">
        <v>558698051863</v>
      </c>
      <c r="K4815" t="s">
        <v>28565</v>
      </c>
      <c r="L4815" t="s">
        <v>22228</v>
      </c>
      <c r="M4815" t="s">
        <v>57</v>
      </c>
    </row>
    <row r="4816" spans="1:13" x14ac:dyDescent="0.25">
      <c r="A4816" t="s">
        <v>27428</v>
      </c>
      <c r="B4816" t="s">
        <v>13</v>
      </c>
      <c r="C4816" t="s">
        <v>27429</v>
      </c>
      <c r="D4816" t="s">
        <v>27430</v>
      </c>
      <c r="E4816" s="2" t="s">
        <v>31968</v>
      </c>
      <c r="F4816" t="s">
        <v>2947</v>
      </c>
      <c r="G4816" t="s">
        <v>27431</v>
      </c>
      <c r="H4816" t="s">
        <v>36</v>
      </c>
      <c r="I4816" t="s">
        <v>19</v>
      </c>
      <c r="J4816" s="3">
        <v>551130617870</v>
      </c>
      <c r="K4816" t="s">
        <v>27432</v>
      </c>
      <c r="L4816" t="s">
        <v>27433</v>
      </c>
      <c r="M4816" t="s">
        <v>32145</v>
      </c>
    </row>
    <row r="4817" spans="1:13" x14ac:dyDescent="0.25">
      <c r="A4817" t="s">
        <v>13217</v>
      </c>
      <c r="B4817" t="s">
        <v>13</v>
      </c>
      <c r="C4817" s="1">
        <v>43924</v>
      </c>
      <c r="D4817" t="s">
        <v>13218</v>
      </c>
      <c r="E4817" t="s">
        <v>13219</v>
      </c>
      <c r="F4817" t="s">
        <v>1190</v>
      </c>
      <c r="G4817" t="s">
        <v>13220</v>
      </c>
      <c r="H4817" t="s">
        <v>1802</v>
      </c>
      <c r="I4817" t="s">
        <v>19</v>
      </c>
      <c r="J4817" s="3" t="s">
        <v>13221</v>
      </c>
      <c r="K4817" t="s">
        <v>13222</v>
      </c>
      <c r="L4817" t="s">
        <v>13223</v>
      </c>
      <c r="M4817" t="s">
        <v>432</v>
      </c>
    </row>
    <row r="4818" spans="1:13" x14ac:dyDescent="0.25">
      <c r="A4818" t="s">
        <v>25277</v>
      </c>
      <c r="B4818" t="s">
        <v>13</v>
      </c>
      <c r="C4818" t="s">
        <v>25256</v>
      </c>
      <c r="D4818" t="s">
        <v>25278</v>
      </c>
      <c r="E4818" s="2" t="s">
        <v>14836</v>
      </c>
      <c r="F4818" t="s">
        <v>1464</v>
      </c>
      <c r="G4818" t="s">
        <v>16933</v>
      </c>
      <c r="H4818" t="s">
        <v>1215</v>
      </c>
      <c r="I4818" t="s">
        <v>19</v>
      </c>
      <c r="J4818" s="3" t="s">
        <v>16934</v>
      </c>
      <c r="K4818" t="s">
        <v>8095</v>
      </c>
      <c r="L4818" t="s">
        <v>16935</v>
      </c>
      <c r="M4818" t="s">
        <v>432</v>
      </c>
    </row>
    <row r="4819" spans="1:13" x14ac:dyDescent="0.25">
      <c r="A4819" t="s">
        <v>14833</v>
      </c>
      <c r="B4819" t="s">
        <v>13</v>
      </c>
      <c r="C4819" t="s">
        <v>14834</v>
      </c>
      <c r="D4819" t="s">
        <v>14835</v>
      </c>
      <c r="E4819" t="s">
        <v>14836</v>
      </c>
      <c r="F4819" t="s">
        <v>1190</v>
      </c>
      <c r="G4819" t="s">
        <v>8121</v>
      </c>
      <c r="H4819" t="s">
        <v>1215</v>
      </c>
      <c r="I4819" t="s">
        <v>19</v>
      </c>
      <c r="J4819" s="3" t="s">
        <v>14837</v>
      </c>
      <c r="K4819" t="s">
        <v>14838</v>
      </c>
      <c r="L4819" t="s">
        <v>14839</v>
      </c>
      <c r="M4819" t="s">
        <v>432</v>
      </c>
    </row>
    <row r="4820" spans="1:13" x14ac:dyDescent="0.25">
      <c r="A4820" t="s">
        <v>5498</v>
      </c>
      <c r="B4820" t="s">
        <v>13</v>
      </c>
      <c r="C4820" s="1">
        <v>44267</v>
      </c>
      <c r="D4820" t="s">
        <v>32135</v>
      </c>
      <c r="E4820" s="2" t="s">
        <v>31532</v>
      </c>
      <c r="F4820" t="s">
        <v>5499</v>
      </c>
      <c r="G4820" t="s">
        <v>5500</v>
      </c>
      <c r="H4820" t="s">
        <v>1090</v>
      </c>
      <c r="I4820" t="s">
        <v>19</v>
      </c>
      <c r="J4820" s="3" t="s">
        <v>5501</v>
      </c>
      <c r="K4820" t="s">
        <v>5502</v>
      </c>
      <c r="L4820" t="s">
        <v>32135</v>
      </c>
      <c r="M4820" t="s">
        <v>32165</v>
      </c>
    </row>
    <row r="4821" spans="1:13" x14ac:dyDescent="0.25">
      <c r="A4821" t="s">
        <v>30093</v>
      </c>
      <c r="B4821" t="s">
        <v>13</v>
      </c>
      <c r="C4821" t="s">
        <v>14184</v>
      </c>
      <c r="D4821" t="s">
        <v>30094</v>
      </c>
      <c r="E4821" t="s">
        <v>30095</v>
      </c>
      <c r="F4821" t="s">
        <v>771</v>
      </c>
      <c r="G4821" t="s">
        <v>30021</v>
      </c>
      <c r="H4821" t="s">
        <v>150</v>
      </c>
      <c r="I4821" t="s">
        <v>19</v>
      </c>
      <c r="J4821" s="3" t="s">
        <v>30096</v>
      </c>
      <c r="K4821" t="s">
        <v>30023</v>
      </c>
      <c r="L4821" t="s">
        <v>2768</v>
      </c>
      <c r="M4821" t="s">
        <v>771</v>
      </c>
    </row>
    <row r="4822" spans="1:13" x14ac:dyDescent="0.25">
      <c r="A4822" t="s">
        <v>16211</v>
      </c>
      <c r="B4822" t="s">
        <v>13</v>
      </c>
      <c r="C4822" t="s">
        <v>14184</v>
      </c>
      <c r="D4822" t="s">
        <v>16212</v>
      </c>
      <c r="E4822" t="s">
        <v>16213</v>
      </c>
      <c r="F4822" t="s">
        <v>1464</v>
      </c>
      <c r="G4822" t="s">
        <v>16214</v>
      </c>
      <c r="H4822" t="s">
        <v>88</v>
      </c>
      <c r="I4822" t="s">
        <v>19</v>
      </c>
      <c r="J4822" s="3" t="s">
        <v>16215</v>
      </c>
      <c r="K4822" t="s">
        <v>11623</v>
      </c>
      <c r="L4822" t="s">
        <v>91</v>
      </c>
      <c r="M4822" t="s">
        <v>337</v>
      </c>
    </row>
    <row r="4823" spans="1:13" x14ac:dyDescent="0.25">
      <c r="A4823" t="s">
        <v>22252</v>
      </c>
      <c r="B4823" t="s">
        <v>13</v>
      </c>
      <c r="C4823" s="1">
        <v>43283</v>
      </c>
      <c r="D4823" t="s">
        <v>22253</v>
      </c>
      <c r="E4823" t="s">
        <v>22254</v>
      </c>
      <c r="F4823" t="s">
        <v>129</v>
      </c>
      <c r="G4823" t="s">
        <v>22255</v>
      </c>
      <c r="H4823" t="s">
        <v>2626</v>
      </c>
      <c r="I4823" t="s">
        <v>19</v>
      </c>
      <c r="J4823" s="3">
        <f>55-16-992125338</f>
        <v>-992125299</v>
      </c>
      <c r="K4823" t="s">
        <v>12126</v>
      </c>
      <c r="L4823" t="s">
        <v>3558</v>
      </c>
      <c r="M4823" t="s">
        <v>129</v>
      </c>
    </row>
    <row r="4824" spans="1:13" x14ac:dyDescent="0.25">
      <c r="A4824" t="s">
        <v>17099</v>
      </c>
      <c r="B4824" t="s">
        <v>13</v>
      </c>
      <c r="C4824" s="1">
        <v>43289</v>
      </c>
      <c r="D4824" t="s">
        <v>17100</v>
      </c>
      <c r="E4824" s="2" t="s">
        <v>31630</v>
      </c>
      <c r="F4824" t="s">
        <v>1464</v>
      </c>
      <c r="G4824" t="s">
        <v>17101</v>
      </c>
      <c r="H4824" t="s">
        <v>1215</v>
      </c>
      <c r="I4824" t="s">
        <v>19</v>
      </c>
      <c r="J4824" s="3">
        <f>55-18-32291052</f>
        <v>-32291015</v>
      </c>
      <c r="K4824" t="s">
        <v>17102</v>
      </c>
      <c r="L4824" t="s">
        <v>17103</v>
      </c>
      <c r="M4824" t="s">
        <v>129</v>
      </c>
    </row>
    <row r="4825" spans="1:13" x14ac:dyDescent="0.25">
      <c r="A4825" t="s">
        <v>15718</v>
      </c>
      <c r="B4825" t="s">
        <v>13</v>
      </c>
      <c r="C4825" s="1">
        <v>43656</v>
      </c>
      <c r="D4825" t="s">
        <v>15719</v>
      </c>
      <c r="E4825" s="2" t="s">
        <v>31583</v>
      </c>
      <c r="F4825" t="s">
        <v>1464</v>
      </c>
      <c r="G4825" t="s">
        <v>15721</v>
      </c>
      <c r="H4825" t="s">
        <v>1027</v>
      </c>
      <c r="I4825" t="s">
        <v>19</v>
      </c>
      <c r="J4825" s="3" t="s">
        <v>15722</v>
      </c>
      <c r="K4825" t="s">
        <v>15723</v>
      </c>
      <c r="L4825" t="s">
        <v>1030</v>
      </c>
      <c r="M4825" t="s">
        <v>129</v>
      </c>
    </row>
    <row r="4826" spans="1:13" x14ac:dyDescent="0.25">
      <c r="A4826" t="s">
        <v>12232</v>
      </c>
      <c r="B4826" t="s">
        <v>13</v>
      </c>
      <c r="C4826" t="s">
        <v>7455</v>
      </c>
      <c r="D4826" t="s">
        <v>12233</v>
      </c>
      <c r="E4826" t="s">
        <v>12234</v>
      </c>
      <c r="F4826" t="s">
        <v>1464</v>
      </c>
      <c r="G4826" t="s">
        <v>12235</v>
      </c>
      <c r="H4826" t="s">
        <v>409</v>
      </c>
      <c r="I4826" t="s">
        <v>19</v>
      </c>
      <c r="J4826" s="3">
        <f>55-48-37212281</f>
        <v>-37212274</v>
      </c>
      <c r="K4826" t="s">
        <v>12236</v>
      </c>
      <c r="L4826" t="s">
        <v>412</v>
      </c>
      <c r="M4826" t="s">
        <v>129</v>
      </c>
    </row>
    <row r="4827" spans="1:13" x14ac:dyDescent="0.25">
      <c r="A4827" t="s">
        <v>17702</v>
      </c>
      <c r="B4827" t="s">
        <v>13</v>
      </c>
      <c r="C4827" t="s">
        <v>17669</v>
      </c>
      <c r="D4827" t="s">
        <v>17703</v>
      </c>
      <c r="E4827" t="s">
        <v>12234</v>
      </c>
      <c r="F4827" t="s">
        <v>1464</v>
      </c>
      <c r="G4827" t="s">
        <v>12235</v>
      </c>
      <c r="H4827" t="s">
        <v>409</v>
      </c>
      <c r="I4827" t="s">
        <v>19</v>
      </c>
      <c r="J4827" s="3">
        <f>55-48-37212281</f>
        <v>-37212274</v>
      </c>
      <c r="K4827" t="s">
        <v>12236</v>
      </c>
      <c r="L4827" t="s">
        <v>412</v>
      </c>
      <c r="M4827" t="s">
        <v>129</v>
      </c>
    </row>
    <row r="4828" spans="1:13" x14ac:dyDescent="0.25">
      <c r="A4828" t="s">
        <v>11737</v>
      </c>
      <c r="B4828" t="s">
        <v>101</v>
      </c>
      <c r="C4828" t="s">
        <v>11721</v>
      </c>
      <c r="D4828" t="s">
        <v>11738</v>
      </c>
      <c r="E4828" t="s">
        <v>11739</v>
      </c>
      <c r="F4828" t="s">
        <v>1464</v>
      </c>
      <c r="G4828" t="s">
        <v>11740</v>
      </c>
      <c r="H4828" t="s">
        <v>706</v>
      </c>
      <c r="I4828" t="s">
        <v>19</v>
      </c>
      <c r="J4828" s="3" t="s">
        <v>11741</v>
      </c>
      <c r="K4828" t="s">
        <v>11742</v>
      </c>
      <c r="L4828" t="s">
        <v>3966</v>
      </c>
      <c r="M4828" t="s">
        <v>129</v>
      </c>
    </row>
    <row r="4829" spans="1:13" x14ac:dyDescent="0.25">
      <c r="A4829" t="s">
        <v>29741</v>
      </c>
      <c r="B4829" t="s">
        <v>13</v>
      </c>
      <c r="C4829" t="s">
        <v>29742</v>
      </c>
      <c r="D4829" t="s">
        <v>29743</v>
      </c>
      <c r="E4829" t="s">
        <v>29744</v>
      </c>
      <c r="F4829" t="s">
        <v>129</v>
      </c>
      <c r="G4829" t="s">
        <v>29745</v>
      </c>
      <c r="H4829" t="s">
        <v>36</v>
      </c>
      <c r="I4829" t="s">
        <v>19</v>
      </c>
      <c r="J4829" s="3" t="s">
        <v>29746</v>
      </c>
      <c r="K4829" t="s">
        <v>29747</v>
      </c>
      <c r="L4829" t="s">
        <v>328</v>
      </c>
      <c r="M4829" t="s">
        <v>129</v>
      </c>
    </row>
    <row r="4830" spans="1:13" x14ac:dyDescent="0.25">
      <c r="A4830" t="s">
        <v>30075</v>
      </c>
      <c r="B4830" t="s">
        <v>13</v>
      </c>
      <c r="C4830" t="s">
        <v>14184</v>
      </c>
      <c r="D4830" t="s">
        <v>30076</v>
      </c>
      <c r="E4830" t="s">
        <v>30077</v>
      </c>
      <c r="F4830" t="s">
        <v>117</v>
      </c>
      <c r="G4830" t="s">
        <v>30078</v>
      </c>
      <c r="H4830" t="s">
        <v>150</v>
      </c>
      <c r="I4830" t="s">
        <v>19</v>
      </c>
      <c r="J4830" s="3" t="s">
        <v>30079</v>
      </c>
      <c r="K4830" t="s">
        <v>22217</v>
      </c>
      <c r="L4830" t="s">
        <v>1999</v>
      </c>
      <c r="M4830" t="s">
        <v>32145</v>
      </c>
    </row>
    <row r="4831" spans="1:13" x14ac:dyDescent="0.25">
      <c r="A4831" t="s">
        <v>14206</v>
      </c>
      <c r="B4831" t="s">
        <v>13</v>
      </c>
      <c r="C4831" t="s">
        <v>14201</v>
      </c>
      <c r="D4831" t="s">
        <v>14207</v>
      </c>
      <c r="E4831" t="s">
        <v>14208</v>
      </c>
      <c r="F4831" t="s">
        <v>2947</v>
      </c>
      <c r="G4831" t="s">
        <v>14209</v>
      </c>
      <c r="H4831" t="s">
        <v>1802</v>
      </c>
      <c r="I4831" t="s">
        <v>19</v>
      </c>
      <c r="J4831" s="3" t="s">
        <v>14210</v>
      </c>
      <c r="K4831" t="s">
        <v>14211</v>
      </c>
      <c r="L4831" t="s">
        <v>14212</v>
      </c>
      <c r="M4831" t="s">
        <v>771</v>
      </c>
    </row>
    <row r="4832" spans="1:13" x14ac:dyDescent="0.25">
      <c r="A4832" t="s">
        <v>21475</v>
      </c>
      <c r="B4832" t="s">
        <v>13</v>
      </c>
      <c r="C4832" t="s">
        <v>9807</v>
      </c>
      <c r="D4832" t="s">
        <v>21476</v>
      </c>
      <c r="E4832" s="2" t="s">
        <v>31623</v>
      </c>
      <c r="F4832" t="s">
        <v>1464</v>
      </c>
      <c r="G4832" t="s">
        <v>1559</v>
      </c>
      <c r="H4832" t="s">
        <v>428</v>
      </c>
      <c r="I4832" t="s">
        <v>19</v>
      </c>
      <c r="J4832" s="3" t="s">
        <v>21477</v>
      </c>
      <c r="K4832" t="s">
        <v>1561</v>
      </c>
      <c r="L4832" t="s">
        <v>1113</v>
      </c>
      <c r="M4832" t="s">
        <v>129</v>
      </c>
    </row>
    <row r="4833" spans="1:13" x14ac:dyDescent="0.25">
      <c r="A4833" t="s">
        <v>18879</v>
      </c>
      <c r="B4833" t="s">
        <v>13</v>
      </c>
      <c r="C4833" s="1">
        <v>43202</v>
      </c>
      <c r="D4833" t="s">
        <v>18880</v>
      </c>
      <c r="E4833" t="s">
        <v>1843</v>
      </c>
      <c r="F4833" t="s">
        <v>129</v>
      </c>
      <c r="G4833" t="s">
        <v>13916</v>
      </c>
      <c r="H4833" t="s">
        <v>36</v>
      </c>
      <c r="I4833" t="s">
        <v>19</v>
      </c>
      <c r="J4833" s="3">
        <f>55-21-21767000</f>
        <v>-21766966</v>
      </c>
      <c r="K4833" t="s">
        <v>13917</v>
      </c>
      <c r="L4833" t="s">
        <v>13918</v>
      </c>
      <c r="M4833" t="s">
        <v>129</v>
      </c>
    </row>
    <row r="4834" spans="1:13" x14ac:dyDescent="0.25">
      <c r="A4834" t="s">
        <v>8306</v>
      </c>
      <c r="B4834" t="s">
        <v>13</v>
      </c>
      <c r="C4834" s="1">
        <v>44318</v>
      </c>
      <c r="D4834" t="s">
        <v>8307</v>
      </c>
      <c r="E4834" t="s">
        <v>1843</v>
      </c>
      <c r="F4834" t="s">
        <v>117</v>
      </c>
      <c r="G4834" t="s">
        <v>8308</v>
      </c>
      <c r="H4834" t="s">
        <v>1466</v>
      </c>
      <c r="I4834" t="s">
        <v>19</v>
      </c>
      <c r="J4834" s="3">
        <v>3537011920</v>
      </c>
      <c r="K4834" t="s">
        <v>8309</v>
      </c>
      <c r="L4834" t="s">
        <v>8310</v>
      </c>
      <c r="M4834" t="s">
        <v>32145</v>
      </c>
    </row>
    <row r="4835" spans="1:13" x14ac:dyDescent="0.25">
      <c r="A4835" t="s">
        <v>20380</v>
      </c>
      <c r="B4835" t="s">
        <v>13</v>
      </c>
      <c r="C4835" t="s">
        <v>12154</v>
      </c>
      <c r="D4835" t="s">
        <v>20381</v>
      </c>
      <c r="E4835" t="s">
        <v>1843</v>
      </c>
      <c r="F4835" t="s">
        <v>8193</v>
      </c>
      <c r="G4835" t="s">
        <v>17844</v>
      </c>
      <c r="H4835" t="s">
        <v>3660</v>
      </c>
      <c r="I4835" t="s">
        <v>19</v>
      </c>
      <c r="J4835" s="3" t="s">
        <v>17845</v>
      </c>
      <c r="K4835" t="s">
        <v>17846</v>
      </c>
      <c r="L4835" t="s">
        <v>17847</v>
      </c>
      <c r="M4835" t="s">
        <v>129</v>
      </c>
    </row>
    <row r="4836" spans="1:13" x14ac:dyDescent="0.25">
      <c r="A4836" t="s">
        <v>15126</v>
      </c>
      <c r="B4836" t="s">
        <v>13</v>
      </c>
      <c r="C4836" s="1">
        <v>43627</v>
      </c>
      <c r="D4836" t="s">
        <v>15127</v>
      </c>
      <c r="E4836" t="s">
        <v>1843</v>
      </c>
      <c r="F4836" t="s">
        <v>1464</v>
      </c>
      <c r="G4836" t="s">
        <v>15128</v>
      </c>
      <c r="H4836" t="s">
        <v>372</v>
      </c>
      <c r="I4836" t="s">
        <v>19</v>
      </c>
      <c r="J4836" s="3">
        <v>551931241666</v>
      </c>
      <c r="K4836" t="s">
        <v>15129</v>
      </c>
      <c r="L4836" t="s">
        <v>11426</v>
      </c>
      <c r="M4836" t="s">
        <v>129</v>
      </c>
    </row>
    <row r="4837" spans="1:13" x14ac:dyDescent="0.25">
      <c r="A4837" t="s">
        <v>13362</v>
      </c>
      <c r="B4837" t="s">
        <v>13</v>
      </c>
      <c r="C4837" t="s">
        <v>13349</v>
      </c>
      <c r="D4837" t="s">
        <v>13363</v>
      </c>
      <c r="E4837" s="2" t="s">
        <v>32053</v>
      </c>
      <c r="F4837" t="s">
        <v>1464</v>
      </c>
      <c r="G4837" t="s">
        <v>13364</v>
      </c>
      <c r="H4837" t="s">
        <v>1486</v>
      </c>
      <c r="I4837" t="s">
        <v>19</v>
      </c>
      <c r="J4837" s="3">
        <v>553491112564</v>
      </c>
      <c r="K4837" t="s">
        <v>13365</v>
      </c>
      <c r="L4837" t="s">
        <v>1489</v>
      </c>
      <c r="M4837" t="s">
        <v>129</v>
      </c>
    </row>
    <row r="4838" spans="1:13" x14ac:dyDescent="0.25">
      <c r="A4838" t="s">
        <v>16958</v>
      </c>
      <c r="B4838" t="s">
        <v>13</v>
      </c>
      <c r="C4838" t="s">
        <v>16959</v>
      </c>
      <c r="D4838" t="s">
        <v>16960</v>
      </c>
      <c r="E4838" s="2" t="s">
        <v>32094</v>
      </c>
      <c r="F4838" t="s">
        <v>139</v>
      </c>
      <c r="G4838" t="s">
        <v>16961</v>
      </c>
      <c r="H4838" t="s">
        <v>88</v>
      </c>
      <c r="I4838" t="s">
        <v>19</v>
      </c>
      <c r="J4838" s="3" t="s">
        <v>16962</v>
      </c>
      <c r="K4838" t="s">
        <v>16963</v>
      </c>
      <c r="L4838" t="s">
        <v>91</v>
      </c>
      <c r="M4838" t="s">
        <v>32145</v>
      </c>
    </row>
    <row r="4839" spans="1:13" x14ac:dyDescent="0.25">
      <c r="A4839" t="s">
        <v>13313</v>
      </c>
      <c r="B4839" t="s">
        <v>13</v>
      </c>
      <c r="C4839" t="s">
        <v>13302</v>
      </c>
      <c r="D4839" t="s">
        <v>13314</v>
      </c>
      <c r="E4839" s="2" t="s">
        <v>31495</v>
      </c>
      <c r="F4839" t="s">
        <v>2036</v>
      </c>
      <c r="G4839" t="s">
        <v>13315</v>
      </c>
      <c r="H4839" t="s">
        <v>45</v>
      </c>
      <c r="I4839" t="s">
        <v>19</v>
      </c>
      <c r="J4839" s="3">
        <v>5585992390899</v>
      </c>
      <c r="K4839" t="s">
        <v>13316</v>
      </c>
      <c r="L4839" t="s">
        <v>1909</v>
      </c>
      <c r="M4839" t="s">
        <v>57</v>
      </c>
    </row>
    <row r="4840" spans="1:13" x14ac:dyDescent="0.25">
      <c r="A4840" t="s">
        <v>4603</v>
      </c>
      <c r="B4840" t="s">
        <v>13</v>
      </c>
      <c r="C4840" t="s">
        <v>4598</v>
      </c>
      <c r="D4840" t="s">
        <v>4604</v>
      </c>
      <c r="E4840" s="2" t="s">
        <v>30813</v>
      </c>
      <c r="F4840" t="s">
        <v>1843</v>
      </c>
      <c r="G4840" t="s">
        <v>4605</v>
      </c>
      <c r="H4840" t="s">
        <v>2678</v>
      </c>
      <c r="I4840" t="s">
        <v>19</v>
      </c>
      <c r="J4840" s="3" t="s">
        <v>4606</v>
      </c>
      <c r="K4840" t="s">
        <v>4607</v>
      </c>
      <c r="L4840" t="s">
        <v>4608</v>
      </c>
      <c r="M4840" t="s">
        <v>129</v>
      </c>
    </row>
    <row r="4841" spans="1:13" x14ac:dyDescent="0.25">
      <c r="A4841" t="s">
        <v>28073</v>
      </c>
      <c r="B4841" t="s">
        <v>13</v>
      </c>
      <c r="C4841" s="1">
        <v>42041</v>
      </c>
      <c r="D4841" t="s">
        <v>28074</v>
      </c>
      <c r="E4841" t="s">
        <v>28075</v>
      </c>
      <c r="F4841" t="s">
        <v>129</v>
      </c>
      <c r="G4841" t="s">
        <v>28076</v>
      </c>
      <c r="H4841" t="s">
        <v>608</v>
      </c>
      <c r="I4841" t="s">
        <v>19</v>
      </c>
      <c r="J4841" s="3" t="s">
        <v>28077</v>
      </c>
      <c r="K4841" t="s">
        <v>28078</v>
      </c>
      <c r="L4841" t="s">
        <v>610</v>
      </c>
      <c r="M4841" t="s">
        <v>129</v>
      </c>
    </row>
    <row r="4842" spans="1:13" x14ac:dyDescent="0.25">
      <c r="A4842" t="s">
        <v>28212</v>
      </c>
      <c r="B4842" t="s">
        <v>13</v>
      </c>
      <c r="C4842" t="s">
        <v>28201</v>
      </c>
      <c r="D4842" t="s">
        <v>28213</v>
      </c>
      <c r="E4842" t="s">
        <v>28214</v>
      </c>
      <c r="F4842" t="s">
        <v>2947</v>
      </c>
      <c r="G4842" t="s">
        <v>28215</v>
      </c>
      <c r="H4842" t="s">
        <v>4705</v>
      </c>
      <c r="I4842" t="s">
        <v>19</v>
      </c>
      <c r="J4842" s="3" t="s">
        <v>28216</v>
      </c>
      <c r="K4842" t="s">
        <v>28217</v>
      </c>
      <c r="L4842" t="s">
        <v>439</v>
      </c>
      <c r="M4842" t="s">
        <v>771</v>
      </c>
    </row>
    <row r="4843" spans="1:13" x14ac:dyDescent="0.25">
      <c r="A4843" t="s">
        <v>16036</v>
      </c>
      <c r="B4843" t="s">
        <v>13</v>
      </c>
      <c r="C4843" t="s">
        <v>6274</v>
      </c>
      <c r="D4843" t="s">
        <v>16037</v>
      </c>
      <c r="E4843" t="s">
        <v>32634</v>
      </c>
      <c r="F4843" t="s">
        <v>16031</v>
      </c>
      <c r="G4843" t="s">
        <v>16032</v>
      </c>
      <c r="H4843" t="s">
        <v>5523</v>
      </c>
      <c r="I4843" t="s">
        <v>19</v>
      </c>
      <c r="J4843" s="3" t="s">
        <v>16033</v>
      </c>
      <c r="K4843" t="s">
        <v>16034</v>
      </c>
      <c r="L4843" t="s">
        <v>16035</v>
      </c>
      <c r="M4843" t="s">
        <v>741</v>
      </c>
    </row>
    <row r="4844" spans="1:13" x14ac:dyDescent="0.25">
      <c r="A4844" t="s">
        <v>3948</v>
      </c>
      <c r="B4844" t="s">
        <v>13</v>
      </c>
      <c r="C4844" t="s">
        <v>3949</v>
      </c>
      <c r="D4844" t="s">
        <v>3950</v>
      </c>
      <c r="E4844" s="2" t="s">
        <v>31410</v>
      </c>
      <c r="F4844" t="s">
        <v>3951</v>
      </c>
      <c r="G4844" t="s">
        <v>3952</v>
      </c>
      <c r="H4844" t="s">
        <v>299</v>
      </c>
      <c r="I4844" t="s">
        <v>19</v>
      </c>
      <c r="J4844" s="3">
        <v>14997865741</v>
      </c>
      <c r="K4844" t="s">
        <v>3953</v>
      </c>
      <c r="L4844" t="s">
        <v>3954</v>
      </c>
      <c r="M4844" t="s">
        <v>32144</v>
      </c>
    </row>
    <row r="4845" spans="1:13" x14ac:dyDescent="0.25">
      <c r="A4845" t="s">
        <v>30358</v>
      </c>
      <c r="B4845" t="s">
        <v>13</v>
      </c>
      <c r="C4845" t="s">
        <v>16024</v>
      </c>
      <c r="D4845" t="s">
        <v>30359</v>
      </c>
      <c r="E4845" t="s">
        <v>30360</v>
      </c>
      <c r="F4845" t="s">
        <v>2947</v>
      </c>
      <c r="G4845" t="s">
        <v>30361</v>
      </c>
      <c r="H4845" t="s">
        <v>352</v>
      </c>
      <c r="I4845" t="s">
        <v>19</v>
      </c>
      <c r="J4845" s="3" t="s">
        <v>30362</v>
      </c>
      <c r="K4845" t="s">
        <v>30363</v>
      </c>
      <c r="L4845" t="s">
        <v>30364</v>
      </c>
      <c r="M4845" t="s">
        <v>771</v>
      </c>
    </row>
    <row r="4846" spans="1:13" x14ac:dyDescent="0.25">
      <c r="A4846" t="s">
        <v>28858</v>
      </c>
      <c r="B4846" t="s">
        <v>13</v>
      </c>
      <c r="C4846" s="1">
        <v>41674</v>
      </c>
      <c r="D4846" t="s">
        <v>28859</v>
      </c>
      <c r="E4846" t="s">
        <v>28860</v>
      </c>
      <c r="F4846" t="s">
        <v>10034</v>
      </c>
      <c r="G4846" t="s">
        <v>8765</v>
      </c>
      <c r="H4846" t="s">
        <v>352</v>
      </c>
      <c r="I4846" t="s">
        <v>19</v>
      </c>
      <c r="J4846" s="3" t="s">
        <v>28861</v>
      </c>
      <c r="K4846" t="s">
        <v>8457</v>
      </c>
      <c r="L4846" t="s">
        <v>1232</v>
      </c>
      <c r="M4846" t="s">
        <v>741</v>
      </c>
    </row>
    <row r="4847" spans="1:13" x14ac:dyDescent="0.25">
      <c r="A4847" t="s">
        <v>14774</v>
      </c>
      <c r="B4847" t="s">
        <v>101</v>
      </c>
      <c r="C4847" s="1">
        <v>43508</v>
      </c>
      <c r="D4847" t="s">
        <v>14775</v>
      </c>
      <c r="E4847" s="2" t="s">
        <v>31109</v>
      </c>
      <c r="F4847" t="s">
        <v>1190</v>
      </c>
      <c r="G4847" t="s">
        <v>14776</v>
      </c>
      <c r="H4847" t="s">
        <v>36</v>
      </c>
      <c r="I4847" t="s">
        <v>19</v>
      </c>
      <c r="J4847" s="3">
        <f>55-11-35490399</f>
        <v>-35490355</v>
      </c>
      <c r="K4847" t="s">
        <v>14456</v>
      </c>
      <c r="L4847" t="s">
        <v>10410</v>
      </c>
      <c r="M4847" t="s">
        <v>432</v>
      </c>
    </row>
    <row r="4848" spans="1:13" x14ac:dyDescent="0.25">
      <c r="A4848" t="s">
        <v>11567</v>
      </c>
      <c r="B4848" t="s">
        <v>13</v>
      </c>
      <c r="C4848" s="1">
        <v>43867</v>
      </c>
      <c r="D4848" t="s">
        <v>11568</v>
      </c>
      <c r="E4848" t="s">
        <v>8365</v>
      </c>
      <c r="F4848" t="s">
        <v>432</v>
      </c>
      <c r="G4848" t="s">
        <v>11569</v>
      </c>
      <c r="H4848" t="s">
        <v>352</v>
      </c>
      <c r="I4848" t="s">
        <v>19</v>
      </c>
      <c r="J4848" s="3">
        <v>552139382723</v>
      </c>
      <c r="K4848" t="s">
        <v>11570</v>
      </c>
      <c r="L4848" t="s">
        <v>11571</v>
      </c>
      <c r="M4848" t="s">
        <v>432</v>
      </c>
    </row>
    <row r="4849" spans="1:13" x14ac:dyDescent="0.25">
      <c r="A4849" t="s">
        <v>17050</v>
      </c>
      <c r="B4849" t="s">
        <v>13</v>
      </c>
      <c r="C4849" t="s">
        <v>17046</v>
      </c>
      <c r="D4849" t="s">
        <v>17051</v>
      </c>
      <c r="E4849" t="s">
        <v>8365</v>
      </c>
      <c r="F4849" t="s">
        <v>1190</v>
      </c>
      <c r="G4849" t="s">
        <v>17052</v>
      </c>
      <c r="H4849" t="s">
        <v>2598</v>
      </c>
      <c r="I4849" t="s">
        <v>19</v>
      </c>
      <c r="J4849" s="3" t="s">
        <v>17053</v>
      </c>
      <c r="K4849" t="s">
        <v>17054</v>
      </c>
      <c r="L4849" t="s">
        <v>17055</v>
      </c>
      <c r="M4849" t="s">
        <v>432</v>
      </c>
    </row>
    <row r="4850" spans="1:13" x14ac:dyDescent="0.25">
      <c r="A4850" t="s">
        <v>30530</v>
      </c>
      <c r="B4850" t="s">
        <v>13</v>
      </c>
      <c r="C4850" t="s">
        <v>30527</v>
      </c>
      <c r="D4850" t="s">
        <v>30531</v>
      </c>
      <c r="E4850" s="2" t="s">
        <v>31624</v>
      </c>
      <c r="F4850" t="s">
        <v>1464</v>
      </c>
      <c r="G4850" t="s">
        <v>30532</v>
      </c>
      <c r="H4850" t="s">
        <v>428</v>
      </c>
      <c r="I4850" t="s">
        <v>19</v>
      </c>
      <c r="J4850" s="3" t="s">
        <v>30533</v>
      </c>
      <c r="K4850" t="s">
        <v>30534</v>
      </c>
      <c r="L4850" t="s">
        <v>30535</v>
      </c>
      <c r="M4850" t="s">
        <v>432</v>
      </c>
    </row>
    <row r="4851" spans="1:13" x14ac:dyDescent="0.25">
      <c r="A4851" t="s">
        <v>24694</v>
      </c>
      <c r="B4851" t="s">
        <v>13</v>
      </c>
      <c r="C4851" t="s">
        <v>24679</v>
      </c>
      <c r="D4851" t="s">
        <v>24695</v>
      </c>
      <c r="E4851" t="s">
        <v>24696</v>
      </c>
      <c r="F4851" t="s">
        <v>1190</v>
      </c>
      <c r="G4851" t="s">
        <v>24697</v>
      </c>
      <c r="H4851" t="s">
        <v>1037</v>
      </c>
      <c r="I4851" t="s">
        <v>19</v>
      </c>
      <c r="J4851" s="3" t="s">
        <v>24698</v>
      </c>
      <c r="K4851" t="s">
        <v>24699</v>
      </c>
      <c r="L4851" t="s">
        <v>1040</v>
      </c>
      <c r="M4851" t="s">
        <v>432</v>
      </c>
    </row>
    <row r="4852" spans="1:13" x14ac:dyDescent="0.25">
      <c r="A4852" t="s">
        <v>21721</v>
      </c>
      <c r="B4852" t="s">
        <v>13</v>
      </c>
      <c r="C4852" s="1">
        <v>43105</v>
      </c>
      <c r="D4852" t="s">
        <v>21722</v>
      </c>
      <c r="E4852" s="2" t="s">
        <v>31395</v>
      </c>
      <c r="F4852" t="s">
        <v>10500</v>
      </c>
      <c r="G4852" t="s">
        <v>21723</v>
      </c>
      <c r="H4852" t="s">
        <v>21724</v>
      </c>
      <c r="I4852" t="s">
        <v>19</v>
      </c>
      <c r="J4852" s="3" t="s">
        <v>21725</v>
      </c>
      <c r="K4852" t="s">
        <v>21726</v>
      </c>
      <c r="L4852" t="s">
        <v>21727</v>
      </c>
      <c r="M4852" t="s">
        <v>129</v>
      </c>
    </row>
    <row r="4853" spans="1:13" x14ac:dyDescent="0.25">
      <c r="A4853" t="s">
        <v>27128</v>
      </c>
      <c r="B4853" t="s">
        <v>13</v>
      </c>
      <c r="C4853" s="1">
        <v>42583</v>
      </c>
      <c r="D4853" t="s">
        <v>27129</v>
      </c>
      <c r="E4853" t="s">
        <v>27130</v>
      </c>
      <c r="F4853" t="s">
        <v>1190</v>
      </c>
      <c r="G4853" t="s">
        <v>26830</v>
      </c>
      <c r="H4853" t="s">
        <v>428</v>
      </c>
      <c r="I4853" t="s">
        <v>19</v>
      </c>
      <c r="J4853" s="3" t="s">
        <v>26831</v>
      </c>
      <c r="K4853" t="s">
        <v>26832</v>
      </c>
      <c r="L4853" t="s">
        <v>26833</v>
      </c>
      <c r="M4853" t="s">
        <v>432</v>
      </c>
    </row>
    <row r="4854" spans="1:13" x14ac:dyDescent="0.25">
      <c r="A4854" t="s">
        <v>26364</v>
      </c>
      <c r="B4854" t="s">
        <v>13</v>
      </c>
      <c r="C4854" s="1">
        <v>42495</v>
      </c>
      <c r="D4854" t="s">
        <v>26365</v>
      </c>
      <c r="E4854" t="s">
        <v>32635</v>
      </c>
      <c r="F4854" t="s">
        <v>432</v>
      </c>
      <c r="G4854" t="s">
        <v>26366</v>
      </c>
      <c r="H4854" t="s">
        <v>428</v>
      </c>
      <c r="I4854" t="s">
        <v>19</v>
      </c>
      <c r="J4854" s="3">
        <v>555181822674</v>
      </c>
      <c r="K4854" t="s">
        <v>26367</v>
      </c>
      <c r="L4854" t="s">
        <v>1269</v>
      </c>
      <c r="M4854" t="s">
        <v>432</v>
      </c>
    </row>
    <row r="4855" spans="1:13" x14ac:dyDescent="0.25">
      <c r="A4855" t="s">
        <v>4283</v>
      </c>
      <c r="B4855" t="s">
        <v>101</v>
      </c>
      <c r="C4855" t="s">
        <v>4274</v>
      </c>
      <c r="D4855" t="s">
        <v>4284</v>
      </c>
      <c r="E4855" t="s">
        <v>2856</v>
      </c>
      <c r="F4855" t="s">
        <v>4201</v>
      </c>
      <c r="G4855" t="s">
        <v>4285</v>
      </c>
      <c r="H4855" t="s">
        <v>428</v>
      </c>
      <c r="I4855" t="s">
        <v>19</v>
      </c>
      <c r="J4855" s="3" t="s">
        <v>4286</v>
      </c>
      <c r="K4855" t="s">
        <v>4287</v>
      </c>
      <c r="L4855" t="s">
        <v>1269</v>
      </c>
      <c r="M4855" t="s">
        <v>432</v>
      </c>
    </row>
    <row r="4856" spans="1:13" x14ac:dyDescent="0.25">
      <c r="A4856" t="s">
        <v>9383</v>
      </c>
      <c r="B4856" t="s">
        <v>13</v>
      </c>
      <c r="C4856" s="1">
        <v>43871</v>
      </c>
      <c r="D4856" t="s">
        <v>9384</v>
      </c>
      <c r="E4856" t="s">
        <v>7784</v>
      </c>
      <c r="F4856" t="s">
        <v>2856</v>
      </c>
      <c r="G4856" t="s">
        <v>9385</v>
      </c>
      <c r="H4856" t="s">
        <v>36</v>
      </c>
      <c r="I4856" t="s">
        <v>19</v>
      </c>
      <c r="J4856" s="3">
        <f>55-11-99902-560</f>
        <v>-100418</v>
      </c>
      <c r="K4856" t="s">
        <v>9386</v>
      </c>
      <c r="L4856" t="s">
        <v>9387</v>
      </c>
      <c r="M4856" t="s">
        <v>432</v>
      </c>
    </row>
    <row r="4857" spans="1:13" x14ac:dyDescent="0.25">
      <c r="A4857" t="s">
        <v>26451</v>
      </c>
      <c r="B4857" t="s">
        <v>13</v>
      </c>
      <c r="C4857" t="s">
        <v>26446</v>
      </c>
      <c r="D4857" t="s">
        <v>26452</v>
      </c>
      <c r="E4857" t="s">
        <v>26453</v>
      </c>
      <c r="F4857" t="s">
        <v>1190</v>
      </c>
      <c r="G4857" t="s">
        <v>26454</v>
      </c>
      <c r="H4857" t="s">
        <v>4092</v>
      </c>
      <c r="I4857" t="s">
        <v>19</v>
      </c>
      <c r="J4857" s="3" t="s">
        <v>26455</v>
      </c>
      <c r="K4857" t="s">
        <v>26456</v>
      </c>
      <c r="L4857" t="s">
        <v>16887</v>
      </c>
      <c r="M4857" t="s">
        <v>432</v>
      </c>
    </row>
    <row r="4858" spans="1:13" x14ac:dyDescent="0.25">
      <c r="A4858" t="s">
        <v>7474</v>
      </c>
      <c r="B4858" t="s">
        <v>13</v>
      </c>
      <c r="C4858" t="s">
        <v>7475</v>
      </c>
      <c r="D4858" t="s">
        <v>32135</v>
      </c>
      <c r="E4858" s="2" t="s">
        <v>32109</v>
      </c>
      <c r="F4858" t="s">
        <v>1349</v>
      </c>
      <c r="G4858" t="s">
        <v>7476</v>
      </c>
      <c r="H4858" t="s">
        <v>7109</v>
      </c>
      <c r="I4858" t="s">
        <v>19</v>
      </c>
      <c r="J4858" s="3" t="s">
        <v>7477</v>
      </c>
      <c r="K4858" t="s">
        <v>7478</v>
      </c>
      <c r="L4858" t="s">
        <v>32135</v>
      </c>
      <c r="M4858" t="s">
        <v>1349</v>
      </c>
    </row>
    <row r="4859" spans="1:13" x14ac:dyDescent="0.25">
      <c r="A4859" t="s">
        <v>18071</v>
      </c>
      <c r="B4859" t="s">
        <v>13</v>
      </c>
      <c r="C4859" t="s">
        <v>18064</v>
      </c>
      <c r="D4859" t="s">
        <v>18072</v>
      </c>
      <c r="E4859" t="s">
        <v>18073</v>
      </c>
      <c r="F4859" t="s">
        <v>432</v>
      </c>
      <c r="G4859" t="s">
        <v>18074</v>
      </c>
      <c r="H4859" t="s">
        <v>706</v>
      </c>
      <c r="I4859" t="s">
        <v>19</v>
      </c>
      <c r="J4859" s="3">
        <v>31998147691</v>
      </c>
      <c r="K4859" t="s">
        <v>18075</v>
      </c>
      <c r="L4859" t="s">
        <v>10014</v>
      </c>
      <c r="M4859" t="s">
        <v>432</v>
      </c>
    </row>
    <row r="4860" spans="1:13" x14ac:dyDescent="0.25">
      <c r="A4860" t="s">
        <v>12107</v>
      </c>
      <c r="B4860" t="s">
        <v>13</v>
      </c>
      <c r="C4860" t="s">
        <v>9668</v>
      </c>
      <c r="D4860" t="s">
        <v>12108</v>
      </c>
      <c r="E4860" t="s">
        <v>12109</v>
      </c>
      <c r="F4860" t="s">
        <v>432</v>
      </c>
      <c r="G4860" t="s">
        <v>9198</v>
      </c>
      <c r="H4860" t="s">
        <v>352</v>
      </c>
      <c r="I4860" t="s">
        <v>19</v>
      </c>
      <c r="J4860" s="3" t="s">
        <v>9199</v>
      </c>
      <c r="K4860" t="s">
        <v>9200</v>
      </c>
      <c r="L4860" t="s">
        <v>9201</v>
      </c>
      <c r="M4860" t="s">
        <v>432</v>
      </c>
    </row>
    <row r="4861" spans="1:13" x14ac:dyDescent="0.25">
      <c r="A4861" t="s">
        <v>725</v>
      </c>
      <c r="B4861" t="s">
        <v>13</v>
      </c>
      <c r="C4861" t="s">
        <v>701</v>
      </c>
      <c r="D4861" t="s">
        <v>726</v>
      </c>
      <c r="E4861" t="s">
        <v>245</v>
      </c>
      <c r="F4861" t="s">
        <v>727</v>
      </c>
      <c r="G4861" t="s">
        <v>728</v>
      </c>
      <c r="H4861" t="s">
        <v>729</v>
      </c>
      <c r="I4861" t="s">
        <v>19</v>
      </c>
      <c r="J4861" s="3" t="s">
        <v>730</v>
      </c>
      <c r="K4861" t="s">
        <v>731</v>
      </c>
      <c r="L4861" t="s">
        <v>732</v>
      </c>
      <c r="M4861" t="s">
        <v>432</v>
      </c>
    </row>
    <row r="4862" spans="1:13" x14ac:dyDescent="0.25">
      <c r="A4862" t="s">
        <v>28698</v>
      </c>
      <c r="B4862" t="s">
        <v>13</v>
      </c>
      <c r="C4862" t="s">
        <v>28695</v>
      </c>
      <c r="D4862" t="s">
        <v>28699</v>
      </c>
      <c r="E4862" t="s">
        <v>28700</v>
      </c>
      <c r="F4862" t="s">
        <v>1190</v>
      </c>
      <c r="G4862" t="s">
        <v>7641</v>
      </c>
      <c r="H4862" t="s">
        <v>706</v>
      </c>
      <c r="I4862" t="s">
        <v>19</v>
      </c>
      <c r="J4862" s="3" t="s">
        <v>28701</v>
      </c>
      <c r="K4862" t="s">
        <v>28702</v>
      </c>
      <c r="L4862" t="s">
        <v>7643</v>
      </c>
      <c r="M4862" t="s">
        <v>432</v>
      </c>
    </row>
    <row r="4863" spans="1:13" x14ac:dyDescent="0.25">
      <c r="A4863" t="s">
        <v>19238</v>
      </c>
      <c r="B4863" t="s">
        <v>13</v>
      </c>
      <c r="C4863" t="s">
        <v>19229</v>
      </c>
      <c r="D4863" t="s">
        <v>19239</v>
      </c>
      <c r="E4863" s="2" t="s">
        <v>31223</v>
      </c>
      <c r="F4863" t="s">
        <v>1190</v>
      </c>
      <c r="G4863" t="s">
        <v>17894</v>
      </c>
      <c r="H4863" t="s">
        <v>6621</v>
      </c>
      <c r="I4863" t="s">
        <v>19</v>
      </c>
      <c r="J4863" s="3">
        <f>55-82-999803853</f>
        <v>-999803880</v>
      </c>
      <c r="K4863" t="s">
        <v>17895</v>
      </c>
      <c r="L4863" t="s">
        <v>17896</v>
      </c>
      <c r="M4863" t="s">
        <v>432</v>
      </c>
    </row>
    <row r="4864" spans="1:13" x14ac:dyDescent="0.25">
      <c r="A4864" t="s">
        <v>28499</v>
      </c>
      <c r="B4864" t="s">
        <v>13</v>
      </c>
      <c r="C4864" s="1">
        <v>42038</v>
      </c>
      <c r="D4864" t="s">
        <v>28500</v>
      </c>
      <c r="E4864" t="s">
        <v>10232</v>
      </c>
      <c r="F4864" t="s">
        <v>432</v>
      </c>
      <c r="G4864" t="s">
        <v>6481</v>
      </c>
      <c r="H4864" t="s">
        <v>352</v>
      </c>
      <c r="I4864" t="s">
        <v>19</v>
      </c>
      <c r="J4864" s="3">
        <v>552125383541</v>
      </c>
      <c r="K4864" t="s">
        <v>6482</v>
      </c>
      <c r="L4864" t="s">
        <v>28501</v>
      </c>
      <c r="M4864" t="s">
        <v>432</v>
      </c>
    </row>
    <row r="4865" spans="1:13" x14ac:dyDescent="0.25">
      <c r="A4865" t="s">
        <v>1626</v>
      </c>
      <c r="B4865" t="s">
        <v>101</v>
      </c>
      <c r="C4865" t="s">
        <v>1627</v>
      </c>
      <c r="D4865" t="s">
        <v>1628</v>
      </c>
      <c r="E4865" t="s">
        <v>1629</v>
      </c>
      <c r="F4865" t="s">
        <v>1630</v>
      </c>
      <c r="G4865" t="s">
        <v>1631</v>
      </c>
      <c r="H4865" t="s">
        <v>88</v>
      </c>
      <c r="I4865" t="s">
        <v>19</v>
      </c>
      <c r="J4865" s="3">
        <f>55843215-4270</f>
        <v>55838945</v>
      </c>
      <c r="K4865" t="s">
        <v>1632</v>
      </c>
      <c r="L4865" t="s">
        <v>91</v>
      </c>
      <c r="M4865" t="s">
        <v>432</v>
      </c>
    </row>
    <row r="4866" spans="1:13" x14ac:dyDescent="0.25">
      <c r="A4866" t="s">
        <v>28579</v>
      </c>
      <c r="B4866" t="s">
        <v>101</v>
      </c>
      <c r="C4866" t="s">
        <v>28567</v>
      </c>
      <c r="D4866" t="s">
        <v>28580</v>
      </c>
      <c r="E4866" t="s">
        <v>28581</v>
      </c>
      <c r="F4866" t="s">
        <v>1190</v>
      </c>
      <c r="G4866" t="s">
        <v>20655</v>
      </c>
      <c r="H4866" t="s">
        <v>2626</v>
      </c>
      <c r="I4866" t="s">
        <v>19</v>
      </c>
      <c r="J4866" s="3" t="s">
        <v>20656</v>
      </c>
      <c r="K4866" t="s">
        <v>20657</v>
      </c>
      <c r="L4866" t="s">
        <v>3305</v>
      </c>
      <c r="M4866" t="s">
        <v>432</v>
      </c>
    </row>
    <row r="4867" spans="1:13" x14ac:dyDescent="0.25">
      <c r="A4867" t="s">
        <v>29310</v>
      </c>
      <c r="B4867" t="s">
        <v>101</v>
      </c>
      <c r="C4867" t="s">
        <v>29311</v>
      </c>
      <c r="D4867" t="s">
        <v>29312</v>
      </c>
      <c r="E4867" t="s">
        <v>29313</v>
      </c>
      <c r="F4867" t="s">
        <v>1190</v>
      </c>
      <c r="G4867" t="s">
        <v>29314</v>
      </c>
      <c r="H4867" t="s">
        <v>29315</v>
      </c>
      <c r="I4867" t="s">
        <v>19</v>
      </c>
      <c r="J4867" s="3" t="s">
        <v>29316</v>
      </c>
      <c r="K4867" t="s">
        <v>29317</v>
      </c>
      <c r="L4867" t="s">
        <v>29318</v>
      </c>
      <c r="M4867" t="s">
        <v>432</v>
      </c>
    </row>
    <row r="4868" spans="1:13" x14ac:dyDescent="0.25">
      <c r="A4868" t="s">
        <v>25354</v>
      </c>
      <c r="B4868" t="s">
        <v>13</v>
      </c>
      <c r="C4868" s="1">
        <v>42653</v>
      </c>
      <c r="D4868" t="s">
        <v>25355</v>
      </c>
      <c r="E4868" t="s">
        <v>25356</v>
      </c>
      <c r="F4868" t="s">
        <v>6656</v>
      </c>
      <c r="G4868" t="s">
        <v>25329</v>
      </c>
      <c r="H4868" t="s">
        <v>5100</v>
      </c>
      <c r="I4868" t="s">
        <v>19</v>
      </c>
      <c r="J4868" s="3">
        <v>5581999773955</v>
      </c>
      <c r="K4868" t="s">
        <v>25331</v>
      </c>
      <c r="L4868" t="s">
        <v>23006</v>
      </c>
      <c r="M4868" t="s">
        <v>6656</v>
      </c>
    </row>
    <row r="4869" spans="1:13" x14ac:dyDescent="0.25">
      <c r="A4869" t="s">
        <v>27590</v>
      </c>
      <c r="B4869" t="s">
        <v>13</v>
      </c>
      <c r="C4869" t="s">
        <v>27591</v>
      </c>
      <c r="D4869" t="s">
        <v>27592</v>
      </c>
      <c r="E4869" t="s">
        <v>27593</v>
      </c>
      <c r="F4869" t="s">
        <v>1190</v>
      </c>
      <c r="G4869" t="s">
        <v>27594</v>
      </c>
      <c r="H4869" t="s">
        <v>36</v>
      </c>
      <c r="I4869" t="s">
        <v>19</v>
      </c>
      <c r="J4869" s="3" t="s">
        <v>27595</v>
      </c>
      <c r="K4869" t="s">
        <v>27596</v>
      </c>
      <c r="L4869" t="s">
        <v>4744</v>
      </c>
      <c r="M4869" t="s">
        <v>432</v>
      </c>
    </row>
    <row r="4870" spans="1:13" x14ac:dyDescent="0.25">
      <c r="A4870" t="s">
        <v>30496</v>
      </c>
      <c r="B4870" t="s">
        <v>101</v>
      </c>
      <c r="C4870" t="s">
        <v>30187</v>
      </c>
      <c r="D4870" t="s">
        <v>30497</v>
      </c>
      <c r="E4870" t="s">
        <v>32636</v>
      </c>
      <c r="F4870" t="s">
        <v>2036</v>
      </c>
      <c r="G4870" t="s">
        <v>27487</v>
      </c>
      <c r="H4870" t="s">
        <v>36</v>
      </c>
      <c r="I4870" t="s">
        <v>19</v>
      </c>
      <c r="J4870" s="3" t="s">
        <v>30498</v>
      </c>
      <c r="K4870" t="s">
        <v>30499</v>
      </c>
      <c r="L4870" t="s">
        <v>321</v>
      </c>
      <c r="M4870" t="s">
        <v>57</v>
      </c>
    </row>
    <row r="4871" spans="1:13" x14ac:dyDescent="0.25">
      <c r="A4871" t="s">
        <v>26472</v>
      </c>
      <c r="B4871" t="s">
        <v>13</v>
      </c>
      <c r="C4871" t="s">
        <v>13644</v>
      </c>
      <c r="D4871" t="s">
        <v>26473</v>
      </c>
      <c r="E4871" t="s">
        <v>26474</v>
      </c>
      <c r="F4871" t="s">
        <v>2947</v>
      </c>
      <c r="G4871" t="s">
        <v>26475</v>
      </c>
      <c r="H4871" t="s">
        <v>893</v>
      </c>
      <c r="I4871" t="s">
        <v>19</v>
      </c>
      <c r="J4871" s="3" t="s">
        <v>26476</v>
      </c>
      <c r="K4871" t="s">
        <v>26477</v>
      </c>
      <c r="L4871" t="s">
        <v>13342</v>
      </c>
      <c r="M4871" t="s">
        <v>771</v>
      </c>
    </row>
    <row r="4872" spans="1:13" x14ac:dyDescent="0.25">
      <c r="A4872" t="s">
        <v>19292</v>
      </c>
      <c r="B4872" t="s">
        <v>13</v>
      </c>
      <c r="C4872" s="1">
        <v>43380</v>
      </c>
      <c r="D4872" t="s">
        <v>19293</v>
      </c>
      <c r="E4872" t="s">
        <v>19294</v>
      </c>
      <c r="F4872" t="s">
        <v>1190</v>
      </c>
      <c r="G4872" t="s">
        <v>19295</v>
      </c>
      <c r="H4872" t="s">
        <v>265</v>
      </c>
      <c r="I4872" t="s">
        <v>19</v>
      </c>
      <c r="J4872" s="3">
        <f>55-16-997179562</f>
        <v>-997179523</v>
      </c>
      <c r="K4872" t="s">
        <v>19296</v>
      </c>
      <c r="L4872" t="s">
        <v>19297</v>
      </c>
      <c r="M4872" t="s">
        <v>32162</v>
      </c>
    </row>
    <row r="4873" spans="1:13" x14ac:dyDescent="0.25">
      <c r="A4873" t="s">
        <v>10536</v>
      </c>
      <c r="B4873" t="s">
        <v>13</v>
      </c>
      <c r="C4873" s="1">
        <v>44020</v>
      </c>
      <c r="D4873" t="s">
        <v>10537</v>
      </c>
      <c r="E4873" t="s">
        <v>727</v>
      </c>
      <c r="F4873" t="s">
        <v>432</v>
      </c>
      <c r="G4873" t="s">
        <v>10538</v>
      </c>
      <c r="H4873" t="s">
        <v>936</v>
      </c>
      <c r="I4873" t="s">
        <v>19</v>
      </c>
      <c r="J4873" s="3">
        <f>55713117-1600</f>
        <v>55711517</v>
      </c>
      <c r="K4873" t="s">
        <v>10539</v>
      </c>
      <c r="L4873" t="s">
        <v>10540</v>
      </c>
      <c r="M4873" t="s">
        <v>432</v>
      </c>
    </row>
    <row r="4874" spans="1:13" x14ac:dyDescent="0.25">
      <c r="A4874" t="s">
        <v>23914</v>
      </c>
      <c r="B4874" t="s">
        <v>13</v>
      </c>
      <c r="C4874" t="s">
        <v>23902</v>
      </c>
      <c r="D4874" t="s">
        <v>23915</v>
      </c>
      <c r="E4874" s="2" t="s">
        <v>31333</v>
      </c>
      <c r="F4874" t="s">
        <v>1190</v>
      </c>
      <c r="G4874" t="s">
        <v>23916</v>
      </c>
      <c r="H4874" t="s">
        <v>1466</v>
      </c>
      <c r="I4874" t="s">
        <v>19</v>
      </c>
      <c r="J4874" s="3" t="s">
        <v>23917</v>
      </c>
      <c r="K4874" t="s">
        <v>8309</v>
      </c>
      <c r="L4874" t="s">
        <v>3936</v>
      </c>
      <c r="M4874" t="s">
        <v>432</v>
      </c>
    </row>
    <row r="4875" spans="1:13" x14ac:dyDescent="0.25">
      <c r="A4875" t="s">
        <v>4522</v>
      </c>
      <c r="B4875" t="s">
        <v>13</v>
      </c>
      <c r="C4875" s="1">
        <v>44595</v>
      </c>
      <c r="D4875" t="s">
        <v>32135</v>
      </c>
      <c r="E4875" t="s">
        <v>4523</v>
      </c>
      <c r="F4875" t="s">
        <v>546</v>
      </c>
      <c r="G4875" t="s">
        <v>4524</v>
      </c>
      <c r="H4875" t="s">
        <v>265</v>
      </c>
      <c r="I4875" t="s">
        <v>19</v>
      </c>
      <c r="J4875" s="3">
        <f>55-16-3963-6650</f>
        <v>-10574</v>
      </c>
      <c r="K4875" t="s">
        <v>4525</v>
      </c>
      <c r="L4875" t="s">
        <v>4526</v>
      </c>
      <c r="M4875" t="s">
        <v>771</v>
      </c>
    </row>
    <row r="4876" spans="1:13" x14ac:dyDescent="0.25">
      <c r="A4876" t="s">
        <v>26338</v>
      </c>
      <c r="B4876" t="s">
        <v>13</v>
      </c>
      <c r="C4876" s="1">
        <v>42495</v>
      </c>
      <c r="D4876" t="s">
        <v>26339</v>
      </c>
      <c r="E4876" s="2" t="s">
        <v>31343</v>
      </c>
      <c r="F4876" t="s">
        <v>1190</v>
      </c>
      <c r="G4876" t="s">
        <v>26340</v>
      </c>
      <c r="H4876" t="s">
        <v>150</v>
      </c>
      <c r="I4876" t="s">
        <v>19</v>
      </c>
      <c r="J4876" s="3" t="s">
        <v>26341</v>
      </c>
      <c r="K4876" t="s">
        <v>26342</v>
      </c>
      <c r="L4876" t="s">
        <v>26343</v>
      </c>
      <c r="M4876" t="s">
        <v>432</v>
      </c>
    </row>
    <row r="4877" spans="1:13" x14ac:dyDescent="0.25">
      <c r="A4877" t="s">
        <v>9566</v>
      </c>
      <c r="B4877" t="s">
        <v>13</v>
      </c>
      <c r="C4877" t="s">
        <v>6204</v>
      </c>
      <c r="D4877" t="s">
        <v>9567</v>
      </c>
      <c r="E4877" t="s">
        <v>9568</v>
      </c>
      <c r="F4877" t="s">
        <v>432</v>
      </c>
      <c r="G4877" t="s">
        <v>9569</v>
      </c>
      <c r="H4877" t="s">
        <v>36</v>
      </c>
      <c r="I4877" t="s">
        <v>19</v>
      </c>
      <c r="J4877" s="3">
        <f>55-33-99116-5602</f>
        <v>-104696</v>
      </c>
      <c r="K4877" t="s">
        <v>9570</v>
      </c>
      <c r="L4877" t="s">
        <v>9571</v>
      </c>
      <c r="M4877" t="s">
        <v>432</v>
      </c>
    </row>
    <row r="4878" spans="1:13" x14ac:dyDescent="0.25">
      <c r="A4878" t="s">
        <v>9995</v>
      </c>
      <c r="B4878" t="s">
        <v>13</v>
      </c>
      <c r="C4878" s="1">
        <v>43839</v>
      </c>
      <c r="D4878" t="s">
        <v>9996</v>
      </c>
      <c r="E4878" t="s">
        <v>9997</v>
      </c>
      <c r="F4878" t="s">
        <v>1190</v>
      </c>
      <c r="G4878" t="s">
        <v>9998</v>
      </c>
      <c r="H4878" t="s">
        <v>444</v>
      </c>
      <c r="I4878" t="s">
        <v>19</v>
      </c>
      <c r="J4878" s="3">
        <f>55-81-97597901</f>
        <v>-97597927</v>
      </c>
      <c r="K4878" t="s">
        <v>9999</v>
      </c>
      <c r="L4878" t="s">
        <v>1193</v>
      </c>
      <c r="M4878" t="s">
        <v>432</v>
      </c>
    </row>
    <row r="4879" spans="1:13" x14ac:dyDescent="0.25">
      <c r="A4879" t="s">
        <v>27382</v>
      </c>
      <c r="B4879" t="s">
        <v>13</v>
      </c>
      <c r="C4879" t="s">
        <v>27380</v>
      </c>
      <c r="D4879" t="s">
        <v>27383</v>
      </c>
      <c r="E4879" t="s">
        <v>27384</v>
      </c>
      <c r="F4879" t="s">
        <v>1190</v>
      </c>
      <c r="G4879" t="s">
        <v>27385</v>
      </c>
      <c r="H4879" t="s">
        <v>428</v>
      </c>
      <c r="I4879" t="s">
        <v>19</v>
      </c>
      <c r="J4879" s="3" t="s">
        <v>27386</v>
      </c>
      <c r="K4879" t="s">
        <v>4000</v>
      </c>
      <c r="L4879" t="s">
        <v>15134</v>
      </c>
      <c r="M4879" t="s">
        <v>432</v>
      </c>
    </row>
    <row r="4880" spans="1:13" x14ac:dyDescent="0.25">
      <c r="A4880" t="s">
        <v>7885</v>
      </c>
      <c r="B4880" t="s">
        <v>101</v>
      </c>
      <c r="C4880" t="s">
        <v>7886</v>
      </c>
      <c r="D4880" t="s">
        <v>32135</v>
      </c>
      <c r="E4880" t="s">
        <v>1190</v>
      </c>
      <c r="F4880" t="s">
        <v>741</v>
      </c>
      <c r="G4880" t="s">
        <v>7887</v>
      </c>
      <c r="H4880" t="s">
        <v>7888</v>
      </c>
      <c r="I4880" t="s">
        <v>19</v>
      </c>
      <c r="J4880" s="3" t="s">
        <v>7889</v>
      </c>
      <c r="K4880" t="s">
        <v>7890</v>
      </c>
      <c r="L4880" t="s">
        <v>32135</v>
      </c>
      <c r="M4880" t="s">
        <v>741</v>
      </c>
    </row>
    <row r="4881" spans="1:13" x14ac:dyDescent="0.25">
      <c r="A4881" t="s">
        <v>13224</v>
      </c>
      <c r="B4881" t="s">
        <v>101</v>
      </c>
      <c r="C4881" s="1">
        <v>43893</v>
      </c>
      <c r="D4881" t="s">
        <v>13225</v>
      </c>
      <c r="E4881" t="s">
        <v>1190</v>
      </c>
      <c r="F4881" t="s">
        <v>1190</v>
      </c>
      <c r="G4881" t="s">
        <v>13226</v>
      </c>
      <c r="H4881" t="s">
        <v>706</v>
      </c>
      <c r="I4881" t="s">
        <v>19</v>
      </c>
      <c r="J4881" s="3" t="s">
        <v>13227</v>
      </c>
      <c r="K4881" t="s">
        <v>13228</v>
      </c>
      <c r="L4881" t="s">
        <v>565</v>
      </c>
      <c r="M4881" t="s">
        <v>432</v>
      </c>
    </row>
    <row r="4882" spans="1:13" x14ac:dyDescent="0.25">
      <c r="A4882" t="s">
        <v>20891</v>
      </c>
      <c r="B4882" t="s">
        <v>13</v>
      </c>
      <c r="C4882" t="s">
        <v>2033</v>
      </c>
      <c r="D4882" t="s">
        <v>20892</v>
      </c>
      <c r="E4882" s="2" t="s">
        <v>31268</v>
      </c>
      <c r="F4882" t="s">
        <v>1190</v>
      </c>
      <c r="G4882" t="s">
        <v>20893</v>
      </c>
      <c r="H4882" t="s">
        <v>372</v>
      </c>
      <c r="I4882" t="s">
        <v>19</v>
      </c>
      <c r="J4882" s="3">
        <f>55-19-31241558</f>
        <v>-31241522</v>
      </c>
      <c r="K4882" t="s">
        <v>20894</v>
      </c>
      <c r="L4882" t="s">
        <v>11426</v>
      </c>
      <c r="M4882" t="s">
        <v>432</v>
      </c>
    </row>
    <row r="4883" spans="1:13" x14ac:dyDescent="0.25">
      <c r="A4883" t="s">
        <v>27997</v>
      </c>
      <c r="B4883" t="s">
        <v>13</v>
      </c>
      <c r="C4883" s="1">
        <v>42314</v>
      </c>
      <c r="D4883" t="s">
        <v>27998</v>
      </c>
      <c r="E4883" t="s">
        <v>27999</v>
      </c>
      <c r="F4883" t="s">
        <v>1190</v>
      </c>
      <c r="G4883" t="s">
        <v>28000</v>
      </c>
      <c r="H4883" t="s">
        <v>2685</v>
      </c>
      <c r="I4883" t="s">
        <v>19</v>
      </c>
      <c r="J4883" s="3" t="s">
        <v>28001</v>
      </c>
      <c r="K4883" t="s">
        <v>28002</v>
      </c>
      <c r="L4883" t="s">
        <v>13988</v>
      </c>
      <c r="M4883" t="s">
        <v>432</v>
      </c>
    </row>
    <row r="4884" spans="1:13" x14ac:dyDescent="0.25">
      <c r="A4884" t="s">
        <v>21677</v>
      </c>
      <c r="B4884" t="s">
        <v>13</v>
      </c>
      <c r="C4884" s="1">
        <v>43195</v>
      </c>
      <c r="D4884" t="s">
        <v>21678</v>
      </c>
      <c r="E4884" t="s">
        <v>21679</v>
      </c>
      <c r="F4884" t="s">
        <v>1190</v>
      </c>
      <c r="G4884" t="s">
        <v>21680</v>
      </c>
      <c r="H4884" t="s">
        <v>1802</v>
      </c>
      <c r="I4884" t="s">
        <v>19</v>
      </c>
      <c r="J4884" s="3" t="s">
        <v>21681</v>
      </c>
      <c r="K4884" t="s">
        <v>21682</v>
      </c>
      <c r="L4884" t="s">
        <v>14212</v>
      </c>
      <c r="M4884" t="s">
        <v>432</v>
      </c>
    </row>
    <row r="4885" spans="1:13" x14ac:dyDescent="0.25">
      <c r="A4885" t="s">
        <v>10230</v>
      </c>
      <c r="B4885" t="s">
        <v>13</v>
      </c>
      <c r="C4885" s="1">
        <v>43926</v>
      </c>
      <c r="D4885" t="s">
        <v>10231</v>
      </c>
      <c r="E4885" s="2" t="s">
        <v>31679</v>
      </c>
      <c r="F4885" t="s">
        <v>1190</v>
      </c>
      <c r="G4885" t="s">
        <v>10233</v>
      </c>
      <c r="H4885" t="s">
        <v>352</v>
      </c>
      <c r="I4885" t="s">
        <v>19</v>
      </c>
      <c r="J4885" s="3">
        <f>55-21-970007253</f>
        <v>-970007219</v>
      </c>
      <c r="K4885" t="s">
        <v>10234</v>
      </c>
      <c r="L4885" t="s">
        <v>4246</v>
      </c>
      <c r="M4885" t="s">
        <v>432</v>
      </c>
    </row>
    <row r="4886" spans="1:13" x14ac:dyDescent="0.25">
      <c r="A4886" t="s">
        <v>19649</v>
      </c>
      <c r="B4886" t="s">
        <v>101</v>
      </c>
      <c r="C4886" t="s">
        <v>18199</v>
      </c>
      <c r="D4886" t="s">
        <v>19650</v>
      </c>
      <c r="E4886" s="2" t="s">
        <v>31232</v>
      </c>
      <c r="F4886" t="s">
        <v>1464</v>
      </c>
      <c r="G4886" t="s">
        <v>19651</v>
      </c>
      <c r="H4886" t="s">
        <v>13445</v>
      </c>
      <c r="I4886" t="s">
        <v>19</v>
      </c>
      <c r="J4886" s="3" t="s">
        <v>19652</v>
      </c>
      <c r="K4886" t="s">
        <v>19653</v>
      </c>
      <c r="L4886" t="s">
        <v>4211</v>
      </c>
      <c r="M4886" t="s">
        <v>432</v>
      </c>
    </row>
    <row r="4887" spans="1:13" x14ac:dyDescent="0.25">
      <c r="A4887" t="s">
        <v>25255</v>
      </c>
      <c r="B4887" t="s">
        <v>13</v>
      </c>
      <c r="C4887" t="s">
        <v>25256</v>
      </c>
      <c r="D4887" t="s">
        <v>25257</v>
      </c>
      <c r="E4887" t="s">
        <v>25258</v>
      </c>
      <c r="F4887" t="s">
        <v>1464</v>
      </c>
      <c r="G4887" t="s">
        <v>13541</v>
      </c>
      <c r="H4887" t="s">
        <v>141</v>
      </c>
      <c r="I4887" t="s">
        <v>19</v>
      </c>
      <c r="J4887" s="3" t="s">
        <v>13542</v>
      </c>
      <c r="K4887" t="s">
        <v>13543</v>
      </c>
      <c r="L4887" t="s">
        <v>13544</v>
      </c>
      <c r="M4887" t="s">
        <v>57</v>
      </c>
    </row>
    <row r="4888" spans="1:13" x14ac:dyDescent="0.25">
      <c r="A4888" t="s">
        <v>5336</v>
      </c>
      <c r="B4888" t="s">
        <v>101</v>
      </c>
      <c r="C4888" t="s">
        <v>4935</v>
      </c>
      <c r="D4888" t="s">
        <v>32135</v>
      </c>
      <c r="E4888" t="s">
        <v>3075</v>
      </c>
      <c r="F4888" t="s">
        <v>3847</v>
      </c>
      <c r="G4888" t="s">
        <v>5337</v>
      </c>
      <c r="H4888" t="s">
        <v>150</v>
      </c>
      <c r="I4888" t="s">
        <v>19</v>
      </c>
      <c r="J4888" s="3" t="s">
        <v>5338</v>
      </c>
      <c r="K4888" t="s">
        <v>5339</v>
      </c>
      <c r="L4888" t="s">
        <v>32135</v>
      </c>
      <c r="M4888" t="s">
        <v>57</v>
      </c>
    </row>
    <row r="4889" spans="1:13" x14ac:dyDescent="0.25">
      <c r="A4889" t="s">
        <v>3198</v>
      </c>
      <c r="B4889" t="s">
        <v>13</v>
      </c>
      <c r="C4889" t="s">
        <v>3199</v>
      </c>
      <c r="D4889" t="s">
        <v>3200</v>
      </c>
      <c r="E4889" t="s">
        <v>3075</v>
      </c>
      <c r="F4889" t="s">
        <v>3201</v>
      </c>
      <c r="G4889" t="s">
        <v>3202</v>
      </c>
      <c r="H4889" t="s">
        <v>36</v>
      </c>
      <c r="I4889" t="s">
        <v>19</v>
      </c>
      <c r="J4889" s="3">
        <v>551130913509</v>
      </c>
      <c r="K4889" t="s">
        <v>3203</v>
      </c>
      <c r="L4889" t="s">
        <v>2344</v>
      </c>
      <c r="M4889" t="s">
        <v>1304</v>
      </c>
    </row>
    <row r="4890" spans="1:13" x14ac:dyDescent="0.25">
      <c r="A4890" t="s">
        <v>12377</v>
      </c>
      <c r="B4890" t="s">
        <v>13</v>
      </c>
      <c r="C4890" s="1">
        <v>44078</v>
      </c>
      <c r="D4890" t="s">
        <v>12378</v>
      </c>
      <c r="E4890" t="s">
        <v>3075</v>
      </c>
      <c r="F4890" t="s">
        <v>9327</v>
      </c>
      <c r="G4890" t="s">
        <v>1397</v>
      </c>
      <c r="H4890" t="s">
        <v>706</v>
      </c>
      <c r="I4890" t="s">
        <v>19</v>
      </c>
      <c r="J4890" s="3" t="s">
        <v>12379</v>
      </c>
      <c r="K4890" t="s">
        <v>1399</v>
      </c>
      <c r="L4890" t="s">
        <v>565</v>
      </c>
      <c r="M4890" t="s">
        <v>1304</v>
      </c>
    </row>
    <row r="4891" spans="1:13" x14ac:dyDescent="0.25">
      <c r="A4891" t="s">
        <v>13994</v>
      </c>
      <c r="B4891" t="s">
        <v>13</v>
      </c>
      <c r="C4891" t="s">
        <v>6128</v>
      </c>
      <c r="D4891" t="s">
        <v>13995</v>
      </c>
      <c r="E4891" t="s">
        <v>7788</v>
      </c>
      <c r="F4891" t="s">
        <v>57</v>
      </c>
      <c r="G4891" t="s">
        <v>13996</v>
      </c>
      <c r="H4891" t="s">
        <v>608</v>
      </c>
      <c r="I4891" t="s">
        <v>19</v>
      </c>
      <c r="J4891" s="3">
        <v>5554999999911</v>
      </c>
      <c r="K4891" t="s">
        <v>609</v>
      </c>
      <c r="L4891" t="s">
        <v>610</v>
      </c>
      <c r="M4891" t="s">
        <v>57</v>
      </c>
    </row>
    <row r="4892" spans="1:13" x14ac:dyDescent="0.25">
      <c r="A4892" t="s">
        <v>18255</v>
      </c>
      <c r="B4892" t="s">
        <v>13</v>
      </c>
      <c r="C4892" s="1">
        <v>43468</v>
      </c>
      <c r="D4892" t="s">
        <v>18256</v>
      </c>
      <c r="E4892" t="s">
        <v>18257</v>
      </c>
      <c r="F4892" t="s">
        <v>117</v>
      </c>
      <c r="G4892" t="s">
        <v>18258</v>
      </c>
      <c r="H4892" t="s">
        <v>53</v>
      </c>
      <c r="I4892" t="s">
        <v>19</v>
      </c>
      <c r="J4892" s="3">
        <f>55-38-988374664</f>
        <v>-988374647</v>
      </c>
      <c r="K4892" t="s">
        <v>3773</v>
      </c>
      <c r="L4892" t="s">
        <v>56</v>
      </c>
      <c r="M4892" t="s">
        <v>32145</v>
      </c>
    </row>
    <row r="4893" spans="1:13" x14ac:dyDescent="0.25">
      <c r="A4893" t="s">
        <v>30526</v>
      </c>
      <c r="B4893" t="s">
        <v>13</v>
      </c>
      <c r="C4893" t="s">
        <v>30527</v>
      </c>
      <c r="D4893" t="s">
        <v>30528</v>
      </c>
      <c r="E4893" t="s">
        <v>3075</v>
      </c>
      <c r="F4893" t="s">
        <v>5940</v>
      </c>
      <c r="G4893" t="s">
        <v>13008</v>
      </c>
      <c r="H4893" t="s">
        <v>265</v>
      </c>
      <c r="I4893" t="s">
        <v>19</v>
      </c>
      <c r="J4893" s="3">
        <v>1636023058</v>
      </c>
      <c r="K4893" t="s">
        <v>13010</v>
      </c>
      <c r="L4893" t="s">
        <v>30529</v>
      </c>
      <c r="M4893" t="s">
        <v>57</v>
      </c>
    </row>
    <row r="4894" spans="1:13" x14ac:dyDescent="0.25">
      <c r="A4894" t="s">
        <v>21117</v>
      </c>
      <c r="B4894" t="s">
        <v>13</v>
      </c>
      <c r="C4894" s="1">
        <v>43257</v>
      </c>
      <c r="D4894" t="s">
        <v>21118</v>
      </c>
      <c r="E4894" t="s">
        <v>18257</v>
      </c>
      <c r="F4894" t="s">
        <v>2036</v>
      </c>
      <c r="G4894" t="s">
        <v>21119</v>
      </c>
      <c r="H4894" t="s">
        <v>4092</v>
      </c>
      <c r="I4894" t="s">
        <v>19</v>
      </c>
      <c r="J4894" s="3" t="s">
        <v>21120</v>
      </c>
      <c r="K4894" t="s">
        <v>4400</v>
      </c>
      <c r="L4894" t="s">
        <v>3441</v>
      </c>
      <c r="M4894" t="s">
        <v>57</v>
      </c>
    </row>
    <row r="4895" spans="1:13" x14ac:dyDescent="0.25">
      <c r="A4895" t="s">
        <v>19835</v>
      </c>
      <c r="B4895" t="s">
        <v>13</v>
      </c>
      <c r="C4895" t="s">
        <v>19830</v>
      </c>
      <c r="D4895" t="s">
        <v>19836</v>
      </c>
      <c r="E4895" t="s">
        <v>18257</v>
      </c>
      <c r="F4895" t="s">
        <v>2036</v>
      </c>
      <c r="G4895" t="s">
        <v>19837</v>
      </c>
      <c r="H4895" t="s">
        <v>706</v>
      </c>
      <c r="I4895" t="s">
        <v>19</v>
      </c>
      <c r="J4895" s="3">
        <f>55-31-34099757</f>
        <v>-34099733</v>
      </c>
      <c r="K4895" t="s">
        <v>19838</v>
      </c>
      <c r="L4895" t="s">
        <v>1944</v>
      </c>
      <c r="M4895" t="s">
        <v>57</v>
      </c>
    </row>
    <row r="4896" spans="1:13" x14ac:dyDescent="0.25">
      <c r="A4896" t="s">
        <v>16883</v>
      </c>
      <c r="B4896" t="s">
        <v>13</v>
      </c>
      <c r="C4896" s="1">
        <v>43562</v>
      </c>
      <c r="D4896" t="s">
        <v>16884</v>
      </c>
      <c r="E4896" t="s">
        <v>3075</v>
      </c>
      <c r="F4896" t="s">
        <v>1464</v>
      </c>
      <c r="G4896" t="s">
        <v>16885</v>
      </c>
      <c r="H4896" t="s">
        <v>4092</v>
      </c>
      <c r="I4896" t="s">
        <v>19</v>
      </c>
      <c r="J4896" s="3">
        <f>55-14-997970770</f>
        <v>-997970729</v>
      </c>
      <c r="K4896" t="s">
        <v>16886</v>
      </c>
      <c r="L4896" t="s">
        <v>16887</v>
      </c>
      <c r="M4896" t="s">
        <v>57</v>
      </c>
    </row>
    <row r="4897" spans="1:13" x14ac:dyDescent="0.25">
      <c r="A4897" t="s">
        <v>28604</v>
      </c>
      <c r="B4897" t="s">
        <v>13</v>
      </c>
      <c r="C4897" s="1">
        <v>42340</v>
      </c>
      <c r="D4897" t="s">
        <v>28605</v>
      </c>
      <c r="E4897" t="s">
        <v>32637</v>
      </c>
      <c r="F4897" t="s">
        <v>2036</v>
      </c>
      <c r="G4897" t="s">
        <v>27272</v>
      </c>
      <c r="H4897" t="s">
        <v>936</v>
      </c>
      <c r="I4897" t="s">
        <v>19</v>
      </c>
      <c r="J4897" s="3" t="s">
        <v>28606</v>
      </c>
      <c r="K4897" t="s">
        <v>6664</v>
      </c>
      <c r="L4897" t="s">
        <v>16768</v>
      </c>
      <c r="M4897" t="s">
        <v>57</v>
      </c>
    </row>
    <row r="4898" spans="1:13" x14ac:dyDescent="0.25">
      <c r="A4898" t="s">
        <v>17790</v>
      </c>
      <c r="B4898" t="s">
        <v>13</v>
      </c>
      <c r="C4898" t="s">
        <v>17785</v>
      </c>
      <c r="D4898" t="s">
        <v>17791</v>
      </c>
      <c r="E4898" t="s">
        <v>32638</v>
      </c>
      <c r="F4898" t="s">
        <v>5940</v>
      </c>
      <c r="G4898" t="s">
        <v>17792</v>
      </c>
      <c r="H4898" t="s">
        <v>409</v>
      </c>
      <c r="I4898" t="s">
        <v>19</v>
      </c>
      <c r="J4898" s="3" t="s">
        <v>17793</v>
      </c>
      <c r="K4898" t="s">
        <v>17794</v>
      </c>
      <c r="L4898" t="s">
        <v>1823</v>
      </c>
      <c r="M4898" t="s">
        <v>57</v>
      </c>
    </row>
    <row r="4899" spans="1:13" x14ac:dyDescent="0.25">
      <c r="A4899" t="s">
        <v>23129</v>
      </c>
      <c r="B4899" t="s">
        <v>13</v>
      </c>
      <c r="C4899" t="s">
        <v>22833</v>
      </c>
      <c r="D4899" t="s">
        <v>23130</v>
      </c>
      <c r="E4899" t="s">
        <v>23131</v>
      </c>
      <c r="F4899" t="s">
        <v>57</v>
      </c>
      <c r="G4899" t="s">
        <v>23132</v>
      </c>
      <c r="H4899" t="s">
        <v>11783</v>
      </c>
      <c r="I4899" t="s">
        <v>19</v>
      </c>
      <c r="J4899" s="3">
        <f>55-19-3521-8859</f>
        <v>-12344</v>
      </c>
      <c r="K4899" t="s">
        <v>23133</v>
      </c>
      <c r="L4899" t="s">
        <v>23134</v>
      </c>
      <c r="M4899" t="s">
        <v>57</v>
      </c>
    </row>
    <row r="4900" spans="1:13" x14ac:dyDescent="0.25">
      <c r="A4900" t="s">
        <v>27803</v>
      </c>
      <c r="B4900" t="s">
        <v>13</v>
      </c>
      <c r="C4900" t="s">
        <v>27804</v>
      </c>
      <c r="D4900" t="s">
        <v>27805</v>
      </c>
      <c r="E4900" t="s">
        <v>27806</v>
      </c>
      <c r="F4900" t="s">
        <v>2036</v>
      </c>
      <c r="G4900" t="s">
        <v>27807</v>
      </c>
      <c r="H4900" t="s">
        <v>45</v>
      </c>
      <c r="I4900" t="s">
        <v>19</v>
      </c>
      <c r="J4900" s="3" t="s">
        <v>27808</v>
      </c>
      <c r="K4900" t="s">
        <v>2404</v>
      </c>
      <c r="L4900" t="s">
        <v>1909</v>
      </c>
      <c r="M4900" t="s">
        <v>57</v>
      </c>
    </row>
    <row r="4901" spans="1:13" x14ac:dyDescent="0.25">
      <c r="A4901" t="s">
        <v>26350</v>
      </c>
      <c r="B4901" t="s">
        <v>101</v>
      </c>
      <c r="C4901" s="1">
        <v>42495</v>
      </c>
      <c r="D4901" t="s">
        <v>26351</v>
      </c>
      <c r="E4901" s="2" t="s">
        <v>31344</v>
      </c>
      <c r="F4901" t="s">
        <v>4639</v>
      </c>
      <c r="G4901" t="s">
        <v>26352</v>
      </c>
      <c r="H4901" t="s">
        <v>1335</v>
      </c>
      <c r="I4901" t="s">
        <v>19</v>
      </c>
      <c r="J4901" s="3" t="s">
        <v>26353</v>
      </c>
      <c r="K4901" t="s">
        <v>26354</v>
      </c>
      <c r="L4901" t="s">
        <v>1461</v>
      </c>
      <c r="M4901" t="s">
        <v>785</v>
      </c>
    </row>
    <row r="4902" spans="1:13" x14ac:dyDescent="0.25">
      <c r="A4902" t="s">
        <v>28735</v>
      </c>
      <c r="B4902" t="s">
        <v>101</v>
      </c>
      <c r="C4902" t="s">
        <v>28736</v>
      </c>
      <c r="D4902" t="s">
        <v>28737</v>
      </c>
      <c r="E4902" t="s">
        <v>28738</v>
      </c>
      <c r="F4902" t="s">
        <v>5940</v>
      </c>
      <c r="G4902" t="s">
        <v>28739</v>
      </c>
      <c r="H4902" t="s">
        <v>265</v>
      </c>
      <c r="I4902" t="s">
        <v>19</v>
      </c>
      <c r="J4902" s="3" t="s">
        <v>28740</v>
      </c>
      <c r="K4902" t="s">
        <v>28741</v>
      </c>
      <c r="L4902" t="s">
        <v>28742</v>
      </c>
      <c r="M4902" t="s">
        <v>57</v>
      </c>
    </row>
    <row r="4903" spans="1:13" x14ac:dyDescent="0.25">
      <c r="A4903" t="s">
        <v>22190</v>
      </c>
      <c r="B4903" t="s">
        <v>13</v>
      </c>
      <c r="C4903" t="s">
        <v>22182</v>
      </c>
      <c r="D4903" t="s">
        <v>22191</v>
      </c>
      <c r="E4903" t="s">
        <v>22192</v>
      </c>
      <c r="F4903" t="s">
        <v>57</v>
      </c>
      <c r="G4903" t="s">
        <v>22193</v>
      </c>
      <c r="H4903" t="s">
        <v>45</v>
      </c>
      <c r="I4903" t="s">
        <v>19</v>
      </c>
      <c r="J4903" s="3">
        <v>5585996890530</v>
      </c>
      <c r="K4903" t="s">
        <v>22194</v>
      </c>
      <c r="L4903" t="s">
        <v>9908</v>
      </c>
      <c r="M4903" t="s">
        <v>57</v>
      </c>
    </row>
    <row r="4904" spans="1:13" x14ac:dyDescent="0.25">
      <c r="A4904" t="s">
        <v>14557</v>
      </c>
      <c r="B4904" t="s">
        <v>13</v>
      </c>
      <c r="C4904" t="s">
        <v>14558</v>
      </c>
      <c r="D4904" t="s">
        <v>14559</v>
      </c>
      <c r="E4904" t="s">
        <v>14560</v>
      </c>
      <c r="F4904" t="s">
        <v>57</v>
      </c>
      <c r="G4904" t="s">
        <v>14561</v>
      </c>
      <c r="H4904" t="s">
        <v>36</v>
      </c>
      <c r="I4904" t="s">
        <v>19</v>
      </c>
      <c r="J4904" s="3">
        <v>551130617090</v>
      </c>
      <c r="K4904" t="s">
        <v>14562</v>
      </c>
      <c r="L4904" t="s">
        <v>14563</v>
      </c>
      <c r="M4904" t="s">
        <v>57</v>
      </c>
    </row>
    <row r="4905" spans="1:13" x14ac:dyDescent="0.25">
      <c r="A4905" t="s">
        <v>17169</v>
      </c>
      <c r="B4905" t="s">
        <v>13</v>
      </c>
      <c r="C4905" s="1">
        <v>43744</v>
      </c>
      <c r="D4905" t="s">
        <v>17170</v>
      </c>
      <c r="E4905" t="s">
        <v>17171</v>
      </c>
      <c r="F4905" t="s">
        <v>306</v>
      </c>
      <c r="G4905" t="s">
        <v>17172</v>
      </c>
      <c r="H4905" t="s">
        <v>36</v>
      </c>
      <c r="I4905" t="s">
        <v>19</v>
      </c>
      <c r="J4905" s="3" t="s">
        <v>17173</v>
      </c>
      <c r="K4905" t="s">
        <v>17174</v>
      </c>
      <c r="L4905" t="s">
        <v>39</v>
      </c>
      <c r="M4905" t="s">
        <v>32145</v>
      </c>
    </row>
    <row r="4906" spans="1:13" x14ac:dyDescent="0.25">
      <c r="A4906" t="s">
        <v>19695</v>
      </c>
      <c r="B4906" t="s">
        <v>101</v>
      </c>
      <c r="C4906" s="1">
        <v>43443</v>
      </c>
      <c r="D4906" t="s">
        <v>19696</v>
      </c>
      <c r="E4906" t="s">
        <v>19697</v>
      </c>
      <c r="F4906" t="s">
        <v>1464</v>
      </c>
      <c r="G4906" t="s">
        <v>19698</v>
      </c>
      <c r="H4906" t="s">
        <v>1781</v>
      </c>
      <c r="I4906" t="s">
        <v>19</v>
      </c>
      <c r="J4906" s="3" t="s">
        <v>19699</v>
      </c>
      <c r="K4906" t="s">
        <v>19700</v>
      </c>
      <c r="L4906" t="s">
        <v>19701</v>
      </c>
      <c r="M4906" t="s">
        <v>337</v>
      </c>
    </row>
    <row r="4907" spans="1:13" x14ac:dyDescent="0.25">
      <c r="A4907" t="s">
        <v>2755</v>
      </c>
      <c r="B4907" t="s">
        <v>13</v>
      </c>
      <c r="C4907" t="s">
        <v>2756</v>
      </c>
      <c r="D4907" t="s">
        <v>2757</v>
      </c>
      <c r="E4907" s="2" t="s">
        <v>30751</v>
      </c>
      <c r="F4907" t="s">
        <v>2758</v>
      </c>
      <c r="G4907" t="s">
        <v>2759</v>
      </c>
      <c r="H4907" t="s">
        <v>753</v>
      </c>
      <c r="I4907" t="s">
        <v>19</v>
      </c>
      <c r="J4907" s="3" t="s">
        <v>2760</v>
      </c>
      <c r="K4907" t="s">
        <v>2761</v>
      </c>
      <c r="L4907" t="s">
        <v>2762</v>
      </c>
      <c r="M4907" t="s">
        <v>32149</v>
      </c>
    </row>
    <row r="4908" spans="1:13" x14ac:dyDescent="0.25">
      <c r="A4908" t="s">
        <v>29831</v>
      </c>
      <c r="B4908" t="s">
        <v>13</v>
      </c>
      <c r="C4908" s="1">
        <v>41365</v>
      </c>
      <c r="D4908" t="s">
        <v>29832</v>
      </c>
      <c r="E4908" t="s">
        <v>29833</v>
      </c>
      <c r="F4908" t="s">
        <v>117</v>
      </c>
      <c r="G4908" t="s">
        <v>29834</v>
      </c>
      <c r="H4908" t="s">
        <v>428</v>
      </c>
      <c r="I4908" t="s">
        <v>19</v>
      </c>
      <c r="J4908" s="3" t="s">
        <v>29835</v>
      </c>
      <c r="K4908" t="s">
        <v>29836</v>
      </c>
      <c r="L4908" t="s">
        <v>7007</v>
      </c>
      <c r="M4908" t="s">
        <v>32145</v>
      </c>
    </row>
    <row r="4909" spans="1:13" x14ac:dyDescent="0.25">
      <c r="A4909" t="s">
        <v>25240</v>
      </c>
      <c r="B4909" t="s">
        <v>13</v>
      </c>
      <c r="C4909" t="s">
        <v>9337</v>
      </c>
      <c r="D4909" t="s">
        <v>25241</v>
      </c>
      <c r="E4909" t="s">
        <v>25242</v>
      </c>
      <c r="F4909" t="s">
        <v>1464</v>
      </c>
      <c r="G4909" t="s">
        <v>25243</v>
      </c>
      <c r="H4909" t="s">
        <v>25244</v>
      </c>
      <c r="I4909" t="s">
        <v>19</v>
      </c>
      <c r="J4909" s="3" t="s">
        <v>25245</v>
      </c>
      <c r="K4909" t="s">
        <v>25246</v>
      </c>
      <c r="L4909" t="s">
        <v>25247</v>
      </c>
      <c r="M4909" t="s">
        <v>32145</v>
      </c>
    </row>
    <row r="4910" spans="1:13" x14ac:dyDescent="0.25">
      <c r="A4910" t="s">
        <v>25012</v>
      </c>
      <c r="B4910" t="s">
        <v>13</v>
      </c>
      <c r="C4910" s="1">
        <v>42590</v>
      </c>
      <c r="D4910" t="s">
        <v>25013</v>
      </c>
      <c r="E4910" t="s">
        <v>25014</v>
      </c>
      <c r="F4910" t="s">
        <v>1464</v>
      </c>
      <c r="G4910" t="s">
        <v>25015</v>
      </c>
      <c r="H4910" t="s">
        <v>706</v>
      </c>
      <c r="I4910" t="s">
        <v>19</v>
      </c>
      <c r="J4910" s="3">
        <v>31993040364</v>
      </c>
      <c r="K4910" t="s">
        <v>25016</v>
      </c>
      <c r="L4910" t="s">
        <v>268</v>
      </c>
      <c r="M4910" t="s">
        <v>785</v>
      </c>
    </row>
    <row r="4911" spans="1:13" x14ac:dyDescent="0.25">
      <c r="A4911" t="s">
        <v>4612</v>
      </c>
      <c r="B4911" t="s">
        <v>101</v>
      </c>
      <c r="C4911" t="s">
        <v>4598</v>
      </c>
      <c r="D4911" t="s">
        <v>4613</v>
      </c>
      <c r="E4911" s="2" t="s">
        <v>31667</v>
      </c>
      <c r="F4911" t="s">
        <v>147</v>
      </c>
      <c r="G4911" t="s">
        <v>4614</v>
      </c>
      <c r="H4911" t="s">
        <v>352</v>
      </c>
      <c r="I4911" t="s">
        <v>19</v>
      </c>
      <c r="J4911" s="3" t="s">
        <v>4615</v>
      </c>
      <c r="K4911" t="s">
        <v>4616</v>
      </c>
      <c r="L4911" t="s">
        <v>4617</v>
      </c>
      <c r="M4911" t="s">
        <v>741</v>
      </c>
    </row>
    <row r="4912" spans="1:13" x14ac:dyDescent="0.25">
      <c r="A4912" t="s">
        <v>22080</v>
      </c>
      <c r="B4912" t="s">
        <v>13</v>
      </c>
      <c r="C4912" s="1">
        <v>43134</v>
      </c>
      <c r="D4912" t="s">
        <v>22081</v>
      </c>
      <c r="E4912" t="s">
        <v>22082</v>
      </c>
      <c r="F4912" t="s">
        <v>332</v>
      </c>
      <c r="G4912" t="s">
        <v>22083</v>
      </c>
      <c r="H4912" t="s">
        <v>18</v>
      </c>
      <c r="I4912" t="s">
        <v>19</v>
      </c>
      <c r="J4912" s="3" t="s">
        <v>22084</v>
      </c>
      <c r="K4912" t="s">
        <v>22085</v>
      </c>
      <c r="L4912" t="s">
        <v>22086</v>
      </c>
      <c r="M4912" t="s">
        <v>337</v>
      </c>
    </row>
    <row r="4913" spans="1:13" x14ac:dyDescent="0.25">
      <c r="A4913" t="s">
        <v>17104</v>
      </c>
      <c r="B4913" t="s">
        <v>13</v>
      </c>
      <c r="C4913" s="1">
        <v>43775</v>
      </c>
      <c r="D4913" t="s">
        <v>17105</v>
      </c>
      <c r="E4913" t="s">
        <v>17106</v>
      </c>
      <c r="F4913" t="s">
        <v>1464</v>
      </c>
      <c r="G4913" t="s">
        <v>17043</v>
      </c>
      <c r="H4913" t="s">
        <v>4808</v>
      </c>
      <c r="I4913" t="s">
        <v>19</v>
      </c>
      <c r="J4913" s="3">
        <f>55-51-992123616</f>
        <v>-992123612</v>
      </c>
      <c r="K4913" t="s">
        <v>17044</v>
      </c>
      <c r="L4913" t="s">
        <v>993</v>
      </c>
      <c r="M4913" t="s">
        <v>32149</v>
      </c>
    </row>
    <row r="4914" spans="1:13" x14ac:dyDescent="0.25">
      <c r="A4914" t="s">
        <v>23598</v>
      </c>
      <c r="B4914" t="s">
        <v>13</v>
      </c>
      <c r="C4914" s="1">
        <v>42864</v>
      </c>
      <c r="D4914" t="s">
        <v>23599</v>
      </c>
      <c r="E4914" t="s">
        <v>23600</v>
      </c>
      <c r="F4914" t="s">
        <v>2036</v>
      </c>
      <c r="G4914" t="s">
        <v>23601</v>
      </c>
      <c r="H4914" t="s">
        <v>114</v>
      </c>
      <c r="I4914" t="s">
        <v>19</v>
      </c>
      <c r="J4914" s="3" t="s">
        <v>23602</v>
      </c>
      <c r="K4914" t="s">
        <v>23603</v>
      </c>
      <c r="L4914" t="s">
        <v>10657</v>
      </c>
      <c r="M4914" t="s">
        <v>57</v>
      </c>
    </row>
    <row r="4915" spans="1:13" x14ac:dyDescent="0.25">
      <c r="A4915" t="s">
        <v>18361</v>
      </c>
      <c r="B4915" t="s">
        <v>13</v>
      </c>
      <c r="C4915" s="1">
        <v>43771</v>
      </c>
      <c r="D4915" t="s">
        <v>18362</v>
      </c>
      <c r="E4915" t="s">
        <v>6314</v>
      </c>
      <c r="F4915" t="s">
        <v>57</v>
      </c>
      <c r="G4915" t="s">
        <v>18363</v>
      </c>
      <c r="H4915" t="s">
        <v>36</v>
      </c>
      <c r="I4915" t="s">
        <v>19</v>
      </c>
      <c r="J4915" s="3" t="s">
        <v>18364</v>
      </c>
      <c r="K4915" t="s">
        <v>18365</v>
      </c>
      <c r="L4915" t="s">
        <v>3268</v>
      </c>
      <c r="M4915" t="s">
        <v>57</v>
      </c>
    </row>
    <row r="4916" spans="1:13" x14ac:dyDescent="0.25">
      <c r="A4916" t="s">
        <v>17271</v>
      </c>
      <c r="B4916" t="s">
        <v>13</v>
      </c>
      <c r="C4916" s="1">
        <v>43591</v>
      </c>
      <c r="D4916" t="s">
        <v>17272</v>
      </c>
      <c r="E4916" s="2" t="s">
        <v>31775</v>
      </c>
      <c r="F4916" t="s">
        <v>57</v>
      </c>
      <c r="G4916" t="s">
        <v>13439</v>
      </c>
      <c r="H4916" t="s">
        <v>615</v>
      </c>
      <c r="I4916" t="s">
        <v>19</v>
      </c>
      <c r="J4916" s="3">
        <f>55-34-32390288</f>
        <v>-32390267</v>
      </c>
      <c r="K4916" t="s">
        <v>13440</v>
      </c>
      <c r="L4916" t="s">
        <v>13441</v>
      </c>
      <c r="M4916" t="s">
        <v>57</v>
      </c>
    </row>
    <row r="4917" spans="1:13" x14ac:dyDescent="0.25">
      <c r="A4917" t="s">
        <v>20313</v>
      </c>
      <c r="B4917" t="s">
        <v>13</v>
      </c>
      <c r="C4917" t="s">
        <v>15757</v>
      </c>
      <c r="D4917" t="s">
        <v>20314</v>
      </c>
      <c r="E4917" t="s">
        <v>32639</v>
      </c>
      <c r="F4917" t="s">
        <v>2036</v>
      </c>
      <c r="G4917" t="s">
        <v>20315</v>
      </c>
      <c r="H4917" t="s">
        <v>20316</v>
      </c>
      <c r="I4917" t="s">
        <v>20317</v>
      </c>
      <c r="J4917" s="3" t="s">
        <v>20318</v>
      </c>
      <c r="K4917" t="s">
        <v>20319</v>
      </c>
      <c r="L4917" t="s">
        <v>20320</v>
      </c>
      <c r="M4917" t="s">
        <v>57</v>
      </c>
    </row>
    <row r="4918" spans="1:13" x14ac:dyDescent="0.25">
      <c r="A4918" t="s">
        <v>2074</v>
      </c>
      <c r="B4918" t="s">
        <v>101</v>
      </c>
      <c r="C4918" t="s">
        <v>2066</v>
      </c>
      <c r="D4918" t="s">
        <v>2075</v>
      </c>
      <c r="E4918" t="s">
        <v>2076</v>
      </c>
      <c r="F4918" t="s">
        <v>2077</v>
      </c>
      <c r="G4918" t="s">
        <v>2078</v>
      </c>
      <c r="H4918" t="s">
        <v>706</v>
      </c>
      <c r="I4918" t="s">
        <v>19</v>
      </c>
      <c r="J4918" s="3">
        <v>553132891208</v>
      </c>
      <c r="K4918" t="s">
        <v>2079</v>
      </c>
      <c r="L4918" t="s">
        <v>439</v>
      </c>
      <c r="M4918" t="s">
        <v>57</v>
      </c>
    </row>
    <row r="4919" spans="1:13" x14ac:dyDescent="0.25">
      <c r="A4919" t="s">
        <v>14826</v>
      </c>
      <c r="B4919" t="s">
        <v>13</v>
      </c>
      <c r="C4919" s="1">
        <v>42494</v>
      </c>
      <c r="D4919" t="s">
        <v>14827</v>
      </c>
      <c r="E4919" t="s">
        <v>14828</v>
      </c>
      <c r="F4919" t="s">
        <v>57</v>
      </c>
      <c r="G4919" t="s">
        <v>14829</v>
      </c>
      <c r="H4919" t="s">
        <v>409</v>
      </c>
      <c r="I4919" t="s">
        <v>19</v>
      </c>
      <c r="J4919" s="3" t="s">
        <v>14830</v>
      </c>
      <c r="K4919" t="s">
        <v>14831</v>
      </c>
      <c r="L4919" t="s">
        <v>14832</v>
      </c>
      <c r="M4919" t="s">
        <v>57</v>
      </c>
    </row>
    <row r="4920" spans="1:13" x14ac:dyDescent="0.25">
      <c r="A4920" t="s">
        <v>18032</v>
      </c>
      <c r="B4920" t="s">
        <v>13</v>
      </c>
      <c r="C4920" t="s">
        <v>14236</v>
      </c>
      <c r="D4920" t="s">
        <v>18033</v>
      </c>
      <c r="E4920" t="s">
        <v>18034</v>
      </c>
      <c r="F4920" t="s">
        <v>2036</v>
      </c>
      <c r="G4920" t="s">
        <v>17043</v>
      </c>
      <c r="H4920" t="s">
        <v>4808</v>
      </c>
      <c r="I4920" t="s">
        <v>19</v>
      </c>
      <c r="J4920" s="3">
        <f>55-51-992123616</f>
        <v>-992123612</v>
      </c>
      <c r="K4920" t="s">
        <v>17044</v>
      </c>
      <c r="L4920" t="s">
        <v>993</v>
      </c>
      <c r="M4920" t="s">
        <v>57</v>
      </c>
    </row>
    <row r="4921" spans="1:13" x14ac:dyDescent="0.25">
      <c r="A4921" t="s">
        <v>6312</v>
      </c>
      <c r="B4921" t="s">
        <v>13</v>
      </c>
      <c r="C4921" t="s">
        <v>4185</v>
      </c>
      <c r="D4921" t="s">
        <v>6313</v>
      </c>
      <c r="E4921" s="2" t="s">
        <v>30886</v>
      </c>
      <c r="F4921" t="s">
        <v>6315</v>
      </c>
      <c r="G4921" t="s">
        <v>6316</v>
      </c>
      <c r="H4921" t="s">
        <v>195</v>
      </c>
      <c r="I4921" t="s">
        <v>19</v>
      </c>
      <c r="J4921" s="3">
        <f>55-11-954472915</f>
        <v>-954472871</v>
      </c>
      <c r="K4921" t="s">
        <v>6317</v>
      </c>
      <c r="L4921" t="s">
        <v>32135</v>
      </c>
      <c r="M4921" t="s">
        <v>57</v>
      </c>
    </row>
    <row r="4922" spans="1:13" x14ac:dyDescent="0.25">
      <c r="A4922" t="s">
        <v>19213</v>
      </c>
      <c r="B4922" t="s">
        <v>13</v>
      </c>
      <c r="C4922" t="s">
        <v>8497</v>
      </c>
      <c r="D4922" t="s">
        <v>19214</v>
      </c>
      <c r="E4922" t="s">
        <v>19215</v>
      </c>
      <c r="F4922" t="s">
        <v>1775</v>
      </c>
      <c r="G4922" t="s">
        <v>19216</v>
      </c>
      <c r="H4922" t="s">
        <v>1802</v>
      </c>
      <c r="I4922" t="s">
        <v>19</v>
      </c>
      <c r="J4922" s="3">
        <f>55-14-31039612</f>
        <v>-31039571</v>
      </c>
      <c r="K4922" t="s">
        <v>19217</v>
      </c>
      <c r="L4922" t="s">
        <v>4094</v>
      </c>
      <c r="M4922" t="s">
        <v>1775</v>
      </c>
    </row>
    <row r="4923" spans="1:13" x14ac:dyDescent="0.25">
      <c r="A4923" t="s">
        <v>5687</v>
      </c>
      <c r="B4923" t="s">
        <v>13</v>
      </c>
      <c r="C4923" s="1">
        <v>44541</v>
      </c>
      <c r="D4923" t="s">
        <v>32135</v>
      </c>
      <c r="E4923" t="s">
        <v>5688</v>
      </c>
      <c r="F4923" t="s">
        <v>5689</v>
      </c>
      <c r="G4923" t="s">
        <v>2752</v>
      </c>
      <c r="H4923" t="s">
        <v>1090</v>
      </c>
      <c r="I4923" t="s">
        <v>19</v>
      </c>
      <c r="J4923" s="3">
        <f>55-83-32167030</f>
        <v>-32167058</v>
      </c>
      <c r="K4923" t="s">
        <v>2753</v>
      </c>
      <c r="L4923" t="s">
        <v>32135</v>
      </c>
      <c r="M4923" t="s">
        <v>1775</v>
      </c>
    </row>
    <row r="4924" spans="1:13" x14ac:dyDescent="0.25">
      <c r="A4924" t="s">
        <v>49</v>
      </c>
      <c r="B4924" t="s">
        <v>13</v>
      </c>
      <c r="C4924" s="1">
        <v>44987</v>
      </c>
      <c r="D4924" t="s">
        <v>50</v>
      </c>
      <c r="E4924" t="s">
        <v>32640</v>
      </c>
      <c r="F4924" t="s">
        <v>51</v>
      </c>
      <c r="G4924" t="s">
        <v>52</v>
      </c>
      <c r="H4924" t="s">
        <v>53</v>
      </c>
      <c r="I4924" t="s">
        <v>19</v>
      </c>
      <c r="J4924" s="3" t="s">
        <v>54</v>
      </c>
      <c r="K4924" t="s">
        <v>55</v>
      </c>
      <c r="L4924" t="s">
        <v>56</v>
      </c>
      <c r="M4924" t="s">
        <v>57</v>
      </c>
    </row>
    <row r="4925" spans="1:13" x14ac:dyDescent="0.25">
      <c r="A4925" t="s">
        <v>25478</v>
      </c>
      <c r="B4925" t="s">
        <v>13</v>
      </c>
      <c r="C4925" t="s">
        <v>25473</v>
      </c>
      <c r="D4925" t="s">
        <v>25479</v>
      </c>
      <c r="E4925" t="s">
        <v>25480</v>
      </c>
      <c r="F4925" t="s">
        <v>2758</v>
      </c>
      <c r="G4925" t="s">
        <v>25481</v>
      </c>
      <c r="H4925" t="s">
        <v>409</v>
      </c>
      <c r="I4925" t="s">
        <v>19</v>
      </c>
      <c r="J4925" s="3">
        <v>554884070746</v>
      </c>
      <c r="K4925" t="s">
        <v>25482</v>
      </c>
      <c r="L4925" t="s">
        <v>25483</v>
      </c>
      <c r="M4925" t="s">
        <v>32182</v>
      </c>
    </row>
    <row r="4926" spans="1:13" x14ac:dyDescent="0.25">
      <c r="A4926" t="s">
        <v>7745</v>
      </c>
      <c r="B4926" t="s">
        <v>13</v>
      </c>
      <c r="C4926" s="1">
        <v>44321</v>
      </c>
      <c r="D4926" t="s">
        <v>32135</v>
      </c>
      <c r="E4926" s="2" t="s">
        <v>31587</v>
      </c>
      <c r="F4926" t="s">
        <v>6446</v>
      </c>
      <c r="G4926" t="s">
        <v>7746</v>
      </c>
      <c r="H4926" t="s">
        <v>608</v>
      </c>
      <c r="I4926" t="s">
        <v>19</v>
      </c>
      <c r="J4926" s="3" t="s">
        <v>7747</v>
      </c>
      <c r="K4926" t="s">
        <v>7748</v>
      </c>
      <c r="L4926" t="s">
        <v>32135</v>
      </c>
      <c r="M4926" t="s">
        <v>224</v>
      </c>
    </row>
    <row r="4927" spans="1:13" x14ac:dyDescent="0.25">
      <c r="A4927" t="s">
        <v>8072</v>
      </c>
      <c r="B4927" t="s">
        <v>101</v>
      </c>
      <c r="C4927" t="s">
        <v>8073</v>
      </c>
      <c r="D4927" t="s">
        <v>8074</v>
      </c>
      <c r="E4927" s="2" t="s">
        <v>32073</v>
      </c>
      <c r="F4927" t="s">
        <v>1181</v>
      </c>
      <c r="G4927" t="s">
        <v>8075</v>
      </c>
      <c r="H4927" t="s">
        <v>428</v>
      </c>
      <c r="I4927" t="s">
        <v>19</v>
      </c>
      <c r="J4927" s="3" t="s">
        <v>8076</v>
      </c>
      <c r="K4927" t="s">
        <v>8077</v>
      </c>
      <c r="L4927" t="s">
        <v>32135</v>
      </c>
      <c r="M4927" t="s">
        <v>57</v>
      </c>
    </row>
    <row r="4928" spans="1:13" x14ac:dyDescent="0.25">
      <c r="A4928" t="s">
        <v>28582</v>
      </c>
      <c r="B4928" t="s">
        <v>13</v>
      </c>
      <c r="C4928" t="s">
        <v>28583</v>
      </c>
      <c r="D4928" t="s">
        <v>28584</v>
      </c>
      <c r="E4928" t="s">
        <v>28585</v>
      </c>
      <c r="F4928" t="s">
        <v>32147</v>
      </c>
      <c r="G4928" t="s">
        <v>28586</v>
      </c>
      <c r="H4928" t="s">
        <v>352</v>
      </c>
      <c r="I4928" t="s">
        <v>19</v>
      </c>
      <c r="J4928" s="3" t="s">
        <v>28587</v>
      </c>
      <c r="K4928" t="s">
        <v>28588</v>
      </c>
      <c r="L4928" t="s">
        <v>28589</v>
      </c>
      <c r="M4928" t="s">
        <v>32147</v>
      </c>
    </row>
    <row r="4929" spans="1:13" x14ac:dyDescent="0.25">
      <c r="A4929" t="s">
        <v>24540</v>
      </c>
      <c r="B4929" t="s">
        <v>13</v>
      </c>
      <c r="C4929" s="1">
        <v>43011</v>
      </c>
      <c r="D4929" t="s">
        <v>24541</v>
      </c>
      <c r="E4929" t="s">
        <v>24542</v>
      </c>
      <c r="F4929" t="s">
        <v>306</v>
      </c>
      <c r="G4929" t="s">
        <v>24543</v>
      </c>
      <c r="H4929" t="s">
        <v>4086</v>
      </c>
      <c r="I4929" t="s">
        <v>19</v>
      </c>
      <c r="J4929" s="3">
        <v>554499347164</v>
      </c>
      <c r="K4929" t="s">
        <v>24544</v>
      </c>
      <c r="L4929" t="s">
        <v>904</v>
      </c>
      <c r="M4929" t="s">
        <v>32145</v>
      </c>
    </row>
    <row r="4930" spans="1:13" x14ac:dyDescent="0.25">
      <c r="A4930" t="s">
        <v>31</v>
      </c>
      <c r="B4930" t="s">
        <v>13</v>
      </c>
      <c r="C4930" s="1">
        <v>44987</v>
      </c>
      <c r="D4930" t="s">
        <v>32</v>
      </c>
      <c r="E4930" t="s">
        <v>33</v>
      </c>
      <c r="F4930" t="s">
        <v>34</v>
      </c>
      <c r="G4930" t="s">
        <v>35</v>
      </c>
      <c r="H4930" t="s">
        <v>36</v>
      </c>
      <c r="I4930" t="s">
        <v>19</v>
      </c>
      <c r="J4930" s="3" t="s">
        <v>37</v>
      </c>
      <c r="K4930" t="s">
        <v>38</v>
      </c>
      <c r="L4930" t="s">
        <v>39</v>
      </c>
      <c r="M4930" t="s">
        <v>1775</v>
      </c>
    </row>
    <row r="4931" spans="1:13" x14ac:dyDescent="0.25">
      <c r="A4931" t="s">
        <v>1910</v>
      </c>
      <c r="B4931" t="s">
        <v>13</v>
      </c>
      <c r="C4931" t="s">
        <v>1911</v>
      </c>
      <c r="D4931" t="s">
        <v>1912</v>
      </c>
      <c r="E4931" t="s">
        <v>33</v>
      </c>
      <c r="F4931" t="s">
        <v>1913</v>
      </c>
      <c r="G4931" t="s">
        <v>1914</v>
      </c>
      <c r="H4931" t="s">
        <v>1915</v>
      </c>
      <c r="I4931" t="s">
        <v>19</v>
      </c>
      <c r="J4931" s="3">
        <f>55-61-991198950</f>
        <v>-991198956</v>
      </c>
      <c r="K4931" t="s">
        <v>1916</v>
      </c>
      <c r="L4931" t="s">
        <v>1767</v>
      </c>
      <c r="M4931" t="s">
        <v>57</v>
      </c>
    </row>
    <row r="4932" spans="1:13" x14ac:dyDescent="0.25">
      <c r="A4932" t="s">
        <v>25721</v>
      </c>
      <c r="B4932" t="s">
        <v>13</v>
      </c>
      <c r="C4932" s="1">
        <v>42712</v>
      </c>
      <c r="D4932" t="s">
        <v>25722</v>
      </c>
      <c r="E4932" t="s">
        <v>33</v>
      </c>
      <c r="F4932" t="s">
        <v>57</v>
      </c>
      <c r="G4932" t="s">
        <v>25723</v>
      </c>
      <c r="H4932" t="s">
        <v>1215</v>
      </c>
      <c r="I4932" t="s">
        <v>19</v>
      </c>
      <c r="J4932" s="3" t="s">
        <v>25724</v>
      </c>
      <c r="K4932" t="s">
        <v>22866</v>
      </c>
      <c r="L4932" t="s">
        <v>25725</v>
      </c>
      <c r="M4932" t="s">
        <v>57</v>
      </c>
    </row>
    <row r="4933" spans="1:13" x14ac:dyDescent="0.25">
      <c r="A4933" t="s">
        <v>13752</v>
      </c>
      <c r="B4933" t="s">
        <v>13</v>
      </c>
      <c r="C4933" s="1">
        <v>43953</v>
      </c>
      <c r="D4933" t="s">
        <v>13753</v>
      </c>
      <c r="E4933" t="s">
        <v>33</v>
      </c>
      <c r="F4933" t="s">
        <v>57</v>
      </c>
      <c r="G4933" t="s">
        <v>13754</v>
      </c>
      <c r="H4933" t="s">
        <v>36</v>
      </c>
      <c r="I4933" t="s">
        <v>19</v>
      </c>
      <c r="J4933" s="3">
        <v>5511949930478</v>
      </c>
      <c r="K4933" t="s">
        <v>13755</v>
      </c>
      <c r="L4933" t="s">
        <v>13756</v>
      </c>
      <c r="M4933" t="s">
        <v>57</v>
      </c>
    </row>
    <row r="4934" spans="1:13" x14ac:dyDescent="0.25">
      <c r="A4934" t="s">
        <v>2622</v>
      </c>
      <c r="B4934" t="s">
        <v>13</v>
      </c>
      <c r="C4934" s="1">
        <v>44812</v>
      </c>
      <c r="D4934" t="s">
        <v>2623</v>
      </c>
      <c r="E4934" t="s">
        <v>33</v>
      </c>
      <c r="F4934" t="s">
        <v>2624</v>
      </c>
      <c r="G4934" t="s">
        <v>2625</v>
      </c>
      <c r="H4934" t="s">
        <v>2626</v>
      </c>
      <c r="I4934" t="s">
        <v>19</v>
      </c>
      <c r="J4934" s="3" t="s">
        <v>2627</v>
      </c>
      <c r="K4934" t="s">
        <v>2628</v>
      </c>
      <c r="L4934" t="s">
        <v>2629</v>
      </c>
      <c r="M4934" t="s">
        <v>57</v>
      </c>
    </row>
    <row r="4935" spans="1:13" x14ac:dyDescent="0.25">
      <c r="A4935" t="s">
        <v>26618</v>
      </c>
      <c r="B4935" t="s">
        <v>13</v>
      </c>
      <c r="C4935" s="1">
        <v>42464</v>
      </c>
      <c r="D4935" t="s">
        <v>26619</v>
      </c>
      <c r="E4935" t="s">
        <v>33</v>
      </c>
      <c r="F4935" t="s">
        <v>2036</v>
      </c>
      <c r="G4935" t="s">
        <v>26620</v>
      </c>
      <c r="H4935" t="s">
        <v>141</v>
      </c>
      <c r="I4935" t="s">
        <v>19</v>
      </c>
      <c r="J4935" s="3" t="s">
        <v>26621</v>
      </c>
      <c r="K4935" t="s">
        <v>26622</v>
      </c>
      <c r="L4935" t="s">
        <v>1058</v>
      </c>
      <c r="M4935" t="s">
        <v>57</v>
      </c>
    </row>
    <row r="4936" spans="1:13" x14ac:dyDescent="0.25">
      <c r="A4936" t="s">
        <v>20530</v>
      </c>
      <c r="B4936" t="s">
        <v>13</v>
      </c>
      <c r="C4936" t="s">
        <v>20531</v>
      </c>
      <c r="D4936" t="s">
        <v>20532</v>
      </c>
      <c r="E4936" t="s">
        <v>6431</v>
      </c>
      <c r="F4936" t="s">
        <v>2036</v>
      </c>
      <c r="G4936" t="s">
        <v>20533</v>
      </c>
      <c r="H4936" t="s">
        <v>20534</v>
      </c>
      <c r="I4936" t="s">
        <v>19</v>
      </c>
      <c r="J4936" s="3" t="s">
        <v>20535</v>
      </c>
      <c r="K4936" t="s">
        <v>20536</v>
      </c>
      <c r="L4936" t="s">
        <v>20537</v>
      </c>
      <c r="M4936" t="s">
        <v>57</v>
      </c>
    </row>
    <row r="4937" spans="1:13" x14ac:dyDescent="0.25">
      <c r="A4937" t="s">
        <v>23409</v>
      </c>
      <c r="B4937" t="s">
        <v>13</v>
      </c>
      <c r="C4937" t="s">
        <v>23402</v>
      </c>
      <c r="D4937" t="s">
        <v>23410</v>
      </c>
      <c r="E4937" t="s">
        <v>33</v>
      </c>
      <c r="F4937" t="s">
        <v>2036</v>
      </c>
      <c r="G4937" t="s">
        <v>23411</v>
      </c>
      <c r="H4937" t="s">
        <v>105</v>
      </c>
      <c r="I4937" t="s">
        <v>19</v>
      </c>
      <c r="J4937" s="3" t="s">
        <v>23412</v>
      </c>
      <c r="K4937" t="s">
        <v>23413</v>
      </c>
      <c r="L4937" t="s">
        <v>108</v>
      </c>
      <c r="M4937" t="s">
        <v>57</v>
      </c>
    </row>
    <row r="4938" spans="1:13" x14ac:dyDescent="0.25">
      <c r="A4938" t="s">
        <v>14346</v>
      </c>
      <c r="B4938" t="s">
        <v>13</v>
      </c>
      <c r="C4938" s="1">
        <v>43983</v>
      </c>
      <c r="D4938" t="s">
        <v>14347</v>
      </c>
      <c r="E4938" t="s">
        <v>33</v>
      </c>
      <c r="F4938" t="s">
        <v>2036</v>
      </c>
      <c r="G4938" t="s">
        <v>14348</v>
      </c>
      <c r="H4938" t="s">
        <v>352</v>
      </c>
      <c r="I4938" t="s">
        <v>19</v>
      </c>
      <c r="J4938" s="3">
        <f>550212334-775</f>
        <v>550211559</v>
      </c>
      <c r="K4938" t="s">
        <v>14349</v>
      </c>
      <c r="L4938" t="s">
        <v>14350</v>
      </c>
      <c r="M4938" t="s">
        <v>57</v>
      </c>
    </row>
    <row r="4939" spans="1:13" x14ac:dyDescent="0.25">
      <c r="A4939" t="s">
        <v>8950</v>
      </c>
      <c r="B4939" t="s">
        <v>13</v>
      </c>
      <c r="C4939" s="1">
        <v>44047</v>
      </c>
      <c r="D4939" t="s">
        <v>8951</v>
      </c>
      <c r="E4939" t="s">
        <v>33</v>
      </c>
      <c r="F4939" t="s">
        <v>2036</v>
      </c>
      <c r="G4939" t="s">
        <v>8952</v>
      </c>
      <c r="H4939" t="s">
        <v>8953</v>
      </c>
      <c r="I4939" t="s">
        <v>19</v>
      </c>
      <c r="J4939" s="3">
        <f>55-32-91993329</f>
        <v>-91993306</v>
      </c>
      <c r="K4939" t="s">
        <v>8954</v>
      </c>
      <c r="L4939" t="s">
        <v>923</v>
      </c>
      <c r="M4939" t="s">
        <v>57</v>
      </c>
    </row>
    <row r="4940" spans="1:13" x14ac:dyDescent="0.25">
      <c r="A4940" t="s">
        <v>18662</v>
      </c>
      <c r="B4940" t="s">
        <v>13</v>
      </c>
      <c r="C4940" t="s">
        <v>8477</v>
      </c>
      <c r="D4940" t="s">
        <v>18663</v>
      </c>
      <c r="E4940" t="s">
        <v>6431</v>
      </c>
      <c r="F4940" t="s">
        <v>2036</v>
      </c>
      <c r="G4940" t="s">
        <v>18664</v>
      </c>
      <c r="H4940" t="s">
        <v>798</v>
      </c>
      <c r="I4940" t="s">
        <v>19</v>
      </c>
      <c r="J4940" s="3">
        <f>55-61-3448-7116</f>
        <v>-10570</v>
      </c>
      <c r="K4940" t="s">
        <v>18665</v>
      </c>
      <c r="L4940" t="s">
        <v>12387</v>
      </c>
      <c r="M4940" t="s">
        <v>57</v>
      </c>
    </row>
    <row r="4941" spans="1:13" x14ac:dyDescent="0.25">
      <c r="A4941" t="s">
        <v>13727</v>
      </c>
      <c r="B4941" t="s">
        <v>13</v>
      </c>
      <c r="C4941" s="1">
        <v>43984</v>
      </c>
      <c r="D4941" t="s">
        <v>13728</v>
      </c>
      <c r="E4941" t="s">
        <v>33</v>
      </c>
      <c r="F4941" t="s">
        <v>2036</v>
      </c>
      <c r="G4941" t="s">
        <v>13729</v>
      </c>
      <c r="H4941" t="s">
        <v>927</v>
      </c>
      <c r="I4941" t="s">
        <v>19</v>
      </c>
      <c r="J4941" s="3">
        <v>551332290100</v>
      </c>
      <c r="K4941" t="s">
        <v>13730</v>
      </c>
      <c r="L4941" t="s">
        <v>439</v>
      </c>
      <c r="M4941" t="s">
        <v>57</v>
      </c>
    </row>
    <row r="4942" spans="1:13" x14ac:dyDescent="0.25">
      <c r="A4942" t="s">
        <v>25088</v>
      </c>
      <c r="B4942" t="s">
        <v>13</v>
      </c>
      <c r="C4942" t="s">
        <v>25089</v>
      </c>
      <c r="D4942" t="s">
        <v>25090</v>
      </c>
      <c r="E4942" t="s">
        <v>33</v>
      </c>
      <c r="F4942" t="s">
        <v>1464</v>
      </c>
      <c r="G4942" t="s">
        <v>3772</v>
      </c>
      <c r="H4942" t="s">
        <v>53</v>
      </c>
      <c r="I4942" t="s">
        <v>19</v>
      </c>
      <c r="J4942" s="3">
        <v>553835321239</v>
      </c>
      <c r="K4942" t="s">
        <v>3773</v>
      </c>
      <c r="L4942" t="s">
        <v>56</v>
      </c>
      <c r="M4942" t="s">
        <v>57</v>
      </c>
    </row>
    <row r="4943" spans="1:13" x14ac:dyDescent="0.25">
      <c r="A4943" t="s">
        <v>2462</v>
      </c>
      <c r="B4943" t="s">
        <v>13</v>
      </c>
      <c r="C4943" t="s">
        <v>2463</v>
      </c>
      <c r="D4943" t="s">
        <v>2464</v>
      </c>
      <c r="E4943" t="s">
        <v>33</v>
      </c>
      <c r="F4943" t="s">
        <v>1843</v>
      </c>
      <c r="G4943" t="s">
        <v>2465</v>
      </c>
      <c r="H4943" t="s">
        <v>255</v>
      </c>
      <c r="I4943" t="s">
        <v>19</v>
      </c>
      <c r="J4943" s="3">
        <f>55-62-996300080</f>
        <v>-996300087</v>
      </c>
      <c r="K4943" t="s">
        <v>2466</v>
      </c>
      <c r="L4943" t="s">
        <v>2467</v>
      </c>
      <c r="M4943" t="s">
        <v>129</v>
      </c>
    </row>
    <row r="4944" spans="1:13" x14ac:dyDescent="0.25">
      <c r="A4944" t="s">
        <v>13502</v>
      </c>
      <c r="B4944" t="s">
        <v>13</v>
      </c>
      <c r="C4944" t="s">
        <v>6103</v>
      </c>
      <c r="D4944" t="s">
        <v>13503</v>
      </c>
      <c r="E4944" t="s">
        <v>32641</v>
      </c>
      <c r="F4944" t="s">
        <v>2036</v>
      </c>
      <c r="G4944" t="s">
        <v>13504</v>
      </c>
      <c r="H4944" t="s">
        <v>428</v>
      </c>
      <c r="I4944" t="s">
        <v>19</v>
      </c>
      <c r="J4944" s="3">
        <f>55-51-996940883</f>
        <v>-996940879</v>
      </c>
      <c r="K4944" t="s">
        <v>13505</v>
      </c>
      <c r="L4944" t="s">
        <v>5709</v>
      </c>
      <c r="M4944" t="s">
        <v>57</v>
      </c>
    </row>
    <row r="4945" spans="1:13" x14ac:dyDescent="0.25">
      <c r="A4945" t="s">
        <v>26028</v>
      </c>
      <c r="B4945" t="s">
        <v>13</v>
      </c>
      <c r="C4945" t="s">
        <v>26029</v>
      </c>
      <c r="D4945" t="s">
        <v>26030</v>
      </c>
      <c r="E4945" t="s">
        <v>26031</v>
      </c>
      <c r="F4945" t="s">
        <v>2036</v>
      </c>
      <c r="G4945" t="s">
        <v>26032</v>
      </c>
      <c r="H4945" t="s">
        <v>798</v>
      </c>
      <c r="I4945" t="s">
        <v>19</v>
      </c>
      <c r="J4945" s="3" t="s">
        <v>26033</v>
      </c>
      <c r="K4945" t="s">
        <v>26034</v>
      </c>
      <c r="L4945" t="s">
        <v>26035</v>
      </c>
      <c r="M4945" t="s">
        <v>57</v>
      </c>
    </row>
    <row r="4946" spans="1:13" x14ac:dyDescent="0.25">
      <c r="A4946" t="s">
        <v>24891</v>
      </c>
      <c r="B4946" t="s">
        <v>13</v>
      </c>
      <c r="C4946" t="s">
        <v>24892</v>
      </c>
      <c r="D4946" t="s">
        <v>24893</v>
      </c>
      <c r="E4946" t="s">
        <v>24894</v>
      </c>
      <c r="F4946" t="s">
        <v>1464</v>
      </c>
      <c r="G4946" t="s">
        <v>5721</v>
      </c>
      <c r="H4946" t="s">
        <v>489</v>
      </c>
      <c r="I4946" t="s">
        <v>19</v>
      </c>
      <c r="J4946" s="3" t="s">
        <v>21702</v>
      </c>
      <c r="K4946" t="s">
        <v>5723</v>
      </c>
      <c r="L4946" t="s">
        <v>21703</v>
      </c>
      <c r="M4946" t="s">
        <v>57</v>
      </c>
    </row>
    <row r="4947" spans="1:13" x14ac:dyDescent="0.25">
      <c r="A4947" t="s">
        <v>14671</v>
      </c>
      <c r="B4947" t="s">
        <v>13</v>
      </c>
      <c r="C4947" s="1">
        <v>43720</v>
      </c>
      <c r="D4947" t="s">
        <v>14672</v>
      </c>
      <c r="E4947" s="2" t="s">
        <v>32801</v>
      </c>
      <c r="F4947" t="s">
        <v>2036</v>
      </c>
      <c r="G4947" t="s">
        <v>14673</v>
      </c>
      <c r="H4947" t="s">
        <v>53</v>
      </c>
      <c r="I4947" t="s">
        <v>19</v>
      </c>
      <c r="J4947" s="3">
        <v>5538999633263</v>
      </c>
      <c r="K4947" t="s">
        <v>14674</v>
      </c>
      <c r="L4947" t="s">
        <v>56</v>
      </c>
      <c r="M4947" t="s">
        <v>57</v>
      </c>
    </row>
    <row r="4948" spans="1:13" x14ac:dyDescent="0.25">
      <c r="A4948" t="s">
        <v>20721</v>
      </c>
      <c r="B4948" t="s">
        <v>101</v>
      </c>
      <c r="C4948" s="1">
        <v>43227</v>
      </c>
      <c r="D4948" t="s">
        <v>20722</v>
      </c>
      <c r="E4948" s="2" t="s">
        <v>32802</v>
      </c>
      <c r="F4948" t="s">
        <v>1464</v>
      </c>
      <c r="G4948" t="s">
        <v>20723</v>
      </c>
      <c r="H4948" t="s">
        <v>2215</v>
      </c>
      <c r="I4948" t="s">
        <v>19</v>
      </c>
      <c r="J4948" s="3" t="s">
        <v>20724</v>
      </c>
      <c r="K4948" t="s">
        <v>20725</v>
      </c>
      <c r="L4948" t="s">
        <v>9001</v>
      </c>
      <c r="M4948" t="s">
        <v>1775</v>
      </c>
    </row>
    <row r="4949" spans="1:13" x14ac:dyDescent="0.25">
      <c r="A4949" t="s">
        <v>22395</v>
      </c>
      <c r="B4949" t="s">
        <v>13</v>
      </c>
      <c r="C4949" t="s">
        <v>22396</v>
      </c>
      <c r="D4949" t="s">
        <v>22397</v>
      </c>
      <c r="E4949" t="s">
        <v>22398</v>
      </c>
      <c r="F4949" t="s">
        <v>2036</v>
      </c>
      <c r="G4949" t="s">
        <v>22399</v>
      </c>
      <c r="H4949" t="s">
        <v>22400</v>
      </c>
      <c r="I4949" t="s">
        <v>19</v>
      </c>
      <c r="J4949" s="3">
        <v>556334716001</v>
      </c>
      <c r="K4949" t="s">
        <v>22401</v>
      </c>
      <c r="L4949" t="s">
        <v>22402</v>
      </c>
      <c r="M4949" t="s">
        <v>57</v>
      </c>
    </row>
    <row r="4950" spans="1:13" x14ac:dyDescent="0.25">
      <c r="A4950" t="s">
        <v>26050</v>
      </c>
      <c r="B4950" t="s">
        <v>13</v>
      </c>
      <c r="C4950" s="1">
        <v>42038</v>
      </c>
      <c r="D4950" t="s">
        <v>26051</v>
      </c>
      <c r="E4950" t="s">
        <v>26052</v>
      </c>
      <c r="F4950" t="s">
        <v>2036</v>
      </c>
      <c r="G4950" t="s">
        <v>16144</v>
      </c>
      <c r="H4950" t="s">
        <v>255</v>
      </c>
      <c r="I4950" t="s">
        <v>19</v>
      </c>
      <c r="J4950" s="3" t="s">
        <v>25563</v>
      </c>
      <c r="K4950" t="s">
        <v>16146</v>
      </c>
      <c r="L4950" t="s">
        <v>9587</v>
      </c>
      <c r="M4950" t="s">
        <v>57</v>
      </c>
    </row>
    <row r="4951" spans="1:13" x14ac:dyDescent="0.25">
      <c r="A4951" t="s">
        <v>25560</v>
      </c>
      <c r="B4951" t="s">
        <v>13</v>
      </c>
      <c r="C4951" s="1">
        <v>42591</v>
      </c>
      <c r="D4951" t="s">
        <v>25561</v>
      </c>
      <c r="E4951" t="s">
        <v>25562</v>
      </c>
      <c r="F4951" t="s">
        <v>2036</v>
      </c>
      <c r="G4951" t="s">
        <v>16144</v>
      </c>
      <c r="H4951" t="s">
        <v>255</v>
      </c>
      <c r="I4951" t="s">
        <v>19</v>
      </c>
      <c r="J4951" s="3" t="s">
        <v>25563</v>
      </c>
      <c r="K4951" t="s">
        <v>16146</v>
      </c>
      <c r="L4951" t="s">
        <v>9587</v>
      </c>
      <c r="M4951" t="s">
        <v>57</v>
      </c>
    </row>
    <row r="4952" spans="1:13" x14ac:dyDescent="0.25">
      <c r="A4952" t="s">
        <v>28445</v>
      </c>
      <c r="B4952" t="s">
        <v>13</v>
      </c>
      <c r="C4952" t="s">
        <v>28446</v>
      </c>
      <c r="D4952" t="s">
        <v>28447</v>
      </c>
      <c r="E4952" t="s">
        <v>28448</v>
      </c>
      <c r="F4952" t="s">
        <v>2036</v>
      </c>
      <c r="G4952" t="s">
        <v>28449</v>
      </c>
      <c r="H4952" t="s">
        <v>170</v>
      </c>
      <c r="I4952" t="s">
        <v>19</v>
      </c>
      <c r="J4952" s="3" t="s">
        <v>28450</v>
      </c>
      <c r="K4952" t="s">
        <v>28451</v>
      </c>
      <c r="L4952" t="s">
        <v>26304</v>
      </c>
      <c r="M4952" t="s">
        <v>57</v>
      </c>
    </row>
    <row r="4953" spans="1:13" x14ac:dyDescent="0.25">
      <c r="A4953" t="s">
        <v>22861</v>
      </c>
      <c r="B4953" t="s">
        <v>13</v>
      </c>
      <c r="C4953" s="1">
        <v>42898</v>
      </c>
      <c r="D4953" t="s">
        <v>22862</v>
      </c>
      <c r="E4953" s="2" t="s">
        <v>31893</v>
      </c>
      <c r="F4953" t="s">
        <v>1464</v>
      </c>
      <c r="G4953" t="s">
        <v>22863</v>
      </c>
      <c r="H4953" t="s">
        <v>22864</v>
      </c>
      <c r="I4953" t="s">
        <v>19</v>
      </c>
      <c r="J4953" s="3" t="s">
        <v>22865</v>
      </c>
      <c r="K4953" t="s">
        <v>22866</v>
      </c>
      <c r="L4953" t="s">
        <v>22867</v>
      </c>
      <c r="M4953" t="s">
        <v>57</v>
      </c>
    </row>
    <row r="4954" spans="1:13" x14ac:dyDescent="0.25">
      <c r="A4954" t="s">
        <v>3020</v>
      </c>
      <c r="B4954" t="s">
        <v>13</v>
      </c>
      <c r="C4954" t="s">
        <v>3021</v>
      </c>
      <c r="D4954" t="s">
        <v>3022</v>
      </c>
      <c r="E4954" s="2" t="s">
        <v>31646</v>
      </c>
      <c r="F4954" t="s">
        <v>3023</v>
      </c>
      <c r="G4954" t="s">
        <v>3024</v>
      </c>
      <c r="H4954" t="s">
        <v>265</v>
      </c>
      <c r="I4954" t="s">
        <v>19</v>
      </c>
      <c r="J4954" s="3" t="s">
        <v>3025</v>
      </c>
      <c r="K4954" t="s">
        <v>3026</v>
      </c>
      <c r="L4954" t="s">
        <v>321</v>
      </c>
      <c r="M4954" t="s">
        <v>57</v>
      </c>
    </row>
    <row r="4955" spans="1:13" x14ac:dyDescent="0.25">
      <c r="A4955" t="s">
        <v>30425</v>
      </c>
      <c r="B4955" t="s">
        <v>13</v>
      </c>
      <c r="C4955" s="1">
        <v>41000</v>
      </c>
      <c r="D4955" t="s">
        <v>30426</v>
      </c>
      <c r="E4955" t="s">
        <v>30427</v>
      </c>
      <c r="F4955" t="s">
        <v>2036</v>
      </c>
      <c r="G4955" t="s">
        <v>30428</v>
      </c>
      <c r="H4955" t="s">
        <v>706</v>
      </c>
      <c r="I4955" t="s">
        <v>19</v>
      </c>
      <c r="J4955" s="3">
        <v>88058388</v>
      </c>
      <c r="K4955" t="s">
        <v>30429</v>
      </c>
      <c r="L4955" t="s">
        <v>30430</v>
      </c>
      <c r="M4955" t="s">
        <v>57</v>
      </c>
    </row>
    <row r="4956" spans="1:13" x14ac:dyDescent="0.25">
      <c r="A4956" t="s">
        <v>16242</v>
      </c>
      <c r="B4956" t="s">
        <v>13</v>
      </c>
      <c r="C4956" t="s">
        <v>9393</v>
      </c>
      <c r="D4956" t="s">
        <v>16243</v>
      </c>
      <c r="E4956" t="s">
        <v>16244</v>
      </c>
      <c r="F4956" t="s">
        <v>306</v>
      </c>
      <c r="G4956" t="s">
        <v>16245</v>
      </c>
      <c r="H4956" t="s">
        <v>255</v>
      </c>
      <c r="I4956" t="s">
        <v>19</v>
      </c>
      <c r="J4956" s="3">
        <f>55-62-33442176</f>
        <v>-33442183</v>
      </c>
      <c r="K4956" t="s">
        <v>16246</v>
      </c>
      <c r="L4956" t="s">
        <v>16247</v>
      </c>
      <c r="M4956" t="s">
        <v>32145</v>
      </c>
    </row>
    <row r="4957" spans="1:13" x14ac:dyDescent="0.25">
      <c r="A4957" t="s">
        <v>9667</v>
      </c>
      <c r="B4957" t="s">
        <v>13</v>
      </c>
      <c r="C4957" t="s">
        <v>9668</v>
      </c>
      <c r="D4957" t="s">
        <v>9669</v>
      </c>
      <c r="E4957" t="s">
        <v>9670</v>
      </c>
      <c r="F4957" t="s">
        <v>741</v>
      </c>
      <c r="G4957" t="s">
        <v>9671</v>
      </c>
      <c r="H4957" t="s">
        <v>36</v>
      </c>
      <c r="I4957" t="s">
        <v>19</v>
      </c>
      <c r="J4957" s="3" t="s">
        <v>9672</v>
      </c>
      <c r="K4957" t="s">
        <v>9673</v>
      </c>
      <c r="L4957" t="s">
        <v>9674</v>
      </c>
      <c r="M4957" t="s">
        <v>741</v>
      </c>
    </row>
    <row r="4958" spans="1:13" x14ac:dyDescent="0.25">
      <c r="A4958" t="s">
        <v>4871</v>
      </c>
      <c r="B4958" t="s">
        <v>13</v>
      </c>
      <c r="C4958" t="s">
        <v>4866</v>
      </c>
      <c r="D4958" t="s">
        <v>4872</v>
      </c>
      <c r="E4958" t="s">
        <v>4873</v>
      </c>
      <c r="F4958" t="s">
        <v>147</v>
      </c>
      <c r="G4958" t="s">
        <v>4874</v>
      </c>
      <c r="H4958" t="s">
        <v>1486</v>
      </c>
      <c r="I4958" t="s">
        <v>19</v>
      </c>
      <c r="J4958" s="3" t="s">
        <v>4875</v>
      </c>
      <c r="K4958" t="s">
        <v>4876</v>
      </c>
      <c r="L4958" t="s">
        <v>32135</v>
      </c>
      <c r="M4958" t="s">
        <v>741</v>
      </c>
    </row>
    <row r="4959" spans="1:13" x14ac:dyDescent="0.25">
      <c r="A4959" t="s">
        <v>22937</v>
      </c>
      <c r="B4959" t="s">
        <v>13</v>
      </c>
      <c r="C4959" t="s">
        <v>11826</v>
      </c>
      <c r="D4959" t="s">
        <v>22938</v>
      </c>
      <c r="E4959" t="s">
        <v>32642</v>
      </c>
      <c r="F4959" t="s">
        <v>1349</v>
      </c>
      <c r="G4959" t="s">
        <v>22939</v>
      </c>
      <c r="H4959" t="s">
        <v>36</v>
      </c>
      <c r="I4959" t="s">
        <v>19</v>
      </c>
      <c r="J4959" s="3" t="s">
        <v>22940</v>
      </c>
      <c r="K4959" t="s">
        <v>22941</v>
      </c>
      <c r="L4959" t="s">
        <v>13583</v>
      </c>
      <c r="M4959" t="s">
        <v>1349</v>
      </c>
    </row>
    <row r="4960" spans="1:13" x14ac:dyDescent="0.25">
      <c r="A4960" t="s">
        <v>14445</v>
      </c>
      <c r="B4960" t="s">
        <v>13</v>
      </c>
      <c r="C4960" t="s">
        <v>14435</v>
      </c>
      <c r="D4960" t="s">
        <v>14446</v>
      </c>
      <c r="E4960" t="s">
        <v>14447</v>
      </c>
      <c r="F4960" t="s">
        <v>1464</v>
      </c>
      <c r="G4960" t="s">
        <v>14216</v>
      </c>
      <c r="H4960" t="s">
        <v>2678</v>
      </c>
      <c r="I4960" t="s">
        <v>19</v>
      </c>
      <c r="J4960" s="3" t="s">
        <v>14217</v>
      </c>
      <c r="K4960" t="s">
        <v>14218</v>
      </c>
      <c r="L4960" t="s">
        <v>993</v>
      </c>
      <c r="M4960" t="s">
        <v>785</v>
      </c>
    </row>
    <row r="4961" spans="1:13" x14ac:dyDescent="0.25">
      <c r="A4961" t="s">
        <v>19433</v>
      </c>
      <c r="B4961" t="s">
        <v>13</v>
      </c>
      <c r="C4961" t="s">
        <v>15388</v>
      </c>
      <c r="D4961" t="s">
        <v>19434</v>
      </c>
      <c r="E4961" t="s">
        <v>19435</v>
      </c>
      <c r="F4961" t="s">
        <v>741</v>
      </c>
      <c r="G4961" t="s">
        <v>19436</v>
      </c>
      <c r="H4961" t="s">
        <v>706</v>
      </c>
      <c r="I4961" t="s">
        <v>19</v>
      </c>
      <c r="J4961" s="3">
        <f>55-31-33497828</f>
        <v>-33497804</v>
      </c>
      <c r="K4961" t="s">
        <v>19437</v>
      </c>
      <c r="L4961" t="s">
        <v>19438</v>
      </c>
      <c r="M4961" t="s">
        <v>741</v>
      </c>
    </row>
    <row r="4962" spans="1:13" x14ac:dyDescent="0.25">
      <c r="A4962" t="s">
        <v>22352</v>
      </c>
      <c r="B4962" t="s">
        <v>13</v>
      </c>
      <c r="C4962" s="1">
        <v>43102</v>
      </c>
      <c r="D4962" t="s">
        <v>22353</v>
      </c>
      <c r="E4962" t="s">
        <v>9476</v>
      </c>
      <c r="F4962" t="s">
        <v>3084</v>
      </c>
      <c r="G4962" t="s">
        <v>22354</v>
      </c>
      <c r="H4962" t="s">
        <v>265</v>
      </c>
      <c r="I4962" t="s">
        <v>19</v>
      </c>
      <c r="J4962" s="3" t="s">
        <v>22355</v>
      </c>
      <c r="K4962" t="s">
        <v>22356</v>
      </c>
      <c r="L4962" t="s">
        <v>22357</v>
      </c>
      <c r="M4962" t="s">
        <v>32144</v>
      </c>
    </row>
    <row r="4963" spans="1:13" x14ac:dyDescent="0.25">
      <c r="A4963" t="s">
        <v>18236</v>
      </c>
      <c r="B4963" t="s">
        <v>13</v>
      </c>
      <c r="C4963" s="1">
        <v>43468</v>
      </c>
      <c r="D4963" t="s">
        <v>18237</v>
      </c>
      <c r="E4963" t="s">
        <v>9476</v>
      </c>
      <c r="F4963" t="s">
        <v>3084</v>
      </c>
      <c r="G4963" t="s">
        <v>18238</v>
      </c>
      <c r="H4963" t="s">
        <v>18239</v>
      </c>
      <c r="I4963" t="s">
        <v>19</v>
      </c>
      <c r="J4963" s="3" t="s">
        <v>18240</v>
      </c>
      <c r="K4963" t="s">
        <v>18241</v>
      </c>
      <c r="L4963" t="s">
        <v>18242</v>
      </c>
      <c r="M4963" t="s">
        <v>32144</v>
      </c>
    </row>
    <row r="4964" spans="1:13" x14ac:dyDescent="0.25">
      <c r="A4964" t="s">
        <v>22537</v>
      </c>
      <c r="B4964" t="s">
        <v>13</v>
      </c>
      <c r="C4964" t="s">
        <v>22521</v>
      </c>
      <c r="D4964" t="s">
        <v>22538</v>
      </c>
      <c r="E4964" t="s">
        <v>9476</v>
      </c>
      <c r="F4964" t="s">
        <v>3084</v>
      </c>
      <c r="G4964" t="s">
        <v>22539</v>
      </c>
      <c r="H4964" t="s">
        <v>36</v>
      </c>
      <c r="I4964" t="s">
        <v>19</v>
      </c>
      <c r="J4964" s="3" t="s">
        <v>22540</v>
      </c>
      <c r="K4964" t="s">
        <v>22541</v>
      </c>
      <c r="L4964" t="s">
        <v>439</v>
      </c>
      <c r="M4964" t="s">
        <v>32144</v>
      </c>
    </row>
    <row r="4965" spans="1:13" x14ac:dyDescent="0.25">
      <c r="A4965" t="s">
        <v>20503</v>
      </c>
      <c r="B4965" t="s">
        <v>13</v>
      </c>
      <c r="C4965" t="s">
        <v>20499</v>
      </c>
      <c r="D4965" t="s">
        <v>20504</v>
      </c>
      <c r="E4965" t="s">
        <v>9476</v>
      </c>
      <c r="F4965" t="s">
        <v>3084</v>
      </c>
      <c r="G4965" t="s">
        <v>20505</v>
      </c>
      <c r="H4965" t="s">
        <v>36</v>
      </c>
      <c r="I4965" t="s">
        <v>19</v>
      </c>
      <c r="J4965" s="3">
        <f>55-11-55764845</f>
        <v>-55764801</v>
      </c>
      <c r="K4965" t="s">
        <v>20506</v>
      </c>
      <c r="L4965" t="s">
        <v>20507</v>
      </c>
      <c r="M4965" t="s">
        <v>32144</v>
      </c>
    </row>
    <row r="4966" spans="1:13" x14ac:dyDescent="0.25">
      <c r="A4966" t="s">
        <v>9632</v>
      </c>
      <c r="B4966" t="s">
        <v>13</v>
      </c>
      <c r="C4966" t="s">
        <v>7003</v>
      </c>
      <c r="D4966" t="s">
        <v>9633</v>
      </c>
      <c r="E4966" s="2" t="s">
        <v>31648</v>
      </c>
      <c r="F4966" t="s">
        <v>3084</v>
      </c>
      <c r="G4966" t="s">
        <v>9634</v>
      </c>
      <c r="H4966" t="s">
        <v>265</v>
      </c>
      <c r="I4966" t="s">
        <v>19</v>
      </c>
      <c r="J4966" s="3">
        <f>55-16-36022530</f>
        <v>-36022491</v>
      </c>
      <c r="K4966" t="s">
        <v>3557</v>
      </c>
      <c r="L4966" t="s">
        <v>1569</v>
      </c>
      <c r="M4966" t="s">
        <v>32144</v>
      </c>
    </row>
    <row r="4967" spans="1:13" x14ac:dyDescent="0.25">
      <c r="A4967" t="s">
        <v>26521</v>
      </c>
      <c r="B4967" t="s">
        <v>101</v>
      </c>
      <c r="C4967" t="s">
        <v>26522</v>
      </c>
      <c r="D4967" t="s">
        <v>26523</v>
      </c>
      <c r="E4967" t="s">
        <v>26524</v>
      </c>
      <c r="F4967" t="s">
        <v>3084</v>
      </c>
      <c r="G4967" t="s">
        <v>26525</v>
      </c>
      <c r="H4967" t="s">
        <v>1090</v>
      </c>
      <c r="I4967" t="s">
        <v>19</v>
      </c>
      <c r="J4967" s="3" t="s">
        <v>26526</v>
      </c>
      <c r="K4967" t="s">
        <v>26527</v>
      </c>
      <c r="L4967" t="s">
        <v>26528</v>
      </c>
      <c r="M4967" t="s">
        <v>32144</v>
      </c>
    </row>
    <row r="4968" spans="1:13" x14ac:dyDescent="0.25">
      <c r="A4968" t="s">
        <v>9473</v>
      </c>
      <c r="B4968" t="s">
        <v>13</v>
      </c>
      <c r="C4968" t="s">
        <v>9445</v>
      </c>
      <c r="D4968" t="s">
        <v>9474</v>
      </c>
      <c r="E4968" t="s">
        <v>9475</v>
      </c>
      <c r="F4968" t="s">
        <v>9476</v>
      </c>
      <c r="G4968" t="s">
        <v>9477</v>
      </c>
      <c r="H4968" t="s">
        <v>9478</v>
      </c>
      <c r="I4968" t="s">
        <v>19</v>
      </c>
      <c r="J4968" s="3">
        <f>55-51-984832299</f>
        <v>-984832295</v>
      </c>
      <c r="K4968" t="s">
        <v>9479</v>
      </c>
      <c r="L4968" t="s">
        <v>1295</v>
      </c>
      <c r="M4968" t="s">
        <v>32144</v>
      </c>
    </row>
    <row r="4969" spans="1:13" x14ac:dyDescent="0.25">
      <c r="A4969" t="s">
        <v>15843</v>
      </c>
      <c r="B4969" t="s">
        <v>13</v>
      </c>
      <c r="C4969" t="s">
        <v>11846</v>
      </c>
      <c r="D4969" t="s">
        <v>15844</v>
      </c>
      <c r="E4969" t="s">
        <v>32643</v>
      </c>
      <c r="F4969" t="s">
        <v>6130</v>
      </c>
      <c r="G4969" t="s">
        <v>15845</v>
      </c>
      <c r="H4969" t="s">
        <v>352</v>
      </c>
      <c r="I4969" t="s">
        <v>19</v>
      </c>
      <c r="J4969" s="3" t="s">
        <v>15846</v>
      </c>
      <c r="K4969" t="s">
        <v>15847</v>
      </c>
      <c r="L4969" t="s">
        <v>15848</v>
      </c>
      <c r="M4969" t="s">
        <v>32144</v>
      </c>
    </row>
    <row r="4970" spans="1:13" x14ac:dyDescent="0.25">
      <c r="A4970" t="s">
        <v>10705</v>
      </c>
      <c r="B4970" t="s">
        <v>13</v>
      </c>
      <c r="C4970" s="1">
        <v>43411</v>
      </c>
      <c r="D4970" t="s">
        <v>10706</v>
      </c>
      <c r="E4970" t="s">
        <v>32644</v>
      </c>
      <c r="F4970" t="s">
        <v>306</v>
      </c>
      <c r="G4970" t="s">
        <v>10707</v>
      </c>
      <c r="H4970" t="s">
        <v>10708</v>
      </c>
      <c r="I4970" t="s">
        <v>19</v>
      </c>
      <c r="J4970" s="3" t="s">
        <v>10709</v>
      </c>
      <c r="K4970" t="s">
        <v>10710</v>
      </c>
      <c r="L4970" t="s">
        <v>10711</v>
      </c>
      <c r="M4970" t="s">
        <v>32145</v>
      </c>
    </row>
    <row r="4971" spans="1:13" x14ac:dyDescent="0.25">
      <c r="A4971" t="s">
        <v>7138</v>
      </c>
      <c r="B4971" t="s">
        <v>13</v>
      </c>
      <c r="C4971" s="1">
        <v>44475</v>
      </c>
      <c r="D4971" t="s">
        <v>7139</v>
      </c>
      <c r="E4971" t="s">
        <v>7140</v>
      </c>
      <c r="F4971" t="s">
        <v>812</v>
      </c>
      <c r="G4971" t="s">
        <v>7141</v>
      </c>
      <c r="H4971" t="s">
        <v>352</v>
      </c>
      <c r="I4971" t="s">
        <v>19</v>
      </c>
      <c r="J4971" s="3">
        <f>55-21-38829797</f>
        <v>-38829763</v>
      </c>
      <c r="K4971" t="s">
        <v>7142</v>
      </c>
      <c r="L4971" t="s">
        <v>32135</v>
      </c>
      <c r="M4971" t="s">
        <v>57</v>
      </c>
    </row>
    <row r="4972" spans="1:13" x14ac:dyDescent="0.25">
      <c r="A4972" t="s">
        <v>19378</v>
      </c>
      <c r="B4972" t="s">
        <v>13</v>
      </c>
      <c r="C4972" s="1">
        <v>43141</v>
      </c>
      <c r="D4972" t="s">
        <v>19379</v>
      </c>
      <c r="E4972" t="s">
        <v>32645</v>
      </c>
      <c r="F4972" t="s">
        <v>57</v>
      </c>
      <c r="G4972" t="s">
        <v>19380</v>
      </c>
      <c r="H4972" t="s">
        <v>36</v>
      </c>
      <c r="I4972" t="s">
        <v>19</v>
      </c>
      <c r="J4972" s="3">
        <v>551126616912</v>
      </c>
      <c r="K4972" t="s">
        <v>19381</v>
      </c>
      <c r="L4972" t="s">
        <v>19382</v>
      </c>
      <c r="M4972" t="s">
        <v>57</v>
      </c>
    </row>
    <row r="4973" spans="1:13" x14ac:dyDescent="0.25">
      <c r="A4973" t="s">
        <v>23090</v>
      </c>
      <c r="B4973" t="s">
        <v>13</v>
      </c>
      <c r="C4973" s="1">
        <v>42927</v>
      </c>
      <c r="D4973" t="s">
        <v>23091</v>
      </c>
      <c r="E4973" s="2" t="s">
        <v>31322</v>
      </c>
      <c r="F4973" t="s">
        <v>2036</v>
      </c>
      <c r="G4973" t="s">
        <v>23092</v>
      </c>
      <c r="H4973" t="s">
        <v>12945</v>
      </c>
      <c r="I4973" t="s">
        <v>19</v>
      </c>
      <c r="J4973" s="3" t="s">
        <v>23093</v>
      </c>
      <c r="K4973" t="s">
        <v>23094</v>
      </c>
      <c r="L4973" t="s">
        <v>82</v>
      </c>
      <c r="M4973" t="s">
        <v>57</v>
      </c>
    </row>
    <row r="4974" spans="1:13" x14ac:dyDescent="0.25">
      <c r="A4974" t="s">
        <v>28843</v>
      </c>
      <c r="B4974" t="s">
        <v>101</v>
      </c>
      <c r="C4974" t="s">
        <v>28844</v>
      </c>
      <c r="D4974" t="s">
        <v>28845</v>
      </c>
      <c r="E4974" t="s">
        <v>28666</v>
      </c>
      <c r="F4974" t="s">
        <v>2036</v>
      </c>
      <c r="G4974" t="s">
        <v>11717</v>
      </c>
      <c r="H4974" t="s">
        <v>1072</v>
      </c>
      <c r="I4974" t="s">
        <v>19</v>
      </c>
      <c r="J4974" s="3" t="s">
        <v>28338</v>
      </c>
      <c r="K4974" t="s">
        <v>11718</v>
      </c>
      <c r="L4974" t="s">
        <v>91</v>
      </c>
      <c r="M4974" t="s">
        <v>57</v>
      </c>
    </row>
    <row r="4975" spans="1:13" x14ac:dyDescent="0.25">
      <c r="A4975" t="s">
        <v>28664</v>
      </c>
      <c r="B4975" t="s">
        <v>13</v>
      </c>
      <c r="C4975" t="s">
        <v>28657</v>
      </c>
      <c r="D4975" t="s">
        <v>28665</v>
      </c>
      <c r="E4975" t="s">
        <v>28666</v>
      </c>
      <c r="F4975" t="s">
        <v>2036</v>
      </c>
      <c r="G4975" t="s">
        <v>11717</v>
      </c>
      <c r="H4975" t="s">
        <v>1072</v>
      </c>
      <c r="I4975" t="s">
        <v>19</v>
      </c>
      <c r="J4975" s="3" t="s">
        <v>28338</v>
      </c>
      <c r="K4975" t="s">
        <v>11718</v>
      </c>
      <c r="L4975" t="s">
        <v>91</v>
      </c>
      <c r="M4975" t="s">
        <v>57</v>
      </c>
    </row>
    <row r="4976" spans="1:13" x14ac:dyDescent="0.25">
      <c r="A4976" t="s">
        <v>2372</v>
      </c>
      <c r="B4976" t="s">
        <v>101</v>
      </c>
      <c r="C4976" t="s">
        <v>2366</v>
      </c>
      <c r="D4976" t="s">
        <v>2373</v>
      </c>
      <c r="E4976" s="2" t="s">
        <v>30733</v>
      </c>
      <c r="F4976" t="s">
        <v>426</v>
      </c>
      <c r="G4976" t="s">
        <v>2374</v>
      </c>
      <c r="H4976" t="s">
        <v>462</v>
      </c>
      <c r="I4976" t="s">
        <v>19</v>
      </c>
      <c r="J4976" s="3" t="s">
        <v>2375</v>
      </c>
      <c r="K4976" t="s">
        <v>2376</v>
      </c>
      <c r="L4976" t="s">
        <v>904</v>
      </c>
      <c r="M4976" t="s">
        <v>432</v>
      </c>
    </row>
    <row r="4977" spans="1:13" x14ac:dyDescent="0.25">
      <c r="A4977" t="s">
        <v>18940</v>
      </c>
      <c r="B4977" t="s">
        <v>101</v>
      </c>
      <c r="C4977" t="s">
        <v>18934</v>
      </c>
      <c r="D4977" t="s">
        <v>18941</v>
      </c>
      <c r="E4977" s="2" t="s">
        <v>31843</v>
      </c>
      <c r="F4977" t="s">
        <v>6130</v>
      </c>
      <c r="G4977" t="s">
        <v>18942</v>
      </c>
      <c r="H4977" t="s">
        <v>255</v>
      </c>
      <c r="I4977" t="s">
        <v>19</v>
      </c>
      <c r="J4977" s="3">
        <f>55-6232698511</f>
        <v>-6232698456</v>
      </c>
      <c r="K4977" t="s">
        <v>18943</v>
      </c>
      <c r="L4977" t="s">
        <v>18944</v>
      </c>
      <c r="M4977" t="s">
        <v>32144</v>
      </c>
    </row>
    <row r="4978" spans="1:13" x14ac:dyDescent="0.25">
      <c r="A4978" t="s">
        <v>24403</v>
      </c>
      <c r="B4978" t="s">
        <v>13</v>
      </c>
      <c r="C4978" s="1">
        <v>43012</v>
      </c>
      <c r="D4978" t="s">
        <v>24404</v>
      </c>
      <c r="E4978" t="s">
        <v>24405</v>
      </c>
      <c r="F4978" t="s">
        <v>785</v>
      </c>
      <c r="G4978" t="s">
        <v>24406</v>
      </c>
      <c r="H4978" t="s">
        <v>71</v>
      </c>
      <c r="I4978" t="s">
        <v>19</v>
      </c>
      <c r="J4978" s="3" t="s">
        <v>24407</v>
      </c>
      <c r="K4978" t="s">
        <v>24408</v>
      </c>
      <c r="L4978" t="s">
        <v>21396</v>
      </c>
      <c r="M4978" t="s">
        <v>785</v>
      </c>
    </row>
    <row r="4979" spans="1:13" x14ac:dyDescent="0.25">
      <c r="A4979" t="s">
        <v>26588</v>
      </c>
      <c r="B4979" t="s">
        <v>13</v>
      </c>
      <c r="C4979" s="1">
        <v>42586</v>
      </c>
      <c r="D4979" t="s">
        <v>574</v>
      </c>
      <c r="E4979" t="s">
        <v>26589</v>
      </c>
      <c r="F4979" t="s">
        <v>9969</v>
      </c>
      <c r="G4979" t="s">
        <v>26590</v>
      </c>
      <c r="H4979" t="s">
        <v>578</v>
      </c>
      <c r="I4979" t="s">
        <v>19</v>
      </c>
      <c r="J4979" s="3" t="s">
        <v>26591</v>
      </c>
      <c r="K4979" t="s">
        <v>26592</v>
      </c>
      <c r="L4979" t="s">
        <v>581</v>
      </c>
      <c r="M4979" t="s">
        <v>32149</v>
      </c>
    </row>
    <row r="4980" spans="1:13" x14ac:dyDescent="0.25">
      <c r="A4980" t="s">
        <v>3136</v>
      </c>
      <c r="B4980" t="s">
        <v>13</v>
      </c>
      <c r="C4980" s="1">
        <v>44688</v>
      </c>
      <c r="D4980" t="s">
        <v>32135</v>
      </c>
      <c r="E4980" s="2" t="s">
        <v>32646</v>
      </c>
      <c r="F4980" t="s">
        <v>2802</v>
      </c>
      <c r="G4980" t="s">
        <v>2101</v>
      </c>
      <c r="H4980" t="s">
        <v>472</v>
      </c>
      <c r="I4980" t="s">
        <v>19</v>
      </c>
      <c r="J4980" s="3" t="s">
        <v>3137</v>
      </c>
      <c r="K4980" t="s">
        <v>3138</v>
      </c>
      <c r="L4980" t="s">
        <v>2101</v>
      </c>
      <c r="M4980" t="s">
        <v>771</v>
      </c>
    </row>
    <row r="4981" spans="1:13" x14ac:dyDescent="0.25">
      <c r="A4981" t="s">
        <v>14063</v>
      </c>
      <c r="B4981" t="s">
        <v>13</v>
      </c>
      <c r="C4981" t="s">
        <v>7493</v>
      </c>
      <c r="D4981" t="s">
        <v>14064</v>
      </c>
      <c r="E4981" t="s">
        <v>14065</v>
      </c>
      <c r="F4981" t="s">
        <v>1349</v>
      </c>
      <c r="G4981" t="s">
        <v>14066</v>
      </c>
      <c r="H4981" t="s">
        <v>428</v>
      </c>
      <c r="I4981" t="s">
        <v>19</v>
      </c>
      <c r="J4981" s="3" t="s">
        <v>14067</v>
      </c>
      <c r="K4981" t="s">
        <v>14068</v>
      </c>
      <c r="L4981" t="s">
        <v>14069</v>
      </c>
      <c r="M4981" t="s">
        <v>1349</v>
      </c>
    </row>
    <row r="4982" spans="1:13" x14ac:dyDescent="0.25">
      <c r="A4982" t="s">
        <v>2555</v>
      </c>
      <c r="B4982" t="s">
        <v>13</v>
      </c>
      <c r="C4982" s="1">
        <v>44903</v>
      </c>
      <c r="D4982" t="s">
        <v>2556</v>
      </c>
      <c r="E4982" t="s">
        <v>2557</v>
      </c>
      <c r="F4982" t="s">
        <v>1159</v>
      </c>
      <c r="G4982" t="s">
        <v>2558</v>
      </c>
      <c r="H4982" t="s">
        <v>444</v>
      </c>
      <c r="I4982" t="s">
        <v>19</v>
      </c>
      <c r="J4982" s="3">
        <f>55-87-2101-6856</f>
        <v>-8989</v>
      </c>
      <c r="K4982" t="s">
        <v>2559</v>
      </c>
      <c r="L4982" t="s">
        <v>447</v>
      </c>
      <c r="M4982" t="s">
        <v>32144</v>
      </c>
    </row>
    <row r="4983" spans="1:13" x14ac:dyDescent="0.25">
      <c r="A4983" t="s">
        <v>1721</v>
      </c>
      <c r="B4983" t="s">
        <v>13</v>
      </c>
      <c r="C4983" t="s">
        <v>1722</v>
      </c>
      <c r="D4983" t="s">
        <v>1723</v>
      </c>
      <c r="E4983" t="s">
        <v>1724</v>
      </c>
      <c r="F4983" t="s">
        <v>997</v>
      </c>
      <c r="G4983" t="s">
        <v>1725</v>
      </c>
      <c r="H4983" t="s">
        <v>893</v>
      </c>
      <c r="I4983" t="s">
        <v>19</v>
      </c>
      <c r="J4983" s="3">
        <f>55-98-32729064</f>
        <v>-32729107</v>
      </c>
      <c r="K4983" t="s">
        <v>1726</v>
      </c>
      <c r="L4983" t="s">
        <v>1727</v>
      </c>
      <c r="M4983" t="s">
        <v>32144</v>
      </c>
    </row>
    <row r="4984" spans="1:13" x14ac:dyDescent="0.25">
      <c r="A4984" t="s">
        <v>634</v>
      </c>
      <c r="B4984" t="s">
        <v>13</v>
      </c>
      <c r="C4984" s="1">
        <v>45078</v>
      </c>
      <c r="D4984" t="s">
        <v>635</v>
      </c>
      <c r="E4984" t="s">
        <v>442</v>
      </c>
      <c r="F4984" t="s">
        <v>636</v>
      </c>
      <c r="G4984" t="s">
        <v>307</v>
      </c>
      <c r="H4984" t="s">
        <v>308</v>
      </c>
      <c r="I4984" t="s">
        <v>309</v>
      </c>
      <c r="J4984" s="3" t="s">
        <v>310</v>
      </c>
      <c r="K4984" t="s">
        <v>311</v>
      </c>
      <c r="L4984" t="s">
        <v>312</v>
      </c>
      <c r="M4984" t="s">
        <v>6656</v>
      </c>
    </row>
    <row r="4985" spans="1:13" x14ac:dyDescent="0.25">
      <c r="A4985" t="s">
        <v>3226</v>
      </c>
      <c r="B4985" t="s">
        <v>13</v>
      </c>
      <c r="C4985" t="s">
        <v>3199</v>
      </c>
      <c r="D4985" t="s">
        <v>3227</v>
      </c>
      <c r="E4985" t="s">
        <v>3228</v>
      </c>
      <c r="F4985" t="s">
        <v>3229</v>
      </c>
      <c r="G4985" t="s">
        <v>3230</v>
      </c>
      <c r="H4985" t="s">
        <v>927</v>
      </c>
      <c r="I4985" t="s">
        <v>19</v>
      </c>
      <c r="J4985" s="3">
        <v>5513988733924</v>
      </c>
      <c r="K4985" t="s">
        <v>3231</v>
      </c>
      <c r="L4985" t="s">
        <v>3232</v>
      </c>
      <c r="M4985" t="s">
        <v>1775</v>
      </c>
    </row>
    <row r="4986" spans="1:13" x14ac:dyDescent="0.25">
      <c r="A4986" t="s">
        <v>1601</v>
      </c>
      <c r="B4986" t="s">
        <v>13</v>
      </c>
      <c r="C4986" t="s">
        <v>1580</v>
      </c>
      <c r="D4986" t="s">
        <v>1602</v>
      </c>
      <c r="E4986" t="s">
        <v>442</v>
      </c>
      <c r="F4986" t="s">
        <v>636</v>
      </c>
      <c r="G4986" t="s">
        <v>1603</v>
      </c>
      <c r="H4986" t="s">
        <v>195</v>
      </c>
      <c r="I4986" t="s">
        <v>19</v>
      </c>
      <c r="J4986" s="3" t="s">
        <v>1604</v>
      </c>
      <c r="K4986" t="s">
        <v>1605</v>
      </c>
      <c r="L4986" t="s">
        <v>1606</v>
      </c>
      <c r="M4986" t="s">
        <v>32144</v>
      </c>
    </row>
    <row r="4987" spans="1:13" x14ac:dyDescent="0.25">
      <c r="A4987" t="s">
        <v>440</v>
      </c>
      <c r="B4987" t="s">
        <v>13</v>
      </c>
      <c r="C4987" t="s">
        <v>423</v>
      </c>
      <c r="D4987" t="s">
        <v>441</v>
      </c>
      <c r="E4987" t="s">
        <v>442</v>
      </c>
      <c r="F4987" t="s">
        <v>26</v>
      </c>
      <c r="G4987" t="s">
        <v>443</v>
      </c>
      <c r="H4987" t="s">
        <v>444</v>
      </c>
      <c r="I4987" t="s">
        <v>19</v>
      </c>
      <c r="J4987" s="3" t="s">
        <v>445</v>
      </c>
      <c r="K4987" t="s">
        <v>446</v>
      </c>
      <c r="L4987" t="s">
        <v>447</v>
      </c>
      <c r="M4987" t="s">
        <v>32144</v>
      </c>
    </row>
    <row r="4988" spans="1:13" x14ac:dyDescent="0.25">
      <c r="A4988" t="s">
        <v>9644</v>
      </c>
      <c r="B4988" t="s">
        <v>13</v>
      </c>
      <c r="C4988" t="s">
        <v>9645</v>
      </c>
      <c r="D4988" t="s">
        <v>9646</v>
      </c>
      <c r="E4988" t="s">
        <v>442</v>
      </c>
      <c r="F4988" t="s">
        <v>2947</v>
      </c>
      <c r="G4988" t="s">
        <v>3896</v>
      </c>
      <c r="H4988" t="s">
        <v>141</v>
      </c>
      <c r="I4988" t="s">
        <v>19</v>
      </c>
      <c r="J4988" s="3">
        <f>55-82032156809</f>
        <v>-82032156754</v>
      </c>
      <c r="K4988" t="s">
        <v>3897</v>
      </c>
      <c r="L4988" t="s">
        <v>3898</v>
      </c>
      <c r="M4988" t="s">
        <v>771</v>
      </c>
    </row>
    <row r="4989" spans="1:13" x14ac:dyDescent="0.25">
      <c r="A4989" t="s">
        <v>12320</v>
      </c>
      <c r="B4989" t="s">
        <v>13</v>
      </c>
      <c r="C4989" t="s">
        <v>12316</v>
      </c>
      <c r="D4989" t="s">
        <v>12321</v>
      </c>
      <c r="E4989" t="s">
        <v>3228</v>
      </c>
      <c r="F4989" t="s">
        <v>1464</v>
      </c>
      <c r="G4989" t="s">
        <v>12322</v>
      </c>
      <c r="H4989" t="s">
        <v>195</v>
      </c>
      <c r="I4989" t="s">
        <v>19</v>
      </c>
      <c r="J4989" s="3">
        <v>1633066665</v>
      </c>
      <c r="K4989" t="s">
        <v>12323</v>
      </c>
      <c r="L4989" t="s">
        <v>197</v>
      </c>
      <c r="M4989" t="s">
        <v>32144</v>
      </c>
    </row>
    <row r="4990" spans="1:13" x14ac:dyDescent="0.25">
      <c r="A4990" t="s">
        <v>3320</v>
      </c>
      <c r="B4990" t="s">
        <v>13</v>
      </c>
      <c r="C4990" t="s">
        <v>3321</v>
      </c>
      <c r="D4990" t="s">
        <v>3322</v>
      </c>
      <c r="E4990" t="s">
        <v>442</v>
      </c>
      <c r="F4990" t="s">
        <v>3323</v>
      </c>
      <c r="G4990" t="s">
        <v>3221</v>
      </c>
      <c r="H4990" t="s">
        <v>3222</v>
      </c>
      <c r="I4990" t="s">
        <v>19</v>
      </c>
      <c r="J4990" s="3" t="s">
        <v>3223</v>
      </c>
      <c r="K4990" t="s">
        <v>3224</v>
      </c>
      <c r="L4990" t="s">
        <v>3225</v>
      </c>
      <c r="M4990" t="s">
        <v>32144</v>
      </c>
    </row>
    <row r="4991" spans="1:13" x14ac:dyDescent="0.25">
      <c r="A4991" t="s">
        <v>9453</v>
      </c>
      <c r="B4991" t="s">
        <v>13</v>
      </c>
      <c r="C4991" t="s">
        <v>9445</v>
      </c>
      <c r="D4991" t="s">
        <v>9454</v>
      </c>
      <c r="E4991" s="2" t="s">
        <v>31769</v>
      </c>
      <c r="F4991" t="s">
        <v>6130</v>
      </c>
      <c r="G4991" t="s">
        <v>9455</v>
      </c>
      <c r="H4991" t="s">
        <v>1486</v>
      </c>
      <c r="I4991" t="s">
        <v>19</v>
      </c>
      <c r="J4991" s="3" t="s">
        <v>9456</v>
      </c>
      <c r="K4991" t="s">
        <v>9457</v>
      </c>
      <c r="L4991" t="s">
        <v>1489</v>
      </c>
      <c r="M4991" t="s">
        <v>32144</v>
      </c>
    </row>
    <row r="4992" spans="1:13" x14ac:dyDescent="0.25">
      <c r="A4992" t="s">
        <v>6935</v>
      </c>
      <c r="B4992" t="s">
        <v>101</v>
      </c>
      <c r="C4992" s="1">
        <v>44232</v>
      </c>
      <c r="D4992" t="s">
        <v>6936</v>
      </c>
      <c r="E4992" s="2" t="s">
        <v>30916</v>
      </c>
      <c r="F4992" t="s">
        <v>6937</v>
      </c>
      <c r="G4992" t="s">
        <v>6938</v>
      </c>
      <c r="H4992" t="s">
        <v>6939</v>
      </c>
      <c r="I4992" t="s">
        <v>19</v>
      </c>
      <c r="J4992" s="3">
        <v>55032999763116</v>
      </c>
      <c r="K4992" t="s">
        <v>6940</v>
      </c>
      <c r="L4992" t="s">
        <v>32135</v>
      </c>
      <c r="M4992" t="s">
        <v>32144</v>
      </c>
    </row>
    <row r="4993" spans="1:13" x14ac:dyDescent="0.25">
      <c r="A4993" t="s">
        <v>4853</v>
      </c>
      <c r="B4993" t="s">
        <v>13</v>
      </c>
      <c r="C4993" s="1">
        <v>44836</v>
      </c>
      <c r="D4993" t="s">
        <v>4854</v>
      </c>
      <c r="E4993" s="2" t="s">
        <v>32078</v>
      </c>
      <c r="F4993" t="s">
        <v>4856</v>
      </c>
      <c r="G4993" t="s">
        <v>4857</v>
      </c>
      <c r="H4993" t="s">
        <v>352</v>
      </c>
      <c r="I4993" t="s">
        <v>19</v>
      </c>
      <c r="J4993" s="3">
        <f>55-21-998704195</f>
        <v>-998704161</v>
      </c>
      <c r="K4993" t="s">
        <v>4858</v>
      </c>
      <c r="L4993" t="s">
        <v>4859</v>
      </c>
      <c r="M4993" t="s">
        <v>32144</v>
      </c>
    </row>
    <row r="4994" spans="1:13" x14ac:dyDescent="0.25">
      <c r="A4994" t="s">
        <v>19383</v>
      </c>
      <c r="B4994" t="s">
        <v>13</v>
      </c>
      <c r="C4994" s="1">
        <v>43141</v>
      </c>
      <c r="D4994" t="s">
        <v>19384</v>
      </c>
      <c r="E4994" s="2" t="s">
        <v>31955</v>
      </c>
      <c r="F4994" t="s">
        <v>11797</v>
      </c>
      <c r="G4994" t="s">
        <v>19385</v>
      </c>
      <c r="H4994" t="s">
        <v>36</v>
      </c>
      <c r="I4994" t="s">
        <v>19</v>
      </c>
      <c r="J4994" s="3" t="s">
        <v>19386</v>
      </c>
      <c r="K4994" t="s">
        <v>19387</v>
      </c>
      <c r="L4994" t="s">
        <v>9007</v>
      </c>
      <c r="M4994" t="s">
        <v>32195</v>
      </c>
    </row>
    <row r="4995" spans="1:13" x14ac:dyDescent="0.25">
      <c r="A4995" t="s">
        <v>12568</v>
      </c>
      <c r="B4995" t="s">
        <v>13</v>
      </c>
      <c r="C4995" t="s">
        <v>12556</v>
      </c>
      <c r="D4995" t="s">
        <v>12569</v>
      </c>
      <c r="E4995" s="2" t="s">
        <v>31045</v>
      </c>
      <c r="F4995" t="s">
        <v>2036</v>
      </c>
      <c r="G4995" t="s">
        <v>12570</v>
      </c>
      <c r="H4995" t="s">
        <v>2112</v>
      </c>
      <c r="I4995" t="s">
        <v>19</v>
      </c>
      <c r="J4995" s="3">
        <f>55-31-73648533</f>
        <v>-73648509</v>
      </c>
      <c r="K4995" t="s">
        <v>4080</v>
      </c>
      <c r="L4995" t="s">
        <v>3732</v>
      </c>
      <c r="M4995" t="s">
        <v>57</v>
      </c>
    </row>
    <row r="4996" spans="1:13" x14ac:dyDescent="0.25">
      <c r="A4996" t="s">
        <v>4458</v>
      </c>
      <c r="B4996" t="s">
        <v>13</v>
      </c>
      <c r="C4996" s="1">
        <v>44745</v>
      </c>
      <c r="D4996" t="s">
        <v>4459</v>
      </c>
      <c r="E4996" t="s">
        <v>4460</v>
      </c>
      <c r="F4996" t="s">
        <v>3624</v>
      </c>
      <c r="G4996" t="s">
        <v>3896</v>
      </c>
      <c r="H4996" t="s">
        <v>141</v>
      </c>
      <c r="I4996" t="s">
        <v>19</v>
      </c>
      <c r="J4996" s="3">
        <f>55-82-32155000</f>
        <v>-32155027</v>
      </c>
      <c r="K4996" t="s">
        <v>3897</v>
      </c>
      <c r="L4996" t="s">
        <v>4438</v>
      </c>
      <c r="M4996" t="s">
        <v>32144</v>
      </c>
    </row>
    <row r="4997" spans="1:13" x14ac:dyDescent="0.25">
      <c r="A4997" t="s">
        <v>6273</v>
      </c>
      <c r="B4997" t="s">
        <v>13</v>
      </c>
      <c r="C4997" t="s">
        <v>6274</v>
      </c>
      <c r="D4997" t="s">
        <v>6275</v>
      </c>
      <c r="E4997" s="2" t="s">
        <v>31998</v>
      </c>
      <c r="F4997" t="s">
        <v>2036</v>
      </c>
      <c r="G4997" t="s">
        <v>6277</v>
      </c>
      <c r="H4997" t="s">
        <v>409</v>
      </c>
      <c r="I4997" t="s">
        <v>19</v>
      </c>
      <c r="J4997" s="3">
        <v>55048991639792</v>
      </c>
      <c r="K4997" t="s">
        <v>6278</v>
      </c>
      <c r="L4997" t="s">
        <v>412</v>
      </c>
      <c r="M4997" t="s">
        <v>32145</v>
      </c>
    </row>
    <row r="4998" spans="1:13" x14ac:dyDescent="0.25">
      <c r="A4998" t="s">
        <v>13517</v>
      </c>
      <c r="B4998" t="s">
        <v>13</v>
      </c>
      <c r="C4998" t="s">
        <v>6103</v>
      </c>
      <c r="D4998" t="s">
        <v>13518</v>
      </c>
      <c r="E4998" s="2" t="s">
        <v>31076</v>
      </c>
      <c r="F4998" t="s">
        <v>1464</v>
      </c>
      <c r="G4998" t="s">
        <v>13519</v>
      </c>
      <c r="H4998" t="s">
        <v>141</v>
      </c>
      <c r="I4998" t="s">
        <v>19</v>
      </c>
      <c r="J4998" s="3">
        <v>5582996757425</v>
      </c>
      <c r="K4998" t="s">
        <v>13520</v>
      </c>
      <c r="L4998" t="s">
        <v>1058</v>
      </c>
      <c r="M4998" t="s">
        <v>32144</v>
      </c>
    </row>
    <row r="4999" spans="1:13" x14ac:dyDescent="0.25">
      <c r="A4999" t="s">
        <v>9691</v>
      </c>
      <c r="B4999" t="s">
        <v>13</v>
      </c>
      <c r="C4999" t="s">
        <v>5087</v>
      </c>
      <c r="D4999" t="s">
        <v>9692</v>
      </c>
      <c r="E4999" s="2" t="s">
        <v>32803</v>
      </c>
      <c r="F4999" t="s">
        <v>6130</v>
      </c>
      <c r="G4999" t="s">
        <v>3854</v>
      </c>
      <c r="H4999" t="s">
        <v>489</v>
      </c>
      <c r="I4999" t="s">
        <v>19</v>
      </c>
      <c r="J4999" s="3" t="s">
        <v>9693</v>
      </c>
      <c r="K4999" t="s">
        <v>3856</v>
      </c>
      <c r="L4999" t="s">
        <v>9694</v>
      </c>
      <c r="M4999" t="s">
        <v>741</v>
      </c>
    </row>
    <row r="5000" spans="1:13" x14ac:dyDescent="0.25">
      <c r="A5000" t="s">
        <v>10563</v>
      </c>
      <c r="B5000" t="s">
        <v>13</v>
      </c>
      <c r="C5000" s="1">
        <v>43990</v>
      </c>
      <c r="D5000" t="s">
        <v>10564</v>
      </c>
      <c r="E5000" s="2" t="s">
        <v>31457</v>
      </c>
      <c r="F5000" t="s">
        <v>6130</v>
      </c>
      <c r="G5000" t="s">
        <v>10565</v>
      </c>
      <c r="H5000" t="s">
        <v>489</v>
      </c>
      <c r="I5000" t="s">
        <v>19</v>
      </c>
      <c r="J5000" s="3" t="s">
        <v>10566</v>
      </c>
      <c r="K5000" t="s">
        <v>10567</v>
      </c>
      <c r="L5000" t="s">
        <v>10568</v>
      </c>
      <c r="M5000" t="s">
        <v>32144</v>
      </c>
    </row>
    <row r="5001" spans="1:13" x14ac:dyDescent="0.25">
      <c r="A5001" t="s">
        <v>23793</v>
      </c>
      <c r="B5001" t="s">
        <v>13</v>
      </c>
      <c r="C5001" t="s">
        <v>18505</v>
      </c>
      <c r="D5001" t="s">
        <v>23794</v>
      </c>
      <c r="E5001" t="s">
        <v>23795</v>
      </c>
      <c r="F5001" t="s">
        <v>11797</v>
      </c>
      <c r="G5001" t="s">
        <v>23796</v>
      </c>
      <c r="H5001" t="s">
        <v>753</v>
      </c>
      <c r="I5001" t="s">
        <v>19</v>
      </c>
      <c r="J5001" s="3" t="s">
        <v>23797</v>
      </c>
      <c r="K5001" t="s">
        <v>23798</v>
      </c>
      <c r="L5001" t="s">
        <v>2762</v>
      </c>
      <c r="M5001" t="s">
        <v>32195</v>
      </c>
    </row>
    <row r="5002" spans="1:13" x14ac:dyDescent="0.25">
      <c r="A5002" t="s">
        <v>18243</v>
      </c>
      <c r="B5002" t="s">
        <v>13</v>
      </c>
      <c r="C5002" s="1">
        <v>43468</v>
      </c>
      <c r="D5002" t="s">
        <v>18244</v>
      </c>
      <c r="E5002" t="s">
        <v>18245</v>
      </c>
      <c r="F5002" t="s">
        <v>2947</v>
      </c>
      <c r="G5002" t="s">
        <v>18246</v>
      </c>
      <c r="H5002" t="s">
        <v>18247</v>
      </c>
      <c r="I5002" t="s">
        <v>19</v>
      </c>
      <c r="J5002" s="3">
        <v>5598991940473</v>
      </c>
      <c r="K5002" t="s">
        <v>18248</v>
      </c>
      <c r="L5002" t="s">
        <v>18249</v>
      </c>
      <c r="M5002" t="s">
        <v>771</v>
      </c>
    </row>
    <row r="5003" spans="1:13" x14ac:dyDescent="0.25">
      <c r="A5003" t="s">
        <v>21150</v>
      </c>
      <c r="B5003" t="s">
        <v>13</v>
      </c>
      <c r="C5003" s="1">
        <v>43226</v>
      </c>
      <c r="D5003" t="s">
        <v>21151</v>
      </c>
      <c r="E5003" t="s">
        <v>12538</v>
      </c>
      <c r="F5003" t="s">
        <v>2947</v>
      </c>
      <c r="G5003" t="s">
        <v>21152</v>
      </c>
      <c r="H5003" t="s">
        <v>18</v>
      </c>
      <c r="I5003" t="s">
        <v>19</v>
      </c>
      <c r="J5003" s="3">
        <f>55-19-35216625</f>
        <v>-35216589</v>
      </c>
      <c r="K5003" t="s">
        <v>21153</v>
      </c>
      <c r="L5003" t="s">
        <v>10325</v>
      </c>
      <c r="M5003" t="s">
        <v>771</v>
      </c>
    </row>
    <row r="5004" spans="1:13" x14ac:dyDescent="0.25">
      <c r="A5004" t="s">
        <v>28330</v>
      </c>
      <c r="B5004" t="s">
        <v>13</v>
      </c>
      <c r="C5004" t="s">
        <v>23074</v>
      </c>
      <c r="D5004" t="s">
        <v>28331</v>
      </c>
      <c r="E5004" t="s">
        <v>18245</v>
      </c>
      <c r="F5004" t="s">
        <v>12538</v>
      </c>
      <c r="G5004" t="s">
        <v>28332</v>
      </c>
      <c r="H5004" t="s">
        <v>1215</v>
      </c>
      <c r="I5004" t="s">
        <v>19</v>
      </c>
      <c r="J5004" s="3" t="s">
        <v>28333</v>
      </c>
      <c r="K5004" t="s">
        <v>26877</v>
      </c>
      <c r="L5004" t="s">
        <v>28334</v>
      </c>
      <c r="M5004" t="s">
        <v>1775</v>
      </c>
    </row>
    <row r="5005" spans="1:13" x14ac:dyDescent="0.25">
      <c r="A5005" t="s">
        <v>15837</v>
      </c>
      <c r="B5005" t="s">
        <v>13</v>
      </c>
      <c r="C5005" s="1">
        <v>43475</v>
      </c>
      <c r="D5005" t="s">
        <v>15838</v>
      </c>
      <c r="E5005" s="2" t="s">
        <v>32804</v>
      </c>
      <c r="F5005" t="s">
        <v>1464</v>
      </c>
      <c r="G5005" t="s">
        <v>15839</v>
      </c>
      <c r="H5005" t="s">
        <v>428</v>
      </c>
      <c r="I5005" t="s">
        <v>19</v>
      </c>
      <c r="J5005" s="3" t="s">
        <v>15840</v>
      </c>
      <c r="K5005" t="s">
        <v>15841</v>
      </c>
      <c r="L5005" t="s">
        <v>15842</v>
      </c>
      <c r="M5005" t="s">
        <v>32144</v>
      </c>
    </row>
    <row r="5006" spans="1:13" x14ac:dyDescent="0.25">
      <c r="A5006" t="s">
        <v>23925</v>
      </c>
      <c r="B5006" t="s">
        <v>13</v>
      </c>
      <c r="C5006" t="s">
        <v>23923</v>
      </c>
      <c r="D5006" t="s">
        <v>23926</v>
      </c>
      <c r="E5006" t="s">
        <v>32805</v>
      </c>
      <c r="F5006" t="s">
        <v>1775</v>
      </c>
      <c r="G5006" t="s">
        <v>23927</v>
      </c>
      <c r="H5006" t="s">
        <v>489</v>
      </c>
      <c r="I5006" t="s">
        <v>19</v>
      </c>
      <c r="J5006" s="3" t="s">
        <v>23928</v>
      </c>
      <c r="K5006" t="s">
        <v>23929</v>
      </c>
      <c r="L5006" t="s">
        <v>21703</v>
      </c>
      <c r="M5006" t="s">
        <v>1775</v>
      </c>
    </row>
    <row r="5007" spans="1:13" x14ac:dyDescent="0.25">
      <c r="A5007" t="s">
        <v>19171</v>
      </c>
      <c r="B5007" t="s">
        <v>13</v>
      </c>
      <c r="C5007" t="s">
        <v>19172</v>
      </c>
      <c r="D5007" t="s">
        <v>19173</v>
      </c>
      <c r="E5007" s="2" t="s">
        <v>32026</v>
      </c>
      <c r="F5007" t="s">
        <v>2947</v>
      </c>
      <c r="G5007" t="s">
        <v>19174</v>
      </c>
      <c r="H5007" t="s">
        <v>444</v>
      </c>
      <c r="I5007" t="s">
        <v>19</v>
      </c>
      <c r="J5007" s="3" t="s">
        <v>19175</v>
      </c>
      <c r="K5007" t="s">
        <v>19176</v>
      </c>
      <c r="L5007" t="s">
        <v>19177</v>
      </c>
      <c r="M5007" t="s">
        <v>771</v>
      </c>
    </row>
    <row r="5008" spans="1:13" x14ac:dyDescent="0.25">
      <c r="A5008" t="s">
        <v>12535</v>
      </c>
      <c r="B5008" t="s">
        <v>13</v>
      </c>
      <c r="C5008" t="s">
        <v>12536</v>
      </c>
      <c r="D5008" t="s">
        <v>12537</v>
      </c>
      <c r="E5008" s="2" t="s">
        <v>31042</v>
      </c>
      <c r="F5008" t="s">
        <v>1464</v>
      </c>
      <c r="G5008" t="s">
        <v>12539</v>
      </c>
      <c r="H5008" t="s">
        <v>141</v>
      </c>
      <c r="I5008" t="s">
        <v>19</v>
      </c>
      <c r="J5008" s="3">
        <f>55-82-99718938</f>
        <v>-99718965</v>
      </c>
      <c r="K5008" t="s">
        <v>12540</v>
      </c>
      <c r="L5008" t="s">
        <v>3898</v>
      </c>
      <c r="M5008" t="s">
        <v>1775</v>
      </c>
    </row>
    <row r="5009" spans="1:13" x14ac:dyDescent="0.25">
      <c r="A5009" t="s">
        <v>13574</v>
      </c>
      <c r="B5009" t="s">
        <v>13</v>
      </c>
      <c r="C5009" s="1">
        <v>44167</v>
      </c>
      <c r="D5009" t="s">
        <v>13575</v>
      </c>
      <c r="E5009" s="2" t="s">
        <v>31865</v>
      </c>
      <c r="F5009" t="s">
        <v>1464</v>
      </c>
      <c r="G5009" t="s">
        <v>13576</v>
      </c>
      <c r="H5009" t="s">
        <v>141</v>
      </c>
      <c r="I5009" t="s">
        <v>19</v>
      </c>
      <c r="J5009" s="3">
        <v>82999662208</v>
      </c>
      <c r="K5009" t="s">
        <v>13577</v>
      </c>
      <c r="L5009" t="s">
        <v>3898</v>
      </c>
      <c r="M5009" t="s">
        <v>32144</v>
      </c>
    </row>
    <row r="5010" spans="1:13" x14ac:dyDescent="0.25">
      <c r="A5010" t="s">
        <v>24028</v>
      </c>
      <c r="B5010" t="s">
        <v>13</v>
      </c>
      <c r="C5010" s="1">
        <v>43015</v>
      </c>
      <c r="D5010" t="s">
        <v>24029</v>
      </c>
      <c r="E5010" t="s">
        <v>24030</v>
      </c>
      <c r="F5010" t="s">
        <v>2947</v>
      </c>
      <c r="G5010" t="s">
        <v>8948</v>
      </c>
      <c r="H5010" t="s">
        <v>753</v>
      </c>
      <c r="I5010" t="s">
        <v>19</v>
      </c>
      <c r="J5010" s="3" t="s">
        <v>24031</v>
      </c>
      <c r="K5010" t="s">
        <v>8949</v>
      </c>
      <c r="L5010" t="s">
        <v>2762</v>
      </c>
      <c r="M5010" t="s">
        <v>32145</v>
      </c>
    </row>
    <row r="5011" spans="1:13" x14ac:dyDescent="0.25">
      <c r="A5011" t="s">
        <v>27817</v>
      </c>
      <c r="B5011" t="s">
        <v>13</v>
      </c>
      <c r="C5011" t="s">
        <v>27810</v>
      </c>
      <c r="D5011" t="s">
        <v>27818</v>
      </c>
      <c r="E5011" t="s">
        <v>27819</v>
      </c>
      <c r="F5011" t="s">
        <v>1775</v>
      </c>
      <c r="G5011" t="s">
        <v>27820</v>
      </c>
      <c r="H5011" t="s">
        <v>1215</v>
      </c>
      <c r="I5011" t="s">
        <v>19</v>
      </c>
      <c r="J5011" s="3" t="s">
        <v>18047</v>
      </c>
      <c r="K5011" t="s">
        <v>27821</v>
      </c>
      <c r="L5011" t="s">
        <v>18048</v>
      </c>
      <c r="M5011" t="s">
        <v>1775</v>
      </c>
    </row>
    <row r="5012" spans="1:13" x14ac:dyDescent="0.25">
      <c r="A5012" t="s">
        <v>28176</v>
      </c>
      <c r="B5012" t="s">
        <v>13</v>
      </c>
      <c r="C5012" t="s">
        <v>28160</v>
      </c>
      <c r="D5012" t="s">
        <v>28177</v>
      </c>
      <c r="E5012" s="2" t="s">
        <v>31467</v>
      </c>
      <c r="F5012" t="s">
        <v>1464</v>
      </c>
      <c r="G5012" t="s">
        <v>1081</v>
      </c>
      <c r="H5012" t="s">
        <v>489</v>
      </c>
      <c r="I5012" t="s">
        <v>19</v>
      </c>
      <c r="J5012" s="3" t="s">
        <v>25160</v>
      </c>
      <c r="K5012" t="s">
        <v>11449</v>
      </c>
      <c r="L5012" t="s">
        <v>625</v>
      </c>
      <c r="M5012" t="s">
        <v>771</v>
      </c>
    </row>
    <row r="5013" spans="1:13" x14ac:dyDescent="0.25">
      <c r="A5013" t="s">
        <v>20729</v>
      </c>
      <c r="B5013" t="s">
        <v>13</v>
      </c>
      <c r="C5013" s="1">
        <v>43227</v>
      </c>
      <c r="D5013" t="s">
        <v>20730</v>
      </c>
      <c r="E5013" s="2" t="s">
        <v>31264</v>
      </c>
      <c r="F5013" t="s">
        <v>1464</v>
      </c>
      <c r="G5013" t="s">
        <v>18426</v>
      </c>
      <c r="H5013" t="s">
        <v>503</v>
      </c>
      <c r="I5013" t="s">
        <v>19</v>
      </c>
      <c r="J5013" s="3" t="s">
        <v>9848</v>
      </c>
      <c r="K5013" t="s">
        <v>18428</v>
      </c>
      <c r="L5013" t="s">
        <v>412</v>
      </c>
      <c r="M5013" t="s">
        <v>1775</v>
      </c>
    </row>
    <row r="5014" spans="1:13" x14ac:dyDescent="0.25">
      <c r="A5014" t="s">
        <v>8065</v>
      </c>
      <c r="B5014" t="s">
        <v>13</v>
      </c>
      <c r="C5014" t="s">
        <v>8066</v>
      </c>
      <c r="D5014" t="s">
        <v>8067</v>
      </c>
      <c r="E5014" s="2" t="s">
        <v>31973</v>
      </c>
      <c r="F5014" t="s">
        <v>4249</v>
      </c>
      <c r="G5014" t="s">
        <v>2900</v>
      </c>
      <c r="H5014" t="s">
        <v>1486</v>
      </c>
      <c r="I5014" t="s">
        <v>19</v>
      </c>
      <c r="J5014" s="3">
        <f>55-34-991740297</f>
        <v>-991740276</v>
      </c>
      <c r="K5014" t="s">
        <v>2902</v>
      </c>
      <c r="L5014" t="s">
        <v>32135</v>
      </c>
      <c r="M5014" t="s">
        <v>1349</v>
      </c>
    </row>
    <row r="5015" spans="1:13" x14ac:dyDescent="0.25">
      <c r="A5015" t="s">
        <v>12498</v>
      </c>
      <c r="B5015" t="s">
        <v>13</v>
      </c>
      <c r="C5015" s="1">
        <v>43986</v>
      </c>
      <c r="D5015" t="s">
        <v>12499</v>
      </c>
      <c r="E5015" s="2" t="s">
        <v>31639</v>
      </c>
      <c r="F5015" t="s">
        <v>1464</v>
      </c>
      <c r="G5015" t="s">
        <v>12500</v>
      </c>
      <c r="H5015" t="s">
        <v>472</v>
      </c>
      <c r="I5015" t="s">
        <v>19</v>
      </c>
      <c r="J5015" s="3">
        <v>55081996065047</v>
      </c>
      <c r="K5015" t="s">
        <v>12501</v>
      </c>
      <c r="L5015" t="s">
        <v>2101</v>
      </c>
      <c r="M5015" t="s">
        <v>129</v>
      </c>
    </row>
    <row r="5016" spans="1:13" x14ac:dyDescent="0.25">
      <c r="A5016" t="s">
        <v>1362</v>
      </c>
      <c r="B5016" t="s">
        <v>13</v>
      </c>
      <c r="C5016" s="1">
        <v>44784</v>
      </c>
      <c r="D5016" t="s">
        <v>1363</v>
      </c>
      <c r="E5016" s="2" t="s">
        <v>31488</v>
      </c>
      <c r="F5016" t="s">
        <v>236</v>
      </c>
      <c r="G5016" t="s">
        <v>1366</v>
      </c>
      <c r="H5016" t="s">
        <v>45</v>
      </c>
      <c r="I5016" t="s">
        <v>19</v>
      </c>
      <c r="J5016" s="3" t="s">
        <v>1367</v>
      </c>
      <c r="K5016" t="s">
        <v>1368</v>
      </c>
      <c r="L5016" t="s">
        <v>1369</v>
      </c>
      <c r="M5016" t="s">
        <v>1349</v>
      </c>
    </row>
    <row r="5017" spans="1:13" x14ac:dyDescent="0.25">
      <c r="A5017" t="s">
        <v>24607</v>
      </c>
      <c r="B5017" t="s">
        <v>13</v>
      </c>
      <c r="C5017" t="s">
        <v>12252</v>
      </c>
      <c r="D5017" t="s">
        <v>24608</v>
      </c>
      <c r="E5017" t="s">
        <v>24609</v>
      </c>
      <c r="F5017" t="s">
        <v>306</v>
      </c>
      <c r="G5017" t="s">
        <v>24610</v>
      </c>
      <c r="H5017" t="s">
        <v>45</v>
      </c>
      <c r="I5017" t="s">
        <v>19</v>
      </c>
      <c r="J5017" s="3" t="s">
        <v>24611</v>
      </c>
      <c r="K5017" t="s">
        <v>24612</v>
      </c>
      <c r="L5017" t="s">
        <v>1909</v>
      </c>
      <c r="M5017" t="s">
        <v>32145</v>
      </c>
    </row>
    <row r="5018" spans="1:13" x14ac:dyDescent="0.25">
      <c r="A5018" t="s">
        <v>16023</v>
      </c>
      <c r="B5018" t="s">
        <v>13</v>
      </c>
      <c r="C5018" t="s">
        <v>16024</v>
      </c>
      <c r="D5018" t="s">
        <v>16025</v>
      </c>
      <c r="E5018" t="s">
        <v>32647</v>
      </c>
      <c r="F5018" t="s">
        <v>8193</v>
      </c>
      <c r="G5018" t="s">
        <v>16026</v>
      </c>
      <c r="H5018" t="s">
        <v>642</v>
      </c>
      <c r="I5018" t="s">
        <v>19</v>
      </c>
      <c r="J5018" s="3">
        <v>4899688381</v>
      </c>
      <c r="K5018" t="s">
        <v>16027</v>
      </c>
      <c r="L5018" t="s">
        <v>1823</v>
      </c>
      <c r="M5018" t="s">
        <v>32121</v>
      </c>
    </row>
    <row r="5019" spans="1:13" x14ac:dyDescent="0.25">
      <c r="A5019" t="s">
        <v>16419</v>
      </c>
      <c r="B5019" t="s">
        <v>13</v>
      </c>
      <c r="C5019" t="s">
        <v>16385</v>
      </c>
      <c r="D5019" t="s">
        <v>16420</v>
      </c>
      <c r="E5019" s="2" t="s">
        <v>31002</v>
      </c>
      <c r="F5019" t="s">
        <v>1432</v>
      </c>
      <c r="G5019" t="s">
        <v>16421</v>
      </c>
      <c r="H5019" t="s">
        <v>706</v>
      </c>
      <c r="I5019" t="s">
        <v>19</v>
      </c>
      <c r="J5019" s="3">
        <v>553121388371</v>
      </c>
      <c r="K5019" t="s">
        <v>16422</v>
      </c>
      <c r="L5019" t="s">
        <v>16423</v>
      </c>
      <c r="M5019" t="s">
        <v>1432</v>
      </c>
    </row>
    <row r="5020" spans="1:13" x14ac:dyDescent="0.25">
      <c r="A5020" t="s">
        <v>10637</v>
      </c>
      <c r="B5020" t="s">
        <v>13</v>
      </c>
      <c r="C5020" s="1">
        <v>43898</v>
      </c>
      <c r="D5020" t="s">
        <v>10638</v>
      </c>
      <c r="E5020" s="2" t="s">
        <v>31002</v>
      </c>
      <c r="F5020" t="s">
        <v>1432</v>
      </c>
      <c r="G5020" t="s">
        <v>10639</v>
      </c>
      <c r="H5020" t="s">
        <v>10640</v>
      </c>
      <c r="I5020" t="s">
        <v>19</v>
      </c>
      <c r="J5020" s="3" t="s">
        <v>10641</v>
      </c>
      <c r="K5020" t="s">
        <v>10642</v>
      </c>
      <c r="L5020" t="s">
        <v>9335</v>
      </c>
      <c r="M5020" t="s">
        <v>1432</v>
      </c>
    </row>
    <row r="5021" spans="1:13" x14ac:dyDescent="0.25">
      <c r="A5021" t="s">
        <v>5916</v>
      </c>
      <c r="B5021" t="s">
        <v>13</v>
      </c>
      <c r="C5021" t="s">
        <v>5910</v>
      </c>
      <c r="D5021" t="s">
        <v>5917</v>
      </c>
      <c r="E5021" s="2" t="s">
        <v>30866</v>
      </c>
      <c r="F5021" t="s">
        <v>2570</v>
      </c>
      <c r="G5021" t="s">
        <v>5918</v>
      </c>
      <c r="H5021" t="s">
        <v>265</v>
      </c>
      <c r="I5021" t="s">
        <v>19</v>
      </c>
      <c r="J5021" s="3" t="s">
        <v>5919</v>
      </c>
      <c r="K5021" t="s">
        <v>5920</v>
      </c>
      <c r="L5021" t="s">
        <v>32135</v>
      </c>
      <c r="M5021" t="s">
        <v>1432</v>
      </c>
    </row>
    <row r="5022" spans="1:13" x14ac:dyDescent="0.25">
      <c r="A5022" t="s">
        <v>24977</v>
      </c>
      <c r="B5022" t="s">
        <v>101</v>
      </c>
      <c r="C5022" t="s">
        <v>24566</v>
      </c>
      <c r="D5022" t="s">
        <v>24978</v>
      </c>
      <c r="E5022" t="s">
        <v>32648</v>
      </c>
      <c r="F5022" t="s">
        <v>1432</v>
      </c>
      <c r="G5022" t="s">
        <v>24979</v>
      </c>
      <c r="H5022" t="s">
        <v>352</v>
      </c>
      <c r="I5022" t="s">
        <v>19</v>
      </c>
      <c r="J5022" s="3" t="s">
        <v>24980</v>
      </c>
      <c r="K5022" t="s">
        <v>24981</v>
      </c>
      <c r="L5022" t="s">
        <v>24982</v>
      </c>
      <c r="M5022" t="s">
        <v>1432</v>
      </c>
    </row>
    <row r="5023" spans="1:13" x14ac:dyDescent="0.25">
      <c r="A5023" t="s">
        <v>4139</v>
      </c>
      <c r="B5023" t="s">
        <v>13</v>
      </c>
      <c r="C5023" t="s">
        <v>347</v>
      </c>
      <c r="D5023" t="s">
        <v>4140</v>
      </c>
      <c r="E5023" t="s">
        <v>4141</v>
      </c>
      <c r="F5023" t="s">
        <v>4142</v>
      </c>
      <c r="G5023" t="s">
        <v>4143</v>
      </c>
      <c r="H5023" t="s">
        <v>18</v>
      </c>
      <c r="I5023" t="s">
        <v>19</v>
      </c>
      <c r="J5023" s="3">
        <f>55-11-954528203</f>
        <v>-954528159</v>
      </c>
      <c r="K5023" t="s">
        <v>4144</v>
      </c>
      <c r="L5023" t="s">
        <v>4145</v>
      </c>
      <c r="M5023" t="s">
        <v>1775</v>
      </c>
    </row>
    <row r="5024" spans="1:13" x14ac:dyDescent="0.25">
      <c r="A5024" t="s">
        <v>6604</v>
      </c>
      <c r="B5024" t="s">
        <v>101</v>
      </c>
      <c r="C5024" t="s">
        <v>6274</v>
      </c>
      <c r="D5024" t="s">
        <v>6605</v>
      </c>
      <c r="E5024" t="s">
        <v>6606</v>
      </c>
      <c r="F5024" t="s">
        <v>4141</v>
      </c>
      <c r="G5024" t="s">
        <v>6607</v>
      </c>
      <c r="H5024" t="s">
        <v>1741</v>
      </c>
      <c r="I5024" t="s">
        <v>19</v>
      </c>
      <c r="J5024" t="s">
        <v>6608</v>
      </c>
      <c r="K5024" s="3" t="s">
        <v>6609</v>
      </c>
      <c r="L5024" t="s">
        <v>6610</v>
      </c>
      <c r="M5024" t="s">
        <v>57</v>
      </c>
    </row>
    <row r="5025" spans="1:13" x14ac:dyDescent="0.25">
      <c r="A5025" t="s">
        <v>25206</v>
      </c>
      <c r="B5025" t="s">
        <v>13</v>
      </c>
      <c r="C5025" t="s">
        <v>25207</v>
      </c>
      <c r="D5025" t="s">
        <v>25208</v>
      </c>
      <c r="E5025" t="s">
        <v>25209</v>
      </c>
      <c r="F5025" t="s">
        <v>1464</v>
      </c>
      <c r="G5025" t="s">
        <v>25210</v>
      </c>
      <c r="H5025" t="s">
        <v>25211</v>
      </c>
      <c r="I5025" t="s">
        <v>19</v>
      </c>
      <c r="J5025" s="3" t="s">
        <v>25212</v>
      </c>
      <c r="K5025" t="s">
        <v>25213</v>
      </c>
      <c r="L5025" t="s">
        <v>328</v>
      </c>
      <c r="M5025" t="s">
        <v>1775</v>
      </c>
    </row>
    <row r="5026" spans="1:13" x14ac:dyDescent="0.25">
      <c r="A5026" t="s">
        <v>10772</v>
      </c>
      <c r="B5026" t="s">
        <v>13</v>
      </c>
      <c r="C5026" t="s">
        <v>7057</v>
      </c>
      <c r="D5026" t="s">
        <v>10773</v>
      </c>
      <c r="E5026" t="s">
        <v>10774</v>
      </c>
      <c r="F5026" t="s">
        <v>1464</v>
      </c>
      <c r="G5026" t="s">
        <v>10775</v>
      </c>
      <c r="H5026" t="s">
        <v>2112</v>
      </c>
      <c r="I5026" t="s">
        <v>19</v>
      </c>
      <c r="J5026" s="3">
        <f>55-44-999168240</f>
        <v>-999168229</v>
      </c>
      <c r="K5026" t="s">
        <v>10776</v>
      </c>
      <c r="L5026" t="s">
        <v>2115</v>
      </c>
      <c r="M5026" t="s">
        <v>337</v>
      </c>
    </row>
    <row r="5027" spans="1:13" x14ac:dyDescent="0.25">
      <c r="A5027" t="s">
        <v>12004</v>
      </c>
      <c r="B5027" t="s">
        <v>13</v>
      </c>
      <c r="C5027" s="1">
        <v>43956</v>
      </c>
      <c r="D5027" t="s">
        <v>12005</v>
      </c>
      <c r="E5027" t="s">
        <v>12006</v>
      </c>
      <c r="F5027" t="s">
        <v>792</v>
      </c>
      <c r="G5027" t="s">
        <v>12007</v>
      </c>
      <c r="H5027" t="s">
        <v>36</v>
      </c>
      <c r="I5027" t="s">
        <v>19</v>
      </c>
      <c r="J5027" s="3">
        <f>55-11-999832212</f>
        <v>-999832168</v>
      </c>
      <c r="K5027" t="s">
        <v>12008</v>
      </c>
      <c r="L5027" t="s">
        <v>439</v>
      </c>
      <c r="M5027" t="s">
        <v>792</v>
      </c>
    </row>
    <row r="5028" spans="1:13" x14ac:dyDescent="0.25">
      <c r="A5028" t="s">
        <v>21747</v>
      </c>
      <c r="B5028" t="s">
        <v>101</v>
      </c>
      <c r="C5028" t="s">
        <v>9776</v>
      </c>
      <c r="D5028" t="s">
        <v>21748</v>
      </c>
      <c r="E5028" t="s">
        <v>2642</v>
      </c>
      <c r="F5028" t="s">
        <v>741</v>
      </c>
      <c r="G5028" t="s">
        <v>21749</v>
      </c>
      <c r="H5028" t="s">
        <v>352</v>
      </c>
      <c r="I5028" t="s">
        <v>19</v>
      </c>
      <c r="J5028" s="3" t="s">
        <v>21750</v>
      </c>
      <c r="K5028" t="s">
        <v>21751</v>
      </c>
      <c r="L5028" t="s">
        <v>2500</v>
      </c>
      <c r="M5028" t="s">
        <v>741</v>
      </c>
    </row>
    <row r="5029" spans="1:13" x14ac:dyDescent="0.25">
      <c r="A5029" t="s">
        <v>11665</v>
      </c>
      <c r="B5029" t="s">
        <v>13</v>
      </c>
      <c r="C5029" t="s">
        <v>2611</v>
      </c>
      <c r="D5029" t="s">
        <v>11666</v>
      </c>
      <c r="E5029" t="s">
        <v>2642</v>
      </c>
      <c r="F5029" t="s">
        <v>1464</v>
      </c>
      <c r="G5029" t="s">
        <v>11667</v>
      </c>
      <c r="H5029" t="s">
        <v>11668</v>
      </c>
      <c r="I5029" t="s">
        <v>19</v>
      </c>
      <c r="J5029" s="3">
        <v>5577981163210</v>
      </c>
      <c r="K5029" t="s">
        <v>11669</v>
      </c>
      <c r="L5029" t="s">
        <v>82</v>
      </c>
      <c r="M5029" t="s">
        <v>741</v>
      </c>
    </row>
    <row r="5030" spans="1:13" x14ac:dyDescent="0.25">
      <c r="A5030" t="s">
        <v>17380</v>
      </c>
      <c r="B5030" t="s">
        <v>13</v>
      </c>
      <c r="C5030" s="1">
        <v>43561</v>
      </c>
      <c r="D5030" t="s">
        <v>17381</v>
      </c>
      <c r="E5030" s="2" t="s">
        <v>31415</v>
      </c>
      <c r="F5030" t="s">
        <v>1464</v>
      </c>
      <c r="G5030" t="s">
        <v>10278</v>
      </c>
      <c r="H5030" t="s">
        <v>299</v>
      </c>
      <c r="I5030" t="s">
        <v>19</v>
      </c>
      <c r="J5030" s="3" t="s">
        <v>10279</v>
      </c>
      <c r="K5030" t="s">
        <v>10280</v>
      </c>
      <c r="L5030" t="s">
        <v>10281</v>
      </c>
      <c r="M5030" t="s">
        <v>129</v>
      </c>
    </row>
    <row r="5031" spans="1:13" x14ac:dyDescent="0.25">
      <c r="A5031" t="s">
        <v>4898</v>
      </c>
      <c r="B5031" t="s">
        <v>101</v>
      </c>
      <c r="C5031" t="s">
        <v>3467</v>
      </c>
      <c r="D5031" t="s">
        <v>4899</v>
      </c>
      <c r="E5031" s="2" t="s">
        <v>31979</v>
      </c>
      <c r="F5031" t="s">
        <v>4900</v>
      </c>
      <c r="G5031" t="s">
        <v>4901</v>
      </c>
      <c r="H5031" t="s">
        <v>32135</v>
      </c>
      <c r="I5031" t="s">
        <v>19</v>
      </c>
      <c r="J5031" s="3" t="s">
        <v>4902</v>
      </c>
      <c r="K5031" t="s">
        <v>4903</v>
      </c>
      <c r="L5031" t="s">
        <v>32135</v>
      </c>
      <c r="M5031" t="s">
        <v>741</v>
      </c>
    </row>
    <row r="5032" spans="1:13" x14ac:dyDescent="0.25">
      <c r="A5032" t="s">
        <v>6478</v>
      </c>
      <c r="B5032" t="s">
        <v>101</v>
      </c>
      <c r="C5032" s="1">
        <v>44417</v>
      </c>
      <c r="D5032" t="s">
        <v>6479</v>
      </c>
      <c r="E5032" s="2" t="s">
        <v>30895</v>
      </c>
      <c r="F5032" t="s">
        <v>6480</v>
      </c>
      <c r="G5032" t="s">
        <v>6481</v>
      </c>
      <c r="H5032" t="s">
        <v>352</v>
      </c>
      <c r="I5032" t="s">
        <v>19</v>
      </c>
      <c r="J5032" s="3">
        <f>55-21-3883-6000</f>
        <v>-9849</v>
      </c>
      <c r="K5032" t="s">
        <v>6482</v>
      </c>
      <c r="L5032" t="s">
        <v>32135</v>
      </c>
      <c r="M5032" t="s">
        <v>741</v>
      </c>
    </row>
    <row r="5033" spans="1:13" x14ac:dyDescent="0.25">
      <c r="A5033" t="s">
        <v>20124</v>
      </c>
      <c r="B5033" t="s">
        <v>13</v>
      </c>
      <c r="C5033" s="1">
        <v>43259</v>
      </c>
      <c r="D5033" t="s">
        <v>20125</v>
      </c>
      <c r="E5033" t="s">
        <v>20126</v>
      </c>
      <c r="F5033" t="s">
        <v>10034</v>
      </c>
      <c r="G5033" t="s">
        <v>12762</v>
      </c>
      <c r="H5033" t="s">
        <v>195</v>
      </c>
      <c r="I5033" t="s">
        <v>19</v>
      </c>
      <c r="J5033" s="3">
        <f>55-16-988203291</f>
        <v>-988203252</v>
      </c>
      <c r="K5033" t="s">
        <v>20127</v>
      </c>
      <c r="L5033" t="s">
        <v>197</v>
      </c>
      <c r="M5033" t="s">
        <v>741</v>
      </c>
    </row>
    <row r="5034" spans="1:13" x14ac:dyDescent="0.25">
      <c r="A5034" t="s">
        <v>2640</v>
      </c>
      <c r="B5034" t="s">
        <v>101</v>
      </c>
      <c r="C5034" s="1">
        <v>44781</v>
      </c>
      <c r="D5034" t="s">
        <v>2641</v>
      </c>
      <c r="E5034" s="2" t="s">
        <v>30749</v>
      </c>
      <c r="F5034" t="s">
        <v>2643</v>
      </c>
      <c r="G5034" t="s">
        <v>2644</v>
      </c>
      <c r="H5034" t="s">
        <v>2645</v>
      </c>
      <c r="I5034" t="s">
        <v>19</v>
      </c>
      <c r="J5034" s="3" t="s">
        <v>2646</v>
      </c>
      <c r="K5034" t="s">
        <v>2647</v>
      </c>
      <c r="L5034" t="s">
        <v>625</v>
      </c>
      <c r="M5034" t="s">
        <v>741</v>
      </c>
    </row>
    <row r="5035" spans="1:13" x14ac:dyDescent="0.25">
      <c r="A5035" t="s">
        <v>12915</v>
      </c>
      <c r="B5035" t="s">
        <v>13</v>
      </c>
      <c r="C5035" t="s">
        <v>6569</v>
      </c>
      <c r="D5035" t="s">
        <v>12916</v>
      </c>
      <c r="E5035" t="s">
        <v>12917</v>
      </c>
      <c r="F5035" t="s">
        <v>741</v>
      </c>
      <c r="G5035" t="s">
        <v>12918</v>
      </c>
      <c r="H5035" t="s">
        <v>150</v>
      </c>
      <c r="I5035" t="s">
        <v>19</v>
      </c>
      <c r="J5035" s="3">
        <f>55-11-3091-7378</f>
        <v>-10425</v>
      </c>
      <c r="K5035" t="s">
        <v>12919</v>
      </c>
      <c r="L5035" t="s">
        <v>12920</v>
      </c>
      <c r="M5035" t="s">
        <v>741</v>
      </c>
    </row>
    <row r="5036" spans="1:13" x14ac:dyDescent="0.25">
      <c r="A5036" t="s">
        <v>3115</v>
      </c>
      <c r="B5036" t="s">
        <v>101</v>
      </c>
      <c r="C5036" s="1">
        <v>44352</v>
      </c>
      <c r="D5036" t="s">
        <v>32135</v>
      </c>
      <c r="E5036" s="2" t="s">
        <v>32064</v>
      </c>
      <c r="F5036" t="s">
        <v>3116</v>
      </c>
      <c r="G5036" t="s">
        <v>3117</v>
      </c>
      <c r="H5036" t="s">
        <v>489</v>
      </c>
      <c r="I5036" t="s">
        <v>19</v>
      </c>
      <c r="J5036" s="3" t="s">
        <v>3118</v>
      </c>
      <c r="K5036" t="s">
        <v>3119</v>
      </c>
      <c r="L5036" t="s">
        <v>3120</v>
      </c>
      <c r="M5036" t="s">
        <v>771</v>
      </c>
    </row>
    <row r="5037" spans="1:13" x14ac:dyDescent="0.25">
      <c r="A5037" t="s">
        <v>13605</v>
      </c>
      <c r="B5037" t="s">
        <v>13</v>
      </c>
      <c r="C5037" t="s">
        <v>13606</v>
      </c>
      <c r="D5037" t="s">
        <v>13607</v>
      </c>
      <c r="E5037" s="2" t="s">
        <v>31890</v>
      </c>
      <c r="F5037" t="s">
        <v>741</v>
      </c>
      <c r="G5037" t="s">
        <v>13608</v>
      </c>
      <c r="H5037" t="s">
        <v>428</v>
      </c>
      <c r="I5037" t="s">
        <v>19</v>
      </c>
      <c r="J5037" s="3" t="s">
        <v>13609</v>
      </c>
      <c r="K5037" t="s">
        <v>13610</v>
      </c>
      <c r="L5037" t="s">
        <v>2412</v>
      </c>
      <c r="M5037" t="s">
        <v>741</v>
      </c>
    </row>
    <row r="5038" spans="1:13" x14ac:dyDescent="0.25">
      <c r="A5038" t="s">
        <v>733</v>
      </c>
      <c r="B5038" t="s">
        <v>13</v>
      </c>
      <c r="C5038" t="s">
        <v>701</v>
      </c>
      <c r="D5038" t="s">
        <v>734</v>
      </c>
      <c r="E5038" t="s">
        <v>735</v>
      </c>
      <c r="F5038" t="s">
        <v>736</v>
      </c>
      <c r="G5038" t="s">
        <v>737</v>
      </c>
      <c r="H5038" t="s">
        <v>36</v>
      </c>
      <c r="I5038" t="s">
        <v>19</v>
      </c>
      <c r="J5038" s="3" t="s">
        <v>738</v>
      </c>
      <c r="K5038" t="s">
        <v>739</v>
      </c>
      <c r="L5038" t="s">
        <v>740</v>
      </c>
      <c r="M5038" t="s">
        <v>741</v>
      </c>
    </row>
    <row r="5039" spans="1:13" x14ac:dyDescent="0.25">
      <c r="A5039" t="s">
        <v>2616</v>
      </c>
      <c r="B5039" t="s">
        <v>13</v>
      </c>
      <c r="C5039" t="s">
        <v>2617</v>
      </c>
      <c r="D5039" t="s">
        <v>2618</v>
      </c>
      <c r="E5039" s="2" t="s">
        <v>30748</v>
      </c>
      <c r="F5039" t="s">
        <v>1464</v>
      </c>
      <c r="G5039" t="s">
        <v>2619</v>
      </c>
      <c r="H5039" t="s">
        <v>299</v>
      </c>
      <c r="I5039" t="s">
        <v>19</v>
      </c>
      <c r="J5039" s="3">
        <f>55-18-996481800</f>
        <v>-996481763</v>
      </c>
      <c r="K5039" t="s">
        <v>2620</v>
      </c>
      <c r="L5039" t="s">
        <v>2621</v>
      </c>
      <c r="M5039" t="s">
        <v>1775</v>
      </c>
    </row>
    <row r="5040" spans="1:13" x14ac:dyDescent="0.25">
      <c r="A5040" t="s">
        <v>29117</v>
      </c>
      <c r="B5040" t="s">
        <v>101</v>
      </c>
      <c r="C5040" s="1">
        <v>41559</v>
      </c>
      <c r="D5040" t="s">
        <v>29118</v>
      </c>
      <c r="E5040" t="s">
        <v>29119</v>
      </c>
      <c r="F5040" t="s">
        <v>1464</v>
      </c>
      <c r="G5040" t="s">
        <v>29120</v>
      </c>
      <c r="H5040" t="s">
        <v>352</v>
      </c>
      <c r="I5040" t="s">
        <v>19</v>
      </c>
      <c r="J5040" s="3" t="s">
        <v>29121</v>
      </c>
      <c r="K5040" t="s">
        <v>29122</v>
      </c>
      <c r="L5040" t="s">
        <v>29123</v>
      </c>
      <c r="M5040" t="s">
        <v>741</v>
      </c>
    </row>
    <row r="5041" spans="1:13" x14ac:dyDescent="0.25">
      <c r="A5041" t="s">
        <v>14448</v>
      </c>
      <c r="B5041" t="s">
        <v>101</v>
      </c>
      <c r="C5041" t="s">
        <v>14435</v>
      </c>
      <c r="D5041" t="s">
        <v>14449</v>
      </c>
      <c r="E5041" s="2" t="s">
        <v>31093</v>
      </c>
      <c r="F5041" t="s">
        <v>1464</v>
      </c>
      <c r="G5041" t="s">
        <v>14450</v>
      </c>
      <c r="H5041" t="s">
        <v>489</v>
      </c>
      <c r="I5041" t="s">
        <v>19</v>
      </c>
      <c r="J5041" s="3" t="s">
        <v>14451</v>
      </c>
      <c r="K5041" t="s">
        <v>3119</v>
      </c>
      <c r="L5041" t="s">
        <v>14452</v>
      </c>
      <c r="M5041" t="s">
        <v>129</v>
      </c>
    </row>
    <row r="5042" spans="1:13" x14ac:dyDescent="0.25">
      <c r="A5042" t="s">
        <v>2405</v>
      </c>
      <c r="B5042" t="s">
        <v>13</v>
      </c>
      <c r="C5042" t="s">
        <v>2366</v>
      </c>
      <c r="D5042" t="s">
        <v>2406</v>
      </c>
      <c r="E5042" t="s">
        <v>2407</v>
      </c>
      <c r="F5042" t="s">
        <v>2408</v>
      </c>
      <c r="G5042" t="s">
        <v>2409</v>
      </c>
      <c r="H5042" t="s">
        <v>428</v>
      </c>
      <c r="I5042" t="s">
        <v>19</v>
      </c>
      <c r="J5042" s="3" t="s">
        <v>2410</v>
      </c>
      <c r="K5042" t="s">
        <v>2411</v>
      </c>
      <c r="L5042" t="s">
        <v>2412</v>
      </c>
      <c r="M5042" t="s">
        <v>57</v>
      </c>
    </row>
    <row r="5043" spans="1:13" x14ac:dyDescent="0.25">
      <c r="A5043" t="s">
        <v>21096</v>
      </c>
      <c r="B5043" t="s">
        <v>13</v>
      </c>
      <c r="C5043" s="1">
        <v>43440</v>
      </c>
      <c r="D5043" t="s">
        <v>21097</v>
      </c>
      <c r="E5043" t="s">
        <v>32649</v>
      </c>
      <c r="F5043" t="s">
        <v>2758</v>
      </c>
      <c r="G5043" t="s">
        <v>21098</v>
      </c>
      <c r="H5043" t="s">
        <v>265</v>
      </c>
      <c r="I5043" t="s">
        <v>19</v>
      </c>
      <c r="J5043" s="3">
        <f>55-16-996295266</f>
        <v>-996295227</v>
      </c>
      <c r="K5043" t="s">
        <v>21099</v>
      </c>
      <c r="L5043" t="s">
        <v>4334</v>
      </c>
      <c r="M5043" t="s">
        <v>32149</v>
      </c>
    </row>
    <row r="5044" spans="1:13" x14ac:dyDescent="0.25">
      <c r="A5044" t="s">
        <v>4739</v>
      </c>
      <c r="B5044" t="s">
        <v>13</v>
      </c>
      <c r="C5044" t="s">
        <v>4698</v>
      </c>
      <c r="D5044" t="s">
        <v>4740</v>
      </c>
      <c r="E5044" t="s">
        <v>32650</v>
      </c>
      <c r="F5044" t="s">
        <v>4103</v>
      </c>
      <c r="G5044" t="s">
        <v>4741</v>
      </c>
      <c r="H5044" t="s">
        <v>36</v>
      </c>
      <c r="I5044" t="s">
        <v>19</v>
      </c>
      <c r="J5044" s="3" t="s">
        <v>4742</v>
      </c>
      <c r="K5044" t="s">
        <v>4743</v>
      </c>
      <c r="L5044" t="s">
        <v>4744</v>
      </c>
      <c r="M5044" t="s">
        <v>741</v>
      </c>
    </row>
    <row r="5045" spans="1:13" x14ac:dyDescent="0.25">
      <c r="A5045" t="s">
        <v>23849</v>
      </c>
      <c r="B5045" t="s">
        <v>101</v>
      </c>
      <c r="C5045" s="1">
        <v>42743</v>
      </c>
      <c r="D5045" t="s">
        <v>23850</v>
      </c>
      <c r="E5045" s="2" t="s">
        <v>32651</v>
      </c>
      <c r="F5045" t="s">
        <v>2758</v>
      </c>
      <c r="G5045" t="s">
        <v>23851</v>
      </c>
      <c r="H5045" t="s">
        <v>798</v>
      </c>
      <c r="I5045" t="s">
        <v>19</v>
      </c>
      <c r="J5045" s="3" t="s">
        <v>23852</v>
      </c>
      <c r="K5045" t="s">
        <v>23853</v>
      </c>
      <c r="L5045" t="s">
        <v>1767</v>
      </c>
      <c r="M5045" t="s">
        <v>32149</v>
      </c>
    </row>
    <row r="5046" spans="1:13" x14ac:dyDescent="0.25">
      <c r="A5046" t="s">
        <v>17273</v>
      </c>
      <c r="B5046" t="s">
        <v>13</v>
      </c>
      <c r="C5046" s="1">
        <v>43591</v>
      </c>
      <c r="D5046" t="s">
        <v>17274</v>
      </c>
      <c r="E5046" t="s">
        <v>15625</v>
      </c>
      <c r="F5046" t="s">
        <v>1129</v>
      </c>
      <c r="G5046" t="s">
        <v>17275</v>
      </c>
      <c r="H5046" t="s">
        <v>1335</v>
      </c>
      <c r="I5046" t="s">
        <v>19</v>
      </c>
      <c r="J5046" s="3" t="s">
        <v>17276</v>
      </c>
      <c r="K5046" t="s">
        <v>17277</v>
      </c>
      <c r="L5046" t="s">
        <v>1461</v>
      </c>
      <c r="M5046" t="s">
        <v>224</v>
      </c>
    </row>
    <row r="5047" spans="1:13" x14ac:dyDescent="0.25">
      <c r="A5047" t="s">
        <v>29872</v>
      </c>
      <c r="B5047" t="s">
        <v>13</v>
      </c>
      <c r="C5047" t="s">
        <v>14184</v>
      </c>
      <c r="D5047" t="s">
        <v>29873</v>
      </c>
      <c r="E5047" t="s">
        <v>32652</v>
      </c>
      <c r="F5047" t="s">
        <v>224</v>
      </c>
      <c r="G5047" t="s">
        <v>29874</v>
      </c>
      <c r="H5047" t="s">
        <v>1466</v>
      </c>
      <c r="I5047" t="s">
        <v>19</v>
      </c>
      <c r="J5047" s="3">
        <v>3532911486</v>
      </c>
      <c r="K5047" t="s">
        <v>29875</v>
      </c>
      <c r="L5047" t="s">
        <v>29874</v>
      </c>
      <c r="M5047" t="s">
        <v>224</v>
      </c>
    </row>
    <row r="5048" spans="1:13" x14ac:dyDescent="0.25">
      <c r="A5048" t="s">
        <v>18230</v>
      </c>
      <c r="B5048" t="s">
        <v>13</v>
      </c>
      <c r="C5048" s="1">
        <v>43468</v>
      </c>
      <c r="D5048" t="s">
        <v>18231</v>
      </c>
      <c r="E5048" s="2" t="s">
        <v>31197</v>
      </c>
      <c r="F5048" t="s">
        <v>1129</v>
      </c>
      <c r="G5048" t="s">
        <v>17664</v>
      </c>
      <c r="H5048" t="s">
        <v>409</v>
      </c>
      <c r="I5048" t="s">
        <v>19</v>
      </c>
      <c r="J5048" s="3">
        <f>55-48-36648609</f>
        <v>-36648602</v>
      </c>
      <c r="K5048" t="s">
        <v>17665</v>
      </c>
      <c r="L5048" t="s">
        <v>1823</v>
      </c>
      <c r="M5048" t="s">
        <v>224</v>
      </c>
    </row>
    <row r="5049" spans="1:13" x14ac:dyDescent="0.25">
      <c r="A5049" t="s">
        <v>24141</v>
      </c>
      <c r="B5049" t="s">
        <v>13</v>
      </c>
      <c r="C5049" t="s">
        <v>24142</v>
      </c>
      <c r="D5049" t="s">
        <v>24143</v>
      </c>
      <c r="E5049" t="s">
        <v>17646</v>
      </c>
      <c r="F5049" t="s">
        <v>1464</v>
      </c>
      <c r="G5049" t="s">
        <v>24144</v>
      </c>
      <c r="H5049" t="s">
        <v>24145</v>
      </c>
      <c r="I5049" t="s">
        <v>19</v>
      </c>
      <c r="J5049" s="3" t="s">
        <v>24146</v>
      </c>
      <c r="K5049" t="s">
        <v>24147</v>
      </c>
      <c r="L5049" t="s">
        <v>8569</v>
      </c>
      <c r="M5049" t="s">
        <v>57</v>
      </c>
    </row>
    <row r="5050" spans="1:13" x14ac:dyDescent="0.25">
      <c r="A5050" t="s">
        <v>13163</v>
      </c>
      <c r="B5050" t="s">
        <v>13</v>
      </c>
      <c r="C5050" s="1">
        <v>43985</v>
      </c>
      <c r="D5050" t="s">
        <v>13164</v>
      </c>
      <c r="E5050" t="s">
        <v>13165</v>
      </c>
      <c r="F5050" t="s">
        <v>1464</v>
      </c>
      <c r="G5050" t="s">
        <v>13166</v>
      </c>
      <c r="H5050" t="s">
        <v>11783</v>
      </c>
      <c r="I5050" t="s">
        <v>19</v>
      </c>
      <c r="J5050" s="3">
        <v>553211999962178</v>
      </c>
      <c r="K5050" t="s">
        <v>13167</v>
      </c>
      <c r="L5050" t="s">
        <v>13168</v>
      </c>
      <c r="M5050" t="s">
        <v>337</v>
      </c>
    </row>
    <row r="5051" spans="1:13" x14ac:dyDescent="0.25">
      <c r="A5051" t="s">
        <v>11580</v>
      </c>
      <c r="B5051" t="s">
        <v>13</v>
      </c>
      <c r="C5051" t="s">
        <v>7461</v>
      </c>
      <c r="D5051" t="s">
        <v>11581</v>
      </c>
      <c r="E5051" s="2" t="s">
        <v>31913</v>
      </c>
      <c r="F5051" t="s">
        <v>32147</v>
      </c>
      <c r="G5051" t="s">
        <v>11582</v>
      </c>
      <c r="H5051" t="s">
        <v>352</v>
      </c>
      <c r="I5051" t="s">
        <v>19</v>
      </c>
      <c r="J5051" s="3" t="s">
        <v>11583</v>
      </c>
      <c r="K5051" t="s">
        <v>11584</v>
      </c>
      <c r="L5051" t="s">
        <v>550</v>
      </c>
      <c r="M5051" t="s">
        <v>32147</v>
      </c>
    </row>
    <row r="5052" spans="1:13" x14ac:dyDescent="0.25">
      <c r="A5052" t="s">
        <v>10293</v>
      </c>
      <c r="B5052" t="s">
        <v>101</v>
      </c>
      <c r="C5052" t="s">
        <v>8701</v>
      </c>
      <c r="D5052" t="s">
        <v>10294</v>
      </c>
      <c r="E5052" t="s">
        <v>10295</v>
      </c>
      <c r="F5052" t="s">
        <v>306</v>
      </c>
      <c r="G5052" t="s">
        <v>7813</v>
      </c>
      <c r="H5052" t="s">
        <v>18</v>
      </c>
      <c r="I5052" t="s">
        <v>19</v>
      </c>
      <c r="J5052" s="3" t="s">
        <v>7814</v>
      </c>
      <c r="K5052" t="s">
        <v>7815</v>
      </c>
      <c r="L5052" t="s">
        <v>7816</v>
      </c>
      <c r="M5052" t="s">
        <v>32145</v>
      </c>
    </row>
    <row r="5053" spans="1:13" x14ac:dyDescent="0.25">
      <c r="A5053" t="s">
        <v>11074</v>
      </c>
      <c r="B5053" t="s">
        <v>13</v>
      </c>
      <c r="C5053" s="1">
        <v>44111</v>
      </c>
      <c r="D5053" t="s">
        <v>11075</v>
      </c>
      <c r="E5053" t="s">
        <v>6649</v>
      </c>
      <c r="F5053" t="s">
        <v>741</v>
      </c>
      <c r="G5053" t="s">
        <v>5701</v>
      </c>
      <c r="H5053" t="s">
        <v>7888</v>
      </c>
      <c r="I5053" t="s">
        <v>19</v>
      </c>
      <c r="J5053" s="3">
        <v>5501732015905</v>
      </c>
      <c r="K5053" t="s">
        <v>7890</v>
      </c>
      <c r="L5053" t="s">
        <v>4683</v>
      </c>
      <c r="M5053" t="s">
        <v>741</v>
      </c>
    </row>
    <row r="5054" spans="1:13" x14ac:dyDescent="0.25">
      <c r="A5054" t="s">
        <v>7350</v>
      </c>
      <c r="B5054" t="s">
        <v>13</v>
      </c>
      <c r="C5054" t="s">
        <v>7339</v>
      </c>
      <c r="D5054" t="s">
        <v>32135</v>
      </c>
      <c r="E5054" t="s">
        <v>6649</v>
      </c>
      <c r="F5054" t="s">
        <v>3951</v>
      </c>
      <c r="G5054" t="s">
        <v>7351</v>
      </c>
      <c r="H5054" t="s">
        <v>706</v>
      </c>
      <c r="I5054" t="s">
        <v>19</v>
      </c>
      <c r="J5054" s="3" t="s">
        <v>7352</v>
      </c>
      <c r="K5054" t="s">
        <v>7353</v>
      </c>
      <c r="L5054" t="s">
        <v>32135</v>
      </c>
      <c r="M5054" t="s">
        <v>741</v>
      </c>
    </row>
    <row r="5055" spans="1:13" x14ac:dyDescent="0.25">
      <c r="A5055" t="s">
        <v>5697</v>
      </c>
      <c r="B5055" t="s">
        <v>13</v>
      </c>
      <c r="C5055" t="s">
        <v>5698</v>
      </c>
      <c r="D5055" t="s">
        <v>5699</v>
      </c>
      <c r="E5055" t="s">
        <v>5700</v>
      </c>
      <c r="F5055" t="s">
        <v>741</v>
      </c>
      <c r="G5055" t="s">
        <v>5701</v>
      </c>
      <c r="H5055" t="s">
        <v>4681</v>
      </c>
      <c r="I5055" t="s">
        <v>19</v>
      </c>
      <c r="J5055" s="3">
        <v>5501732015905</v>
      </c>
      <c r="K5055" t="s">
        <v>5702</v>
      </c>
      <c r="L5055" t="s">
        <v>32135</v>
      </c>
      <c r="M5055" t="s">
        <v>741</v>
      </c>
    </row>
    <row r="5056" spans="1:13" x14ac:dyDescent="0.25">
      <c r="A5056" t="s">
        <v>4630</v>
      </c>
      <c r="B5056" t="s">
        <v>13</v>
      </c>
      <c r="C5056" t="s">
        <v>4625</v>
      </c>
      <c r="D5056" t="s">
        <v>32135</v>
      </c>
      <c r="E5056" s="2" t="s">
        <v>30814</v>
      </c>
      <c r="F5056" t="s">
        <v>4632</v>
      </c>
      <c r="G5056" t="s">
        <v>4633</v>
      </c>
      <c r="H5056" t="s">
        <v>36</v>
      </c>
      <c r="I5056" t="s">
        <v>19</v>
      </c>
      <c r="J5056" s="3" t="s">
        <v>4634</v>
      </c>
      <c r="K5056" t="s">
        <v>4635</v>
      </c>
      <c r="L5056" t="s">
        <v>4636</v>
      </c>
      <c r="M5056" t="s">
        <v>32165</v>
      </c>
    </row>
    <row r="5057" spans="1:13" x14ac:dyDescent="0.25">
      <c r="A5057" t="s">
        <v>11525</v>
      </c>
      <c r="B5057" t="s">
        <v>101</v>
      </c>
      <c r="C5057" s="1">
        <v>43896</v>
      </c>
      <c r="D5057" t="s">
        <v>11526</v>
      </c>
      <c r="E5057" s="2" t="s">
        <v>31015</v>
      </c>
      <c r="F5057" t="s">
        <v>4631</v>
      </c>
      <c r="G5057" t="s">
        <v>11490</v>
      </c>
      <c r="H5057" t="s">
        <v>150</v>
      </c>
      <c r="I5057" t="s">
        <v>19</v>
      </c>
      <c r="J5057" s="3">
        <v>551155764848</v>
      </c>
      <c r="K5057" t="s">
        <v>11491</v>
      </c>
      <c r="L5057" t="s">
        <v>11492</v>
      </c>
      <c r="M5057" t="s">
        <v>432</v>
      </c>
    </row>
    <row r="5058" spans="1:13" x14ac:dyDescent="0.25">
      <c r="A5058" t="s">
        <v>11488</v>
      </c>
      <c r="B5058" t="s">
        <v>101</v>
      </c>
      <c r="C5058" s="1">
        <v>44049</v>
      </c>
      <c r="D5058" t="s">
        <v>11489</v>
      </c>
      <c r="E5058" s="2" t="s">
        <v>31015</v>
      </c>
      <c r="G5058" t="s">
        <v>11490</v>
      </c>
      <c r="H5058" t="s">
        <v>36</v>
      </c>
      <c r="I5058" t="s">
        <v>19</v>
      </c>
      <c r="J5058" s="3">
        <v>551155764848</v>
      </c>
      <c r="K5058" t="s">
        <v>11491</v>
      </c>
      <c r="L5058" t="s">
        <v>11492</v>
      </c>
      <c r="M5058" t="s">
        <v>432</v>
      </c>
    </row>
    <row r="5059" spans="1:13" x14ac:dyDescent="0.25">
      <c r="A5059" t="s">
        <v>7194</v>
      </c>
      <c r="B5059" t="s">
        <v>13</v>
      </c>
      <c r="C5059" s="1">
        <v>44383</v>
      </c>
      <c r="D5059" t="s">
        <v>32135</v>
      </c>
      <c r="E5059" s="2" t="s">
        <v>31492</v>
      </c>
      <c r="F5059" t="s">
        <v>4631</v>
      </c>
      <c r="G5059" t="s">
        <v>7195</v>
      </c>
      <c r="H5059" t="s">
        <v>45</v>
      </c>
      <c r="I5059" t="s">
        <v>19</v>
      </c>
      <c r="J5059" s="3">
        <v>5585999871608</v>
      </c>
      <c r="K5059" t="s">
        <v>7196</v>
      </c>
      <c r="L5059" t="s">
        <v>32135</v>
      </c>
      <c r="M5059" t="s">
        <v>32165</v>
      </c>
    </row>
    <row r="5060" spans="1:13" x14ac:dyDescent="0.25">
      <c r="A5060" t="s">
        <v>11328</v>
      </c>
      <c r="B5060" t="s">
        <v>101</v>
      </c>
      <c r="C5060" t="s">
        <v>11304</v>
      </c>
      <c r="D5060" t="s">
        <v>11329</v>
      </c>
      <c r="E5060" t="s">
        <v>11330</v>
      </c>
      <c r="F5060" t="s">
        <v>1190</v>
      </c>
      <c r="G5060" t="s">
        <v>11331</v>
      </c>
      <c r="H5060" t="s">
        <v>5100</v>
      </c>
      <c r="I5060" t="s">
        <v>19</v>
      </c>
      <c r="J5060" s="3" t="s">
        <v>11332</v>
      </c>
      <c r="K5060" t="s">
        <v>11333</v>
      </c>
      <c r="L5060" t="s">
        <v>2101</v>
      </c>
      <c r="M5060" t="s">
        <v>432</v>
      </c>
    </row>
    <row r="5061" spans="1:13" x14ac:dyDescent="0.25">
      <c r="A5061" t="s">
        <v>12393</v>
      </c>
      <c r="B5061" t="s">
        <v>101</v>
      </c>
      <c r="C5061" s="1">
        <v>44078</v>
      </c>
      <c r="D5061" t="s">
        <v>12394</v>
      </c>
      <c r="E5061" t="s">
        <v>11330</v>
      </c>
      <c r="F5061" t="s">
        <v>1190</v>
      </c>
      <c r="G5061" t="s">
        <v>11331</v>
      </c>
      <c r="H5061" t="s">
        <v>5100</v>
      </c>
      <c r="I5061" t="s">
        <v>19</v>
      </c>
      <c r="J5061" s="3" t="s">
        <v>11332</v>
      </c>
      <c r="K5061" t="s">
        <v>11333</v>
      </c>
      <c r="L5061" t="s">
        <v>2101</v>
      </c>
      <c r="M5061" t="s">
        <v>432</v>
      </c>
    </row>
    <row r="5062" spans="1:13" x14ac:dyDescent="0.25">
      <c r="A5062" t="s">
        <v>12315</v>
      </c>
      <c r="B5062" t="s">
        <v>13</v>
      </c>
      <c r="C5062" t="s">
        <v>12316</v>
      </c>
      <c r="D5062" t="s">
        <v>12317</v>
      </c>
      <c r="E5062" s="2" t="s">
        <v>31037</v>
      </c>
      <c r="G5062" t="s">
        <v>12318</v>
      </c>
      <c r="H5062" t="s">
        <v>36</v>
      </c>
      <c r="I5062" t="s">
        <v>19</v>
      </c>
      <c r="J5062" s="3">
        <f>55-11-943960027</f>
        <v>-943959983</v>
      </c>
      <c r="K5062" t="s">
        <v>12319</v>
      </c>
      <c r="L5062" t="s">
        <v>321</v>
      </c>
      <c r="M5062" t="s">
        <v>32162</v>
      </c>
    </row>
    <row r="5063" spans="1:13" x14ac:dyDescent="0.25">
      <c r="A5063" t="s">
        <v>23263</v>
      </c>
      <c r="B5063" t="s">
        <v>13</v>
      </c>
      <c r="C5063" t="s">
        <v>8472</v>
      </c>
      <c r="D5063" t="s">
        <v>23264</v>
      </c>
      <c r="E5063" s="2" t="s">
        <v>31802</v>
      </c>
      <c r="F5063" t="s">
        <v>1190</v>
      </c>
      <c r="G5063" t="s">
        <v>23265</v>
      </c>
      <c r="H5063" t="s">
        <v>706</v>
      </c>
      <c r="I5063" t="s">
        <v>19</v>
      </c>
      <c r="J5063" s="3">
        <v>553187037678</v>
      </c>
      <c r="K5063" t="s">
        <v>23266</v>
      </c>
      <c r="L5063" t="s">
        <v>565</v>
      </c>
      <c r="M5063" t="s">
        <v>432</v>
      </c>
    </row>
    <row r="5064" spans="1:13" x14ac:dyDescent="0.25">
      <c r="A5064" t="s">
        <v>4329</v>
      </c>
      <c r="B5064" t="s">
        <v>13</v>
      </c>
      <c r="C5064" s="1">
        <v>43622</v>
      </c>
      <c r="D5064" t="s">
        <v>4330</v>
      </c>
      <c r="E5064" t="s">
        <v>4331</v>
      </c>
      <c r="F5064" t="s">
        <v>3084</v>
      </c>
      <c r="G5064" t="s">
        <v>4332</v>
      </c>
      <c r="H5064" t="s">
        <v>265</v>
      </c>
      <c r="I5064" t="s">
        <v>19</v>
      </c>
      <c r="J5064" s="3">
        <f>55-14-981197006</f>
        <v>-981196965</v>
      </c>
      <c r="K5064" t="s">
        <v>4333</v>
      </c>
      <c r="L5064" t="s">
        <v>4334</v>
      </c>
      <c r="M5064" t="s">
        <v>32144</v>
      </c>
    </row>
    <row r="5065" spans="1:13" x14ac:dyDescent="0.25">
      <c r="A5065" t="s">
        <v>18875</v>
      </c>
      <c r="B5065" t="s">
        <v>13</v>
      </c>
      <c r="C5065" s="1">
        <v>43202</v>
      </c>
      <c r="D5065" t="s">
        <v>18876</v>
      </c>
      <c r="E5065" s="2" t="s">
        <v>31214</v>
      </c>
      <c r="F5065" t="s">
        <v>3084</v>
      </c>
      <c r="G5065" t="s">
        <v>18877</v>
      </c>
      <c r="H5065" t="s">
        <v>265</v>
      </c>
      <c r="I5065" t="s">
        <v>19</v>
      </c>
      <c r="J5065" s="3">
        <f>55-11-982065639</f>
        <v>-982065595</v>
      </c>
      <c r="K5065" t="s">
        <v>18878</v>
      </c>
      <c r="L5065" t="s">
        <v>3641</v>
      </c>
      <c r="M5065" t="s">
        <v>32144</v>
      </c>
    </row>
    <row r="5066" spans="1:13" x14ac:dyDescent="0.25">
      <c r="A5066" t="s">
        <v>28289</v>
      </c>
      <c r="B5066" t="s">
        <v>13</v>
      </c>
      <c r="C5066" t="s">
        <v>28284</v>
      </c>
      <c r="D5066" t="s">
        <v>28290</v>
      </c>
      <c r="E5066" t="s">
        <v>28291</v>
      </c>
      <c r="F5066" t="s">
        <v>6308</v>
      </c>
      <c r="G5066" t="s">
        <v>28292</v>
      </c>
      <c r="H5066" t="s">
        <v>3865</v>
      </c>
      <c r="I5066" t="s">
        <v>19</v>
      </c>
      <c r="J5066" s="3" t="s">
        <v>28293</v>
      </c>
      <c r="K5066" t="s">
        <v>28294</v>
      </c>
      <c r="L5066" t="s">
        <v>28295</v>
      </c>
      <c r="M5066" t="s">
        <v>32147</v>
      </c>
    </row>
    <row r="5067" spans="1:13" x14ac:dyDescent="0.25">
      <c r="A5067" t="s">
        <v>7080</v>
      </c>
      <c r="B5067" t="s">
        <v>13</v>
      </c>
      <c r="C5067" t="s">
        <v>7075</v>
      </c>
      <c r="D5067" t="s">
        <v>32135</v>
      </c>
      <c r="E5067" t="s">
        <v>32148</v>
      </c>
      <c r="F5067" t="s">
        <v>5755</v>
      </c>
      <c r="G5067" t="s">
        <v>7078</v>
      </c>
      <c r="H5067" t="s">
        <v>36</v>
      </c>
      <c r="I5067" t="s">
        <v>19</v>
      </c>
      <c r="J5067" s="3">
        <v>5511976951237</v>
      </c>
      <c r="K5067" t="s">
        <v>7079</v>
      </c>
      <c r="L5067" t="s">
        <v>32135</v>
      </c>
      <c r="M5067" t="s">
        <v>57</v>
      </c>
    </row>
    <row r="5068" spans="1:13" x14ac:dyDescent="0.25">
      <c r="A5068" t="s">
        <v>14031</v>
      </c>
      <c r="B5068" t="s">
        <v>101</v>
      </c>
      <c r="C5068" s="1">
        <v>43262</v>
      </c>
      <c r="D5068" t="s">
        <v>14032</v>
      </c>
      <c r="E5068" t="s">
        <v>14033</v>
      </c>
      <c r="F5068" t="s">
        <v>9327</v>
      </c>
      <c r="G5068" t="s">
        <v>14034</v>
      </c>
      <c r="H5068" t="s">
        <v>18</v>
      </c>
      <c r="I5068" t="s">
        <v>19</v>
      </c>
      <c r="J5068" s="3" t="s">
        <v>14035</v>
      </c>
      <c r="K5068" t="s">
        <v>14036</v>
      </c>
      <c r="L5068" t="s">
        <v>14037</v>
      </c>
      <c r="M5068" t="s">
        <v>1304</v>
      </c>
    </row>
    <row r="5069" spans="1:13" x14ac:dyDescent="0.25">
      <c r="A5069" t="s">
        <v>10608</v>
      </c>
      <c r="B5069" t="s">
        <v>13</v>
      </c>
      <c r="C5069" s="1">
        <v>43959</v>
      </c>
      <c r="D5069" t="s">
        <v>10609</v>
      </c>
      <c r="E5069" t="s">
        <v>10610</v>
      </c>
      <c r="F5069" t="s">
        <v>2530</v>
      </c>
      <c r="G5069" t="s">
        <v>10611</v>
      </c>
      <c r="H5069" t="s">
        <v>706</v>
      </c>
      <c r="I5069" t="s">
        <v>19</v>
      </c>
      <c r="J5069" s="3" t="s">
        <v>10612</v>
      </c>
      <c r="K5069" t="s">
        <v>10613</v>
      </c>
      <c r="L5069" t="s">
        <v>565</v>
      </c>
      <c r="M5069" t="s">
        <v>741</v>
      </c>
    </row>
    <row r="5070" spans="1:13" x14ac:dyDescent="0.25">
      <c r="A5070" t="s">
        <v>24000</v>
      </c>
      <c r="B5070" t="s">
        <v>13</v>
      </c>
      <c r="C5070" s="1">
        <v>43076</v>
      </c>
      <c r="D5070" t="s">
        <v>24001</v>
      </c>
      <c r="E5070" s="2" t="s">
        <v>31337</v>
      </c>
      <c r="F5070" t="s">
        <v>332</v>
      </c>
      <c r="G5070" t="s">
        <v>24002</v>
      </c>
      <c r="H5070" t="s">
        <v>428</v>
      </c>
      <c r="I5070" t="s">
        <v>19</v>
      </c>
      <c r="J5070" s="3" t="s">
        <v>24003</v>
      </c>
      <c r="K5070" t="s">
        <v>24004</v>
      </c>
      <c r="L5070" t="s">
        <v>1295</v>
      </c>
      <c r="M5070" t="s">
        <v>337</v>
      </c>
    </row>
    <row r="5071" spans="1:13" x14ac:dyDescent="0.25">
      <c r="A5071" t="s">
        <v>21434</v>
      </c>
      <c r="B5071" t="s">
        <v>13</v>
      </c>
      <c r="C5071" t="s">
        <v>21416</v>
      </c>
      <c r="D5071" t="s">
        <v>21435</v>
      </c>
      <c r="E5071" s="2" t="s">
        <v>31288</v>
      </c>
      <c r="F5071" t="s">
        <v>32121</v>
      </c>
      <c r="G5071" t="s">
        <v>21436</v>
      </c>
      <c r="H5071" t="s">
        <v>18</v>
      </c>
      <c r="I5071" t="s">
        <v>19</v>
      </c>
      <c r="J5071" s="3">
        <f>55-85-996396659</f>
        <v>-996396689</v>
      </c>
      <c r="K5071" t="s">
        <v>21437</v>
      </c>
      <c r="L5071" t="s">
        <v>12713</v>
      </c>
      <c r="M5071" t="s">
        <v>32121</v>
      </c>
    </row>
    <row r="5072" spans="1:13" x14ac:dyDescent="0.25">
      <c r="A5072" t="s">
        <v>25746</v>
      </c>
      <c r="B5072" t="s">
        <v>13</v>
      </c>
      <c r="C5072" s="1">
        <v>42651</v>
      </c>
      <c r="D5072" t="s">
        <v>25747</v>
      </c>
      <c r="E5072" t="s">
        <v>25748</v>
      </c>
      <c r="F5072" t="s">
        <v>8193</v>
      </c>
      <c r="G5072" t="s">
        <v>25749</v>
      </c>
      <c r="H5072" t="s">
        <v>265</v>
      </c>
      <c r="I5072" t="s">
        <v>19</v>
      </c>
      <c r="J5072" s="3" t="s">
        <v>25750</v>
      </c>
      <c r="K5072" t="s">
        <v>25751</v>
      </c>
      <c r="L5072" t="s">
        <v>2943</v>
      </c>
      <c r="M5072" t="s">
        <v>32180</v>
      </c>
    </row>
    <row r="5073" spans="1:13" x14ac:dyDescent="0.25">
      <c r="A5073" t="s">
        <v>13463</v>
      </c>
      <c r="B5073" t="s">
        <v>13</v>
      </c>
      <c r="C5073" t="s">
        <v>4227</v>
      </c>
      <c r="D5073" t="s">
        <v>13464</v>
      </c>
      <c r="E5073" t="s">
        <v>237</v>
      </c>
      <c r="F5073" t="s">
        <v>129</v>
      </c>
      <c r="G5073" t="s">
        <v>13465</v>
      </c>
      <c r="H5073" t="s">
        <v>18</v>
      </c>
      <c r="I5073" t="s">
        <v>19</v>
      </c>
      <c r="J5073" s="3" t="s">
        <v>13466</v>
      </c>
      <c r="K5073" t="s">
        <v>13467</v>
      </c>
      <c r="L5073" t="s">
        <v>13468</v>
      </c>
      <c r="M5073" t="s">
        <v>129</v>
      </c>
    </row>
    <row r="5074" spans="1:13" x14ac:dyDescent="0.25">
      <c r="A5074" t="s">
        <v>26625</v>
      </c>
      <c r="B5074" t="s">
        <v>101</v>
      </c>
      <c r="C5074" s="1">
        <v>42464</v>
      </c>
      <c r="D5074" t="s">
        <v>26626</v>
      </c>
      <c r="E5074" t="s">
        <v>237</v>
      </c>
      <c r="F5074" t="s">
        <v>8193</v>
      </c>
      <c r="G5074" t="s">
        <v>1081</v>
      </c>
      <c r="H5074" t="s">
        <v>489</v>
      </c>
      <c r="I5074" t="s">
        <v>19</v>
      </c>
      <c r="J5074" s="3" t="s">
        <v>25160</v>
      </c>
      <c r="K5074" t="s">
        <v>11449</v>
      </c>
      <c r="L5074" t="s">
        <v>625</v>
      </c>
      <c r="M5074" t="s">
        <v>129</v>
      </c>
    </row>
    <row r="5075" spans="1:13" x14ac:dyDescent="0.25">
      <c r="A5075" t="s">
        <v>9561</v>
      </c>
      <c r="B5075" t="s">
        <v>101</v>
      </c>
      <c r="C5075" t="s">
        <v>6204</v>
      </c>
      <c r="D5075" t="s">
        <v>9562</v>
      </c>
      <c r="E5075" s="2" t="s">
        <v>32091</v>
      </c>
      <c r="F5075" t="s">
        <v>1464</v>
      </c>
      <c r="G5075" t="s">
        <v>9563</v>
      </c>
      <c r="H5075" t="s">
        <v>489</v>
      </c>
      <c r="I5075" t="s">
        <v>19</v>
      </c>
      <c r="J5075" s="3" t="s">
        <v>9564</v>
      </c>
      <c r="K5075" t="s">
        <v>9565</v>
      </c>
      <c r="L5075" t="s">
        <v>625</v>
      </c>
      <c r="M5075" t="s">
        <v>129</v>
      </c>
    </row>
    <row r="5076" spans="1:13" x14ac:dyDescent="0.25">
      <c r="A5076" t="s">
        <v>8780</v>
      </c>
      <c r="B5076" t="s">
        <v>13</v>
      </c>
      <c r="C5076" t="s">
        <v>8781</v>
      </c>
      <c r="D5076" t="s">
        <v>8782</v>
      </c>
      <c r="E5076" t="s">
        <v>8783</v>
      </c>
      <c r="F5076" t="s">
        <v>1464</v>
      </c>
      <c r="G5076" t="s">
        <v>8784</v>
      </c>
      <c r="H5076" t="s">
        <v>265</v>
      </c>
      <c r="I5076" t="s">
        <v>19</v>
      </c>
      <c r="J5076" s="3">
        <f>55-16-982595488</f>
        <v>-982595449</v>
      </c>
      <c r="K5076" t="s">
        <v>8785</v>
      </c>
      <c r="L5076" t="s">
        <v>8786</v>
      </c>
      <c r="M5076" t="s">
        <v>741</v>
      </c>
    </row>
    <row r="5077" spans="1:13" x14ac:dyDescent="0.25">
      <c r="A5077" t="s">
        <v>2127</v>
      </c>
      <c r="B5077" t="s">
        <v>13</v>
      </c>
      <c r="C5077" s="1">
        <v>44419</v>
      </c>
      <c r="D5077" t="s">
        <v>32135</v>
      </c>
      <c r="E5077" s="2" t="s">
        <v>30727</v>
      </c>
      <c r="F5077" t="s">
        <v>2128</v>
      </c>
      <c r="G5077" t="s">
        <v>2129</v>
      </c>
      <c r="H5077" t="s">
        <v>45</v>
      </c>
      <c r="I5077" t="s">
        <v>19</v>
      </c>
      <c r="J5077" s="3">
        <f>55-85-33668451</f>
        <v>-33668481</v>
      </c>
      <c r="K5077" t="s">
        <v>2130</v>
      </c>
      <c r="L5077" t="s">
        <v>1909</v>
      </c>
      <c r="M5077" t="s">
        <v>1349</v>
      </c>
    </row>
    <row r="5078" spans="1:13" x14ac:dyDescent="0.25">
      <c r="A5078" t="s">
        <v>14792</v>
      </c>
      <c r="B5078" t="s">
        <v>13</v>
      </c>
      <c r="C5078" t="s">
        <v>14778</v>
      </c>
      <c r="D5078" t="s">
        <v>14793</v>
      </c>
      <c r="E5078" t="s">
        <v>32150</v>
      </c>
      <c r="F5078" t="s">
        <v>1934</v>
      </c>
      <c r="G5078" t="s">
        <v>14794</v>
      </c>
      <c r="H5078" t="s">
        <v>45</v>
      </c>
      <c r="I5078" t="s">
        <v>19</v>
      </c>
      <c r="J5078" s="3" t="s">
        <v>14795</v>
      </c>
      <c r="K5078" t="s">
        <v>14796</v>
      </c>
      <c r="L5078" t="s">
        <v>1909</v>
      </c>
      <c r="M5078" t="s">
        <v>741</v>
      </c>
    </row>
    <row r="5079" spans="1:13" x14ac:dyDescent="0.25">
      <c r="A5079" t="s">
        <v>4836</v>
      </c>
      <c r="B5079" t="s">
        <v>13</v>
      </c>
      <c r="C5079" s="1">
        <v>44836</v>
      </c>
      <c r="D5079" t="s">
        <v>4837</v>
      </c>
      <c r="E5079" s="2" t="s">
        <v>30825</v>
      </c>
      <c r="F5079" t="s">
        <v>4838</v>
      </c>
      <c r="G5079" t="s">
        <v>4839</v>
      </c>
      <c r="H5079" t="s">
        <v>472</v>
      </c>
      <c r="I5079" t="s">
        <v>19</v>
      </c>
      <c r="J5079" s="3" t="s">
        <v>4840</v>
      </c>
      <c r="K5079" t="s">
        <v>4841</v>
      </c>
      <c r="L5079" t="s">
        <v>2101</v>
      </c>
      <c r="M5079" t="s">
        <v>741</v>
      </c>
    </row>
    <row r="5080" spans="1:13" x14ac:dyDescent="0.25">
      <c r="A5080" t="s">
        <v>12242</v>
      </c>
      <c r="B5080" t="s">
        <v>13</v>
      </c>
      <c r="C5080" t="s">
        <v>7455</v>
      </c>
      <c r="D5080" t="s">
        <v>12243</v>
      </c>
      <c r="E5080" s="2" t="s">
        <v>31614</v>
      </c>
      <c r="F5080" t="s">
        <v>1464</v>
      </c>
      <c r="G5080" t="s">
        <v>12244</v>
      </c>
      <c r="H5080" t="s">
        <v>428</v>
      </c>
      <c r="I5080" t="s">
        <v>19</v>
      </c>
      <c r="J5080" s="3" t="s">
        <v>12245</v>
      </c>
      <c r="K5080" t="s">
        <v>12246</v>
      </c>
      <c r="L5080" t="s">
        <v>1295</v>
      </c>
      <c r="M5080" t="s">
        <v>1775</v>
      </c>
    </row>
    <row r="5081" spans="1:13" x14ac:dyDescent="0.25">
      <c r="A5081" t="s">
        <v>20493</v>
      </c>
      <c r="B5081" t="s">
        <v>13</v>
      </c>
      <c r="C5081" t="s">
        <v>10511</v>
      </c>
      <c r="D5081" t="s">
        <v>20494</v>
      </c>
      <c r="E5081" s="2" t="s">
        <v>31419</v>
      </c>
      <c r="F5081" t="s">
        <v>1464</v>
      </c>
      <c r="G5081" t="s">
        <v>20495</v>
      </c>
      <c r="H5081" t="s">
        <v>299</v>
      </c>
      <c r="I5081" t="s">
        <v>19</v>
      </c>
      <c r="J5081" s="3">
        <v>5514997730091</v>
      </c>
      <c r="K5081" t="s">
        <v>20496</v>
      </c>
      <c r="L5081" t="s">
        <v>20497</v>
      </c>
      <c r="M5081" t="s">
        <v>57</v>
      </c>
    </row>
    <row r="5082" spans="1:13" x14ac:dyDescent="0.25">
      <c r="A5082" t="s">
        <v>20765</v>
      </c>
      <c r="B5082" t="s">
        <v>13</v>
      </c>
      <c r="C5082" s="1">
        <v>43197</v>
      </c>
      <c r="D5082" t="s">
        <v>20766</v>
      </c>
      <c r="E5082" s="2" t="s">
        <v>31420</v>
      </c>
      <c r="F5082" t="s">
        <v>1464</v>
      </c>
      <c r="G5082" t="s">
        <v>20495</v>
      </c>
      <c r="H5082" t="s">
        <v>299</v>
      </c>
      <c r="I5082" t="s">
        <v>19</v>
      </c>
      <c r="J5082" s="3">
        <f>55-14-997730091</f>
        <v>-997730050</v>
      </c>
      <c r="K5082" t="s">
        <v>20767</v>
      </c>
      <c r="L5082" t="s">
        <v>4094</v>
      </c>
      <c r="M5082" t="s">
        <v>57</v>
      </c>
    </row>
    <row r="5083" spans="1:13" x14ac:dyDescent="0.25">
      <c r="A5083" t="s">
        <v>28920</v>
      </c>
      <c r="B5083" t="s">
        <v>13</v>
      </c>
      <c r="C5083" t="s">
        <v>28921</v>
      </c>
      <c r="D5083" t="s">
        <v>28922</v>
      </c>
      <c r="E5083" s="2" t="s">
        <v>31360</v>
      </c>
      <c r="F5083" t="s">
        <v>1129</v>
      </c>
      <c r="G5083" t="s">
        <v>11717</v>
      </c>
      <c r="H5083" t="s">
        <v>1072</v>
      </c>
      <c r="I5083" t="s">
        <v>19</v>
      </c>
      <c r="J5083" s="3" t="s">
        <v>28338</v>
      </c>
      <c r="K5083" t="s">
        <v>11718</v>
      </c>
      <c r="L5083" t="s">
        <v>91</v>
      </c>
      <c r="M5083" t="s">
        <v>224</v>
      </c>
    </row>
    <row r="5084" spans="1:13" x14ac:dyDescent="0.25">
      <c r="A5084" t="s">
        <v>20581</v>
      </c>
      <c r="B5084" t="s">
        <v>13</v>
      </c>
      <c r="C5084" s="1">
        <v>43411</v>
      </c>
      <c r="D5084" t="s">
        <v>20582</v>
      </c>
      <c r="E5084" t="s">
        <v>20583</v>
      </c>
      <c r="F5084" t="s">
        <v>2036</v>
      </c>
      <c r="G5084" t="s">
        <v>18426</v>
      </c>
      <c r="H5084" t="s">
        <v>503</v>
      </c>
      <c r="I5084" t="s">
        <v>19</v>
      </c>
      <c r="J5084" s="3" t="s">
        <v>9848</v>
      </c>
      <c r="K5084" t="s">
        <v>18428</v>
      </c>
      <c r="L5084" t="s">
        <v>412</v>
      </c>
      <c r="M5084" t="s">
        <v>57</v>
      </c>
    </row>
    <row r="5085" spans="1:13" x14ac:dyDescent="0.25">
      <c r="A5085" t="s">
        <v>30628</v>
      </c>
      <c r="B5085" t="s">
        <v>13</v>
      </c>
      <c r="C5085" s="1">
        <v>40609</v>
      </c>
      <c r="D5085" t="s">
        <v>30629</v>
      </c>
      <c r="E5085" t="s">
        <v>30630</v>
      </c>
      <c r="F5085" t="s">
        <v>2036</v>
      </c>
      <c r="G5085" t="s">
        <v>9424</v>
      </c>
      <c r="H5085" t="s">
        <v>444</v>
      </c>
      <c r="I5085" t="s">
        <v>19</v>
      </c>
      <c r="J5085" s="3" t="s">
        <v>30631</v>
      </c>
      <c r="K5085" t="s">
        <v>30632</v>
      </c>
      <c r="L5085" t="s">
        <v>1193</v>
      </c>
      <c r="M5085" t="s">
        <v>57</v>
      </c>
    </row>
    <row r="5086" spans="1:13" x14ac:dyDescent="0.25">
      <c r="A5086" t="s">
        <v>6733</v>
      </c>
      <c r="B5086" t="s">
        <v>13</v>
      </c>
      <c r="C5086" t="s">
        <v>6734</v>
      </c>
      <c r="D5086" t="s">
        <v>6735</v>
      </c>
      <c r="E5086" s="2" t="s">
        <v>31956</v>
      </c>
      <c r="F5086" t="s">
        <v>6314</v>
      </c>
      <c r="G5086" t="s">
        <v>6736</v>
      </c>
      <c r="H5086" t="s">
        <v>36</v>
      </c>
      <c r="I5086" t="s">
        <v>19</v>
      </c>
      <c r="J5086" s="3">
        <f>55-11-956063636</f>
        <v>-956063592</v>
      </c>
      <c r="K5086" t="s">
        <v>6737</v>
      </c>
      <c r="L5086" t="s">
        <v>6738</v>
      </c>
      <c r="M5086" t="s">
        <v>57</v>
      </c>
    </row>
    <row r="5087" spans="1:13" x14ac:dyDescent="0.25">
      <c r="A5087" t="s">
        <v>2937</v>
      </c>
      <c r="B5087" t="s">
        <v>13</v>
      </c>
      <c r="C5087" t="s">
        <v>2923</v>
      </c>
      <c r="D5087" t="s">
        <v>2938</v>
      </c>
      <c r="E5087" t="s">
        <v>951</v>
      </c>
      <c r="F5087" t="s">
        <v>2939</v>
      </c>
      <c r="G5087" t="s">
        <v>2940</v>
      </c>
      <c r="H5087" t="s">
        <v>265</v>
      </c>
      <c r="I5087" t="s">
        <v>19</v>
      </c>
      <c r="J5087" s="3" t="s">
        <v>2941</v>
      </c>
      <c r="K5087" t="s">
        <v>2942</v>
      </c>
      <c r="L5087" t="s">
        <v>2943</v>
      </c>
      <c r="M5087" t="s">
        <v>57</v>
      </c>
    </row>
    <row r="5088" spans="1:13" x14ac:dyDescent="0.25">
      <c r="A5088" t="s">
        <v>5654</v>
      </c>
      <c r="B5088" t="s">
        <v>13</v>
      </c>
      <c r="C5088" s="1">
        <v>44541</v>
      </c>
      <c r="D5088" t="s">
        <v>5655</v>
      </c>
      <c r="E5088" s="2" t="s">
        <v>30853</v>
      </c>
      <c r="F5088" t="s">
        <v>951</v>
      </c>
      <c r="G5088" t="s">
        <v>952</v>
      </c>
      <c r="H5088" t="s">
        <v>36</v>
      </c>
      <c r="I5088" t="s">
        <v>19</v>
      </c>
      <c r="J5088" s="3">
        <v>5501130032442</v>
      </c>
      <c r="K5088" t="s">
        <v>954</v>
      </c>
      <c r="L5088" t="s">
        <v>32135</v>
      </c>
      <c r="M5088" t="s">
        <v>57</v>
      </c>
    </row>
    <row r="5089" spans="1:13" x14ac:dyDescent="0.25">
      <c r="A5089" t="s">
        <v>17578</v>
      </c>
      <c r="B5089" t="s">
        <v>101</v>
      </c>
      <c r="C5089" t="s">
        <v>14786</v>
      </c>
      <c r="D5089" t="s">
        <v>17579</v>
      </c>
      <c r="E5089" t="s">
        <v>17580</v>
      </c>
      <c r="F5089" t="s">
        <v>57</v>
      </c>
      <c r="G5089" t="s">
        <v>14802</v>
      </c>
      <c r="H5089" t="s">
        <v>409</v>
      </c>
      <c r="I5089" t="s">
        <v>19</v>
      </c>
      <c r="J5089" s="3" t="s">
        <v>14803</v>
      </c>
      <c r="K5089" t="s">
        <v>14804</v>
      </c>
      <c r="L5089" t="s">
        <v>14805</v>
      </c>
      <c r="M5089" t="s">
        <v>57</v>
      </c>
    </row>
    <row r="5090" spans="1:13" x14ac:dyDescent="0.25">
      <c r="A5090" t="s">
        <v>1093</v>
      </c>
      <c r="B5090" t="s">
        <v>13</v>
      </c>
      <c r="C5090" t="s">
        <v>1032</v>
      </c>
      <c r="D5090" t="s">
        <v>1094</v>
      </c>
      <c r="E5090" t="s">
        <v>1095</v>
      </c>
      <c r="F5090" t="s">
        <v>1096</v>
      </c>
      <c r="G5090" t="s">
        <v>1097</v>
      </c>
      <c r="H5090" t="s">
        <v>36</v>
      </c>
      <c r="I5090" t="s">
        <v>19</v>
      </c>
      <c r="J5090" s="3">
        <v>551155764848</v>
      </c>
      <c r="K5090" t="s">
        <v>1098</v>
      </c>
      <c r="L5090" t="s">
        <v>1099</v>
      </c>
      <c r="M5090" t="s">
        <v>57</v>
      </c>
    </row>
    <row r="5091" spans="1:13" x14ac:dyDescent="0.25">
      <c r="A5091" t="s">
        <v>25049</v>
      </c>
      <c r="B5091" t="s">
        <v>13</v>
      </c>
      <c r="C5091" s="1">
        <v>42533</v>
      </c>
      <c r="D5091" t="s">
        <v>25050</v>
      </c>
      <c r="E5091" t="s">
        <v>25051</v>
      </c>
      <c r="F5091" t="s">
        <v>1464</v>
      </c>
      <c r="G5091" t="s">
        <v>22909</v>
      </c>
      <c r="H5091" t="s">
        <v>36</v>
      </c>
      <c r="I5091" t="s">
        <v>19</v>
      </c>
      <c r="J5091" s="3" t="s">
        <v>22910</v>
      </c>
      <c r="K5091" t="s">
        <v>22911</v>
      </c>
      <c r="L5091" t="s">
        <v>22912</v>
      </c>
      <c r="M5091" t="s">
        <v>57</v>
      </c>
    </row>
    <row r="5092" spans="1:13" x14ac:dyDescent="0.25">
      <c r="A5092" t="s">
        <v>9422</v>
      </c>
      <c r="B5092" t="s">
        <v>13</v>
      </c>
      <c r="C5092" s="1">
        <v>43984</v>
      </c>
      <c r="D5092" t="s">
        <v>9423</v>
      </c>
      <c r="E5092" t="s">
        <v>387</v>
      </c>
      <c r="F5092" t="s">
        <v>2036</v>
      </c>
      <c r="G5092" t="s">
        <v>9424</v>
      </c>
      <c r="H5092" t="s">
        <v>444</v>
      </c>
      <c r="I5092" t="s">
        <v>19</v>
      </c>
      <c r="J5092" s="3" t="s">
        <v>9425</v>
      </c>
      <c r="K5092" t="s">
        <v>4601</v>
      </c>
      <c r="L5092" t="s">
        <v>1193</v>
      </c>
      <c r="M5092" t="s">
        <v>57</v>
      </c>
    </row>
    <row r="5093" spans="1:13" x14ac:dyDescent="0.25">
      <c r="A5093" t="s">
        <v>4570</v>
      </c>
      <c r="B5093" t="s">
        <v>13</v>
      </c>
      <c r="C5093" t="s">
        <v>4535</v>
      </c>
      <c r="D5093" t="s">
        <v>32135</v>
      </c>
      <c r="E5093" t="s">
        <v>3870</v>
      </c>
      <c r="F5093" t="s">
        <v>160</v>
      </c>
      <c r="G5093" t="s">
        <v>4571</v>
      </c>
      <c r="H5093" t="s">
        <v>1090</v>
      </c>
      <c r="I5093" t="s">
        <v>19</v>
      </c>
      <c r="J5093" s="3" t="s">
        <v>4572</v>
      </c>
      <c r="K5093" t="s">
        <v>4573</v>
      </c>
      <c r="L5093" t="s">
        <v>4574</v>
      </c>
      <c r="M5093" t="s">
        <v>32147</v>
      </c>
    </row>
    <row r="5094" spans="1:13" x14ac:dyDescent="0.25">
      <c r="A5094" t="s">
        <v>16684</v>
      </c>
      <c r="B5094" t="s">
        <v>13</v>
      </c>
      <c r="C5094" s="1">
        <v>43380</v>
      </c>
      <c r="D5094" t="s">
        <v>16685</v>
      </c>
      <c r="E5094" s="2" t="s">
        <v>31870</v>
      </c>
      <c r="F5094" t="s">
        <v>2036</v>
      </c>
      <c r="G5094" t="s">
        <v>16686</v>
      </c>
      <c r="H5094" t="s">
        <v>88</v>
      </c>
      <c r="I5094" t="s">
        <v>19</v>
      </c>
      <c r="J5094" s="3">
        <f>55-83-999725806</f>
        <v>-999725834</v>
      </c>
      <c r="K5094" t="s">
        <v>16687</v>
      </c>
      <c r="L5094" t="s">
        <v>91</v>
      </c>
      <c r="M5094" t="s">
        <v>57</v>
      </c>
    </row>
    <row r="5095" spans="1:13" x14ac:dyDescent="0.25">
      <c r="A5095" t="s">
        <v>7755</v>
      </c>
      <c r="B5095" t="s">
        <v>13</v>
      </c>
      <c r="C5095" t="s">
        <v>7756</v>
      </c>
      <c r="D5095" t="s">
        <v>7757</v>
      </c>
      <c r="E5095" s="2" t="s">
        <v>30938</v>
      </c>
      <c r="F5095" t="s">
        <v>2036</v>
      </c>
      <c r="G5095" t="s">
        <v>3470</v>
      </c>
      <c r="H5095" t="s">
        <v>1072</v>
      </c>
      <c r="I5095" t="s">
        <v>19</v>
      </c>
      <c r="J5095" s="3">
        <f>55-84-996810444</f>
        <v>-996810473</v>
      </c>
      <c r="K5095" t="s">
        <v>3471</v>
      </c>
      <c r="L5095" t="s">
        <v>3472</v>
      </c>
      <c r="M5095" t="s">
        <v>57</v>
      </c>
    </row>
    <row r="5096" spans="1:13" x14ac:dyDescent="0.25">
      <c r="A5096" t="s">
        <v>2457</v>
      </c>
      <c r="B5096" t="s">
        <v>13</v>
      </c>
      <c r="C5096" t="s">
        <v>2458</v>
      </c>
      <c r="D5096" t="s">
        <v>2459</v>
      </c>
      <c r="E5096" t="s">
        <v>2460</v>
      </c>
      <c r="F5096" t="s">
        <v>2036</v>
      </c>
      <c r="G5096" t="s">
        <v>2461</v>
      </c>
      <c r="H5096" t="s">
        <v>669</v>
      </c>
      <c r="I5096" t="s">
        <v>670</v>
      </c>
      <c r="J5096" s="3">
        <v>5697122483</v>
      </c>
      <c r="K5096" t="s">
        <v>671</v>
      </c>
      <c r="L5096" t="s">
        <v>672</v>
      </c>
      <c r="M5096" t="s">
        <v>57</v>
      </c>
    </row>
    <row r="5097" spans="1:13" x14ac:dyDescent="0.25">
      <c r="A5097" t="s">
        <v>14686</v>
      </c>
      <c r="B5097" t="s">
        <v>13</v>
      </c>
      <c r="C5097" t="s">
        <v>8504</v>
      </c>
      <c r="D5097" t="s">
        <v>14687</v>
      </c>
      <c r="E5097" t="s">
        <v>14688</v>
      </c>
      <c r="F5097" t="s">
        <v>2036</v>
      </c>
      <c r="G5097" t="s">
        <v>2461</v>
      </c>
      <c r="H5097" t="s">
        <v>669</v>
      </c>
      <c r="I5097" t="s">
        <v>670</v>
      </c>
      <c r="J5097" s="3">
        <v>5697122483</v>
      </c>
      <c r="K5097" t="s">
        <v>671</v>
      </c>
      <c r="L5097" t="s">
        <v>672</v>
      </c>
      <c r="M5097" t="s">
        <v>57</v>
      </c>
    </row>
    <row r="5098" spans="1:13" x14ac:dyDescent="0.25">
      <c r="A5098" t="s">
        <v>4800</v>
      </c>
      <c r="B5098" t="s">
        <v>13</v>
      </c>
      <c r="C5098" s="1">
        <v>44867</v>
      </c>
      <c r="D5098" t="s">
        <v>32135</v>
      </c>
      <c r="E5098" t="s">
        <v>4801</v>
      </c>
      <c r="F5098" t="s">
        <v>4802</v>
      </c>
      <c r="G5098" t="s">
        <v>4803</v>
      </c>
      <c r="H5098" t="s">
        <v>4236</v>
      </c>
      <c r="I5098" t="s">
        <v>19</v>
      </c>
      <c r="J5098" s="3" t="s">
        <v>4804</v>
      </c>
      <c r="K5098" t="s">
        <v>895</v>
      </c>
      <c r="L5098" t="s">
        <v>896</v>
      </c>
      <c r="M5098" t="s">
        <v>57</v>
      </c>
    </row>
    <row r="5099" spans="1:13" x14ac:dyDescent="0.25">
      <c r="A5099" t="s">
        <v>20321</v>
      </c>
      <c r="B5099" t="s">
        <v>13</v>
      </c>
      <c r="C5099" t="s">
        <v>20322</v>
      </c>
      <c r="D5099" t="s">
        <v>20323</v>
      </c>
      <c r="E5099" s="2" t="s">
        <v>31247</v>
      </c>
      <c r="F5099" t="s">
        <v>2036</v>
      </c>
      <c r="G5099" t="s">
        <v>18948</v>
      </c>
      <c r="H5099" t="s">
        <v>1486</v>
      </c>
      <c r="I5099" t="s">
        <v>19</v>
      </c>
      <c r="J5099" s="3" t="s">
        <v>18949</v>
      </c>
      <c r="K5099" t="s">
        <v>18950</v>
      </c>
      <c r="L5099" t="s">
        <v>1489</v>
      </c>
      <c r="M5099" t="s">
        <v>57</v>
      </c>
    </row>
    <row r="5100" spans="1:13" x14ac:dyDescent="0.25">
      <c r="A5100" t="s">
        <v>12960</v>
      </c>
      <c r="B5100" t="s">
        <v>101</v>
      </c>
      <c r="C5100" s="1">
        <v>44138</v>
      </c>
      <c r="D5100" t="s">
        <v>12961</v>
      </c>
      <c r="E5100" s="2" t="s">
        <v>32037</v>
      </c>
      <c r="F5100" t="s">
        <v>337</v>
      </c>
      <c r="G5100" t="s">
        <v>12793</v>
      </c>
      <c r="H5100" t="s">
        <v>150</v>
      </c>
      <c r="I5100" t="s">
        <v>19</v>
      </c>
      <c r="J5100" s="3">
        <v>5511996460792</v>
      </c>
      <c r="K5100" t="s">
        <v>12794</v>
      </c>
      <c r="L5100" t="s">
        <v>8569</v>
      </c>
      <c r="M5100" t="s">
        <v>337</v>
      </c>
    </row>
    <row r="5101" spans="1:13" x14ac:dyDescent="0.25">
      <c r="A5101" t="s">
        <v>23234</v>
      </c>
      <c r="B5101" t="s">
        <v>13</v>
      </c>
      <c r="C5101" t="s">
        <v>14143</v>
      </c>
      <c r="D5101" t="s">
        <v>23235</v>
      </c>
      <c r="E5101" t="s">
        <v>23236</v>
      </c>
      <c r="F5101" t="s">
        <v>9327</v>
      </c>
      <c r="G5101" t="s">
        <v>23237</v>
      </c>
      <c r="H5101" t="s">
        <v>45</v>
      </c>
      <c r="I5101" t="s">
        <v>19</v>
      </c>
      <c r="J5101" s="3">
        <f>55-85-33668262</f>
        <v>-33668292</v>
      </c>
      <c r="K5101" t="s">
        <v>23238</v>
      </c>
      <c r="L5101" t="s">
        <v>1909</v>
      </c>
      <c r="M5101" t="s">
        <v>1304</v>
      </c>
    </row>
    <row r="5102" spans="1:13" x14ac:dyDescent="0.25">
      <c r="A5102" t="s">
        <v>6633</v>
      </c>
      <c r="B5102" t="s">
        <v>13</v>
      </c>
      <c r="C5102" t="s">
        <v>6634</v>
      </c>
      <c r="D5102" t="s">
        <v>6635</v>
      </c>
      <c r="E5102" t="s">
        <v>6636</v>
      </c>
      <c r="F5102" t="s">
        <v>2765</v>
      </c>
      <c r="G5102" t="s">
        <v>6637</v>
      </c>
      <c r="H5102" t="s">
        <v>472</v>
      </c>
      <c r="I5102" t="s">
        <v>19</v>
      </c>
      <c r="J5102" s="3">
        <v>558121224779</v>
      </c>
      <c r="K5102" t="s">
        <v>6638</v>
      </c>
      <c r="L5102" t="s">
        <v>3281</v>
      </c>
      <c r="M5102" t="s">
        <v>771</v>
      </c>
    </row>
    <row r="5103" spans="1:13" x14ac:dyDescent="0.25">
      <c r="A5103" t="s">
        <v>6874</v>
      </c>
      <c r="B5103" t="s">
        <v>13</v>
      </c>
      <c r="C5103" t="s">
        <v>6868</v>
      </c>
      <c r="D5103" t="s">
        <v>6875</v>
      </c>
      <c r="E5103" t="s">
        <v>6876</v>
      </c>
      <c r="F5103" t="s">
        <v>6877</v>
      </c>
      <c r="G5103" t="s">
        <v>6878</v>
      </c>
      <c r="H5103" t="s">
        <v>352</v>
      </c>
      <c r="I5103" t="s">
        <v>19</v>
      </c>
      <c r="J5103" s="3" t="s">
        <v>6879</v>
      </c>
      <c r="K5103" t="s">
        <v>6880</v>
      </c>
      <c r="L5103" t="s">
        <v>550</v>
      </c>
      <c r="M5103" t="s">
        <v>1304</v>
      </c>
    </row>
    <row r="5104" spans="1:13" x14ac:dyDescent="0.25">
      <c r="A5104" t="s">
        <v>25782</v>
      </c>
      <c r="B5104" t="s">
        <v>13</v>
      </c>
      <c r="C5104" t="s">
        <v>25779</v>
      </c>
      <c r="D5104" t="s">
        <v>25783</v>
      </c>
      <c r="E5104" t="s">
        <v>25784</v>
      </c>
      <c r="F5104" t="s">
        <v>9327</v>
      </c>
      <c r="G5104" t="s">
        <v>25764</v>
      </c>
      <c r="H5104" t="s">
        <v>114</v>
      </c>
      <c r="I5104" t="s">
        <v>19</v>
      </c>
      <c r="J5104" s="3" t="s">
        <v>25765</v>
      </c>
      <c r="K5104" t="s">
        <v>25766</v>
      </c>
      <c r="L5104" t="s">
        <v>82</v>
      </c>
      <c r="M5104" t="s">
        <v>1304</v>
      </c>
    </row>
    <row r="5105" spans="1:13" x14ac:dyDescent="0.25">
      <c r="A5105" t="s">
        <v>20133</v>
      </c>
      <c r="B5105" t="s">
        <v>13</v>
      </c>
      <c r="C5105" s="1">
        <v>43259</v>
      </c>
      <c r="D5105" t="s">
        <v>20134</v>
      </c>
      <c r="E5105" t="s">
        <v>20135</v>
      </c>
      <c r="F5105" t="s">
        <v>9327</v>
      </c>
      <c r="G5105" t="s">
        <v>2274</v>
      </c>
      <c r="H5105" t="s">
        <v>936</v>
      </c>
      <c r="I5105" t="s">
        <v>19</v>
      </c>
      <c r="J5105" s="3">
        <v>5511988303941</v>
      </c>
      <c r="K5105" t="s">
        <v>8761</v>
      </c>
      <c r="L5105" t="s">
        <v>20136</v>
      </c>
      <c r="M5105" t="s">
        <v>1304</v>
      </c>
    </row>
    <row r="5106" spans="1:13" x14ac:dyDescent="0.25">
      <c r="A5106" t="s">
        <v>20982</v>
      </c>
      <c r="B5106" t="s">
        <v>13</v>
      </c>
      <c r="C5106" t="s">
        <v>11801</v>
      </c>
      <c r="D5106" t="s">
        <v>20983</v>
      </c>
      <c r="E5106" s="2" t="s">
        <v>31822</v>
      </c>
      <c r="F5106" t="s">
        <v>9327</v>
      </c>
      <c r="G5106" t="s">
        <v>20984</v>
      </c>
      <c r="H5106" t="s">
        <v>18</v>
      </c>
      <c r="I5106" t="s">
        <v>19</v>
      </c>
      <c r="J5106" s="3" t="s">
        <v>20985</v>
      </c>
      <c r="K5106" t="s">
        <v>20986</v>
      </c>
      <c r="L5106" t="s">
        <v>20987</v>
      </c>
      <c r="M5106" t="s">
        <v>1304</v>
      </c>
    </row>
    <row r="5107" spans="1:13" x14ac:dyDescent="0.25">
      <c r="A5107" t="s">
        <v>11258</v>
      </c>
      <c r="B5107" t="s">
        <v>13</v>
      </c>
      <c r="C5107" t="s">
        <v>11259</v>
      </c>
      <c r="D5107" t="s">
        <v>11260</v>
      </c>
      <c r="E5107" t="s">
        <v>11261</v>
      </c>
      <c r="F5107" t="s">
        <v>2765</v>
      </c>
      <c r="G5107" t="s">
        <v>11262</v>
      </c>
      <c r="H5107" t="s">
        <v>299</v>
      </c>
      <c r="I5107" t="s">
        <v>19</v>
      </c>
      <c r="J5107" s="3">
        <f>55-14-996521018</f>
        <v>-996520977</v>
      </c>
      <c r="K5107" t="s">
        <v>11263</v>
      </c>
      <c r="L5107" t="s">
        <v>11264</v>
      </c>
      <c r="M5107" t="s">
        <v>771</v>
      </c>
    </row>
    <row r="5108" spans="1:13" x14ac:dyDescent="0.25">
      <c r="A5108" t="s">
        <v>12247</v>
      </c>
      <c r="B5108" t="s">
        <v>13</v>
      </c>
      <c r="C5108" t="s">
        <v>7455</v>
      </c>
      <c r="D5108" t="s">
        <v>12248</v>
      </c>
      <c r="E5108" t="s">
        <v>6877</v>
      </c>
      <c r="F5108" t="s">
        <v>9327</v>
      </c>
      <c r="G5108" t="s">
        <v>12249</v>
      </c>
      <c r="H5108" t="s">
        <v>18</v>
      </c>
      <c r="I5108" t="s">
        <v>19</v>
      </c>
      <c r="J5108" s="3">
        <v>551935218383</v>
      </c>
      <c r="K5108" t="s">
        <v>6417</v>
      </c>
      <c r="L5108" t="s">
        <v>12250</v>
      </c>
      <c r="M5108" t="s">
        <v>1304</v>
      </c>
    </row>
    <row r="5109" spans="1:13" x14ac:dyDescent="0.25">
      <c r="A5109" t="s">
        <v>27086</v>
      </c>
      <c r="B5109" t="s">
        <v>13</v>
      </c>
      <c r="C5109" t="s">
        <v>27087</v>
      </c>
      <c r="D5109" t="s">
        <v>27088</v>
      </c>
      <c r="E5109" t="s">
        <v>32653</v>
      </c>
      <c r="F5109" t="s">
        <v>32147</v>
      </c>
      <c r="G5109" t="s">
        <v>21400</v>
      </c>
      <c r="H5109" t="s">
        <v>18</v>
      </c>
      <c r="I5109" t="s">
        <v>19</v>
      </c>
      <c r="J5109" s="3" t="s">
        <v>3371</v>
      </c>
      <c r="K5109" t="s">
        <v>21402</v>
      </c>
      <c r="L5109" t="s">
        <v>27089</v>
      </c>
      <c r="M5109" t="s">
        <v>32147</v>
      </c>
    </row>
    <row r="5110" spans="1:13" x14ac:dyDescent="0.25">
      <c r="A5110" t="s">
        <v>7296</v>
      </c>
      <c r="B5110" t="s">
        <v>13</v>
      </c>
      <c r="C5110" s="1">
        <v>44202</v>
      </c>
      <c r="D5110" t="s">
        <v>32135</v>
      </c>
      <c r="E5110" s="2" t="s">
        <v>31724</v>
      </c>
      <c r="F5110" t="s">
        <v>6953</v>
      </c>
      <c r="G5110" t="s">
        <v>7297</v>
      </c>
      <c r="H5110" t="s">
        <v>7109</v>
      </c>
      <c r="I5110" t="s">
        <v>19</v>
      </c>
      <c r="J5110" s="3">
        <v>5511976982117</v>
      </c>
      <c r="K5110" t="s">
        <v>7298</v>
      </c>
      <c r="L5110" t="s">
        <v>32135</v>
      </c>
      <c r="M5110" t="s">
        <v>1775</v>
      </c>
    </row>
    <row r="5111" spans="1:13" x14ac:dyDescent="0.25">
      <c r="A5111" t="s">
        <v>23007</v>
      </c>
      <c r="B5111" t="s">
        <v>13</v>
      </c>
      <c r="C5111" t="s">
        <v>23008</v>
      </c>
      <c r="D5111" t="s">
        <v>23009</v>
      </c>
      <c r="E5111" s="2" t="s">
        <v>32059</v>
      </c>
      <c r="F5111" t="s">
        <v>1190</v>
      </c>
      <c r="G5111" t="s">
        <v>23010</v>
      </c>
      <c r="H5111" t="s">
        <v>706</v>
      </c>
      <c r="I5111" t="s">
        <v>19</v>
      </c>
      <c r="J5111" s="3">
        <v>5531998846337</v>
      </c>
      <c r="K5111" t="s">
        <v>23011</v>
      </c>
      <c r="L5111" t="s">
        <v>13650</v>
      </c>
      <c r="M5111" t="s">
        <v>432</v>
      </c>
    </row>
    <row r="5112" spans="1:13" x14ac:dyDescent="0.25">
      <c r="A5112" t="s">
        <v>24151</v>
      </c>
      <c r="B5112" t="s">
        <v>13</v>
      </c>
      <c r="C5112" t="s">
        <v>24142</v>
      </c>
      <c r="D5112" t="s">
        <v>24152</v>
      </c>
      <c r="E5112" t="s">
        <v>10599</v>
      </c>
      <c r="F5112" t="s">
        <v>57</v>
      </c>
      <c r="G5112" t="s">
        <v>24153</v>
      </c>
      <c r="H5112" t="s">
        <v>36</v>
      </c>
      <c r="I5112" t="s">
        <v>19</v>
      </c>
      <c r="J5112" s="3" t="s">
        <v>24154</v>
      </c>
      <c r="K5112" t="s">
        <v>24155</v>
      </c>
      <c r="L5112" t="s">
        <v>439</v>
      </c>
      <c r="M5112" t="s">
        <v>57</v>
      </c>
    </row>
    <row r="5113" spans="1:13" x14ac:dyDescent="0.25">
      <c r="A5113" t="s">
        <v>1797</v>
      </c>
      <c r="B5113" t="s">
        <v>13</v>
      </c>
      <c r="C5113" s="1">
        <v>44722</v>
      </c>
      <c r="D5113" t="s">
        <v>1798</v>
      </c>
      <c r="E5113" t="s">
        <v>1799</v>
      </c>
      <c r="F5113" t="s">
        <v>1800</v>
      </c>
      <c r="G5113" t="s">
        <v>1801</v>
      </c>
      <c r="H5113" t="s">
        <v>1802</v>
      </c>
      <c r="I5113" t="s">
        <v>19</v>
      </c>
      <c r="J5113" s="3" t="s">
        <v>1803</v>
      </c>
      <c r="K5113" t="s">
        <v>1804</v>
      </c>
      <c r="L5113" t="s">
        <v>1805</v>
      </c>
      <c r="M5113" t="s">
        <v>32155</v>
      </c>
    </row>
    <row r="5114" spans="1:13" x14ac:dyDescent="0.25">
      <c r="A5114" t="s">
        <v>10597</v>
      </c>
      <c r="B5114" t="s">
        <v>13</v>
      </c>
      <c r="C5114" s="1">
        <v>43959</v>
      </c>
      <c r="D5114" t="s">
        <v>10598</v>
      </c>
      <c r="E5114" s="2" t="s">
        <v>31000</v>
      </c>
      <c r="F5114" t="s">
        <v>4639</v>
      </c>
      <c r="G5114" t="s">
        <v>10600</v>
      </c>
      <c r="H5114" t="s">
        <v>7109</v>
      </c>
      <c r="I5114" t="s">
        <v>19</v>
      </c>
      <c r="J5114" s="3">
        <f>55-11-984487888</f>
        <v>-984487844</v>
      </c>
      <c r="K5114" t="s">
        <v>10601</v>
      </c>
      <c r="L5114" t="s">
        <v>439</v>
      </c>
      <c r="M5114" t="s">
        <v>785</v>
      </c>
    </row>
    <row r="5115" spans="1:13" x14ac:dyDescent="0.25">
      <c r="A5115" t="s">
        <v>19015</v>
      </c>
      <c r="B5115" t="s">
        <v>13</v>
      </c>
      <c r="C5115" t="s">
        <v>19016</v>
      </c>
      <c r="D5115" t="s">
        <v>19017</v>
      </c>
      <c r="E5115" t="s">
        <v>19018</v>
      </c>
      <c r="F5115" t="s">
        <v>2036</v>
      </c>
      <c r="G5115" t="s">
        <v>19019</v>
      </c>
      <c r="H5115" t="s">
        <v>428</v>
      </c>
      <c r="I5115" t="s">
        <v>19</v>
      </c>
      <c r="J5115" s="3">
        <f>55-51-999501985</f>
        <v>-999501981</v>
      </c>
      <c r="K5115" t="s">
        <v>19020</v>
      </c>
      <c r="L5115" t="s">
        <v>1113</v>
      </c>
      <c r="M5115" t="s">
        <v>57</v>
      </c>
    </row>
    <row r="5116" spans="1:13" x14ac:dyDescent="0.25">
      <c r="A5116" t="s">
        <v>1311</v>
      </c>
      <c r="B5116" t="s">
        <v>13</v>
      </c>
      <c r="C5116" s="1">
        <v>44845</v>
      </c>
      <c r="D5116" t="s">
        <v>1312</v>
      </c>
      <c r="E5116" s="2" t="s">
        <v>30706</v>
      </c>
      <c r="F5116" t="s">
        <v>1314</v>
      </c>
      <c r="G5116" t="s">
        <v>1315</v>
      </c>
      <c r="H5116" t="s">
        <v>195</v>
      </c>
      <c r="I5116" t="s">
        <v>19</v>
      </c>
      <c r="J5116" s="3" t="s">
        <v>1316</v>
      </c>
      <c r="K5116" t="s">
        <v>1317</v>
      </c>
      <c r="L5116" t="s">
        <v>197</v>
      </c>
      <c r="M5116" t="s">
        <v>57</v>
      </c>
    </row>
    <row r="5117" spans="1:13" x14ac:dyDescent="0.25">
      <c r="A5117" t="s">
        <v>20740</v>
      </c>
      <c r="B5117" t="s">
        <v>13</v>
      </c>
      <c r="C5117" s="1">
        <v>43227</v>
      </c>
      <c r="D5117" t="s">
        <v>20741</v>
      </c>
      <c r="E5117" s="2" t="s">
        <v>31265</v>
      </c>
      <c r="F5117" t="s">
        <v>2036</v>
      </c>
      <c r="G5117" t="s">
        <v>2178</v>
      </c>
      <c r="H5117" t="s">
        <v>2112</v>
      </c>
      <c r="I5117" t="s">
        <v>19</v>
      </c>
      <c r="J5117" s="3">
        <f>55-45-32207344</f>
        <v>-32207334</v>
      </c>
      <c r="K5117" t="s">
        <v>14019</v>
      </c>
      <c r="L5117" t="s">
        <v>14020</v>
      </c>
      <c r="M5117" t="s">
        <v>57</v>
      </c>
    </row>
    <row r="5118" spans="1:13" x14ac:dyDescent="0.25">
      <c r="A5118" t="s">
        <v>2610</v>
      </c>
      <c r="B5118" t="s">
        <v>13</v>
      </c>
      <c r="C5118" t="s">
        <v>2611</v>
      </c>
      <c r="D5118" t="s">
        <v>32135</v>
      </c>
      <c r="E5118" t="s">
        <v>2303</v>
      </c>
      <c r="F5118" t="s">
        <v>2612</v>
      </c>
      <c r="G5118" t="s">
        <v>130</v>
      </c>
      <c r="H5118" t="s">
        <v>131</v>
      </c>
      <c r="I5118" t="s">
        <v>19</v>
      </c>
      <c r="J5118" s="3" t="s">
        <v>132</v>
      </c>
      <c r="K5118" t="s">
        <v>133</v>
      </c>
      <c r="L5118" t="s">
        <v>134</v>
      </c>
      <c r="M5118" t="s">
        <v>785</v>
      </c>
    </row>
    <row r="5119" spans="1:13" x14ac:dyDescent="0.25">
      <c r="A5119" t="s">
        <v>58</v>
      </c>
      <c r="B5119" t="s">
        <v>13</v>
      </c>
      <c r="C5119" s="1">
        <v>44987</v>
      </c>
      <c r="D5119" t="s">
        <v>59</v>
      </c>
      <c r="E5119" t="s">
        <v>60</v>
      </c>
      <c r="F5119" t="s">
        <v>61</v>
      </c>
      <c r="G5119" t="s">
        <v>62</v>
      </c>
      <c r="H5119" t="s">
        <v>36</v>
      </c>
      <c r="I5119" t="s">
        <v>19</v>
      </c>
      <c r="J5119" s="3" t="s">
        <v>63</v>
      </c>
      <c r="K5119" t="s">
        <v>64</v>
      </c>
      <c r="L5119" t="s">
        <v>65</v>
      </c>
      <c r="M5119" t="s">
        <v>785</v>
      </c>
    </row>
    <row r="5120" spans="1:13" x14ac:dyDescent="0.25">
      <c r="A5120" t="s">
        <v>21814</v>
      </c>
      <c r="B5120" t="s">
        <v>13</v>
      </c>
      <c r="C5120" t="s">
        <v>21815</v>
      </c>
      <c r="D5120" t="s">
        <v>21816</v>
      </c>
      <c r="E5120" t="s">
        <v>60</v>
      </c>
      <c r="F5120" t="s">
        <v>4639</v>
      </c>
      <c r="G5120" t="s">
        <v>21817</v>
      </c>
      <c r="H5120" t="s">
        <v>36</v>
      </c>
      <c r="I5120" t="s">
        <v>19</v>
      </c>
      <c r="J5120" s="3" t="s">
        <v>21818</v>
      </c>
      <c r="K5120" t="s">
        <v>10047</v>
      </c>
      <c r="L5120" t="s">
        <v>223</v>
      </c>
      <c r="M5120" t="s">
        <v>785</v>
      </c>
    </row>
    <row r="5121" spans="1:13" x14ac:dyDescent="0.25">
      <c r="A5121" t="s">
        <v>6553</v>
      </c>
      <c r="B5121" t="s">
        <v>13</v>
      </c>
      <c r="C5121" t="s">
        <v>6551</v>
      </c>
      <c r="D5121" t="s">
        <v>6554</v>
      </c>
      <c r="E5121" t="s">
        <v>60</v>
      </c>
      <c r="F5121" t="s">
        <v>4639</v>
      </c>
      <c r="G5121" t="s">
        <v>6555</v>
      </c>
      <c r="H5121" t="s">
        <v>36</v>
      </c>
      <c r="I5121" t="s">
        <v>19</v>
      </c>
      <c r="J5121" s="3">
        <v>551126613346</v>
      </c>
      <c r="K5121" t="s">
        <v>6556</v>
      </c>
      <c r="L5121" t="s">
        <v>6557</v>
      </c>
      <c r="M5121" t="s">
        <v>785</v>
      </c>
    </row>
    <row r="5122" spans="1:13" x14ac:dyDescent="0.25">
      <c r="A5122" t="s">
        <v>14279</v>
      </c>
      <c r="B5122" t="s">
        <v>13</v>
      </c>
      <c r="C5122" s="1">
        <v>44075</v>
      </c>
      <c r="D5122" t="s">
        <v>14280</v>
      </c>
      <c r="E5122" t="s">
        <v>14281</v>
      </c>
      <c r="G5122" t="s">
        <v>14282</v>
      </c>
      <c r="H5122" t="s">
        <v>36</v>
      </c>
      <c r="I5122" t="s">
        <v>19</v>
      </c>
      <c r="J5122" s="3">
        <v>551125370177</v>
      </c>
      <c r="K5122" t="s">
        <v>14283</v>
      </c>
      <c r="L5122" t="s">
        <v>9723</v>
      </c>
      <c r="M5122" t="s">
        <v>1775</v>
      </c>
    </row>
    <row r="5123" spans="1:13" x14ac:dyDescent="0.25">
      <c r="A5123" t="s">
        <v>28411</v>
      </c>
      <c r="B5123" t="s">
        <v>13</v>
      </c>
      <c r="C5123" t="s">
        <v>28412</v>
      </c>
      <c r="D5123" t="s">
        <v>28413</v>
      </c>
      <c r="E5123" t="s">
        <v>28414</v>
      </c>
      <c r="F5123" t="s">
        <v>4639</v>
      </c>
      <c r="G5123" t="s">
        <v>28415</v>
      </c>
      <c r="H5123" t="s">
        <v>927</v>
      </c>
      <c r="I5123" t="s">
        <v>19</v>
      </c>
      <c r="J5123" s="3" t="s">
        <v>28416</v>
      </c>
      <c r="K5123" t="s">
        <v>28417</v>
      </c>
      <c r="L5123" t="s">
        <v>439</v>
      </c>
      <c r="M5123" t="s">
        <v>785</v>
      </c>
    </row>
    <row r="5124" spans="1:13" x14ac:dyDescent="0.25">
      <c r="A5124" t="s">
        <v>16102</v>
      </c>
      <c r="B5124" t="s">
        <v>13</v>
      </c>
      <c r="C5124" t="s">
        <v>15792</v>
      </c>
      <c r="D5124" t="s">
        <v>16103</v>
      </c>
      <c r="E5124" s="2" t="s">
        <v>31147</v>
      </c>
      <c r="F5124" t="s">
        <v>4639</v>
      </c>
      <c r="G5124" t="s">
        <v>16104</v>
      </c>
      <c r="H5124" t="s">
        <v>36</v>
      </c>
      <c r="I5124" t="s">
        <v>19</v>
      </c>
      <c r="J5124" s="3">
        <v>14753006596</v>
      </c>
      <c r="K5124" t="s">
        <v>16105</v>
      </c>
      <c r="L5124" t="s">
        <v>16106</v>
      </c>
      <c r="M5124" t="s">
        <v>785</v>
      </c>
    </row>
    <row r="5125" spans="1:13" x14ac:dyDescent="0.25">
      <c r="A5125" t="s">
        <v>8078</v>
      </c>
      <c r="B5125" t="s">
        <v>13</v>
      </c>
      <c r="C5125" t="s">
        <v>8073</v>
      </c>
      <c r="D5125" t="s">
        <v>8079</v>
      </c>
      <c r="E5125" t="s">
        <v>32654</v>
      </c>
      <c r="F5125" t="s">
        <v>4639</v>
      </c>
      <c r="G5125" t="s">
        <v>8080</v>
      </c>
      <c r="H5125" t="s">
        <v>489</v>
      </c>
      <c r="I5125" t="s">
        <v>19</v>
      </c>
      <c r="J5125" s="3">
        <f>55-41-996489694</f>
        <v>-996489680</v>
      </c>
      <c r="K5125" t="s">
        <v>8081</v>
      </c>
      <c r="L5125" t="s">
        <v>32135</v>
      </c>
      <c r="M5125" t="s">
        <v>785</v>
      </c>
    </row>
    <row r="5126" spans="1:13" x14ac:dyDescent="0.25">
      <c r="A5126" t="s">
        <v>19839</v>
      </c>
      <c r="B5126" t="s">
        <v>13</v>
      </c>
      <c r="C5126" t="s">
        <v>19830</v>
      </c>
      <c r="D5126" t="s">
        <v>19840</v>
      </c>
      <c r="E5126" t="s">
        <v>32655</v>
      </c>
      <c r="F5126" t="s">
        <v>785</v>
      </c>
      <c r="G5126" t="s">
        <v>19841</v>
      </c>
      <c r="H5126" t="s">
        <v>36</v>
      </c>
      <c r="I5126" t="s">
        <v>19</v>
      </c>
      <c r="J5126" s="3">
        <f>5511-31204881</f>
        <v>-31199370</v>
      </c>
      <c r="K5126" t="s">
        <v>19842</v>
      </c>
      <c r="L5126" t="s">
        <v>19843</v>
      </c>
      <c r="M5126" t="s">
        <v>785</v>
      </c>
    </row>
    <row r="5127" spans="1:13" x14ac:dyDescent="0.25">
      <c r="A5127" t="s">
        <v>13806</v>
      </c>
      <c r="B5127" t="s">
        <v>101</v>
      </c>
      <c r="C5127" t="s">
        <v>13789</v>
      </c>
      <c r="D5127" t="s">
        <v>13807</v>
      </c>
      <c r="E5127" t="s">
        <v>13808</v>
      </c>
      <c r="F5127" t="s">
        <v>1349</v>
      </c>
      <c r="G5127" t="s">
        <v>13809</v>
      </c>
      <c r="H5127" t="s">
        <v>13810</v>
      </c>
      <c r="I5127" t="s">
        <v>13811</v>
      </c>
      <c r="J5127" s="3">
        <v>390498215714</v>
      </c>
      <c r="K5127" t="s">
        <v>13812</v>
      </c>
      <c r="L5127" t="s">
        <v>13813</v>
      </c>
      <c r="M5127" t="s">
        <v>1349</v>
      </c>
    </row>
    <row r="5128" spans="1:13" x14ac:dyDescent="0.25">
      <c r="A5128" t="s">
        <v>12358</v>
      </c>
      <c r="B5128" t="s">
        <v>13</v>
      </c>
      <c r="C5128" s="1">
        <v>43597</v>
      </c>
      <c r="D5128" t="s">
        <v>12359</v>
      </c>
      <c r="E5128" t="s">
        <v>12360</v>
      </c>
      <c r="F5128" t="s">
        <v>4639</v>
      </c>
      <c r="G5128" t="s">
        <v>781</v>
      </c>
      <c r="H5128" t="s">
        <v>299</v>
      </c>
      <c r="I5128" t="s">
        <v>19</v>
      </c>
      <c r="J5128" s="3">
        <f>55-14-38801267</f>
        <v>-38801226</v>
      </c>
      <c r="K5128" t="s">
        <v>783</v>
      </c>
      <c r="L5128" t="s">
        <v>12361</v>
      </c>
      <c r="M5128" t="s">
        <v>785</v>
      </c>
    </row>
    <row r="5129" spans="1:13" x14ac:dyDescent="0.25">
      <c r="A5129" t="s">
        <v>12829</v>
      </c>
      <c r="B5129" t="s">
        <v>13</v>
      </c>
      <c r="C5129" t="s">
        <v>12816</v>
      </c>
      <c r="D5129" t="s">
        <v>12830</v>
      </c>
      <c r="E5129" t="s">
        <v>12360</v>
      </c>
      <c r="F5129" t="s">
        <v>4639</v>
      </c>
      <c r="G5129" t="s">
        <v>781</v>
      </c>
      <c r="H5129" t="s">
        <v>299</v>
      </c>
      <c r="I5129" t="s">
        <v>19</v>
      </c>
      <c r="J5129" s="3">
        <f>55-14-38801267</f>
        <v>-38801226</v>
      </c>
      <c r="K5129" t="s">
        <v>783</v>
      </c>
      <c r="L5129" t="s">
        <v>12361</v>
      </c>
      <c r="M5129" t="s">
        <v>785</v>
      </c>
    </row>
    <row r="5130" spans="1:13" x14ac:dyDescent="0.25">
      <c r="A5130" t="s">
        <v>12791</v>
      </c>
      <c r="B5130" t="s">
        <v>101</v>
      </c>
      <c r="C5130" t="s">
        <v>12765</v>
      </c>
      <c r="D5130" t="s">
        <v>12792</v>
      </c>
      <c r="E5130" s="2" t="s">
        <v>31942</v>
      </c>
      <c r="F5130" t="s">
        <v>1349</v>
      </c>
      <c r="G5130" t="s">
        <v>12793</v>
      </c>
      <c r="H5130" t="s">
        <v>150</v>
      </c>
      <c r="I5130" t="s">
        <v>19</v>
      </c>
      <c r="J5130" s="3">
        <v>5511996460792</v>
      </c>
      <c r="K5130" t="s">
        <v>12794</v>
      </c>
      <c r="L5130" t="s">
        <v>8569</v>
      </c>
      <c r="M5130" t="s">
        <v>1349</v>
      </c>
    </row>
    <row r="5131" spans="1:13" x14ac:dyDescent="0.25">
      <c r="A5131" t="s">
        <v>8000</v>
      </c>
      <c r="B5131" t="s">
        <v>13</v>
      </c>
      <c r="C5131" t="s">
        <v>8001</v>
      </c>
      <c r="D5131" t="s">
        <v>32135</v>
      </c>
      <c r="E5131" t="s">
        <v>32656</v>
      </c>
      <c r="F5131" t="s">
        <v>1995</v>
      </c>
      <c r="G5131" t="s">
        <v>8002</v>
      </c>
      <c r="H5131" t="s">
        <v>8003</v>
      </c>
      <c r="I5131" t="s">
        <v>19</v>
      </c>
      <c r="J5131" s="3">
        <v>5551991224022</v>
      </c>
      <c r="K5131" t="s">
        <v>8004</v>
      </c>
      <c r="L5131" t="s">
        <v>32135</v>
      </c>
      <c r="M5131" t="s">
        <v>1349</v>
      </c>
    </row>
    <row r="5132" spans="1:13" x14ac:dyDescent="0.25">
      <c r="A5132" t="s">
        <v>12852</v>
      </c>
      <c r="B5132" t="s">
        <v>13</v>
      </c>
      <c r="C5132" t="s">
        <v>12842</v>
      </c>
      <c r="D5132" t="s">
        <v>12853</v>
      </c>
      <c r="E5132" t="s">
        <v>12854</v>
      </c>
      <c r="F5132" t="s">
        <v>1129</v>
      </c>
      <c r="G5132" t="s">
        <v>12855</v>
      </c>
      <c r="H5132" t="s">
        <v>36</v>
      </c>
      <c r="I5132" t="s">
        <v>19</v>
      </c>
      <c r="J5132" s="3" t="s">
        <v>12856</v>
      </c>
      <c r="K5132" t="s">
        <v>12857</v>
      </c>
      <c r="L5132" t="s">
        <v>1193</v>
      </c>
      <c r="M5132" t="s">
        <v>224</v>
      </c>
    </row>
    <row r="5133" spans="1:13" x14ac:dyDescent="0.25">
      <c r="A5133" t="s">
        <v>2300</v>
      </c>
      <c r="B5133" t="s">
        <v>13</v>
      </c>
      <c r="C5133" t="s">
        <v>2301</v>
      </c>
      <c r="D5133" t="s">
        <v>2302</v>
      </c>
      <c r="E5133" s="2" t="s">
        <v>32022</v>
      </c>
      <c r="F5133" t="s">
        <v>1995</v>
      </c>
      <c r="G5133" t="s">
        <v>2304</v>
      </c>
      <c r="H5133" t="s">
        <v>2305</v>
      </c>
      <c r="I5133" t="s">
        <v>19</v>
      </c>
      <c r="J5133" s="3" t="s">
        <v>2306</v>
      </c>
      <c r="K5133" t="s">
        <v>2307</v>
      </c>
      <c r="L5133" t="s">
        <v>2308</v>
      </c>
      <c r="M5133" t="s">
        <v>785</v>
      </c>
    </row>
    <row r="5134" spans="1:13" x14ac:dyDescent="0.25">
      <c r="A5134" t="s">
        <v>11682</v>
      </c>
      <c r="B5134" t="s">
        <v>101</v>
      </c>
      <c r="C5134" t="s">
        <v>2310</v>
      </c>
      <c r="D5134" t="s">
        <v>11683</v>
      </c>
      <c r="E5134" t="s">
        <v>1884</v>
      </c>
      <c r="F5134" t="s">
        <v>1190</v>
      </c>
      <c r="G5134" t="s">
        <v>11684</v>
      </c>
      <c r="H5134" t="s">
        <v>11685</v>
      </c>
      <c r="I5134" t="s">
        <v>19</v>
      </c>
      <c r="J5134" s="3">
        <f>55-85-996241243</f>
        <v>-996241273</v>
      </c>
      <c r="K5134" t="s">
        <v>11686</v>
      </c>
      <c r="L5134" t="s">
        <v>1909</v>
      </c>
      <c r="M5134" t="s">
        <v>432</v>
      </c>
    </row>
    <row r="5135" spans="1:13" x14ac:dyDescent="0.25">
      <c r="A5135" t="s">
        <v>9817</v>
      </c>
      <c r="B5135" t="s">
        <v>101</v>
      </c>
      <c r="C5135" s="1">
        <v>44113</v>
      </c>
      <c r="D5135" t="s">
        <v>9818</v>
      </c>
      <c r="E5135" t="s">
        <v>1884</v>
      </c>
      <c r="F5135" t="s">
        <v>1190</v>
      </c>
      <c r="G5135" t="s">
        <v>9819</v>
      </c>
      <c r="H5135" t="s">
        <v>45</v>
      </c>
      <c r="I5135" t="s">
        <v>19</v>
      </c>
      <c r="J5135" s="3" t="s">
        <v>9820</v>
      </c>
      <c r="K5135" t="s">
        <v>9821</v>
      </c>
      <c r="L5135" t="s">
        <v>1909</v>
      </c>
      <c r="M5135" t="s">
        <v>432</v>
      </c>
    </row>
    <row r="5136" spans="1:13" x14ac:dyDescent="0.25">
      <c r="A5136" t="s">
        <v>17421</v>
      </c>
      <c r="B5136" t="s">
        <v>13</v>
      </c>
      <c r="C5136" s="1">
        <v>43561</v>
      </c>
      <c r="D5136" t="s">
        <v>17422</v>
      </c>
      <c r="E5136" t="s">
        <v>17359</v>
      </c>
      <c r="F5136" t="s">
        <v>432</v>
      </c>
      <c r="G5136" t="s">
        <v>17423</v>
      </c>
      <c r="H5136" t="s">
        <v>36</v>
      </c>
      <c r="I5136" t="s">
        <v>19</v>
      </c>
      <c r="J5136" s="3">
        <f>55-11-985368718</f>
        <v>-985368674</v>
      </c>
      <c r="K5136" t="s">
        <v>17424</v>
      </c>
      <c r="L5136" t="s">
        <v>223</v>
      </c>
      <c r="M5136" t="s">
        <v>432</v>
      </c>
    </row>
    <row r="5137" spans="1:13" x14ac:dyDescent="0.25">
      <c r="A5137" t="s">
        <v>17357</v>
      </c>
      <c r="B5137" t="s">
        <v>13</v>
      </c>
      <c r="C5137" s="1">
        <v>43561</v>
      </c>
      <c r="D5137" t="s">
        <v>17358</v>
      </c>
      <c r="E5137" t="s">
        <v>17359</v>
      </c>
      <c r="F5137" t="s">
        <v>1464</v>
      </c>
      <c r="G5137" t="s">
        <v>17360</v>
      </c>
      <c r="H5137" t="s">
        <v>472</v>
      </c>
      <c r="I5137" t="s">
        <v>19</v>
      </c>
      <c r="J5137" s="3" t="s">
        <v>17361</v>
      </c>
      <c r="K5137" t="s">
        <v>17362</v>
      </c>
      <c r="L5137" t="s">
        <v>1193</v>
      </c>
      <c r="M5137" t="s">
        <v>432</v>
      </c>
    </row>
    <row r="5138" spans="1:13" x14ac:dyDescent="0.25">
      <c r="A5138" t="s">
        <v>10862</v>
      </c>
      <c r="B5138" t="s">
        <v>13</v>
      </c>
      <c r="C5138" t="s">
        <v>10863</v>
      </c>
      <c r="D5138" t="s">
        <v>10864</v>
      </c>
      <c r="E5138" s="2" t="s">
        <v>31006</v>
      </c>
      <c r="F5138" t="s">
        <v>2036</v>
      </c>
      <c r="G5138" t="s">
        <v>10865</v>
      </c>
      <c r="H5138" t="s">
        <v>36</v>
      </c>
      <c r="I5138" t="s">
        <v>19</v>
      </c>
      <c r="J5138" s="3">
        <v>55764844</v>
      </c>
      <c r="K5138" t="s">
        <v>10866</v>
      </c>
      <c r="L5138" t="s">
        <v>439</v>
      </c>
      <c r="M5138" t="s">
        <v>57</v>
      </c>
    </row>
    <row r="5139" spans="1:13" x14ac:dyDescent="0.25">
      <c r="A5139" t="s">
        <v>5678</v>
      </c>
      <c r="B5139" t="s">
        <v>13</v>
      </c>
      <c r="C5139" s="1">
        <v>44541</v>
      </c>
      <c r="D5139" t="s">
        <v>32135</v>
      </c>
      <c r="E5139" t="s">
        <v>5679</v>
      </c>
      <c r="F5139" t="s">
        <v>2832</v>
      </c>
      <c r="G5139" t="s">
        <v>5680</v>
      </c>
      <c r="H5139" t="s">
        <v>5681</v>
      </c>
      <c r="I5139" t="s">
        <v>19</v>
      </c>
      <c r="J5139" s="3">
        <f>55-51-981166838</f>
        <v>-981166834</v>
      </c>
      <c r="K5139" t="s">
        <v>5682</v>
      </c>
      <c r="L5139" t="s">
        <v>32135</v>
      </c>
      <c r="M5139" t="s">
        <v>432</v>
      </c>
    </row>
    <row r="5140" spans="1:13" x14ac:dyDescent="0.25">
      <c r="A5140" t="s">
        <v>12615</v>
      </c>
      <c r="B5140" t="s">
        <v>13</v>
      </c>
      <c r="C5140" t="s">
        <v>11616</v>
      </c>
      <c r="D5140" t="s">
        <v>12616</v>
      </c>
      <c r="E5140" s="2" t="s">
        <v>31990</v>
      </c>
      <c r="F5140" t="s">
        <v>1464</v>
      </c>
      <c r="G5140" t="s">
        <v>10413</v>
      </c>
      <c r="H5140" t="s">
        <v>18</v>
      </c>
      <c r="I5140" t="s">
        <v>19</v>
      </c>
      <c r="J5140" s="3">
        <v>5519991903625</v>
      </c>
      <c r="K5140" t="s">
        <v>10414</v>
      </c>
      <c r="L5140" t="s">
        <v>10415</v>
      </c>
      <c r="M5140" t="s">
        <v>432</v>
      </c>
    </row>
    <row r="5141" spans="1:13" x14ac:dyDescent="0.25">
      <c r="A5141" t="s">
        <v>18429</v>
      </c>
      <c r="B5141" t="s">
        <v>13</v>
      </c>
      <c r="C5141" t="s">
        <v>8487</v>
      </c>
      <c r="D5141" t="s">
        <v>18430</v>
      </c>
      <c r="E5141" t="s">
        <v>18431</v>
      </c>
      <c r="F5141" t="s">
        <v>9929</v>
      </c>
      <c r="G5141" t="s">
        <v>18432</v>
      </c>
      <c r="H5141" t="s">
        <v>36</v>
      </c>
      <c r="I5141" t="s">
        <v>19</v>
      </c>
      <c r="J5141" s="3" t="s">
        <v>18433</v>
      </c>
      <c r="K5141" t="s">
        <v>18434</v>
      </c>
      <c r="L5141" t="s">
        <v>439</v>
      </c>
      <c r="M5141" t="s">
        <v>432</v>
      </c>
    </row>
    <row r="5142" spans="1:13" x14ac:dyDescent="0.25">
      <c r="A5142" t="s">
        <v>8106</v>
      </c>
      <c r="B5142" t="s">
        <v>13</v>
      </c>
      <c r="C5142" s="1">
        <v>44502</v>
      </c>
      <c r="D5142" t="s">
        <v>8107</v>
      </c>
      <c r="E5142" s="2" t="s">
        <v>30947</v>
      </c>
      <c r="F5142" t="s">
        <v>61</v>
      </c>
      <c r="G5142" t="s">
        <v>8108</v>
      </c>
      <c r="H5142" t="s">
        <v>927</v>
      </c>
      <c r="I5142" t="s">
        <v>19</v>
      </c>
      <c r="J5142" s="3" t="s">
        <v>8109</v>
      </c>
      <c r="K5142" t="s">
        <v>8110</v>
      </c>
      <c r="L5142" t="s">
        <v>32135</v>
      </c>
      <c r="M5142" t="s">
        <v>432</v>
      </c>
    </row>
    <row r="5143" spans="1:13" x14ac:dyDescent="0.25">
      <c r="A5143" t="s">
        <v>9458</v>
      </c>
      <c r="B5143" t="s">
        <v>13</v>
      </c>
      <c r="C5143" t="s">
        <v>9445</v>
      </c>
      <c r="D5143" t="s">
        <v>9459</v>
      </c>
      <c r="E5143" t="s">
        <v>9460</v>
      </c>
      <c r="F5143" t="s">
        <v>432</v>
      </c>
      <c r="G5143" t="s">
        <v>9461</v>
      </c>
      <c r="H5143" t="s">
        <v>615</v>
      </c>
      <c r="I5143" t="s">
        <v>19</v>
      </c>
      <c r="J5143" s="3">
        <v>5534984215878</v>
      </c>
      <c r="K5143" t="s">
        <v>9462</v>
      </c>
      <c r="L5143" t="s">
        <v>9463</v>
      </c>
      <c r="M5143" t="s">
        <v>432</v>
      </c>
    </row>
    <row r="5144" spans="1:13" x14ac:dyDescent="0.25">
      <c r="A5144" t="s">
        <v>15468</v>
      </c>
      <c r="B5144" t="s">
        <v>13</v>
      </c>
      <c r="C5144" t="s">
        <v>10689</v>
      </c>
      <c r="D5144" t="s">
        <v>15469</v>
      </c>
      <c r="E5144" t="s">
        <v>11164</v>
      </c>
      <c r="F5144" t="s">
        <v>4338</v>
      </c>
      <c r="G5144" t="s">
        <v>15470</v>
      </c>
      <c r="H5144" t="s">
        <v>983</v>
      </c>
      <c r="I5144" t="s">
        <v>19</v>
      </c>
      <c r="J5144" s="3" t="s">
        <v>15471</v>
      </c>
      <c r="K5144" t="s">
        <v>15472</v>
      </c>
      <c r="L5144" t="s">
        <v>4211</v>
      </c>
      <c r="M5144" t="s">
        <v>1432</v>
      </c>
    </row>
    <row r="5145" spans="1:13" x14ac:dyDescent="0.25">
      <c r="A5145" t="s">
        <v>13185</v>
      </c>
      <c r="B5145" t="s">
        <v>13</v>
      </c>
      <c r="C5145" s="1">
        <v>43954</v>
      </c>
      <c r="D5145" t="s">
        <v>13186</v>
      </c>
      <c r="E5145" s="2" t="s">
        <v>31065</v>
      </c>
      <c r="F5145" t="s">
        <v>1464</v>
      </c>
      <c r="G5145" t="s">
        <v>13187</v>
      </c>
      <c r="H5145" t="s">
        <v>983</v>
      </c>
      <c r="I5145" t="s">
        <v>19</v>
      </c>
      <c r="J5145" s="3" t="s">
        <v>13188</v>
      </c>
      <c r="K5145" t="s">
        <v>13189</v>
      </c>
      <c r="L5145" t="s">
        <v>13190</v>
      </c>
      <c r="M5145" t="s">
        <v>1775</v>
      </c>
    </row>
    <row r="5146" spans="1:13" x14ac:dyDescent="0.25">
      <c r="A5146" t="s">
        <v>21130</v>
      </c>
      <c r="B5146" t="s">
        <v>13</v>
      </c>
      <c r="C5146" s="1">
        <v>43226</v>
      </c>
      <c r="D5146" t="s">
        <v>21131</v>
      </c>
      <c r="E5146" s="2" t="s">
        <v>31277</v>
      </c>
      <c r="F5146" t="s">
        <v>6130</v>
      </c>
      <c r="G5146" t="s">
        <v>21132</v>
      </c>
      <c r="H5146" t="s">
        <v>36</v>
      </c>
      <c r="I5146" t="s">
        <v>19</v>
      </c>
      <c r="J5146" s="3">
        <f>55-11-55764427-1618</f>
        <v>-55766001</v>
      </c>
      <c r="K5146" t="s">
        <v>21133</v>
      </c>
      <c r="L5146" t="s">
        <v>21134</v>
      </c>
      <c r="M5146" t="s">
        <v>32144</v>
      </c>
    </row>
    <row r="5147" spans="1:13" x14ac:dyDescent="0.25">
      <c r="A5147" t="s">
        <v>27661</v>
      </c>
      <c r="B5147" t="s">
        <v>13</v>
      </c>
      <c r="C5147" s="1">
        <v>42193</v>
      </c>
      <c r="D5147" t="s">
        <v>27662</v>
      </c>
      <c r="E5147" t="s">
        <v>27663</v>
      </c>
      <c r="F5147" t="s">
        <v>129</v>
      </c>
      <c r="G5147" t="s">
        <v>27664</v>
      </c>
      <c r="H5147" t="s">
        <v>195</v>
      </c>
      <c r="I5147" t="s">
        <v>19</v>
      </c>
      <c r="J5147" s="3" t="s">
        <v>27665</v>
      </c>
      <c r="K5147" t="s">
        <v>27666</v>
      </c>
      <c r="L5147" t="s">
        <v>27667</v>
      </c>
      <c r="M5147" t="s">
        <v>129</v>
      </c>
    </row>
    <row r="5148" spans="1:13" x14ac:dyDescent="0.25">
      <c r="A5148" t="s">
        <v>11252</v>
      </c>
      <c r="B5148" t="s">
        <v>13</v>
      </c>
      <c r="C5148" t="s">
        <v>11253</v>
      </c>
      <c r="D5148" t="s">
        <v>11254</v>
      </c>
      <c r="E5148" t="s">
        <v>11255</v>
      </c>
      <c r="F5148" t="s">
        <v>1464</v>
      </c>
      <c r="G5148" t="s">
        <v>11256</v>
      </c>
      <c r="H5148" t="s">
        <v>1206</v>
      </c>
      <c r="I5148" t="s">
        <v>19</v>
      </c>
      <c r="J5148" s="3">
        <f>55-83-987061522</f>
        <v>-987061550</v>
      </c>
      <c r="K5148" t="s">
        <v>11257</v>
      </c>
      <c r="L5148" t="s">
        <v>2101</v>
      </c>
      <c r="M5148" t="s">
        <v>32144</v>
      </c>
    </row>
    <row r="5149" spans="1:13" x14ac:dyDescent="0.25">
      <c r="A5149" t="s">
        <v>8827</v>
      </c>
      <c r="B5149" t="s">
        <v>13</v>
      </c>
      <c r="C5149" t="s">
        <v>8802</v>
      </c>
      <c r="D5149" t="s">
        <v>8828</v>
      </c>
      <c r="E5149" t="s">
        <v>8829</v>
      </c>
      <c r="F5149" t="s">
        <v>8830</v>
      </c>
      <c r="G5149" t="s">
        <v>8831</v>
      </c>
      <c r="H5149" t="s">
        <v>36</v>
      </c>
      <c r="I5149" t="s">
        <v>19</v>
      </c>
      <c r="J5149" s="3">
        <v>1130913116</v>
      </c>
      <c r="K5149" t="s">
        <v>8832</v>
      </c>
      <c r="L5149" t="s">
        <v>321</v>
      </c>
      <c r="M5149" t="s">
        <v>792</v>
      </c>
    </row>
    <row r="5150" spans="1:13" x14ac:dyDescent="0.25">
      <c r="A5150" t="s">
        <v>20940</v>
      </c>
      <c r="B5150" t="s">
        <v>101</v>
      </c>
      <c r="C5150" t="s">
        <v>20941</v>
      </c>
      <c r="D5150" t="s">
        <v>20942</v>
      </c>
      <c r="E5150" t="s">
        <v>32657</v>
      </c>
      <c r="F5150" t="s">
        <v>129</v>
      </c>
      <c r="G5150" t="s">
        <v>20943</v>
      </c>
      <c r="H5150" t="s">
        <v>489</v>
      </c>
      <c r="I5150" t="s">
        <v>19</v>
      </c>
      <c r="J5150" s="3" t="s">
        <v>20944</v>
      </c>
      <c r="K5150" t="s">
        <v>20945</v>
      </c>
      <c r="L5150" t="s">
        <v>20946</v>
      </c>
      <c r="M5150" t="s">
        <v>129</v>
      </c>
    </row>
    <row r="5151" spans="1:13" x14ac:dyDescent="0.25">
      <c r="A5151" t="s">
        <v>23679</v>
      </c>
      <c r="B5151" t="s">
        <v>13</v>
      </c>
      <c r="C5151" s="1">
        <v>42716</v>
      </c>
      <c r="D5151" t="s">
        <v>23680</v>
      </c>
      <c r="E5151" t="s">
        <v>32658</v>
      </c>
      <c r="F5151" t="s">
        <v>1464</v>
      </c>
      <c r="G5151" t="s">
        <v>23681</v>
      </c>
      <c r="H5151" t="s">
        <v>23682</v>
      </c>
      <c r="I5151" t="s">
        <v>19</v>
      </c>
      <c r="J5151" s="3" t="s">
        <v>23683</v>
      </c>
      <c r="K5151" t="s">
        <v>23684</v>
      </c>
      <c r="L5151" t="s">
        <v>23685</v>
      </c>
      <c r="M5151" t="s">
        <v>432</v>
      </c>
    </row>
    <row r="5152" spans="1:13" x14ac:dyDescent="0.25">
      <c r="A5152" t="s">
        <v>3752</v>
      </c>
      <c r="B5152" t="s">
        <v>13</v>
      </c>
      <c r="C5152" t="s">
        <v>3747</v>
      </c>
      <c r="D5152" t="s">
        <v>32135</v>
      </c>
      <c r="E5152" t="s">
        <v>32659</v>
      </c>
      <c r="F5152" t="s">
        <v>1342</v>
      </c>
      <c r="G5152" t="s">
        <v>3753</v>
      </c>
      <c r="H5152" t="s">
        <v>706</v>
      </c>
      <c r="I5152" t="s">
        <v>19</v>
      </c>
      <c r="J5152" s="3" t="s">
        <v>3754</v>
      </c>
      <c r="K5152" t="s">
        <v>3755</v>
      </c>
      <c r="L5152" t="s">
        <v>3756</v>
      </c>
      <c r="M5152" t="s">
        <v>129</v>
      </c>
    </row>
    <row r="5153" spans="1:13" x14ac:dyDescent="0.25">
      <c r="A5153" t="s">
        <v>12547</v>
      </c>
      <c r="B5153" t="s">
        <v>13</v>
      </c>
      <c r="C5153" t="s">
        <v>12548</v>
      </c>
      <c r="D5153" t="s">
        <v>12549</v>
      </c>
      <c r="E5153" s="2" t="s">
        <v>31044</v>
      </c>
      <c r="F5153" t="s">
        <v>332</v>
      </c>
      <c r="G5153" t="s">
        <v>12550</v>
      </c>
      <c r="H5153" t="s">
        <v>1781</v>
      </c>
      <c r="I5153" t="s">
        <v>19</v>
      </c>
      <c r="J5153" s="3">
        <v>5541999410890</v>
      </c>
      <c r="K5153" t="s">
        <v>12551</v>
      </c>
      <c r="L5153" t="s">
        <v>12552</v>
      </c>
      <c r="M5153" t="s">
        <v>337</v>
      </c>
    </row>
    <row r="5154" spans="1:13" x14ac:dyDescent="0.25">
      <c r="A5154" t="s">
        <v>19117</v>
      </c>
      <c r="B5154" t="s">
        <v>101</v>
      </c>
      <c r="C5154" s="1">
        <v>43262</v>
      </c>
      <c r="D5154" t="s">
        <v>19118</v>
      </c>
      <c r="E5154" t="s">
        <v>32660</v>
      </c>
      <c r="F5154" t="s">
        <v>1464</v>
      </c>
      <c r="G5154" t="s">
        <v>19119</v>
      </c>
      <c r="H5154" t="s">
        <v>1090</v>
      </c>
      <c r="I5154" t="s">
        <v>19</v>
      </c>
      <c r="J5154" s="3" t="s">
        <v>19120</v>
      </c>
      <c r="K5154" t="s">
        <v>2694</v>
      </c>
      <c r="L5154" t="s">
        <v>1092</v>
      </c>
      <c r="M5154" t="s">
        <v>1775</v>
      </c>
    </row>
    <row r="5155" spans="1:13" x14ac:dyDescent="0.25">
      <c r="A5155" t="s">
        <v>19322</v>
      </c>
      <c r="B5155" t="s">
        <v>13</v>
      </c>
      <c r="C5155" s="1">
        <v>43353</v>
      </c>
      <c r="D5155" t="s">
        <v>19323</v>
      </c>
      <c r="E5155" s="2" t="s">
        <v>31538</v>
      </c>
      <c r="F5155" t="s">
        <v>2947</v>
      </c>
      <c r="G5155" t="s">
        <v>19324</v>
      </c>
      <c r="H5155" t="s">
        <v>5616</v>
      </c>
      <c r="I5155" t="s">
        <v>19</v>
      </c>
      <c r="J5155" s="3">
        <f>55-83-32167791</f>
        <v>-32167819</v>
      </c>
      <c r="K5155" t="s">
        <v>2694</v>
      </c>
      <c r="L5155" t="s">
        <v>1092</v>
      </c>
      <c r="M5155" t="s">
        <v>771</v>
      </c>
    </row>
    <row r="5156" spans="1:13" x14ac:dyDescent="0.25">
      <c r="A5156" t="s">
        <v>19470</v>
      </c>
      <c r="B5156" t="s">
        <v>13</v>
      </c>
      <c r="C5156" t="s">
        <v>19453</v>
      </c>
      <c r="D5156" t="s">
        <v>19471</v>
      </c>
      <c r="E5156" t="s">
        <v>19472</v>
      </c>
      <c r="F5156" t="s">
        <v>1464</v>
      </c>
      <c r="G5156" t="s">
        <v>19473</v>
      </c>
      <c r="H5156" t="s">
        <v>721</v>
      </c>
      <c r="I5156" t="s">
        <v>19</v>
      </c>
      <c r="J5156" s="3" t="s">
        <v>19474</v>
      </c>
      <c r="K5156" t="s">
        <v>19475</v>
      </c>
      <c r="L5156" t="s">
        <v>19476</v>
      </c>
      <c r="M5156" t="s">
        <v>1775</v>
      </c>
    </row>
    <row r="5157" spans="1:13" x14ac:dyDescent="0.25">
      <c r="A5157" t="s">
        <v>13970</v>
      </c>
      <c r="B5157" t="s">
        <v>13</v>
      </c>
      <c r="C5157" s="1">
        <v>43446</v>
      </c>
      <c r="D5157" t="s">
        <v>13971</v>
      </c>
      <c r="E5157" s="2" t="s">
        <v>31716</v>
      </c>
      <c r="F5157" t="s">
        <v>1129</v>
      </c>
      <c r="G5157" t="s">
        <v>5701</v>
      </c>
      <c r="H5157" t="s">
        <v>7888</v>
      </c>
      <c r="I5157" t="s">
        <v>19</v>
      </c>
      <c r="J5157" s="3">
        <v>5501732015905</v>
      </c>
      <c r="K5157" t="s">
        <v>7890</v>
      </c>
      <c r="L5157" t="s">
        <v>4683</v>
      </c>
      <c r="M5157" t="s">
        <v>224</v>
      </c>
    </row>
    <row r="5158" spans="1:13" x14ac:dyDescent="0.25">
      <c r="A5158" t="s">
        <v>21048</v>
      </c>
      <c r="B5158" t="s">
        <v>101</v>
      </c>
      <c r="C5158" t="s">
        <v>21028</v>
      </c>
      <c r="D5158" t="s">
        <v>21049</v>
      </c>
      <c r="E5158" s="2" t="s">
        <v>31273</v>
      </c>
      <c r="F5158" t="s">
        <v>6130</v>
      </c>
      <c r="G5158" t="s">
        <v>13187</v>
      </c>
      <c r="H5158" t="s">
        <v>983</v>
      </c>
      <c r="I5158" t="s">
        <v>19</v>
      </c>
      <c r="J5158" s="3">
        <f>55-11-983463483</f>
        <v>-983463439</v>
      </c>
      <c r="K5158" t="s">
        <v>13402</v>
      </c>
      <c r="L5158" t="s">
        <v>13403</v>
      </c>
      <c r="M5158" t="s">
        <v>32144</v>
      </c>
    </row>
    <row r="5159" spans="1:13" x14ac:dyDescent="0.25">
      <c r="A5159" t="s">
        <v>26279</v>
      </c>
      <c r="B5159" t="s">
        <v>13</v>
      </c>
      <c r="C5159" s="1">
        <v>42259</v>
      </c>
      <c r="D5159" t="s">
        <v>26280</v>
      </c>
      <c r="E5159" t="s">
        <v>26281</v>
      </c>
      <c r="F5159" t="s">
        <v>1464</v>
      </c>
      <c r="G5159" t="s">
        <v>26282</v>
      </c>
      <c r="H5159" t="s">
        <v>18</v>
      </c>
      <c r="I5159" t="s">
        <v>19</v>
      </c>
      <c r="J5159" s="3" t="s">
        <v>26283</v>
      </c>
      <c r="K5159" t="s">
        <v>26284</v>
      </c>
      <c r="L5159" t="s">
        <v>285</v>
      </c>
      <c r="M5159" t="s">
        <v>32145</v>
      </c>
    </row>
    <row r="5160" spans="1:13" x14ac:dyDescent="0.25">
      <c r="A5160" t="s">
        <v>27308</v>
      </c>
      <c r="B5160" t="s">
        <v>101</v>
      </c>
      <c r="C5160" t="s">
        <v>27294</v>
      </c>
      <c r="D5160" t="s">
        <v>27309</v>
      </c>
      <c r="E5160" t="s">
        <v>27310</v>
      </c>
      <c r="F5160" t="s">
        <v>57</v>
      </c>
      <c r="G5160" t="s">
        <v>27311</v>
      </c>
      <c r="H5160" t="s">
        <v>265</v>
      </c>
      <c r="I5160" t="s">
        <v>19</v>
      </c>
      <c r="J5160" s="3" t="s">
        <v>27312</v>
      </c>
      <c r="K5160" t="s">
        <v>27313</v>
      </c>
      <c r="L5160" t="s">
        <v>2943</v>
      </c>
      <c r="M5160" t="s">
        <v>57</v>
      </c>
    </row>
    <row r="5161" spans="1:13" x14ac:dyDescent="0.25">
      <c r="A5161" t="s">
        <v>16852</v>
      </c>
      <c r="B5161" t="s">
        <v>13</v>
      </c>
      <c r="C5161" s="1">
        <v>43350</v>
      </c>
      <c r="D5161" t="s">
        <v>16853</v>
      </c>
      <c r="E5161" t="s">
        <v>32661</v>
      </c>
      <c r="F5161" t="s">
        <v>6656</v>
      </c>
      <c r="G5161" t="s">
        <v>6836</v>
      </c>
      <c r="H5161" t="s">
        <v>706</v>
      </c>
      <c r="I5161" t="s">
        <v>19</v>
      </c>
      <c r="J5161" s="3">
        <v>5531985177473</v>
      </c>
      <c r="K5161" t="s">
        <v>6837</v>
      </c>
      <c r="L5161" t="s">
        <v>1944</v>
      </c>
      <c r="M5161" t="s">
        <v>6656</v>
      </c>
    </row>
    <row r="5162" spans="1:13" x14ac:dyDescent="0.25">
      <c r="A5162" t="s">
        <v>3943</v>
      </c>
      <c r="B5162" t="s">
        <v>101</v>
      </c>
      <c r="C5162" t="s">
        <v>559</v>
      </c>
      <c r="D5162" t="s">
        <v>3944</v>
      </c>
      <c r="E5162" s="2" t="s">
        <v>32021</v>
      </c>
      <c r="F5162" t="s">
        <v>3578</v>
      </c>
      <c r="G5162" t="s">
        <v>3945</v>
      </c>
      <c r="H5162" t="s">
        <v>179</v>
      </c>
      <c r="I5162" t="s">
        <v>19</v>
      </c>
      <c r="J5162" s="3" t="s">
        <v>3946</v>
      </c>
      <c r="K5162" t="s">
        <v>3947</v>
      </c>
      <c r="L5162" t="s">
        <v>108</v>
      </c>
      <c r="M5162" t="s">
        <v>337</v>
      </c>
    </row>
    <row r="5163" spans="1:13" x14ac:dyDescent="0.25">
      <c r="A5163" t="s">
        <v>24514</v>
      </c>
      <c r="B5163" t="s">
        <v>13</v>
      </c>
      <c r="C5163" s="1">
        <v>42684</v>
      </c>
      <c r="D5163" t="s">
        <v>24515</v>
      </c>
      <c r="E5163" t="s">
        <v>4855</v>
      </c>
      <c r="F5163" t="s">
        <v>6072</v>
      </c>
      <c r="G5163" t="s">
        <v>24516</v>
      </c>
      <c r="H5163" t="s">
        <v>936</v>
      </c>
      <c r="I5163" t="s">
        <v>19</v>
      </c>
      <c r="J5163" s="3" t="s">
        <v>24517</v>
      </c>
      <c r="K5163" t="s">
        <v>24518</v>
      </c>
      <c r="L5163" t="s">
        <v>24519</v>
      </c>
      <c r="M5163" t="s">
        <v>32149</v>
      </c>
    </row>
    <row r="5164" spans="1:13" x14ac:dyDescent="0.25">
      <c r="A5164" t="s">
        <v>10857</v>
      </c>
      <c r="B5164" t="s">
        <v>13</v>
      </c>
      <c r="C5164" t="s">
        <v>7057</v>
      </c>
      <c r="D5164" t="s">
        <v>10858</v>
      </c>
      <c r="E5164" t="s">
        <v>4855</v>
      </c>
      <c r="F5164" t="s">
        <v>1775</v>
      </c>
      <c r="G5164" t="s">
        <v>10859</v>
      </c>
      <c r="H5164" t="s">
        <v>36</v>
      </c>
      <c r="I5164" t="s">
        <v>19</v>
      </c>
      <c r="J5164" s="3">
        <f>55-11-20700098</f>
        <v>-20700054</v>
      </c>
      <c r="K5164" t="s">
        <v>10860</v>
      </c>
      <c r="L5164" t="s">
        <v>10861</v>
      </c>
      <c r="M5164" t="s">
        <v>32144</v>
      </c>
    </row>
    <row r="5165" spans="1:13" x14ac:dyDescent="0.25">
      <c r="A5165" t="s">
        <v>16931</v>
      </c>
      <c r="B5165" t="s">
        <v>13</v>
      </c>
      <c r="C5165" t="s">
        <v>16919</v>
      </c>
      <c r="D5165" t="s">
        <v>16932</v>
      </c>
      <c r="E5165" t="s">
        <v>4855</v>
      </c>
      <c r="F5165" t="s">
        <v>3084</v>
      </c>
      <c r="G5165" t="s">
        <v>16933</v>
      </c>
      <c r="H5165" t="s">
        <v>1215</v>
      </c>
      <c r="I5165" t="s">
        <v>19</v>
      </c>
      <c r="J5165" s="3" t="s">
        <v>16934</v>
      </c>
      <c r="K5165" t="s">
        <v>8095</v>
      </c>
      <c r="L5165" t="s">
        <v>16935</v>
      </c>
      <c r="M5165" t="s">
        <v>32144</v>
      </c>
    </row>
    <row r="5166" spans="1:13" x14ac:dyDescent="0.25">
      <c r="A5166" t="s">
        <v>28117</v>
      </c>
      <c r="B5166" t="s">
        <v>13</v>
      </c>
      <c r="C5166" s="1">
        <v>42010</v>
      </c>
      <c r="D5166" t="s">
        <v>28118</v>
      </c>
      <c r="E5166" t="s">
        <v>12873</v>
      </c>
      <c r="F5166" t="s">
        <v>1464</v>
      </c>
      <c r="G5166" t="s">
        <v>28119</v>
      </c>
      <c r="H5166" t="s">
        <v>28</v>
      </c>
      <c r="I5166" t="s">
        <v>19</v>
      </c>
      <c r="J5166" s="3" t="s">
        <v>28120</v>
      </c>
      <c r="K5166" t="s">
        <v>28121</v>
      </c>
      <c r="L5166" t="s">
        <v>923</v>
      </c>
      <c r="M5166" t="s">
        <v>32144</v>
      </c>
    </row>
    <row r="5167" spans="1:13" x14ac:dyDescent="0.25">
      <c r="A5167" t="s">
        <v>29251</v>
      </c>
      <c r="B5167" t="s">
        <v>13</v>
      </c>
      <c r="C5167" t="s">
        <v>29252</v>
      </c>
      <c r="D5167" t="s">
        <v>29253</v>
      </c>
      <c r="E5167" t="s">
        <v>4855</v>
      </c>
      <c r="F5167" t="s">
        <v>29254</v>
      </c>
      <c r="G5167" t="s">
        <v>8121</v>
      </c>
      <c r="H5167" t="s">
        <v>1215</v>
      </c>
      <c r="I5167" t="s">
        <v>19</v>
      </c>
      <c r="J5167" s="3" t="s">
        <v>29255</v>
      </c>
      <c r="K5167" t="s">
        <v>14838</v>
      </c>
      <c r="L5167" t="s">
        <v>29256</v>
      </c>
      <c r="M5167" t="s">
        <v>32144</v>
      </c>
    </row>
    <row r="5168" spans="1:13" x14ac:dyDescent="0.25">
      <c r="A5168" t="s">
        <v>8093</v>
      </c>
      <c r="B5168" t="s">
        <v>13</v>
      </c>
      <c r="C5168" t="s">
        <v>8090</v>
      </c>
      <c r="D5168" t="s">
        <v>32135</v>
      </c>
      <c r="E5168" t="s">
        <v>4855</v>
      </c>
      <c r="F5168" t="s">
        <v>1763</v>
      </c>
      <c r="G5168" t="s">
        <v>8094</v>
      </c>
      <c r="H5168" t="s">
        <v>1215</v>
      </c>
      <c r="I5168" t="s">
        <v>19</v>
      </c>
      <c r="J5168" s="3">
        <f>55-18-3228-1086</f>
        <v>-4277</v>
      </c>
      <c r="K5168" t="s">
        <v>8095</v>
      </c>
      <c r="L5168" t="s">
        <v>32135</v>
      </c>
      <c r="M5168" t="s">
        <v>32144</v>
      </c>
    </row>
    <row r="5169" spans="1:13" x14ac:dyDescent="0.25">
      <c r="A5169" t="s">
        <v>21587</v>
      </c>
      <c r="B5169" t="s">
        <v>13</v>
      </c>
      <c r="C5169" s="1">
        <v>43348</v>
      </c>
      <c r="D5169" t="s">
        <v>21588</v>
      </c>
      <c r="E5169" s="2" t="s">
        <v>31292</v>
      </c>
      <c r="F5169" t="s">
        <v>3084</v>
      </c>
      <c r="G5169" t="s">
        <v>21589</v>
      </c>
      <c r="H5169" t="s">
        <v>352</v>
      </c>
      <c r="I5169" t="s">
        <v>19</v>
      </c>
      <c r="J5169" s="3">
        <f>55-21-997332776</f>
        <v>-997332742</v>
      </c>
      <c r="K5169" t="s">
        <v>21590</v>
      </c>
      <c r="L5169" t="s">
        <v>21591</v>
      </c>
      <c r="M5169" t="s">
        <v>32144</v>
      </c>
    </row>
    <row r="5170" spans="1:13" x14ac:dyDescent="0.25">
      <c r="A5170" t="s">
        <v>16365</v>
      </c>
      <c r="B5170" t="s">
        <v>13</v>
      </c>
      <c r="C5170" t="s">
        <v>11751</v>
      </c>
      <c r="D5170" t="s">
        <v>16366</v>
      </c>
      <c r="E5170" t="s">
        <v>16367</v>
      </c>
      <c r="F5170" t="s">
        <v>1775</v>
      </c>
      <c r="G5170" t="s">
        <v>307</v>
      </c>
      <c r="H5170" t="s">
        <v>308</v>
      </c>
      <c r="I5170" t="s">
        <v>309</v>
      </c>
      <c r="J5170" s="3" t="s">
        <v>310</v>
      </c>
      <c r="K5170" t="s">
        <v>311</v>
      </c>
      <c r="L5170" t="s">
        <v>312</v>
      </c>
      <c r="M5170" t="s">
        <v>1775</v>
      </c>
    </row>
    <row r="5171" spans="1:13" x14ac:dyDescent="0.25">
      <c r="A5171" t="s">
        <v>21660</v>
      </c>
      <c r="B5171" t="s">
        <v>13</v>
      </c>
      <c r="C5171" s="1">
        <v>42647</v>
      </c>
      <c r="D5171" t="s">
        <v>26582</v>
      </c>
      <c r="E5171" t="s">
        <v>26583</v>
      </c>
      <c r="F5171" t="s">
        <v>6072</v>
      </c>
      <c r="G5171" t="s">
        <v>26584</v>
      </c>
      <c r="H5171" t="s">
        <v>28</v>
      </c>
      <c r="I5171" t="s">
        <v>19</v>
      </c>
      <c r="J5171" s="3" t="s">
        <v>26585</v>
      </c>
      <c r="K5171" t="s">
        <v>26586</v>
      </c>
      <c r="L5171" t="s">
        <v>26587</v>
      </c>
      <c r="M5171" t="s">
        <v>32149</v>
      </c>
    </row>
    <row r="5172" spans="1:13" x14ac:dyDescent="0.25">
      <c r="A5172" t="s">
        <v>21660</v>
      </c>
      <c r="B5172" t="s">
        <v>13</v>
      </c>
      <c r="C5172" s="1">
        <v>43195</v>
      </c>
      <c r="D5172" t="s">
        <v>21661</v>
      </c>
      <c r="E5172" s="2" t="s">
        <v>31295</v>
      </c>
      <c r="F5172" t="s">
        <v>6072</v>
      </c>
      <c r="G5172" t="s">
        <v>21662</v>
      </c>
      <c r="H5172" t="s">
        <v>28</v>
      </c>
      <c r="I5172" t="s">
        <v>19</v>
      </c>
      <c r="J5172" s="3">
        <f>55-32-21023841</f>
        <v>-21023818</v>
      </c>
      <c r="K5172" t="s">
        <v>21663</v>
      </c>
      <c r="L5172" t="s">
        <v>923</v>
      </c>
      <c r="M5172" t="s">
        <v>32144</v>
      </c>
    </row>
    <row r="5173" spans="1:13" x14ac:dyDescent="0.25">
      <c r="A5173" t="s">
        <v>12401</v>
      </c>
      <c r="B5173" t="s">
        <v>13</v>
      </c>
      <c r="C5173" s="1">
        <v>44078</v>
      </c>
      <c r="D5173" t="s">
        <v>12402</v>
      </c>
      <c r="E5173" t="s">
        <v>12403</v>
      </c>
      <c r="F5173" t="s">
        <v>2758</v>
      </c>
      <c r="G5173" t="s">
        <v>12404</v>
      </c>
      <c r="H5173" t="s">
        <v>578</v>
      </c>
      <c r="I5173" t="s">
        <v>19</v>
      </c>
      <c r="J5173" s="3">
        <f>55-92-982822012</f>
        <v>-982822049</v>
      </c>
      <c r="K5173" t="s">
        <v>12405</v>
      </c>
      <c r="L5173" t="s">
        <v>581</v>
      </c>
      <c r="M5173" t="s">
        <v>32149</v>
      </c>
    </row>
    <row r="5174" spans="1:13" x14ac:dyDescent="0.25">
      <c r="A5174" t="s">
        <v>573</v>
      </c>
      <c r="B5174" t="s">
        <v>13</v>
      </c>
      <c r="C5174" s="1">
        <v>45200</v>
      </c>
      <c r="D5174" t="s">
        <v>574</v>
      </c>
      <c r="E5174" t="s">
        <v>575</v>
      </c>
      <c r="F5174" t="s">
        <v>576</v>
      </c>
      <c r="G5174" t="s">
        <v>577</v>
      </c>
      <c r="H5174" t="s">
        <v>578</v>
      </c>
      <c r="I5174" t="s">
        <v>19</v>
      </c>
      <c r="J5174" s="3" t="s">
        <v>579</v>
      </c>
      <c r="K5174" t="s">
        <v>580</v>
      </c>
      <c r="L5174" t="s">
        <v>581</v>
      </c>
      <c r="M5174" t="s">
        <v>32149</v>
      </c>
    </row>
    <row r="5175" spans="1:13" x14ac:dyDescent="0.25">
      <c r="A5175" t="s">
        <v>13307</v>
      </c>
      <c r="B5175" t="s">
        <v>13</v>
      </c>
      <c r="C5175" t="s">
        <v>13302</v>
      </c>
      <c r="D5175" t="s">
        <v>13308</v>
      </c>
      <c r="E5175" s="2" t="s">
        <v>31068</v>
      </c>
      <c r="F5175" t="s">
        <v>1464</v>
      </c>
      <c r="G5175" t="s">
        <v>13309</v>
      </c>
      <c r="H5175" t="s">
        <v>2112</v>
      </c>
      <c r="I5175" t="s">
        <v>19</v>
      </c>
      <c r="J5175" s="3" t="s">
        <v>13310</v>
      </c>
      <c r="K5175" t="s">
        <v>13311</v>
      </c>
      <c r="L5175" t="s">
        <v>13312</v>
      </c>
      <c r="M5175" t="s">
        <v>32145</v>
      </c>
    </row>
    <row r="5176" spans="1:13" x14ac:dyDescent="0.25">
      <c r="A5176" t="s">
        <v>505</v>
      </c>
      <c r="B5176" t="s">
        <v>13</v>
      </c>
      <c r="C5176" t="s">
        <v>484</v>
      </c>
      <c r="D5176" t="s">
        <v>506</v>
      </c>
      <c r="E5176" t="s">
        <v>30680</v>
      </c>
      <c r="F5176" t="s">
        <v>508</v>
      </c>
      <c r="G5176" t="s">
        <v>509</v>
      </c>
      <c r="H5176" t="s">
        <v>36</v>
      </c>
      <c r="I5176" t="s">
        <v>19</v>
      </c>
      <c r="J5176" s="3">
        <v>5511995387318</v>
      </c>
      <c r="K5176" t="s">
        <v>510</v>
      </c>
      <c r="L5176" t="s">
        <v>511</v>
      </c>
      <c r="M5176" t="s">
        <v>432</v>
      </c>
    </row>
    <row r="5177" spans="1:13" x14ac:dyDescent="0.25">
      <c r="A5177" t="s">
        <v>14769</v>
      </c>
      <c r="B5177" t="s">
        <v>13</v>
      </c>
      <c r="C5177" s="1">
        <v>43508</v>
      </c>
      <c r="D5177" t="s">
        <v>14770</v>
      </c>
      <c r="E5177" t="s">
        <v>11190</v>
      </c>
      <c r="F5177" t="s">
        <v>1464</v>
      </c>
      <c r="G5177" t="s">
        <v>14771</v>
      </c>
      <c r="H5177" t="s">
        <v>1215</v>
      </c>
      <c r="I5177" t="s">
        <v>19</v>
      </c>
      <c r="J5177" s="3">
        <f>55-18-32291000</f>
        <v>-32290963</v>
      </c>
      <c r="K5177" t="s">
        <v>14772</v>
      </c>
      <c r="L5177" t="s">
        <v>14773</v>
      </c>
      <c r="M5177" t="s">
        <v>1775</v>
      </c>
    </row>
    <row r="5178" spans="1:13" x14ac:dyDescent="0.25">
      <c r="A5178" t="s">
        <v>12264</v>
      </c>
      <c r="B5178" t="s">
        <v>13</v>
      </c>
      <c r="C5178" t="s">
        <v>12259</v>
      </c>
      <c r="D5178" t="s">
        <v>12265</v>
      </c>
      <c r="E5178" t="s">
        <v>12266</v>
      </c>
      <c r="F5178" t="s">
        <v>1775</v>
      </c>
      <c r="G5178" t="s">
        <v>12267</v>
      </c>
      <c r="H5178" t="s">
        <v>1486</v>
      </c>
      <c r="I5178" t="s">
        <v>19</v>
      </c>
      <c r="J5178" s="3">
        <f>55-34-37006000</f>
        <v>-37005979</v>
      </c>
      <c r="K5178" t="s">
        <v>12268</v>
      </c>
      <c r="L5178" t="s">
        <v>3681</v>
      </c>
      <c r="M5178" t="s">
        <v>1775</v>
      </c>
    </row>
    <row r="5179" spans="1:13" x14ac:dyDescent="0.25">
      <c r="A5179" t="s">
        <v>17397</v>
      </c>
      <c r="B5179" t="s">
        <v>13</v>
      </c>
      <c r="C5179" s="1">
        <v>43561</v>
      </c>
      <c r="D5179" t="s">
        <v>17398</v>
      </c>
      <c r="E5179" s="2" t="s">
        <v>31416</v>
      </c>
      <c r="F5179" t="s">
        <v>6130</v>
      </c>
      <c r="G5179" t="s">
        <v>17399</v>
      </c>
      <c r="H5179" t="s">
        <v>299</v>
      </c>
      <c r="I5179" t="s">
        <v>19</v>
      </c>
      <c r="J5179" s="3" t="s">
        <v>17400</v>
      </c>
      <c r="K5179" t="s">
        <v>17401</v>
      </c>
      <c r="L5179" t="s">
        <v>2621</v>
      </c>
      <c r="M5179" t="s">
        <v>32144</v>
      </c>
    </row>
    <row r="5180" spans="1:13" x14ac:dyDescent="0.25">
      <c r="A5180" t="s">
        <v>3145</v>
      </c>
      <c r="B5180" t="s">
        <v>13</v>
      </c>
      <c r="C5180" s="1">
        <v>44658</v>
      </c>
      <c r="D5180" t="s">
        <v>3146</v>
      </c>
      <c r="E5180" s="2" t="s">
        <v>31850</v>
      </c>
      <c r="F5180" t="s">
        <v>3147</v>
      </c>
      <c r="G5180" t="s">
        <v>3148</v>
      </c>
      <c r="H5180" t="s">
        <v>2164</v>
      </c>
      <c r="I5180" t="s">
        <v>19</v>
      </c>
      <c r="J5180" s="3" t="s">
        <v>3149</v>
      </c>
      <c r="K5180" t="s">
        <v>3150</v>
      </c>
      <c r="L5180" t="s">
        <v>2167</v>
      </c>
      <c r="M5180" t="s">
        <v>32144</v>
      </c>
    </row>
    <row r="5181" spans="1:13" x14ac:dyDescent="0.25">
      <c r="A5181" t="s">
        <v>20824</v>
      </c>
      <c r="B5181" t="s">
        <v>13</v>
      </c>
      <c r="C5181" t="s">
        <v>20808</v>
      </c>
      <c r="D5181" t="s">
        <v>20825</v>
      </c>
      <c r="E5181" t="s">
        <v>20826</v>
      </c>
      <c r="F5181" t="s">
        <v>1775</v>
      </c>
      <c r="G5181" t="s">
        <v>20827</v>
      </c>
      <c r="H5181" t="s">
        <v>2678</v>
      </c>
      <c r="I5181" t="s">
        <v>19</v>
      </c>
      <c r="J5181" s="3">
        <f>55-53-32841300</f>
        <v>-32841298</v>
      </c>
      <c r="K5181" t="s">
        <v>20828</v>
      </c>
      <c r="L5181" t="s">
        <v>20829</v>
      </c>
      <c r="M5181" t="s">
        <v>1775</v>
      </c>
    </row>
    <row r="5182" spans="1:13" x14ac:dyDescent="0.25">
      <c r="A5182" t="s">
        <v>23570</v>
      </c>
      <c r="B5182" t="s">
        <v>13</v>
      </c>
      <c r="C5182" t="s">
        <v>23571</v>
      </c>
      <c r="D5182" t="s">
        <v>23572</v>
      </c>
      <c r="E5182" t="s">
        <v>23573</v>
      </c>
      <c r="F5182" t="s">
        <v>3084</v>
      </c>
      <c r="G5182" t="s">
        <v>23574</v>
      </c>
      <c r="H5182" t="s">
        <v>352</v>
      </c>
      <c r="I5182" t="s">
        <v>19</v>
      </c>
      <c r="J5182" s="3" t="s">
        <v>23575</v>
      </c>
      <c r="K5182" t="s">
        <v>23576</v>
      </c>
      <c r="L5182" t="s">
        <v>23577</v>
      </c>
      <c r="M5182" t="s">
        <v>32144</v>
      </c>
    </row>
    <row r="5183" spans="1:13" x14ac:dyDescent="0.25">
      <c r="A5183" t="s">
        <v>14121</v>
      </c>
      <c r="B5183" t="s">
        <v>13</v>
      </c>
      <c r="C5183" t="s">
        <v>14111</v>
      </c>
      <c r="D5183" t="s">
        <v>14122</v>
      </c>
      <c r="E5183" t="s">
        <v>14123</v>
      </c>
      <c r="F5183" t="s">
        <v>1464</v>
      </c>
      <c r="G5183" t="s">
        <v>14124</v>
      </c>
      <c r="H5183" t="s">
        <v>1090</v>
      </c>
      <c r="I5183" t="s">
        <v>19</v>
      </c>
      <c r="J5183" s="3">
        <f>55-83-32167200</f>
        <v>-32167228</v>
      </c>
      <c r="K5183" t="s">
        <v>14125</v>
      </c>
      <c r="L5183" t="s">
        <v>14126</v>
      </c>
      <c r="M5183" t="s">
        <v>32144</v>
      </c>
    </row>
    <row r="5184" spans="1:13" x14ac:dyDescent="0.25">
      <c r="A5184" t="s">
        <v>25553</v>
      </c>
      <c r="B5184" t="s">
        <v>13</v>
      </c>
      <c r="C5184" s="1">
        <v>42591</v>
      </c>
      <c r="D5184" t="s">
        <v>25554</v>
      </c>
      <c r="E5184" t="s">
        <v>25555</v>
      </c>
      <c r="F5184" t="s">
        <v>3084</v>
      </c>
      <c r="G5184" t="s">
        <v>25556</v>
      </c>
      <c r="H5184" t="s">
        <v>265</v>
      </c>
      <c r="I5184" t="s">
        <v>19</v>
      </c>
      <c r="J5184" s="3" t="s">
        <v>25557</v>
      </c>
      <c r="K5184" t="s">
        <v>25558</v>
      </c>
      <c r="L5184" t="s">
        <v>25559</v>
      </c>
      <c r="M5184" t="s">
        <v>32144</v>
      </c>
    </row>
    <row r="5185" spans="1:13" x14ac:dyDescent="0.25">
      <c r="A5185" t="s">
        <v>17573</v>
      </c>
      <c r="B5185" t="s">
        <v>13</v>
      </c>
      <c r="C5185" s="1">
        <v>43470</v>
      </c>
      <c r="D5185" t="s">
        <v>17574</v>
      </c>
      <c r="E5185" s="2" t="s">
        <v>31496</v>
      </c>
      <c r="F5185" t="s">
        <v>1464</v>
      </c>
      <c r="G5185" t="s">
        <v>17575</v>
      </c>
      <c r="H5185" t="s">
        <v>45</v>
      </c>
      <c r="I5185" t="s">
        <v>19</v>
      </c>
      <c r="J5185" s="3">
        <f>55-88-999345292</f>
        <v>-999345325</v>
      </c>
      <c r="K5185" t="s">
        <v>17576</v>
      </c>
      <c r="L5185" t="s">
        <v>17577</v>
      </c>
      <c r="M5185" t="s">
        <v>1775</v>
      </c>
    </row>
    <row r="5186" spans="1:13" x14ac:dyDescent="0.25">
      <c r="A5186" t="s">
        <v>17688</v>
      </c>
      <c r="B5186" t="s">
        <v>13</v>
      </c>
      <c r="C5186" t="s">
        <v>17669</v>
      </c>
      <c r="D5186" t="s">
        <v>17689</v>
      </c>
      <c r="E5186" s="2" t="s">
        <v>31960</v>
      </c>
      <c r="F5186" t="s">
        <v>1464</v>
      </c>
      <c r="G5186" t="s">
        <v>17690</v>
      </c>
      <c r="H5186" t="s">
        <v>36</v>
      </c>
      <c r="I5186" t="s">
        <v>19</v>
      </c>
      <c r="J5186" s="3" t="s">
        <v>17691</v>
      </c>
      <c r="K5186" t="s">
        <v>17692</v>
      </c>
      <c r="L5186" t="s">
        <v>439</v>
      </c>
      <c r="M5186" t="s">
        <v>32144</v>
      </c>
    </row>
    <row r="5187" spans="1:13" x14ac:dyDescent="0.25">
      <c r="A5187" t="s">
        <v>22492</v>
      </c>
      <c r="B5187" t="s">
        <v>13</v>
      </c>
      <c r="C5187" t="s">
        <v>22493</v>
      </c>
      <c r="D5187" t="s">
        <v>22494</v>
      </c>
      <c r="E5187" t="s">
        <v>22495</v>
      </c>
      <c r="F5187" t="s">
        <v>11797</v>
      </c>
      <c r="G5187" t="s">
        <v>22496</v>
      </c>
      <c r="H5187" t="s">
        <v>195</v>
      </c>
      <c r="I5187" t="s">
        <v>19</v>
      </c>
      <c r="J5187" s="3" t="s">
        <v>22497</v>
      </c>
      <c r="K5187" t="s">
        <v>22498</v>
      </c>
      <c r="L5187" t="s">
        <v>197</v>
      </c>
      <c r="M5187" t="s">
        <v>32195</v>
      </c>
    </row>
    <row r="5188" spans="1:13" x14ac:dyDescent="0.25">
      <c r="A5188" t="s">
        <v>25970</v>
      </c>
      <c r="B5188" t="s">
        <v>13</v>
      </c>
      <c r="C5188" s="1">
        <v>42497</v>
      </c>
      <c r="D5188" t="s">
        <v>25971</v>
      </c>
      <c r="E5188" t="s">
        <v>25972</v>
      </c>
      <c r="F5188" t="s">
        <v>1349</v>
      </c>
      <c r="G5188" t="s">
        <v>25973</v>
      </c>
      <c r="H5188" t="s">
        <v>25974</v>
      </c>
      <c r="I5188" t="s">
        <v>10059</v>
      </c>
      <c r="J5188" s="3" t="s">
        <v>25975</v>
      </c>
      <c r="K5188" t="s">
        <v>25976</v>
      </c>
      <c r="L5188" t="s">
        <v>25977</v>
      </c>
      <c r="M5188" t="s">
        <v>1349</v>
      </c>
    </row>
    <row r="5189" spans="1:13" x14ac:dyDescent="0.25">
      <c r="A5189" t="s">
        <v>8111</v>
      </c>
      <c r="B5189" t="s">
        <v>13</v>
      </c>
      <c r="C5189" s="1">
        <v>44532</v>
      </c>
      <c r="D5189" t="s">
        <v>8112</v>
      </c>
      <c r="E5189" t="s">
        <v>8113</v>
      </c>
      <c r="F5189" t="s">
        <v>5899</v>
      </c>
      <c r="G5189" t="s">
        <v>8114</v>
      </c>
      <c r="H5189" t="s">
        <v>8115</v>
      </c>
      <c r="I5189" t="s">
        <v>19</v>
      </c>
      <c r="J5189" s="3" t="s">
        <v>8116</v>
      </c>
      <c r="K5189" t="s">
        <v>8117</v>
      </c>
      <c r="L5189" t="s">
        <v>8118</v>
      </c>
      <c r="M5189" t="s">
        <v>1349</v>
      </c>
    </row>
    <row r="5190" spans="1:13" x14ac:dyDescent="0.25">
      <c r="A5190" t="s">
        <v>9008</v>
      </c>
      <c r="B5190" t="s">
        <v>13</v>
      </c>
      <c r="C5190" t="s">
        <v>7082</v>
      </c>
      <c r="D5190" t="s">
        <v>9009</v>
      </c>
      <c r="E5190" s="2" t="s">
        <v>30966</v>
      </c>
      <c r="F5190" t="s">
        <v>9010</v>
      </c>
      <c r="G5190" t="s">
        <v>7731</v>
      </c>
      <c r="H5190" t="s">
        <v>36</v>
      </c>
      <c r="I5190" t="s">
        <v>19</v>
      </c>
      <c r="J5190" s="3">
        <v>551126616467</v>
      </c>
      <c r="K5190" t="s">
        <v>7732</v>
      </c>
      <c r="L5190" t="s">
        <v>9011</v>
      </c>
      <c r="M5190" t="s">
        <v>1349</v>
      </c>
    </row>
    <row r="5191" spans="1:13" x14ac:dyDescent="0.25">
      <c r="A5191" t="s">
        <v>15387</v>
      </c>
      <c r="B5191" t="s">
        <v>13</v>
      </c>
      <c r="C5191" t="s">
        <v>15388</v>
      </c>
      <c r="D5191" t="s">
        <v>15389</v>
      </c>
      <c r="E5191" s="2" t="s">
        <v>32662</v>
      </c>
      <c r="F5191" t="s">
        <v>6656</v>
      </c>
      <c r="G5191" t="s">
        <v>15390</v>
      </c>
      <c r="H5191" t="s">
        <v>6114</v>
      </c>
      <c r="I5191" t="s">
        <v>19</v>
      </c>
      <c r="J5191" s="3">
        <f>55-54-991196307</f>
        <v>-991196306</v>
      </c>
      <c r="K5191" t="s">
        <v>15391</v>
      </c>
      <c r="L5191" t="s">
        <v>15392</v>
      </c>
      <c r="M5191" t="s">
        <v>6656</v>
      </c>
    </row>
    <row r="5192" spans="1:13" x14ac:dyDescent="0.25">
      <c r="A5192" t="s">
        <v>24222</v>
      </c>
      <c r="B5192" t="s">
        <v>13</v>
      </c>
      <c r="C5192" t="s">
        <v>24217</v>
      </c>
      <c r="D5192" t="s">
        <v>24223</v>
      </c>
      <c r="E5192" t="s">
        <v>24224</v>
      </c>
      <c r="F5192" t="s">
        <v>1464</v>
      </c>
      <c r="G5192" t="s">
        <v>24225</v>
      </c>
      <c r="H5192" t="s">
        <v>24226</v>
      </c>
      <c r="I5192" t="s">
        <v>19</v>
      </c>
      <c r="J5192" s="3" t="s">
        <v>24227</v>
      </c>
      <c r="K5192" t="s">
        <v>24228</v>
      </c>
      <c r="L5192" t="s">
        <v>1113</v>
      </c>
      <c r="M5192" t="s">
        <v>224</v>
      </c>
    </row>
    <row r="5193" spans="1:13" x14ac:dyDescent="0.25">
      <c r="A5193" t="s">
        <v>535</v>
      </c>
      <c r="B5193" t="s">
        <v>13</v>
      </c>
      <c r="C5193" s="1">
        <v>45261</v>
      </c>
      <c r="D5193" t="s">
        <v>536</v>
      </c>
      <c r="E5193" t="s">
        <v>30682</v>
      </c>
      <c r="F5193" t="s">
        <v>538</v>
      </c>
      <c r="G5193" t="s">
        <v>539</v>
      </c>
      <c r="H5193" t="s">
        <v>540</v>
      </c>
      <c r="I5193" t="s">
        <v>19</v>
      </c>
      <c r="J5193" s="3" t="s">
        <v>541</v>
      </c>
      <c r="K5193" t="s">
        <v>542</v>
      </c>
      <c r="L5193" t="s">
        <v>543</v>
      </c>
      <c r="M5193" t="s">
        <v>224</v>
      </c>
    </row>
    <row r="5194" spans="1:13" x14ac:dyDescent="0.25">
      <c r="A5194" t="s">
        <v>28607</v>
      </c>
      <c r="B5194" t="s">
        <v>13</v>
      </c>
      <c r="C5194" s="1">
        <v>42310</v>
      </c>
      <c r="D5194" t="s">
        <v>28608</v>
      </c>
      <c r="E5194" t="s">
        <v>28609</v>
      </c>
      <c r="F5194" t="s">
        <v>224</v>
      </c>
      <c r="G5194" t="s">
        <v>20822</v>
      </c>
      <c r="H5194" t="s">
        <v>36</v>
      </c>
      <c r="I5194" t="s">
        <v>19</v>
      </c>
      <c r="J5194" s="3" t="s">
        <v>28610</v>
      </c>
      <c r="K5194" t="s">
        <v>24061</v>
      </c>
      <c r="L5194" t="s">
        <v>28611</v>
      </c>
      <c r="M5194" t="s">
        <v>224</v>
      </c>
    </row>
    <row r="5195" spans="1:13" x14ac:dyDescent="0.25">
      <c r="A5195" t="s">
        <v>8346</v>
      </c>
      <c r="B5195" t="s">
        <v>101</v>
      </c>
      <c r="C5195" s="1">
        <v>44288</v>
      </c>
      <c r="D5195" t="s">
        <v>8347</v>
      </c>
      <c r="E5195" t="s">
        <v>32663</v>
      </c>
      <c r="F5195" t="s">
        <v>8348</v>
      </c>
      <c r="G5195" t="s">
        <v>8349</v>
      </c>
      <c r="H5195" t="s">
        <v>36</v>
      </c>
      <c r="I5195" t="s">
        <v>19</v>
      </c>
      <c r="J5195" s="3" t="s">
        <v>8350</v>
      </c>
      <c r="K5195" t="s">
        <v>8351</v>
      </c>
      <c r="L5195" t="s">
        <v>32135</v>
      </c>
      <c r="M5195" t="s">
        <v>224</v>
      </c>
    </row>
    <row r="5196" spans="1:13" x14ac:dyDescent="0.25">
      <c r="A5196" t="s">
        <v>19864</v>
      </c>
      <c r="B5196" t="s">
        <v>13</v>
      </c>
      <c r="C5196" t="s">
        <v>9251</v>
      </c>
      <c r="D5196" t="s">
        <v>19865</v>
      </c>
      <c r="E5196" t="s">
        <v>19866</v>
      </c>
      <c r="F5196" t="s">
        <v>1129</v>
      </c>
      <c r="G5196" t="s">
        <v>19867</v>
      </c>
      <c r="H5196" t="s">
        <v>18</v>
      </c>
      <c r="I5196" t="s">
        <v>19</v>
      </c>
      <c r="J5196" s="3">
        <v>551935217489</v>
      </c>
      <c r="K5196" t="s">
        <v>19868</v>
      </c>
      <c r="L5196" t="s">
        <v>19869</v>
      </c>
      <c r="M5196" t="s">
        <v>224</v>
      </c>
    </row>
    <row r="5197" spans="1:13" x14ac:dyDescent="0.25">
      <c r="A5197" t="s">
        <v>23950</v>
      </c>
      <c r="B5197" t="s">
        <v>13</v>
      </c>
      <c r="C5197" t="s">
        <v>21815</v>
      </c>
      <c r="D5197" t="s">
        <v>23951</v>
      </c>
      <c r="E5197" t="s">
        <v>23952</v>
      </c>
      <c r="F5197" t="s">
        <v>224</v>
      </c>
      <c r="G5197" t="s">
        <v>23675</v>
      </c>
      <c r="H5197" t="s">
        <v>23676</v>
      </c>
      <c r="I5197" t="s">
        <v>19</v>
      </c>
      <c r="J5197" s="3" t="s">
        <v>23677</v>
      </c>
      <c r="K5197" t="s">
        <v>23678</v>
      </c>
      <c r="L5197" t="s">
        <v>439</v>
      </c>
      <c r="M5197" t="s">
        <v>224</v>
      </c>
    </row>
    <row r="5198" spans="1:13" x14ac:dyDescent="0.25">
      <c r="A5198" t="s">
        <v>26987</v>
      </c>
      <c r="B5198" t="s">
        <v>13</v>
      </c>
      <c r="C5198" t="s">
        <v>23102</v>
      </c>
      <c r="D5198" t="s">
        <v>26988</v>
      </c>
      <c r="E5198" s="2" t="s">
        <v>31347</v>
      </c>
      <c r="F5198" t="s">
        <v>332</v>
      </c>
      <c r="G5198" t="s">
        <v>26989</v>
      </c>
      <c r="H5198" t="s">
        <v>1802</v>
      </c>
      <c r="I5198" t="s">
        <v>19</v>
      </c>
      <c r="J5198" s="3">
        <f>55-11-3235-8217</f>
        <v>-11408</v>
      </c>
      <c r="K5198" t="s">
        <v>26990</v>
      </c>
      <c r="L5198" t="s">
        <v>26989</v>
      </c>
      <c r="M5198" t="s">
        <v>337</v>
      </c>
    </row>
    <row r="5199" spans="1:13" x14ac:dyDescent="0.25">
      <c r="A5199" t="s">
        <v>18985</v>
      </c>
      <c r="B5199" t="s">
        <v>13</v>
      </c>
      <c r="C5199" t="s">
        <v>12812</v>
      </c>
      <c r="D5199" t="s">
        <v>18986</v>
      </c>
      <c r="E5199" s="2" t="s">
        <v>31215</v>
      </c>
      <c r="F5199" t="s">
        <v>8193</v>
      </c>
      <c r="G5199" t="s">
        <v>18987</v>
      </c>
      <c r="H5199" t="s">
        <v>16336</v>
      </c>
      <c r="I5199" t="s">
        <v>19</v>
      </c>
      <c r="J5199" s="3">
        <f>55-88-988227400</f>
        <v>-988227433</v>
      </c>
      <c r="K5199" t="s">
        <v>18988</v>
      </c>
      <c r="L5199" t="s">
        <v>18989</v>
      </c>
      <c r="M5199" t="s">
        <v>129</v>
      </c>
    </row>
    <row r="5200" spans="1:13" x14ac:dyDescent="0.25">
      <c r="A5200" t="s">
        <v>20064</v>
      </c>
      <c r="B5200" t="s">
        <v>13</v>
      </c>
      <c r="C5200" s="1">
        <v>43381</v>
      </c>
      <c r="D5200" t="s">
        <v>20065</v>
      </c>
      <c r="E5200" t="s">
        <v>20066</v>
      </c>
      <c r="F5200" t="s">
        <v>2947</v>
      </c>
      <c r="G5200" t="s">
        <v>20067</v>
      </c>
      <c r="H5200" t="s">
        <v>20068</v>
      </c>
      <c r="I5200" t="s">
        <v>19</v>
      </c>
      <c r="J5200" s="3">
        <v>88999280669</v>
      </c>
      <c r="K5200" t="s">
        <v>20069</v>
      </c>
      <c r="L5200" t="s">
        <v>13173</v>
      </c>
      <c r="M5200" t="s">
        <v>771</v>
      </c>
    </row>
    <row r="5201" spans="1:13" x14ac:dyDescent="0.25">
      <c r="A5201" t="s">
        <v>9171</v>
      </c>
      <c r="B5201" t="s">
        <v>13</v>
      </c>
      <c r="C5201" t="s">
        <v>9172</v>
      </c>
      <c r="D5201" t="s">
        <v>9173</v>
      </c>
      <c r="E5201" t="s">
        <v>9174</v>
      </c>
      <c r="F5201" t="s">
        <v>9175</v>
      </c>
      <c r="G5201" t="s">
        <v>9176</v>
      </c>
      <c r="H5201" t="s">
        <v>489</v>
      </c>
      <c r="I5201" t="s">
        <v>19</v>
      </c>
      <c r="J5201" s="3">
        <f>55-41-996235337</f>
        <v>-996235323</v>
      </c>
      <c r="K5201" t="s">
        <v>9177</v>
      </c>
      <c r="L5201" t="s">
        <v>625</v>
      </c>
      <c r="M5201" t="s">
        <v>57</v>
      </c>
    </row>
    <row r="5202" spans="1:13" x14ac:dyDescent="0.25">
      <c r="A5202" t="s">
        <v>24748</v>
      </c>
      <c r="B5202" t="s">
        <v>101</v>
      </c>
      <c r="C5202" s="1">
        <v>43040</v>
      </c>
      <c r="D5202" t="s">
        <v>24749</v>
      </c>
      <c r="E5202" t="s">
        <v>7570</v>
      </c>
      <c r="F5202" t="s">
        <v>1129</v>
      </c>
      <c r="G5202" t="s">
        <v>24750</v>
      </c>
      <c r="H5202" t="s">
        <v>428</v>
      </c>
      <c r="I5202" t="s">
        <v>19</v>
      </c>
      <c r="J5202" s="3" t="s">
        <v>24751</v>
      </c>
      <c r="K5202" t="s">
        <v>24752</v>
      </c>
      <c r="L5202" t="s">
        <v>1113</v>
      </c>
      <c r="M5202" t="s">
        <v>224</v>
      </c>
    </row>
    <row r="5203" spans="1:13" x14ac:dyDescent="0.25">
      <c r="A5203" t="s">
        <v>25200</v>
      </c>
      <c r="B5203" t="s">
        <v>13</v>
      </c>
      <c r="C5203" t="s">
        <v>25201</v>
      </c>
      <c r="D5203" t="s">
        <v>25202</v>
      </c>
      <c r="E5203" t="s">
        <v>7570</v>
      </c>
      <c r="F5203" t="s">
        <v>1129</v>
      </c>
      <c r="G5203" t="s">
        <v>25203</v>
      </c>
      <c r="H5203" t="s">
        <v>798</v>
      </c>
      <c r="I5203" t="s">
        <v>19</v>
      </c>
      <c r="J5203" s="3">
        <v>556133191698</v>
      </c>
      <c r="K5203" t="s">
        <v>25204</v>
      </c>
      <c r="L5203" t="s">
        <v>25205</v>
      </c>
      <c r="M5203" t="s">
        <v>224</v>
      </c>
    </row>
    <row r="5204" spans="1:13" x14ac:dyDescent="0.25">
      <c r="A5204" t="s">
        <v>21266</v>
      </c>
      <c r="B5204" t="s">
        <v>13</v>
      </c>
      <c r="C5204" t="s">
        <v>21260</v>
      </c>
      <c r="D5204" t="s">
        <v>21267</v>
      </c>
      <c r="E5204" t="s">
        <v>9174</v>
      </c>
      <c r="F5204" t="s">
        <v>1129</v>
      </c>
      <c r="G5204" t="s">
        <v>12611</v>
      </c>
      <c r="H5204" t="s">
        <v>7612</v>
      </c>
      <c r="I5204" t="s">
        <v>19</v>
      </c>
      <c r="J5204" s="3">
        <v>553438144994</v>
      </c>
      <c r="K5204" t="s">
        <v>12612</v>
      </c>
      <c r="L5204" t="s">
        <v>3305</v>
      </c>
      <c r="M5204" t="s">
        <v>224</v>
      </c>
    </row>
    <row r="5205" spans="1:13" x14ac:dyDescent="0.25">
      <c r="A5205" t="s">
        <v>15199</v>
      </c>
      <c r="B5205" t="s">
        <v>101</v>
      </c>
      <c r="C5205" t="s">
        <v>15171</v>
      </c>
      <c r="D5205" t="s">
        <v>15200</v>
      </c>
      <c r="E5205" t="s">
        <v>7570</v>
      </c>
      <c r="F5205" t="s">
        <v>1129</v>
      </c>
      <c r="G5205" t="s">
        <v>944</v>
      </c>
      <c r="H5205" t="s">
        <v>36</v>
      </c>
      <c r="I5205" t="s">
        <v>19</v>
      </c>
      <c r="J5205" s="3">
        <v>5511999530716</v>
      </c>
      <c r="K5205" t="s">
        <v>946</v>
      </c>
      <c r="L5205" t="s">
        <v>321</v>
      </c>
      <c r="M5205" t="s">
        <v>224</v>
      </c>
    </row>
    <row r="5206" spans="1:13" x14ac:dyDescent="0.25">
      <c r="A5206" t="s">
        <v>7568</v>
      </c>
      <c r="B5206" t="s">
        <v>13</v>
      </c>
      <c r="C5206" t="s">
        <v>6097</v>
      </c>
      <c r="D5206" t="s">
        <v>7569</v>
      </c>
      <c r="E5206" t="s">
        <v>7570</v>
      </c>
      <c r="F5206" t="s">
        <v>1129</v>
      </c>
      <c r="G5206" t="s">
        <v>326</v>
      </c>
      <c r="H5206" t="s">
        <v>36</v>
      </c>
      <c r="I5206" t="s">
        <v>19</v>
      </c>
      <c r="J5206" s="3" t="s">
        <v>7571</v>
      </c>
      <c r="K5206" t="s">
        <v>327</v>
      </c>
      <c r="L5206" t="s">
        <v>32135</v>
      </c>
      <c r="M5206" t="s">
        <v>224</v>
      </c>
    </row>
    <row r="5207" spans="1:13" x14ac:dyDescent="0.25">
      <c r="A5207" t="s">
        <v>17198</v>
      </c>
      <c r="B5207" t="s">
        <v>13</v>
      </c>
      <c r="C5207" s="1">
        <v>43652</v>
      </c>
      <c r="D5207" t="s">
        <v>17199</v>
      </c>
      <c r="E5207" t="s">
        <v>17200</v>
      </c>
      <c r="F5207" t="s">
        <v>224</v>
      </c>
      <c r="G5207" t="s">
        <v>17201</v>
      </c>
      <c r="H5207" t="s">
        <v>798</v>
      </c>
      <c r="I5207" t="s">
        <v>19</v>
      </c>
      <c r="J5207" s="3" t="s">
        <v>17202</v>
      </c>
      <c r="K5207" t="s">
        <v>17203</v>
      </c>
      <c r="L5207" t="s">
        <v>17204</v>
      </c>
      <c r="M5207" t="s">
        <v>224</v>
      </c>
    </row>
    <row r="5208" spans="1:13" x14ac:dyDescent="0.25">
      <c r="A5208" t="s">
        <v>17921</v>
      </c>
      <c r="B5208" t="s">
        <v>13</v>
      </c>
      <c r="C5208" s="1">
        <v>43469</v>
      </c>
      <c r="D5208" t="s">
        <v>17922</v>
      </c>
      <c r="E5208" t="s">
        <v>17923</v>
      </c>
      <c r="F5208" t="s">
        <v>224</v>
      </c>
      <c r="G5208" t="s">
        <v>17511</v>
      </c>
      <c r="H5208" t="s">
        <v>36</v>
      </c>
      <c r="I5208" t="s">
        <v>19</v>
      </c>
      <c r="J5208" s="3">
        <f>55-11-983795555</f>
        <v>-983795511</v>
      </c>
      <c r="K5208" t="s">
        <v>17512</v>
      </c>
      <c r="L5208" t="s">
        <v>439</v>
      </c>
      <c r="M5208" t="s">
        <v>224</v>
      </c>
    </row>
    <row r="5209" spans="1:13" x14ac:dyDescent="0.25">
      <c r="A5209" t="s">
        <v>17509</v>
      </c>
      <c r="B5209" t="s">
        <v>13</v>
      </c>
      <c r="C5209" s="1">
        <v>43621</v>
      </c>
      <c r="D5209" t="s">
        <v>17510</v>
      </c>
      <c r="E5209" t="s">
        <v>17200</v>
      </c>
      <c r="F5209" t="s">
        <v>224</v>
      </c>
      <c r="G5209" t="s">
        <v>17511</v>
      </c>
      <c r="H5209" t="s">
        <v>36</v>
      </c>
      <c r="I5209" t="s">
        <v>19</v>
      </c>
      <c r="J5209" s="3">
        <f>55-11-98375555</f>
        <v>-98375511</v>
      </c>
      <c r="K5209" t="s">
        <v>17512</v>
      </c>
      <c r="L5209" t="s">
        <v>439</v>
      </c>
      <c r="M5209" t="s">
        <v>224</v>
      </c>
    </row>
    <row r="5210" spans="1:13" x14ac:dyDescent="0.25">
      <c r="A5210" t="s">
        <v>30323</v>
      </c>
      <c r="B5210" t="s">
        <v>13</v>
      </c>
      <c r="C5210" t="s">
        <v>30142</v>
      </c>
      <c r="D5210" t="s">
        <v>30324</v>
      </c>
      <c r="E5210" t="s">
        <v>17923</v>
      </c>
      <c r="F5210" t="s">
        <v>1129</v>
      </c>
      <c r="G5210" t="s">
        <v>30325</v>
      </c>
      <c r="H5210" t="s">
        <v>1335</v>
      </c>
      <c r="I5210" t="s">
        <v>19</v>
      </c>
      <c r="J5210" s="3" t="s">
        <v>30326</v>
      </c>
      <c r="K5210" t="s">
        <v>30327</v>
      </c>
      <c r="L5210" t="s">
        <v>1461</v>
      </c>
      <c r="M5210" t="s">
        <v>224</v>
      </c>
    </row>
    <row r="5211" spans="1:13" x14ac:dyDescent="0.25">
      <c r="A5211" t="s">
        <v>30365</v>
      </c>
      <c r="B5211" t="s">
        <v>13</v>
      </c>
      <c r="C5211" t="s">
        <v>16024</v>
      </c>
      <c r="D5211" t="s">
        <v>30366</v>
      </c>
      <c r="E5211" t="s">
        <v>12710</v>
      </c>
      <c r="F5211" t="s">
        <v>1129</v>
      </c>
      <c r="G5211" t="s">
        <v>30325</v>
      </c>
      <c r="H5211" t="s">
        <v>1335</v>
      </c>
      <c r="I5211" t="s">
        <v>19</v>
      </c>
      <c r="J5211" s="3" t="s">
        <v>30326</v>
      </c>
      <c r="K5211" t="s">
        <v>30327</v>
      </c>
      <c r="L5211" t="s">
        <v>1461</v>
      </c>
      <c r="M5211" t="s">
        <v>224</v>
      </c>
    </row>
    <row r="5212" spans="1:13" x14ac:dyDescent="0.25">
      <c r="A5212" t="s">
        <v>27461</v>
      </c>
      <c r="B5212" t="s">
        <v>13</v>
      </c>
      <c r="C5212" t="s">
        <v>27457</v>
      </c>
      <c r="D5212" t="s">
        <v>27462</v>
      </c>
      <c r="E5212" t="s">
        <v>17923</v>
      </c>
      <c r="F5212" t="s">
        <v>1129</v>
      </c>
      <c r="G5212" t="s">
        <v>27463</v>
      </c>
      <c r="H5212" t="s">
        <v>15227</v>
      </c>
      <c r="I5212" t="s">
        <v>19</v>
      </c>
      <c r="J5212" s="3" t="s">
        <v>27464</v>
      </c>
      <c r="K5212" t="s">
        <v>27465</v>
      </c>
      <c r="L5212" t="s">
        <v>15229</v>
      </c>
      <c r="M5212" t="s">
        <v>224</v>
      </c>
    </row>
    <row r="5213" spans="1:13" x14ac:dyDescent="0.25">
      <c r="A5213" t="s">
        <v>17677</v>
      </c>
      <c r="B5213" t="s">
        <v>13</v>
      </c>
      <c r="C5213" t="s">
        <v>17669</v>
      </c>
      <c r="D5213" t="s">
        <v>17678</v>
      </c>
      <c r="E5213" t="s">
        <v>12710</v>
      </c>
      <c r="F5213" t="s">
        <v>1129</v>
      </c>
      <c r="G5213" t="s">
        <v>17679</v>
      </c>
      <c r="H5213" t="s">
        <v>17680</v>
      </c>
      <c r="I5213" t="s">
        <v>19</v>
      </c>
      <c r="J5213" s="3">
        <v>5551998651500</v>
      </c>
      <c r="K5213" t="s">
        <v>10092</v>
      </c>
      <c r="L5213" t="s">
        <v>10093</v>
      </c>
      <c r="M5213" t="s">
        <v>224</v>
      </c>
    </row>
    <row r="5214" spans="1:13" x14ac:dyDescent="0.25">
      <c r="A5214" t="s">
        <v>16068</v>
      </c>
      <c r="B5214" t="s">
        <v>101</v>
      </c>
      <c r="C5214" t="s">
        <v>7263</v>
      </c>
      <c r="D5214" t="s">
        <v>16069</v>
      </c>
      <c r="E5214" t="s">
        <v>16070</v>
      </c>
      <c r="F5214" t="s">
        <v>9969</v>
      </c>
      <c r="G5214" t="s">
        <v>16071</v>
      </c>
      <c r="H5214" t="s">
        <v>36</v>
      </c>
      <c r="I5214" t="s">
        <v>19</v>
      </c>
      <c r="J5214" s="3">
        <v>5501138721899</v>
      </c>
      <c r="K5214" t="s">
        <v>16072</v>
      </c>
      <c r="L5214" t="s">
        <v>16073</v>
      </c>
      <c r="M5214" t="s">
        <v>32149</v>
      </c>
    </row>
    <row r="5215" spans="1:13" x14ac:dyDescent="0.25">
      <c r="A5215" t="s">
        <v>12708</v>
      </c>
      <c r="B5215" t="s">
        <v>13</v>
      </c>
      <c r="C5215" t="s">
        <v>7663</v>
      </c>
      <c r="D5215" t="s">
        <v>12709</v>
      </c>
      <c r="E5215" s="2" t="s">
        <v>31050</v>
      </c>
      <c r="F5215" t="s">
        <v>1129</v>
      </c>
      <c r="G5215" t="s">
        <v>12711</v>
      </c>
      <c r="H5215" t="s">
        <v>18</v>
      </c>
      <c r="I5215" t="s">
        <v>19</v>
      </c>
      <c r="J5215" s="3">
        <f>55-19-35219128</f>
        <v>-35219092</v>
      </c>
      <c r="K5215" t="s">
        <v>12712</v>
      </c>
      <c r="L5215" t="s">
        <v>12713</v>
      </c>
      <c r="M5215" t="s">
        <v>224</v>
      </c>
    </row>
    <row r="5216" spans="1:13" x14ac:dyDescent="0.25">
      <c r="A5216" t="s">
        <v>13961</v>
      </c>
      <c r="B5216" t="s">
        <v>13</v>
      </c>
      <c r="C5216" t="s">
        <v>12548</v>
      </c>
      <c r="D5216" t="s">
        <v>13962</v>
      </c>
      <c r="E5216" s="2" t="s">
        <v>31904</v>
      </c>
      <c r="F5216" t="s">
        <v>57</v>
      </c>
      <c r="G5216" t="s">
        <v>13963</v>
      </c>
      <c r="H5216" t="s">
        <v>265</v>
      </c>
      <c r="I5216" t="s">
        <v>19</v>
      </c>
      <c r="J5216" s="3">
        <f>55-16-33150738</f>
        <v>-33150699</v>
      </c>
      <c r="K5216" t="s">
        <v>13964</v>
      </c>
      <c r="L5216" t="s">
        <v>13965</v>
      </c>
      <c r="M5216" t="s">
        <v>57</v>
      </c>
    </row>
    <row r="5217" spans="1:13" x14ac:dyDescent="0.25">
      <c r="A5217" t="s">
        <v>6064</v>
      </c>
      <c r="B5217" t="s">
        <v>13</v>
      </c>
      <c r="C5217" s="1">
        <v>44449</v>
      </c>
      <c r="D5217" t="s">
        <v>32135</v>
      </c>
      <c r="E5217" t="s">
        <v>6065</v>
      </c>
      <c r="F5217" t="s">
        <v>6066</v>
      </c>
      <c r="G5217" t="s">
        <v>6067</v>
      </c>
      <c r="H5217" t="s">
        <v>255</v>
      </c>
      <c r="I5217" t="s">
        <v>19</v>
      </c>
      <c r="J5217" s="3">
        <v>5562994832676</v>
      </c>
      <c r="K5217" t="s">
        <v>6068</v>
      </c>
      <c r="L5217" t="s">
        <v>32135</v>
      </c>
      <c r="M5217" t="s">
        <v>224</v>
      </c>
    </row>
    <row r="5218" spans="1:13" x14ac:dyDescent="0.25">
      <c r="A5218" t="s">
        <v>16184</v>
      </c>
      <c r="B5218" t="s">
        <v>13</v>
      </c>
      <c r="C5218" t="s">
        <v>16155</v>
      </c>
      <c r="D5218" t="s">
        <v>16185</v>
      </c>
      <c r="E5218" t="s">
        <v>16186</v>
      </c>
      <c r="F5218" t="s">
        <v>1464</v>
      </c>
      <c r="G5218" t="s">
        <v>16187</v>
      </c>
      <c r="H5218" t="s">
        <v>578</v>
      </c>
      <c r="I5218" t="s">
        <v>19</v>
      </c>
      <c r="J5218" s="3">
        <f>55-92-981284894</f>
        <v>-981284931</v>
      </c>
      <c r="K5218" t="s">
        <v>16188</v>
      </c>
      <c r="L5218" t="s">
        <v>581</v>
      </c>
      <c r="M5218" t="s">
        <v>57</v>
      </c>
    </row>
    <row r="5219" spans="1:13" x14ac:dyDescent="0.25">
      <c r="A5219" t="s">
        <v>8388</v>
      </c>
      <c r="B5219" t="s">
        <v>13</v>
      </c>
      <c r="C5219" s="1">
        <v>44229</v>
      </c>
      <c r="D5219" t="s">
        <v>32135</v>
      </c>
      <c r="E5219" s="2" t="s">
        <v>30952</v>
      </c>
      <c r="F5219" t="s">
        <v>8389</v>
      </c>
      <c r="G5219" t="s">
        <v>8390</v>
      </c>
      <c r="H5219" t="s">
        <v>255</v>
      </c>
      <c r="I5219" t="s">
        <v>19</v>
      </c>
      <c r="J5219" s="3" t="s">
        <v>8391</v>
      </c>
      <c r="K5219" t="s">
        <v>8392</v>
      </c>
      <c r="L5219" t="s">
        <v>32135</v>
      </c>
      <c r="M5219" t="s">
        <v>57</v>
      </c>
    </row>
    <row r="5220" spans="1:13" x14ac:dyDescent="0.25">
      <c r="A5220" t="s">
        <v>30464</v>
      </c>
      <c r="B5220" t="s">
        <v>101</v>
      </c>
      <c r="C5220" s="1">
        <v>41000</v>
      </c>
      <c r="D5220" t="s">
        <v>30465</v>
      </c>
      <c r="E5220" t="s">
        <v>32664</v>
      </c>
      <c r="F5220" t="s">
        <v>57</v>
      </c>
      <c r="G5220" t="s">
        <v>30466</v>
      </c>
      <c r="H5220" t="s">
        <v>36</v>
      </c>
      <c r="I5220" t="s">
        <v>19</v>
      </c>
      <c r="J5220" s="3" t="s">
        <v>30467</v>
      </c>
      <c r="K5220" t="s">
        <v>30468</v>
      </c>
      <c r="L5220" t="s">
        <v>321</v>
      </c>
      <c r="M5220" t="s">
        <v>57</v>
      </c>
    </row>
    <row r="5221" spans="1:13" x14ac:dyDescent="0.25">
      <c r="A5221" t="s">
        <v>18533</v>
      </c>
      <c r="B5221" t="s">
        <v>101</v>
      </c>
      <c r="C5221" s="1">
        <v>43770</v>
      </c>
      <c r="D5221" t="s">
        <v>18534</v>
      </c>
      <c r="E5221" t="s">
        <v>18535</v>
      </c>
      <c r="F5221" t="s">
        <v>10034</v>
      </c>
      <c r="G5221" t="s">
        <v>18536</v>
      </c>
      <c r="H5221" t="s">
        <v>150</v>
      </c>
      <c r="I5221" t="s">
        <v>19</v>
      </c>
      <c r="J5221" s="3">
        <v>5511943514310</v>
      </c>
      <c r="K5221" t="s">
        <v>18537</v>
      </c>
      <c r="L5221" t="s">
        <v>18538</v>
      </c>
      <c r="M5221" t="s">
        <v>741</v>
      </c>
    </row>
    <row r="5222" spans="1:13" x14ac:dyDescent="0.25">
      <c r="A5222" t="s">
        <v>940</v>
      </c>
      <c r="B5222" t="s">
        <v>13</v>
      </c>
      <c r="C5222" t="s">
        <v>931</v>
      </c>
      <c r="D5222" t="s">
        <v>941</v>
      </c>
      <c r="E5222" t="s">
        <v>942</v>
      </c>
      <c r="F5222" t="s">
        <v>943</v>
      </c>
      <c r="G5222" t="s">
        <v>944</v>
      </c>
      <c r="H5222" t="s">
        <v>36</v>
      </c>
      <c r="I5222" t="s">
        <v>19</v>
      </c>
      <c r="J5222" s="3" t="s">
        <v>945</v>
      </c>
      <c r="K5222" t="s">
        <v>946</v>
      </c>
      <c r="L5222" t="s">
        <v>321</v>
      </c>
      <c r="M5222" t="s">
        <v>224</v>
      </c>
    </row>
    <row r="5223" spans="1:13" x14ac:dyDescent="0.25">
      <c r="A5223" t="s">
        <v>13903</v>
      </c>
      <c r="B5223" t="s">
        <v>13</v>
      </c>
      <c r="C5223" t="s">
        <v>7230</v>
      </c>
      <c r="D5223" t="s">
        <v>13904</v>
      </c>
      <c r="E5223" t="s">
        <v>13905</v>
      </c>
      <c r="F5223" t="s">
        <v>1464</v>
      </c>
      <c r="G5223" t="s">
        <v>13906</v>
      </c>
      <c r="H5223" t="s">
        <v>352</v>
      </c>
      <c r="I5223" t="s">
        <v>19</v>
      </c>
      <c r="J5223" s="3">
        <v>55021994998370</v>
      </c>
      <c r="K5223" t="s">
        <v>13907</v>
      </c>
      <c r="L5223" t="s">
        <v>13908</v>
      </c>
      <c r="M5223" t="s">
        <v>224</v>
      </c>
    </row>
    <row r="5224" spans="1:13" x14ac:dyDescent="0.25">
      <c r="A5224" t="s">
        <v>26344</v>
      </c>
      <c r="B5224" t="s">
        <v>13</v>
      </c>
      <c r="C5224" s="1">
        <v>42495</v>
      </c>
      <c r="D5224" t="s">
        <v>26345</v>
      </c>
      <c r="E5224" t="s">
        <v>26346</v>
      </c>
      <c r="F5224" t="s">
        <v>2758</v>
      </c>
      <c r="G5224" t="s">
        <v>26347</v>
      </c>
      <c r="H5224" t="s">
        <v>6621</v>
      </c>
      <c r="I5224" t="s">
        <v>19</v>
      </c>
      <c r="J5224" s="3" t="s">
        <v>26348</v>
      </c>
      <c r="K5224" t="s">
        <v>26349</v>
      </c>
      <c r="L5224" t="s">
        <v>13739</v>
      </c>
      <c r="M5224" t="s">
        <v>32149</v>
      </c>
    </row>
    <row r="5225" spans="1:13" x14ac:dyDescent="0.25">
      <c r="A5225" t="s">
        <v>11420</v>
      </c>
      <c r="B5225" t="s">
        <v>13</v>
      </c>
      <c r="C5225" t="s">
        <v>11417</v>
      </c>
      <c r="D5225" t="s">
        <v>11421</v>
      </c>
      <c r="E5225" t="s">
        <v>11422</v>
      </c>
      <c r="F5225" t="s">
        <v>1464</v>
      </c>
      <c r="G5225" t="s">
        <v>11423</v>
      </c>
      <c r="H5225" t="s">
        <v>11424</v>
      </c>
      <c r="I5225" t="s">
        <v>19</v>
      </c>
      <c r="J5225" s="3">
        <f>55-19-991180143</f>
        <v>-991180107</v>
      </c>
      <c r="K5225" t="s">
        <v>11425</v>
      </c>
      <c r="L5225" t="s">
        <v>11426</v>
      </c>
      <c r="M5225" t="s">
        <v>32186</v>
      </c>
    </row>
    <row r="5226" spans="1:13" x14ac:dyDescent="0.25">
      <c r="A5226" t="s">
        <v>10943</v>
      </c>
      <c r="B5226" t="s">
        <v>13</v>
      </c>
      <c r="C5226" t="s">
        <v>10921</v>
      </c>
      <c r="D5226" t="s">
        <v>10944</v>
      </c>
      <c r="E5226" t="s">
        <v>32665</v>
      </c>
      <c r="F5226" t="s">
        <v>57</v>
      </c>
      <c r="G5226" t="s">
        <v>10945</v>
      </c>
      <c r="H5226" t="s">
        <v>36</v>
      </c>
      <c r="I5226" t="s">
        <v>19</v>
      </c>
      <c r="J5226" s="3">
        <f>55-11-986254999</f>
        <v>-986254955</v>
      </c>
      <c r="K5226" t="s">
        <v>10946</v>
      </c>
      <c r="L5226" t="s">
        <v>10947</v>
      </c>
      <c r="M5226" t="s">
        <v>57</v>
      </c>
    </row>
    <row r="5227" spans="1:13" x14ac:dyDescent="0.25">
      <c r="A5227" t="s">
        <v>6238</v>
      </c>
      <c r="B5227" t="s">
        <v>13</v>
      </c>
      <c r="C5227" t="s">
        <v>6239</v>
      </c>
      <c r="D5227" t="s">
        <v>6240</v>
      </c>
      <c r="E5227" t="s">
        <v>32666</v>
      </c>
      <c r="F5227" t="s">
        <v>57</v>
      </c>
      <c r="G5227" t="s">
        <v>6241</v>
      </c>
      <c r="H5227" t="s">
        <v>2598</v>
      </c>
      <c r="I5227" t="s">
        <v>19</v>
      </c>
      <c r="J5227" s="3" t="s">
        <v>6242</v>
      </c>
      <c r="K5227" t="s">
        <v>6243</v>
      </c>
      <c r="L5227" t="s">
        <v>6244</v>
      </c>
      <c r="M5227" t="s">
        <v>57</v>
      </c>
    </row>
    <row r="5228" spans="1:13" x14ac:dyDescent="0.25">
      <c r="A5228" t="s">
        <v>9832</v>
      </c>
      <c r="B5228" t="s">
        <v>101</v>
      </c>
      <c r="C5228" s="1">
        <v>44083</v>
      </c>
      <c r="D5228" t="s">
        <v>9833</v>
      </c>
      <c r="E5228" t="s">
        <v>32667</v>
      </c>
      <c r="F5228" t="s">
        <v>2036</v>
      </c>
      <c r="G5228" t="s">
        <v>9834</v>
      </c>
      <c r="H5228" t="s">
        <v>36</v>
      </c>
      <c r="I5228" t="s">
        <v>19</v>
      </c>
      <c r="J5228" s="3">
        <v>5511991647940</v>
      </c>
      <c r="K5228" t="s">
        <v>9835</v>
      </c>
      <c r="L5228" t="s">
        <v>9836</v>
      </c>
      <c r="M5228" t="s">
        <v>57</v>
      </c>
    </row>
    <row r="5229" spans="1:13" x14ac:dyDescent="0.25">
      <c r="A5229" t="s">
        <v>4401</v>
      </c>
      <c r="B5229" t="s">
        <v>13</v>
      </c>
      <c r="C5229" s="1">
        <v>44837</v>
      </c>
      <c r="D5229" t="s">
        <v>4402</v>
      </c>
      <c r="E5229" t="s">
        <v>4403</v>
      </c>
      <c r="F5229" t="s">
        <v>4404</v>
      </c>
      <c r="G5229" t="s">
        <v>4405</v>
      </c>
      <c r="H5229" t="s">
        <v>428</v>
      </c>
      <c r="I5229" t="s">
        <v>19</v>
      </c>
      <c r="J5229" s="3">
        <v>5551998242223</v>
      </c>
      <c r="K5229" t="s">
        <v>4406</v>
      </c>
      <c r="L5229" t="s">
        <v>1113</v>
      </c>
      <c r="M5229" t="s">
        <v>1775</v>
      </c>
    </row>
    <row r="5230" spans="1:13" x14ac:dyDescent="0.25">
      <c r="A5230" t="s">
        <v>9930</v>
      </c>
      <c r="B5230" t="s">
        <v>13</v>
      </c>
      <c r="C5230" s="1">
        <v>43870</v>
      </c>
      <c r="D5230" t="s">
        <v>9931</v>
      </c>
      <c r="E5230" s="2" t="s">
        <v>32045</v>
      </c>
      <c r="F5230" t="s">
        <v>2530</v>
      </c>
      <c r="G5230" t="s">
        <v>9932</v>
      </c>
      <c r="H5230" t="s">
        <v>36</v>
      </c>
      <c r="I5230" t="s">
        <v>19</v>
      </c>
      <c r="J5230" s="3" t="s">
        <v>9933</v>
      </c>
      <c r="K5230" t="s">
        <v>7298</v>
      </c>
      <c r="L5230" t="s">
        <v>439</v>
      </c>
      <c r="M5230" t="s">
        <v>741</v>
      </c>
    </row>
    <row r="5231" spans="1:13" x14ac:dyDescent="0.25">
      <c r="A5231" t="s">
        <v>164</v>
      </c>
      <c r="B5231" t="s">
        <v>13</v>
      </c>
      <c r="C5231" t="s">
        <v>165</v>
      </c>
      <c r="D5231" t="s">
        <v>166</v>
      </c>
      <c r="E5231" t="s">
        <v>167</v>
      </c>
      <c r="F5231" t="s">
        <v>168</v>
      </c>
      <c r="G5231" t="s">
        <v>169</v>
      </c>
      <c r="H5231" t="s">
        <v>170</v>
      </c>
      <c r="I5231" t="s">
        <v>19</v>
      </c>
      <c r="J5231" s="3" t="s">
        <v>171</v>
      </c>
      <c r="K5231" t="s">
        <v>172</v>
      </c>
      <c r="L5231" t="s">
        <v>173</v>
      </c>
      <c r="M5231" t="s">
        <v>337</v>
      </c>
    </row>
    <row r="5232" spans="1:13" x14ac:dyDescent="0.25">
      <c r="A5232" t="s">
        <v>986</v>
      </c>
      <c r="B5232" t="s">
        <v>13</v>
      </c>
      <c r="C5232" s="1">
        <v>44693</v>
      </c>
      <c r="D5232" t="s">
        <v>987</v>
      </c>
      <c r="E5232" t="s">
        <v>988</v>
      </c>
      <c r="F5232" t="s">
        <v>989</v>
      </c>
      <c r="G5232" t="s">
        <v>990</v>
      </c>
      <c r="H5232" t="s">
        <v>991</v>
      </c>
      <c r="I5232" t="s">
        <v>19</v>
      </c>
      <c r="J5232" s="3">
        <v>5551998869263</v>
      </c>
      <c r="K5232" t="s">
        <v>992</v>
      </c>
      <c r="L5232" t="s">
        <v>993</v>
      </c>
      <c r="M5232" t="s">
        <v>337</v>
      </c>
    </row>
    <row r="5233" spans="1:13" x14ac:dyDescent="0.25">
      <c r="A5233" t="s">
        <v>21259</v>
      </c>
      <c r="B5233" t="s">
        <v>13</v>
      </c>
      <c r="C5233" t="s">
        <v>21260</v>
      </c>
      <c r="D5233" t="s">
        <v>21261</v>
      </c>
      <c r="E5233" t="s">
        <v>3759</v>
      </c>
      <c r="F5233" t="s">
        <v>32147</v>
      </c>
      <c r="G5233" t="s">
        <v>21262</v>
      </c>
      <c r="H5233" t="s">
        <v>36</v>
      </c>
      <c r="I5233" t="s">
        <v>19</v>
      </c>
      <c r="J5233" s="3" t="s">
        <v>21263</v>
      </c>
      <c r="K5233" t="s">
        <v>21264</v>
      </c>
      <c r="L5233" t="s">
        <v>21265</v>
      </c>
      <c r="M5233" t="s">
        <v>32147</v>
      </c>
    </row>
    <row r="5234" spans="1:13" x14ac:dyDescent="0.25">
      <c r="A5234" t="s">
        <v>23901</v>
      </c>
      <c r="B5234" t="s">
        <v>13</v>
      </c>
      <c r="C5234" t="s">
        <v>23902</v>
      </c>
      <c r="D5234" t="s">
        <v>23903</v>
      </c>
      <c r="E5234" s="2" t="s">
        <v>31557</v>
      </c>
      <c r="F5234" t="s">
        <v>337</v>
      </c>
      <c r="G5234" t="s">
        <v>23904</v>
      </c>
      <c r="H5234" t="s">
        <v>578</v>
      </c>
      <c r="I5234" t="s">
        <v>19</v>
      </c>
      <c r="J5234" s="3">
        <v>5592991531358</v>
      </c>
      <c r="K5234" t="s">
        <v>23905</v>
      </c>
      <c r="L5234" t="s">
        <v>23906</v>
      </c>
      <c r="M5234" t="s">
        <v>337</v>
      </c>
    </row>
    <row r="5235" spans="1:13" x14ac:dyDescent="0.25">
      <c r="A5235" t="s">
        <v>23363</v>
      </c>
      <c r="B5235" t="s">
        <v>13</v>
      </c>
      <c r="C5235" s="1">
        <v>42988</v>
      </c>
      <c r="D5235" t="s">
        <v>23364</v>
      </c>
      <c r="E5235" t="s">
        <v>32668</v>
      </c>
      <c r="F5235" t="s">
        <v>785</v>
      </c>
      <c r="G5235" t="s">
        <v>23365</v>
      </c>
      <c r="H5235" t="s">
        <v>489</v>
      </c>
      <c r="I5235" t="s">
        <v>19</v>
      </c>
      <c r="J5235" s="3" t="s">
        <v>23366</v>
      </c>
      <c r="K5235" t="s">
        <v>13823</v>
      </c>
      <c r="L5235" t="s">
        <v>22245</v>
      </c>
      <c r="M5235" t="s">
        <v>785</v>
      </c>
    </row>
    <row r="5236" spans="1:13" x14ac:dyDescent="0.25">
      <c r="A5236" t="s">
        <v>23773</v>
      </c>
      <c r="B5236" t="s">
        <v>13</v>
      </c>
      <c r="C5236" s="1">
        <v>42437</v>
      </c>
      <c r="D5236" t="s">
        <v>23774</v>
      </c>
      <c r="E5236" t="s">
        <v>23775</v>
      </c>
      <c r="F5236" t="s">
        <v>10034</v>
      </c>
      <c r="G5236" t="s">
        <v>23482</v>
      </c>
      <c r="H5236" t="s">
        <v>352</v>
      </c>
      <c r="I5236" t="s">
        <v>19</v>
      </c>
      <c r="J5236" s="3" t="s">
        <v>23483</v>
      </c>
      <c r="K5236" t="s">
        <v>23484</v>
      </c>
      <c r="L5236" t="s">
        <v>23485</v>
      </c>
      <c r="M5236" t="s">
        <v>741</v>
      </c>
    </row>
    <row r="5237" spans="1:13" x14ac:dyDescent="0.25">
      <c r="A5237" t="s">
        <v>1219</v>
      </c>
      <c r="B5237" t="s">
        <v>13</v>
      </c>
      <c r="C5237" t="s">
        <v>1220</v>
      </c>
      <c r="D5237" t="s">
        <v>1221</v>
      </c>
      <c r="E5237" t="s">
        <v>32669</v>
      </c>
      <c r="F5237" t="s">
        <v>147</v>
      </c>
      <c r="G5237" t="s">
        <v>1222</v>
      </c>
      <c r="H5237" t="s">
        <v>18</v>
      </c>
      <c r="I5237" t="s">
        <v>19</v>
      </c>
      <c r="J5237" s="3">
        <f>55-19-3343-6777</f>
        <v>-10084</v>
      </c>
      <c r="K5237" t="s">
        <v>1223</v>
      </c>
      <c r="L5237" t="s">
        <v>1224</v>
      </c>
      <c r="M5237" t="s">
        <v>741</v>
      </c>
    </row>
    <row r="5238" spans="1:13" x14ac:dyDescent="0.25">
      <c r="A5238" t="s">
        <v>10867</v>
      </c>
      <c r="B5238" t="s">
        <v>13</v>
      </c>
      <c r="C5238" t="s">
        <v>10863</v>
      </c>
      <c r="D5238" t="s">
        <v>10868</v>
      </c>
      <c r="E5238" t="s">
        <v>10869</v>
      </c>
      <c r="F5238" t="s">
        <v>9969</v>
      </c>
      <c r="G5238" t="s">
        <v>10870</v>
      </c>
      <c r="H5238" t="s">
        <v>299</v>
      </c>
      <c r="I5238" t="s">
        <v>19</v>
      </c>
      <c r="J5238" s="3" t="s">
        <v>8730</v>
      </c>
      <c r="K5238" t="s">
        <v>10871</v>
      </c>
      <c r="L5238" t="s">
        <v>2621</v>
      </c>
      <c r="M5238" t="s">
        <v>32149</v>
      </c>
    </row>
    <row r="5239" spans="1:13" x14ac:dyDescent="0.25">
      <c r="A5239" t="s">
        <v>15206</v>
      </c>
      <c r="B5239" t="s">
        <v>13</v>
      </c>
      <c r="C5239" t="s">
        <v>303</v>
      </c>
      <c r="D5239" t="s">
        <v>15207</v>
      </c>
      <c r="E5239" t="s">
        <v>3414</v>
      </c>
      <c r="F5239" t="s">
        <v>1464</v>
      </c>
      <c r="G5239" t="s">
        <v>11605</v>
      </c>
      <c r="H5239" t="s">
        <v>1206</v>
      </c>
      <c r="I5239" t="s">
        <v>19</v>
      </c>
      <c r="J5239" s="3" t="s">
        <v>11606</v>
      </c>
      <c r="K5239" t="s">
        <v>11607</v>
      </c>
      <c r="L5239" t="s">
        <v>1209</v>
      </c>
      <c r="M5239" t="s">
        <v>337</v>
      </c>
    </row>
    <row r="5240" spans="1:13" x14ac:dyDescent="0.25">
      <c r="A5240" t="s">
        <v>15252</v>
      </c>
      <c r="B5240" t="s">
        <v>13</v>
      </c>
      <c r="C5240" t="s">
        <v>15247</v>
      </c>
      <c r="D5240" t="s">
        <v>15253</v>
      </c>
      <c r="E5240" s="2" t="s">
        <v>31121</v>
      </c>
      <c r="F5240" t="s">
        <v>1464</v>
      </c>
      <c r="G5240" t="s">
        <v>15254</v>
      </c>
      <c r="H5240" t="s">
        <v>265</v>
      </c>
      <c r="I5240" t="s">
        <v>19</v>
      </c>
      <c r="J5240" s="3">
        <f>55-16-3315-3955</f>
        <v>-7231</v>
      </c>
      <c r="K5240" t="s">
        <v>15255</v>
      </c>
      <c r="L5240" t="s">
        <v>15256</v>
      </c>
      <c r="M5240" t="s">
        <v>337</v>
      </c>
    </row>
    <row r="5241" spans="1:13" x14ac:dyDescent="0.25">
      <c r="A5241" t="s">
        <v>16280</v>
      </c>
      <c r="B5241" t="s">
        <v>101</v>
      </c>
      <c r="C5241" s="1">
        <v>43533</v>
      </c>
      <c r="D5241" t="s">
        <v>16281</v>
      </c>
      <c r="E5241" t="s">
        <v>16282</v>
      </c>
      <c r="F5241" t="s">
        <v>332</v>
      </c>
      <c r="G5241" t="s">
        <v>16283</v>
      </c>
      <c r="H5241" t="s">
        <v>1090</v>
      </c>
      <c r="I5241" t="s">
        <v>19</v>
      </c>
      <c r="J5241" s="3">
        <f>55-8332167742</f>
        <v>-8332167687</v>
      </c>
      <c r="K5241" t="s">
        <v>16284</v>
      </c>
      <c r="L5241" t="s">
        <v>1092</v>
      </c>
      <c r="M5241" t="s">
        <v>337</v>
      </c>
    </row>
    <row r="5242" spans="1:13" x14ac:dyDescent="0.25">
      <c r="A5242" t="s">
        <v>9157</v>
      </c>
      <c r="B5242" t="s">
        <v>13</v>
      </c>
      <c r="C5242" s="1">
        <v>43901</v>
      </c>
      <c r="D5242" t="s">
        <v>9158</v>
      </c>
      <c r="E5242" s="2" t="s">
        <v>31398</v>
      </c>
      <c r="F5242" t="s">
        <v>332</v>
      </c>
      <c r="G5242" t="s">
        <v>1353</v>
      </c>
      <c r="H5242" t="s">
        <v>540</v>
      </c>
      <c r="I5242" t="s">
        <v>19</v>
      </c>
      <c r="J5242" s="3" t="s">
        <v>9159</v>
      </c>
      <c r="K5242" t="s">
        <v>9160</v>
      </c>
      <c r="L5242" t="s">
        <v>1353</v>
      </c>
      <c r="M5242" t="s">
        <v>337</v>
      </c>
    </row>
    <row r="5243" spans="1:13" x14ac:dyDescent="0.25">
      <c r="A5243" t="s">
        <v>11169</v>
      </c>
      <c r="B5243" t="s">
        <v>13</v>
      </c>
      <c r="C5243" s="1">
        <v>43989</v>
      </c>
      <c r="D5243" t="s">
        <v>11170</v>
      </c>
      <c r="E5243" t="s">
        <v>11171</v>
      </c>
      <c r="F5243" t="s">
        <v>10034</v>
      </c>
      <c r="G5243" t="s">
        <v>11172</v>
      </c>
      <c r="H5243" t="s">
        <v>352</v>
      </c>
      <c r="I5243" t="s">
        <v>19</v>
      </c>
      <c r="J5243" s="3">
        <f>55-21-998897351</f>
        <v>-998897317</v>
      </c>
      <c r="K5243" t="s">
        <v>11173</v>
      </c>
      <c r="L5243" t="s">
        <v>10262</v>
      </c>
      <c r="M5243" t="s">
        <v>337</v>
      </c>
    </row>
    <row r="5244" spans="1:13" x14ac:dyDescent="0.25">
      <c r="A5244" t="s">
        <v>19462</v>
      </c>
      <c r="B5244" t="s">
        <v>13</v>
      </c>
      <c r="C5244" t="s">
        <v>19453</v>
      </c>
      <c r="D5244" t="s">
        <v>19463</v>
      </c>
      <c r="E5244" t="s">
        <v>19464</v>
      </c>
      <c r="F5244" t="s">
        <v>332</v>
      </c>
      <c r="G5244" t="s">
        <v>19465</v>
      </c>
      <c r="H5244" t="s">
        <v>798</v>
      </c>
      <c r="I5244" t="s">
        <v>19</v>
      </c>
      <c r="J5244" s="3">
        <v>556131071802</v>
      </c>
      <c r="K5244" t="s">
        <v>19466</v>
      </c>
      <c r="L5244" t="s">
        <v>1767</v>
      </c>
      <c r="M5244" t="s">
        <v>337</v>
      </c>
    </row>
    <row r="5245" spans="1:13" x14ac:dyDescent="0.25">
      <c r="A5245" t="s">
        <v>24216</v>
      </c>
      <c r="B5245" t="s">
        <v>13</v>
      </c>
      <c r="C5245" t="s">
        <v>24217</v>
      </c>
      <c r="D5245" t="s">
        <v>24218</v>
      </c>
      <c r="E5245" t="s">
        <v>5249</v>
      </c>
      <c r="F5245" t="s">
        <v>332</v>
      </c>
      <c r="G5245" t="s">
        <v>24219</v>
      </c>
      <c r="H5245" t="s">
        <v>472</v>
      </c>
      <c r="I5245" t="s">
        <v>19</v>
      </c>
      <c r="J5245" s="3" t="s">
        <v>24220</v>
      </c>
      <c r="K5245" t="s">
        <v>24221</v>
      </c>
      <c r="L5245" t="s">
        <v>3281</v>
      </c>
      <c r="M5245" t="s">
        <v>337</v>
      </c>
    </row>
    <row r="5246" spans="1:13" x14ac:dyDescent="0.25">
      <c r="A5246" t="s">
        <v>5248</v>
      </c>
      <c r="B5246" t="s">
        <v>13</v>
      </c>
      <c r="C5246" t="s">
        <v>2770</v>
      </c>
      <c r="D5246" t="s">
        <v>32135</v>
      </c>
      <c r="E5246" t="s">
        <v>5249</v>
      </c>
      <c r="F5246" t="s">
        <v>332</v>
      </c>
      <c r="G5246" t="s">
        <v>5250</v>
      </c>
      <c r="H5246" t="s">
        <v>472</v>
      </c>
      <c r="I5246" t="s">
        <v>19</v>
      </c>
      <c r="J5246" s="3" t="s">
        <v>5251</v>
      </c>
      <c r="K5246" t="s">
        <v>5252</v>
      </c>
      <c r="L5246" t="s">
        <v>32135</v>
      </c>
      <c r="M5246" t="s">
        <v>337</v>
      </c>
    </row>
    <row r="5247" spans="1:13" x14ac:dyDescent="0.25">
      <c r="A5247" t="s">
        <v>9284</v>
      </c>
      <c r="B5247" t="s">
        <v>13</v>
      </c>
      <c r="C5247" s="1">
        <v>44084</v>
      </c>
      <c r="D5247" t="s">
        <v>9285</v>
      </c>
      <c r="E5247" s="2" t="s">
        <v>32670</v>
      </c>
      <c r="F5247" t="s">
        <v>1349</v>
      </c>
      <c r="G5247" t="s">
        <v>6036</v>
      </c>
      <c r="H5247" t="s">
        <v>18</v>
      </c>
      <c r="I5247" t="s">
        <v>19</v>
      </c>
      <c r="J5247" s="3" t="s">
        <v>9286</v>
      </c>
      <c r="K5247" t="s">
        <v>6038</v>
      </c>
      <c r="L5247" t="s">
        <v>9287</v>
      </c>
      <c r="M5247" t="s">
        <v>1349</v>
      </c>
    </row>
    <row r="5248" spans="1:13" x14ac:dyDescent="0.25">
      <c r="A5248" t="s">
        <v>7577</v>
      </c>
      <c r="B5248" t="s">
        <v>101</v>
      </c>
      <c r="C5248" t="s">
        <v>6097</v>
      </c>
      <c r="D5248" t="s">
        <v>7578</v>
      </c>
      <c r="E5248" t="s">
        <v>1006</v>
      </c>
      <c r="F5248" t="s">
        <v>1006</v>
      </c>
      <c r="H5248" t="s">
        <v>32135</v>
      </c>
      <c r="I5248" t="s">
        <v>32135</v>
      </c>
      <c r="J5248" t="s">
        <v>32135</v>
      </c>
      <c r="K5248" s="3" t="s">
        <v>32135</v>
      </c>
      <c r="L5248" t="s">
        <v>32135</v>
      </c>
      <c r="M5248" t="s">
        <v>337</v>
      </c>
    </row>
    <row r="5249" spans="1:13" x14ac:dyDescent="0.25">
      <c r="A5249" t="s">
        <v>11675</v>
      </c>
      <c r="B5249" t="s">
        <v>13</v>
      </c>
      <c r="C5249" t="s">
        <v>2310</v>
      </c>
      <c r="D5249" t="s">
        <v>11676</v>
      </c>
      <c r="E5249" t="s">
        <v>332</v>
      </c>
      <c r="F5249" t="s">
        <v>332</v>
      </c>
      <c r="G5249" t="s">
        <v>10128</v>
      </c>
      <c r="H5249" t="s">
        <v>2513</v>
      </c>
      <c r="I5249" t="s">
        <v>19</v>
      </c>
      <c r="J5249" s="3">
        <v>5586999939674</v>
      </c>
      <c r="K5249" t="s">
        <v>10129</v>
      </c>
      <c r="L5249" t="s">
        <v>74</v>
      </c>
      <c r="M5249" t="s">
        <v>337</v>
      </c>
    </row>
    <row r="5250" spans="1:13" x14ac:dyDescent="0.25">
      <c r="A5250" t="s">
        <v>13554</v>
      </c>
      <c r="B5250" t="s">
        <v>13</v>
      </c>
      <c r="C5250" t="s">
        <v>13550</v>
      </c>
      <c r="D5250" t="s">
        <v>13555</v>
      </c>
      <c r="E5250" t="s">
        <v>1006</v>
      </c>
      <c r="F5250" t="s">
        <v>1006</v>
      </c>
      <c r="G5250" t="s">
        <v>13556</v>
      </c>
      <c r="H5250" t="s">
        <v>265</v>
      </c>
      <c r="I5250" t="s">
        <v>19</v>
      </c>
      <c r="J5250" s="3" t="s">
        <v>13557</v>
      </c>
      <c r="K5250" t="s">
        <v>13558</v>
      </c>
      <c r="L5250" t="s">
        <v>11292</v>
      </c>
      <c r="M5250" t="s">
        <v>337</v>
      </c>
    </row>
    <row r="5251" spans="1:13" x14ac:dyDescent="0.25">
      <c r="A5251" t="s">
        <v>17305</v>
      </c>
      <c r="B5251" t="s">
        <v>13</v>
      </c>
      <c r="C5251" s="1">
        <v>43591</v>
      </c>
      <c r="D5251" t="s">
        <v>17306</v>
      </c>
      <c r="E5251" s="2" t="s">
        <v>31173</v>
      </c>
      <c r="F5251" t="s">
        <v>1464</v>
      </c>
      <c r="G5251" t="s">
        <v>2261</v>
      </c>
      <c r="H5251" t="s">
        <v>2215</v>
      </c>
      <c r="I5251" t="s">
        <v>19</v>
      </c>
      <c r="J5251" s="3" t="s">
        <v>2262</v>
      </c>
      <c r="K5251" t="s">
        <v>2263</v>
      </c>
      <c r="L5251" t="s">
        <v>2218</v>
      </c>
      <c r="M5251" t="s">
        <v>337</v>
      </c>
    </row>
    <row r="5252" spans="1:13" x14ac:dyDescent="0.25">
      <c r="A5252" t="s">
        <v>19900</v>
      </c>
      <c r="B5252" t="s">
        <v>13</v>
      </c>
      <c r="C5252" t="s">
        <v>12776</v>
      </c>
      <c r="D5252" t="s">
        <v>19901</v>
      </c>
      <c r="E5252" t="s">
        <v>19902</v>
      </c>
      <c r="F5252" t="s">
        <v>332</v>
      </c>
      <c r="G5252" t="s">
        <v>13015</v>
      </c>
      <c r="H5252" t="s">
        <v>265</v>
      </c>
      <c r="I5252" t="s">
        <v>19</v>
      </c>
      <c r="J5252" s="3" t="s">
        <v>13016</v>
      </c>
      <c r="K5252" t="s">
        <v>13017</v>
      </c>
      <c r="L5252" t="s">
        <v>13018</v>
      </c>
      <c r="M5252" t="s">
        <v>337</v>
      </c>
    </row>
    <row r="5253" spans="1:13" x14ac:dyDescent="0.25">
      <c r="A5253" t="s">
        <v>19138</v>
      </c>
      <c r="B5253" t="s">
        <v>13</v>
      </c>
      <c r="C5253" t="s">
        <v>19139</v>
      </c>
      <c r="D5253" t="s">
        <v>19140</v>
      </c>
      <c r="E5253" t="s">
        <v>19141</v>
      </c>
      <c r="F5253" t="s">
        <v>332</v>
      </c>
      <c r="G5253" t="s">
        <v>19142</v>
      </c>
      <c r="H5253" t="s">
        <v>265</v>
      </c>
      <c r="I5253" t="s">
        <v>19</v>
      </c>
      <c r="J5253" s="3">
        <f>55-16-33153995</f>
        <v>-33153956</v>
      </c>
      <c r="K5253" t="s">
        <v>19143</v>
      </c>
      <c r="L5253" t="s">
        <v>11292</v>
      </c>
      <c r="M5253" t="s">
        <v>337</v>
      </c>
    </row>
    <row r="5254" spans="1:13" x14ac:dyDescent="0.25">
      <c r="A5254" t="s">
        <v>23871</v>
      </c>
      <c r="B5254" t="s">
        <v>13</v>
      </c>
      <c r="C5254" s="1">
        <v>42924</v>
      </c>
      <c r="D5254" t="s">
        <v>23872</v>
      </c>
      <c r="E5254" t="s">
        <v>23873</v>
      </c>
      <c r="F5254" t="s">
        <v>332</v>
      </c>
      <c r="G5254" t="s">
        <v>23868</v>
      </c>
      <c r="H5254" t="s">
        <v>615</v>
      </c>
      <c r="I5254" t="s">
        <v>19</v>
      </c>
      <c r="J5254" s="3" t="s">
        <v>23869</v>
      </c>
      <c r="K5254" t="s">
        <v>23870</v>
      </c>
      <c r="L5254" t="s">
        <v>618</v>
      </c>
      <c r="M5254" t="s">
        <v>337</v>
      </c>
    </row>
    <row r="5255" spans="1:13" x14ac:dyDescent="0.25">
      <c r="A5255" t="s">
        <v>19961</v>
      </c>
      <c r="B5255" t="s">
        <v>13</v>
      </c>
      <c r="C5255" t="s">
        <v>13612</v>
      </c>
      <c r="D5255" t="s">
        <v>19962</v>
      </c>
      <c r="E5255" s="2" t="s">
        <v>31012</v>
      </c>
      <c r="F5255" t="s">
        <v>332</v>
      </c>
      <c r="G5255" t="s">
        <v>11622</v>
      </c>
      <c r="H5255" t="s">
        <v>88</v>
      </c>
      <c r="I5255" t="s">
        <v>19</v>
      </c>
      <c r="J5255" s="3" t="s">
        <v>19963</v>
      </c>
      <c r="K5255" t="s">
        <v>19964</v>
      </c>
      <c r="L5255" t="s">
        <v>91</v>
      </c>
      <c r="M5255" t="s">
        <v>337</v>
      </c>
    </row>
    <row r="5256" spans="1:13" x14ac:dyDescent="0.25">
      <c r="A5256" t="s">
        <v>11323</v>
      </c>
      <c r="B5256" t="s">
        <v>13</v>
      </c>
      <c r="C5256" t="s">
        <v>11304</v>
      </c>
      <c r="D5256" t="s">
        <v>11324</v>
      </c>
      <c r="E5256" s="2" t="s">
        <v>31012</v>
      </c>
      <c r="F5256" t="s">
        <v>332</v>
      </c>
      <c r="G5256" t="s">
        <v>11325</v>
      </c>
      <c r="H5256" t="s">
        <v>88</v>
      </c>
      <c r="I5256" t="s">
        <v>19</v>
      </c>
      <c r="J5256" s="3" t="s">
        <v>11326</v>
      </c>
      <c r="K5256" t="s">
        <v>11327</v>
      </c>
      <c r="L5256" t="s">
        <v>91</v>
      </c>
      <c r="M5256" t="s">
        <v>337</v>
      </c>
    </row>
    <row r="5257" spans="1:13" x14ac:dyDescent="0.25">
      <c r="A5257" t="s">
        <v>11620</v>
      </c>
      <c r="B5257" t="s">
        <v>13</v>
      </c>
      <c r="C5257" t="s">
        <v>11609</v>
      </c>
      <c r="D5257" t="s">
        <v>11621</v>
      </c>
      <c r="E5257" s="2" t="s">
        <v>31019</v>
      </c>
      <c r="F5257" t="s">
        <v>332</v>
      </c>
      <c r="G5257" t="s">
        <v>11622</v>
      </c>
      <c r="H5257" t="s">
        <v>88</v>
      </c>
      <c r="I5257" t="s">
        <v>19</v>
      </c>
      <c r="J5257" s="3">
        <v>558432154100</v>
      </c>
      <c r="K5257" t="s">
        <v>11623</v>
      </c>
      <c r="L5257" t="s">
        <v>91</v>
      </c>
      <c r="M5257" t="s">
        <v>337</v>
      </c>
    </row>
    <row r="5258" spans="1:13" x14ac:dyDescent="0.25">
      <c r="A5258" t="s">
        <v>7740</v>
      </c>
      <c r="B5258" t="s">
        <v>13</v>
      </c>
      <c r="C5258" s="1">
        <v>44321</v>
      </c>
      <c r="D5258" t="s">
        <v>32135</v>
      </c>
      <c r="E5258" t="s">
        <v>7741</v>
      </c>
      <c r="F5258" t="s">
        <v>211</v>
      </c>
      <c r="G5258" t="s">
        <v>7742</v>
      </c>
      <c r="H5258" t="s">
        <v>2215</v>
      </c>
      <c r="I5258" t="s">
        <v>19</v>
      </c>
      <c r="J5258" s="3" t="s">
        <v>7743</v>
      </c>
      <c r="K5258" t="s">
        <v>7744</v>
      </c>
      <c r="L5258" t="s">
        <v>32135</v>
      </c>
      <c r="M5258" t="s">
        <v>337</v>
      </c>
    </row>
    <row r="5259" spans="1:13" x14ac:dyDescent="0.25">
      <c r="A5259" t="s">
        <v>25639</v>
      </c>
      <c r="B5259" t="s">
        <v>13</v>
      </c>
      <c r="C5259" t="s">
        <v>25640</v>
      </c>
      <c r="D5259" t="s">
        <v>25641</v>
      </c>
      <c r="E5259" s="2" t="s">
        <v>32027</v>
      </c>
      <c r="F5259" t="s">
        <v>332</v>
      </c>
      <c r="G5259" t="s">
        <v>25642</v>
      </c>
      <c r="H5259" t="s">
        <v>2215</v>
      </c>
      <c r="I5259" t="s">
        <v>19</v>
      </c>
      <c r="J5259" s="3" t="s">
        <v>25643</v>
      </c>
      <c r="K5259" t="s">
        <v>2217</v>
      </c>
      <c r="L5259" t="s">
        <v>2218</v>
      </c>
      <c r="M5259" t="s">
        <v>337</v>
      </c>
    </row>
    <row r="5260" spans="1:13" x14ac:dyDescent="0.25">
      <c r="A5260" t="s">
        <v>9855</v>
      </c>
      <c r="B5260" t="s">
        <v>101</v>
      </c>
      <c r="C5260" s="1">
        <v>44083</v>
      </c>
      <c r="D5260" t="s">
        <v>9856</v>
      </c>
      <c r="E5260" s="2" t="s">
        <v>32119</v>
      </c>
      <c r="F5260" t="s">
        <v>332</v>
      </c>
      <c r="G5260" t="s">
        <v>8797</v>
      </c>
      <c r="H5260" t="s">
        <v>8798</v>
      </c>
      <c r="I5260" t="s">
        <v>2059</v>
      </c>
      <c r="J5260" s="3" t="s">
        <v>9857</v>
      </c>
      <c r="K5260" t="s">
        <v>8799</v>
      </c>
      <c r="L5260" t="s">
        <v>8800</v>
      </c>
      <c r="M5260" t="s">
        <v>337</v>
      </c>
    </row>
    <row r="5261" spans="1:13" x14ac:dyDescent="0.25">
      <c r="A5261" t="s">
        <v>11561</v>
      </c>
      <c r="B5261" t="s">
        <v>13</v>
      </c>
      <c r="C5261" s="1">
        <v>43896</v>
      </c>
      <c r="D5261" t="s">
        <v>11562</v>
      </c>
      <c r="E5261" s="2" t="s">
        <v>31790</v>
      </c>
      <c r="F5261" t="s">
        <v>332</v>
      </c>
      <c r="G5261" t="s">
        <v>11563</v>
      </c>
      <c r="H5261" t="s">
        <v>714</v>
      </c>
      <c r="I5261" t="s">
        <v>19</v>
      </c>
      <c r="J5261" s="3">
        <f>55-1836363270</f>
        <v>-1836363215</v>
      </c>
      <c r="K5261" t="s">
        <v>11564</v>
      </c>
      <c r="L5261" t="s">
        <v>3762</v>
      </c>
      <c r="M5261" t="s">
        <v>337</v>
      </c>
    </row>
    <row r="5262" spans="1:13" x14ac:dyDescent="0.25">
      <c r="A5262" t="s">
        <v>14918</v>
      </c>
      <c r="B5262" t="s">
        <v>13</v>
      </c>
      <c r="C5262" t="s">
        <v>10506</v>
      </c>
      <c r="D5262" t="s">
        <v>14919</v>
      </c>
      <c r="E5262" s="2" t="s">
        <v>31815</v>
      </c>
      <c r="F5262" t="s">
        <v>332</v>
      </c>
      <c r="G5262" t="s">
        <v>11605</v>
      </c>
      <c r="H5262" t="s">
        <v>1206</v>
      </c>
      <c r="I5262" t="s">
        <v>19</v>
      </c>
      <c r="J5262" s="3" t="s">
        <v>11606</v>
      </c>
      <c r="K5262" t="s">
        <v>11607</v>
      </c>
      <c r="L5262" t="s">
        <v>1209</v>
      </c>
      <c r="M5262" t="s">
        <v>337</v>
      </c>
    </row>
    <row r="5263" spans="1:13" x14ac:dyDescent="0.25">
      <c r="A5263" t="s">
        <v>9768</v>
      </c>
      <c r="B5263" t="s">
        <v>13</v>
      </c>
      <c r="C5263" t="s">
        <v>9752</v>
      </c>
      <c r="D5263" t="s">
        <v>9769</v>
      </c>
      <c r="E5263" s="2" t="s">
        <v>32671</v>
      </c>
      <c r="F5263" t="s">
        <v>332</v>
      </c>
      <c r="G5263" t="s">
        <v>9770</v>
      </c>
      <c r="H5263" t="s">
        <v>798</v>
      </c>
      <c r="I5263" t="s">
        <v>19</v>
      </c>
      <c r="J5263" s="3">
        <v>5561981790981</v>
      </c>
      <c r="K5263" t="s">
        <v>9771</v>
      </c>
      <c r="L5263" t="s">
        <v>801</v>
      </c>
      <c r="M5263" t="s">
        <v>337</v>
      </c>
    </row>
    <row r="5264" spans="1:13" x14ac:dyDescent="0.25">
      <c r="A5264" t="s">
        <v>27390</v>
      </c>
      <c r="B5264" t="s">
        <v>13</v>
      </c>
      <c r="C5264" s="1">
        <v>42226</v>
      </c>
      <c r="D5264" t="s">
        <v>27391</v>
      </c>
      <c r="E5264" t="s">
        <v>27392</v>
      </c>
      <c r="F5264" t="s">
        <v>332</v>
      </c>
      <c r="G5264" t="s">
        <v>8884</v>
      </c>
      <c r="H5264" t="s">
        <v>88</v>
      </c>
      <c r="I5264" t="s">
        <v>19</v>
      </c>
      <c r="J5264" s="3" t="s">
        <v>19963</v>
      </c>
      <c r="K5264" t="s">
        <v>8885</v>
      </c>
      <c r="L5264" t="s">
        <v>27393</v>
      </c>
      <c r="M5264" t="s">
        <v>337</v>
      </c>
    </row>
    <row r="5265" spans="1:13" x14ac:dyDescent="0.25">
      <c r="A5265" t="s">
        <v>12700</v>
      </c>
      <c r="B5265" t="s">
        <v>13</v>
      </c>
      <c r="C5265" t="s">
        <v>7663</v>
      </c>
      <c r="D5265" t="s">
        <v>12701</v>
      </c>
      <c r="E5265" s="2" t="s">
        <v>32672</v>
      </c>
      <c r="F5265" t="s">
        <v>332</v>
      </c>
      <c r="G5265" t="s">
        <v>12702</v>
      </c>
      <c r="H5265" t="s">
        <v>18</v>
      </c>
      <c r="I5265" t="s">
        <v>19</v>
      </c>
      <c r="J5265" s="3" t="s">
        <v>12703</v>
      </c>
      <c r="K5265" t="s">
        <v>12704</v>
      </c>
      <c r="L5265" t="s">
        <v>4218</v>
      </c>
      <c r="M5265" t="s">
        <v>337</v>
      </c>
    </row>
    <row r="5266" spans="1:13" x14ac:dyDescent="0.25">
      <c r="A5266" t="s">
        <v>23865</v>
      </c>
      <c r="B5266" t="s">
        <v>13</v>
      </c>
      <c r="C5266" s="1">
        <v>42924</v>
      </c>
      <c r="D5266" t="s">
        <v>23866</v>
      </c>
      <c r="E5266" t="s">
        <v>23867</v>
      </c>
      <c r="F5266" t="s">
        <v>332</v>
      </c>
      <c r="G5266" t="s">
        <v>23868</v>
      </c>
      <c r="H5266" t="s">
        <v>615</v>
      </c>
      <c r="I5266" t="s">
        <v>19</v>
      </c>
      <c r="J5266" s="3" t="s">
        <v>23869</v>
      </c>
      <c r="K5266" t="s">
        <v>23870</v>
      </c>
      <c r="L5266" t="s">
        <v>618</v>
      </c>
      <c r="M5266" t="s">
        <v>337</v>
      </c>
    </row>
    <row r="5267" spans="1:13" x14ac:dyDescent="0.25">
      <c r="A5267" t="s">
        <v>4268</v>
      </c>
      <c r="B5267" t="s">
        <v>13</v>
      </c>
      <c r="C5267" s="1">
        <v>44510</v>
      </c>
      <c r="D5267" t="s">
        <v>4269</v>
      </c>
      <c r="E5267" s="2" t="s">
        <v>30804</v>
      </c>
      <c r="F5267" t="s">
        <v>1006</v>
      </c>
      <c r="G5267" t="s">
        <v>4270</v>
      </c>
      <c r="H5267" t="s">
        <v>2215</v>
      </c>
      <c r="I5267" t="s">
        <v>19</v>
      </c>
      <c r="J5267" s="3" t="s">
        <v>4271</v>
      </c>
      <c r="K5267" t="s">
        <v>4272</v>
      </c>
      <c r="L5267" t="s">
        <v>2218</v>
      </c>
      <c r="M5267" t="s">
        <v>337</v>
      </c>
    </row>
    <row r="5268" spans="1:13" x14ac:dyDescent="0.25">
      <c r="A5268" t="s">
        <v>15043</v>
      </c>
      <c r="B5268" t="s">
        <v>13</v>
      </c>
      <c r="C5268" t="s">
        <v>6701</v>
      </c>
      <c r="D5268" t="s">
        <v>15044</v>
      </c>
      <c r="E5268" t="s">
        <v>32673</v>
      </c>
      <c r="F5268" t="s">
        <v>332</v>
      </c>
      <c r="G5268" t="s">
        <v>15045</v>
      </c>
      <c r="H5268" t="s">
        <v>1802</v>
      </c>
      <c r="I5268" t="s">
        <v>19</v>
      </c>
      <c r="J5268" s="3">
        <v>551432358356</v>
      </c>
      <c r="K5268" t="s">
        <v>15046</v>
      </c>
      <c r="L5268" t="s">
        <v>1805</v>
      </c>
      <c r="M5268" t="s">
        <v>337</v>
      </c>
    </row>
    <row r="5269" spans="1:13" x14ac:dyDescent="0.25">
      <c r="A5269" t="s">
        <v>5540</v>
      </c>
      <c r="B5269" t="s">
        <v>13</v>
      </c>
      <c r="C5269" t="s">
        <v>5080</v>
      </c>
      <c r="D5269" t="s">
        <v>32135</v>
      </c>
      <c r="E5269" s="2" t="s">
        <v>31903</v>
      </c>
      <c r="F5269" t="s">
        <v>5541</v>
      </c>
      <c r="G5269" t="s">
        <v>5542</v>
      </c>
      <c r="H5269" t="s">
        <v>5543</v>
      </c>
      <c r="I5269" t="s">
        <v>19</v>
      </c>
      <c r="J5269" s="3" t="s">
        <v>5544</v>
      </c>
      <c r="K5269" t="s">
        <v>5545</v>
      </c>
      <c r="L5269" t="s">
        <v>32135</v>
      </c>
      <c r="M5269" t="s">
        <v>337</v>
      </c>
    </row>
    <row r="5270" spans="1:13" x14ac:dyDescent="0.25">
      <c r="A5270" t="s">
        <v>26292</v>
      </c>
      <c r="B5270" t="s">
        <v>13</v>
      </c>
      <c r="C5270" s="1">
        <v>42648</v>
      </c>
      <c r="D5270" t="s">
        <v>26293</v>
      </c>
      <c r="E5270" t="s">
        <v>26294</v>
      </c>
      <c r="F5270" t="s">
        <v>1432</v>
      </c>
      <c r="G5270" t="s">
        <v>26295</v>
      </c>
      <c r="H5270" t="s">
        <v>26296</v>
      </c>
      <c r="I5270" t="s">
        <v>19</v>
      </c>
      <c r="J5270" s="3">
        <v>5598981246776</v>
      </c>
      <c r="K5270" t="s">
        <v>26297</v>
      </c>
      <c r="L5270" t="s">
        <v>26298</v>
      </c>
      <c r="M5270" t="s">
        <v>1432</v>
      </c>
    </row>
    <row r="5271" spans="1:13" x14ac:dyDescent="0.25">
      <c r="A5271" t="s">
        <v>18138</v>
      </c>
      <c r="B5271" t="s">
        <v>13</v>
      </c>
      <c r="C5271" t="s">
        <v>18139</v>
      </c>
      <c r="D5271" t="s">
        <v>18140</v>
      </c>
      <c r="E5271" s="2" t="s">
        <v>31854</v>
      </c>
      <c r="F5271" t="s">
        <v>332</v>
      </c>
      <c r="G5271" t="s">
        <v>18141</v>
      </c>
      <c r="H5271" t="s">
        <v>16336</v>
      </c>
      <c r="I5271" t="s">
        <v>19</v>
      </c>
      <c r="J5271" s="3">
        <f>55-88-999898988</f>
        <v>-999899021</v>
      </c>
      <c r="K5271" t="s">
        <v>18142</v>
      </c>
      <c r="L5271" t="s">
        <v>18143</v>
      </c>
      <c r="M5271" t="s">
        <v>337</v>
      </c>
    </row>
    <row r="5272" spans="1:13" x14ac:dyDescent="0.25">
      <c r="A5272" t="s">
        <v>28502</v>
      </c>
      <c r="B5272" t="s">
        <v>13</v>
      </c>
      <c r="C5272" t="s">
        <v>28503</v>
      </c>
      <c r="D5272" t="s">
        <v>28504</v>
      </c>
      <c r="E5272" t="s">
        <v>12882</v>
      </c>
      <c r="F5272" t="s">
        <v>3084</v>
      </c>
      <c r="G5272" t="s">
        <v>28505</v>
      </c>
      <c r="H5272" t="s">
        <v>36</v>
      </c>
      <c r="I5272" t="s">
        <v>19</v>
      </c>
      <c r="J5272" s="3" t="s">
        <v>28506</v>
      </c>
      <c r="K5272" t="s">
        <v>28507</v>
      </c>
      <c r="L5272" t="s">
        <v>28508</v>
      </c>
      <c r="M5272" t="s">
        <v>32144</v>
      </c>
    </row>
    <row r="5273" spans="1:13" x14ac:dyDescent="0.25">
      <c r="A5273" t="s">
        <v>15592</v>
      </c>
      <c r="B5273" t="s">
        <v>13</v>
      </c>
      <c r="C5273" s="1">
        <v>43748</v>
      </c>
      <c r="D5273" t="s">
        <v>15593</v>
      </c>
      <c r="E5273" t="s">
        <v>15594</v>
      </c>
      <c r="F5273" t="s">
        <v>1464</v>
      </c>
      <c r="G5273" t="s">
        <v>15595</v>
      </c>
      <c r="H5273" t="s">
        <v>265</v>
      </c>
      <c r="I5273" t="s">
        <v>19</v>
      </c>
      <c r="J5273" s="3" t="s">
        <v>15596</v>
      </c>
      <c r="K5273" t="s">
        <v>15597</v>
      </c>
      <c r="L5273" t="s">
        <v>6584</v>
      </c>
      <c r="M5273" t="s">
        <v>32144</v>
      </c>
    </row>
    <row r="5274" spans="1:13" x14ac:dyDescent="0.25">
      <c r="A5274" t="s">
        <v>26570</v>
      </c>
      <c r="B5274" t="s">
        <v>13</v>
      </c>
      <c r="C5274" s="1">
        <v>42647</v>
      </c>
      <c r="D5274" t="s">
        <v>26571</v>
      </c>
      <c r="E5274" t="s">
        <v>26572</v>
      </c>
      <c r="F5274" t="s">
        <v>1464</v>
      </c>
      <c r="G5274" t="s">
        <v>26573</v>
      </c>
      <c r="H5274" t="s">
        <v>6121</v>
      </c>
      <c r="I5274" t="s">
        <v>19</v>
      </c>
      <c r="J5274" s="3" t="s">
        <v>26574</v>
      </c>
      <c r="K5274" t="s">
        <v>26575</v>
      </c>
      <c r="L5274" t="s">
        <v>439</v>
      </c>
      <c r="M5274" t="s">
        <v>32144</v>
      </c>
    </row>
    <row r="5275" spans="1:13" x14ac:dyDescent="0.25">
      <c r="A5275" t="s">
        <v>22735</v>
      </c>
      <c r="B5275" t="s">
        <v>13</v>
      </c>
      <c r="C5275" t="s">
        <v>22726</v>
      </c>
      <c r="D5275" t="s">
        <v>22736</v>
      </c>
      <c r="E5275" t="s">
        <v>22737</v>
      </c>
      <c r="F5275" t="s">
        <v>129</v>
      </c>
      <c r="G5275" t="s">
        <v>22738</v>
      </c>
      <c r="H5275" t="s">
        <v>18</v>
      </c>
      <c r="I5275" t="s">
        <v>19</v>
      </c>
      <c r="J5275" s="3" t="s">
        <v>7673</v>
      </c>
      <c r="K5275" t="s">
        <v>11005</v>
      </c>
      <c r="L5275" t="s">
        <v>285</v>
      </c>
      <c r="M5275" t="s">
        <v>129</v>
      </c>
    </row>
    <row r="5276" spans="1:13" x14ac:dyDescent="0.25">
      <c r="A5276" t="s">
        <v>20847</v>
      </c>
      <c r="B5276" t="s">
        <v>13</v>
      </c>
      <c r="C5276" t="s">
        <v>20848</v>
      </c>
      <c r="D5276" t="s">
        <v>20849</v>
      </c>
      <c r="E5276" t="s">
        <v>10427</v>
      </c>
      <c r="F5276" t="s">
        <v>129</v>
      </c>
      <c r="G5276" t="s">
        <v>12119</v>
      </c>
      <c r="H5276" t="s">
        <v>12120</v>
      </c>
      <c r="I5276" t="s">
        <v>19</v>
      </c>
      <c r="J5276" s="3">
        <f>55-24-992192494</f>
        <v>-992192463</v>
      </c>
      <c r="K5276" t="s">
        <v>12121</v>
      </c>
      <c r="L5276" t="s">
        <v>12122</v>
      </c>
      <c r="M5276" t="s">
        <v>129</v>
      </c>
    </row>
    <row r="5277" spans="1:13" x14ac:dyDescent="0.25">
      <c r="A5277" t="s">
        <v>17500</v>
      </c>
      <c r="B5277" t="s">
        <v>13</v>
      </c>
      <c r="C5277" s="1">
        <v>43651</v>
      </c>
      <c r="D5277" t="s">
        <v>17501</v>
      </c>
      <c r="E5277" t="s">
        <v>12964</v>
      </c>
      <c r="F5277" t="s">
        <v>129</v>
      </c>
      <c r="G5277" t="s">
        <v>16218</v>
      </c>
      <c r="H5277" t="s">
        <v>36</v>
      </c>
      <c r="I5277" t="s">
        <v>19</v>
      </c>
      <c r="J5277" s="3">
        <v>5511991924774</v>
      </c>
      <c r="K5277" t="s">
        <v>16220</v>
      </c>
      <c r="L5277" t="s">
        <v>439</v>
      </c>
      <c r="M5277" t="s">
        <v>129</v>
      </c>
    </row>
    <row r="5278" spans="1:13" x14ac:dyDescent="0.25">
      <c r="A5278" t="s">
        <v>6363</v>
      </c>
      <c r="B5278" t="s">
        <v>13</v>
      </c>
      <c r="C5278" t="s">
        <v>6364</v>
      </c>
      <c r="D5278" t="s">
        <v>6365</v>
      </c>
      <c r="E5278" t="s">
        <v>6366</v>
      </c>
      <c r="F5278" t="s">
        <v>129</v>
      </c>
      <c r="G5278" t="s">
        <v>6367</v>
      </c>
      <c r="H5278" t="s">
        <v>6368</v>
      </c>
      <c r="I5278" t="s">
        <v>19</v>
      </c>
      <c r="J5278" s="3">
        <v>5516997502404</v>
      </c>
      <c r="K5278" t="s">
        <v>6369</v>
      </c>
      <c r="L5278" t="s">
        <v>197</v>
      </c>
      <c r="M5278" t="s">
        <v>129</v>
      </c>
    </row>
    <row r="5279" spans="1:13" x14ac:dyDescent="0.25">
      <c r="A5279" t="s">
        <v>10425</v>
      </c>
      <c r="B5279" t="s">
        <v>13</v>
      </c>
      <c r="C5279" s="1">
        <v>44047</v>
      </c>
      <c r="D5279" t="s">
        <v>10426</v>
      </c>
      <c r="E5279" t="s">
        <v>10427</v>
      </c>
      <c r="F5279" t="s">
        <v>129</v>
      </c>
      <c r="G5279" t="s">
        <v>10428</v>
      </c>
      <c r="H5279" t="s">
        <v>615</v>
      </c>
      <c r="I5279" t="s">
        <v>19</v>
      </c>
      <c r="J5279" s="3">
        <v>32182952</v>
      </c>
      <c r="K5279" t="s">
        <v>10429</v>
      </c>
      <c r="L5279" t="s">
        <v>618</v>
      </c>
      <c r="M5279" t="s">
        <v>129</v>
      </c>
    </row>
    <row r="5280" spans="1:13" x14ac:dyDescent="0.25">
      <c r="A5280" t="s">
        <v>28236</v>
      </c>
      <c r="B5280" t="s">
        <v>13</v>
      </c>
      <c r="C5280" s="1">
        <v>42221</v>
      </c>
      <c r="D5280" t="s">
        <v>28237</v>
      </c>
      <c r="E5280" t="s">
        <v>6366</v>
      </c>
      <c r="F5280" t="s">
        <v>8193</v>
      </c>
      <c r="G5280" t="s">
        <v>28238</v>
      </c>
      <c r="H5280" t="s">
        <v>28</v>
      </c>
      <c r="I5280" t="s">
        <v>19</v>
      </c>
      <c r="J5280" s="3" t="s">
        <v>28239</v>
      </c>
      <c r="K5280" t="s">
        <v>28240</v>
      </c>
      <c r="L5280" t="s">
        <v>923</v>
      </c>
      <c r="M5280" t="s">
        <v>129</v>
      </c>
    </row>
    <row r="5281" spans="1:13" x14ac:dyDescent="0.25">
      <c r="A5281" t="s">
        <v>12962</v>
      </c>
      <c r="B5281" t="s">
        <v>101</v>
      </c>
      <c r="C5281" s="1">
        <v>44138</v>
      </c>
      <c r="D5281" t="s">
        <v>12963</v>
      </c>
      <c r="E5281" t="s">
        <v>12964</v>
      </c>
      <c r="F5281" t="s">
        <v>8193</v>
      </c>
      <c r="G5281" t="s">
        <v>12965</v>
      </c>
      <c r="H5281" t="s">
        <v>229</v>
      </c>
      <c r="I5281" t="s">
        <v>19</v>
      </c>
      <c r="J5281" s="3">
        <f>55-11-49935400</f>
        <v>-49935356</v>
      </c>
      <c r="K5281" t="s">
        <v>12966</v>
      </c>
      <c r="L5281" t="s">
        <v>12967</v>
      </c>
      <c r="M5281" t="s">
        <v>129</v>
      </c>
    </row>
    <row r="5282" spans="1:13" x14ac:dyDescent="0.25">
      <c r="A5282" t="s">
        <v>17654</v>
      </c>
      <c r="B5282" t="s">
        <v>13</v>
      </c>
      <c r="C5282" t="s">
        <v>17652</v>
      </c>
      <c r="D5282" t="s">
        <v>17655</v>
      </c>
      <c r="E5282" s="2" t="s">
        <v>31991</v>
      </c>
      <c r="F5282" t="s">
        <v>129</v>
      </c>
      <c r="G5282" t="s">
        <v>838</v>
      </c>
      <c r="H5282" t="s">
        <v>18</v>
      </c>
      <c r="I5282" t="s">
        <v>19</v>
      </c>
      <c r="J5282" s="3" t="s">
        <v>839</v>
      </c>
      <c r="K5282" t="s">
        <v>840</v>
      </c>
      <c r="L5282" t="s">
        <v>17656</v>
      </c>
      <c r="M5282" t="s">
        <v>129</v>
      </c>
    </row>
    <row r="5283" spans="1:13" x14ac:dyDescent="0.25">
      <c r="A5283" t="s">
        <v>21752</v>
      </c>
      <c r="B5283" t="s">
        <v>13</v>
      </c>
      <c r="C5283" t="s">
        <v>9776</v>
      </c>
      <c r="D5283" t="s">
        <v>21753</v>
      </c>
      <c r="E5283" s="2" t="s">
        <v>31299</v>
      </c>
      <c r="F5283" t="s">
        <v>8193</v>
      </c>
      <c r="G5283" t="s">
        <v>21754</v>
      </c>
      <c r="H5283" t="s">
        <v>4621</v>
      </c>
      <c r="I5283" t="s">
        <v>19</v>
      </c>
      <c r="J5283" s="3">
        <f>55-19-36311352</f>
        <v>-36311316</v>
      </c>
      <c r="K5283" t="s">
        <v>21755</v>
      </c>
      <c r="L5283" t="s">
        <v>285</v>
      </c>
      <c r="M5283" t="s">
        <v>129</v>
      </c>
    </row>
    <row r="5284" spans="1:13" x14ac:dyDescent="0.25">
      <c r="A5284" t="s">
        <v>6019</v>
      </c>
      <c r="B5284" t="s">
        <v>13</v>
      </c>
      <c r="C5284" s="1">
        <v>44510</v>
      </c>
      <c r="D5284" t="s">
        <v>32135</v>
      </c>
      <c r="E5284" t="s">
        <v>6020</v>
      </c>
      <c r="F5284" t="s">
        <v>3147</v>
      </c>
      <c r="G5284" t="s">
        <v>6021</v>
      </c>
      <c r="H5284" t="s">
        <v>141</v>
      </c>
      <c r="I5284" t="s">
        <v>19</v>
      </c>
      <c r="J5284" s="3">
        <f>55-82-32155073</f>
        <v>-32155100</v>
      </c>
      <c r="K5284" t="s">
        <v>6022</v>
      </c>
      <c r="L5284" t="s">
        <v>32135</v>
      </c>
      <c r="M5284" t="s">
        <v>32144</v>
      </c>
    </row>
    <row r="5285" spans="1:13" x14ac:dyDescent="0.25">
      <c r="A5285" t="s">
        <v>12880</v>
      </c>
      <c r="B5285" t="s">
        <v>13</v>
      </c>
      <c r="C5285" t="s">
        <v>8968</v>
      </c>
      <c r="D5285" t="s">
        <v>12881</v>
      </c>
      <c r="E5285" s="2" t="s">
        <v>6020</v>
      </c>
      <c r="F5285" t="s">
        <v>1464</v>
      </c>
      <c r="G5285" t="s">
        <v>12883</v>
      </c>
      <c r="H5285" t="s">
        <v>88</v>
      </c>
      <c r="I5285" t="s">
        <v>19</v>
      </c>
      <c r="J5285" s="3" t="s">
        <v>12884</v>
      </c>
      <c r="K5285" t="s">
        <v>12885</v>
      </c>
      <c r="L5285" t="s">
        <v>91</v>
      </c>
      <c r="M5285" t="s">
        <v>32144</v>
      </c>
    </row>
    <row r="5286" spans="1:13" x14ac:dyDescent="0.25">
      <c r="A5286" t="s">
        <v>6468</v>
      </c>
      <c r="B5286" t="s">
        <v>13</v>
      </c>
      <c r="C5286" s="1">
        <v>44448</v>
      </c>
      <c r="D5286" t="s">
        <v>32135</v>
      </c>
      <c r="E5286" t="s">
        <v>6469</v>
      </c>
      <c r="F5286" t="s">
        <v>6470</v>
      </c>
      <c r="G5286" t="s">
        <v>6471</v>
      </c>
      <c r="H5286" t="s">
        <v>1090</v>
      </c>
      <c r="I5286" t="s">
        <v>19</v>
      </c>
      <c r="J5286" s="3">
        <f>55-83-991368203</f>
        <v>-991368231</v>
      </c>
      <c r="K5286" t="s">
        <v>6472</v>
      </c>
      <c r="L5286" t="s">
        <v>32135</v>
      </c>
      <c r="M5286" t="s">
        <v>32144</v>
      </c>
    </row>
    <row r="5287" spans="1:13" x14ac:dyDescent="0.25">
      <c r="A5287" t="s">
        <v>12217</v>
      </c>
      <c r="B5287" t="s">
        <v>13</v>
      </c>
      <c r="C5287" t="s">
        <v>7455</v>
      </c>
      <c r="D5287" t="s">
        <v>12218</v>
      </c>
      <c r="E5287" s="2" t="s">
        <v>31536</v>
      </c>
      <c r="F5287" t="s">
        <v>1464</v>
      </c>
      <c r="G5287" t="s">
        <v>12219</v>
      </c>
      <c r="H5287" t="s">
        <v>1090</v>
      </c>
      <c r="I5287" t="s">
        <v>19</v>
      </c>
      <c r="J5287" s="3" t="s">
        <v>12220</v>
      </c>
      <c r="K5287" t="s">
        <v>12221</v>
      </c>
      <c r="L5287" t="s">
        <v>12219</v>
      </c>
      <c r="M5287" t="s">
        <v>32144</v>
      </c>
    </row>
    <row r="5288" spans="1:13" x14ac:dyDescent="0.25">
      <c r="A5288" t="s">
        <v>11538</v>
      </c>
      <c r="B5288" t="s">
        <v>13</v>
      </c>
      <c r="C5288" s="1">
        <v>43896</v>
      </c>
      <c r="D5288" t="s">
        <v>11539</v>
      </c>
      <c r="E5288" s="2" t="s">
        <v>31906</v>
      </c>
      <c r="F5288" t="s">
        <v>1464</v>
      </c>
      <c r="G5288" t="s">
        <v>11540</v>
      </c>
      <c r="H5288" t="s">
        <v>265</v>
      </c>
      <c r="I5288" t="s">
        <v>19</v>
      </c>
      <c r="J5288" s="3" t="s">
        <v>11541</v>
      </c>
      <c r="K5288" t="s">
        <v>11542</v>
      </c>
      <c r="L5288" t="s">
        <v>1246</v>
      </c>
      <c r="M5288" t="s">
        <v>57</v>
      </c>
    </row>
    <row r="5289" spans="1:13" x14ac:dyDescent="0.25">
      <c r="A5289" t="s">
        <v>5894</v>
      </c>
      <c r="B5289" t="s">
        <v>13</v>
      </c>
      <c r="C5289" t="s">
        <v>1660</v>
      </c>
      <c r="D5289" t="s">
        <v>32135</v>
      </c>
      <c r="E5289" t="s">
        <v>531</v>
      </c>
      <c r="F5289" t="s">
        <v>26</v>
      </c>
      <c r="G5289" t="s">
        <v>5895</v>
      </c>
      <c r="H5289" t="s">
        <v>5896</v>
      </c>
      <c r="I5289" t="s">
        <v>19</v>
      </c>
      <c r="J5289" s="3">
        <f>55-48-3721-6455</f>
        <v>-10169</v>
      </c>
      <c r="K5289" t="s">
        <v>5897</v>
      </c>
      <c r="L5289" t="s">
        <v>32135</v>
      </c>
      <c r="M5289" t="s">
        <v>32144</v>
      </c>
    </row>
    <row r="5290" spans="1:13" x14ac:dyDescent="0.25">
      <c r="A5290" t="s">
        <v>12448</v>
      </c>
      <c r="B5290" t="s">
        <v>13</v>
      </c>
      <c r="C5290" s="1">
        <v>44047</v>
      </c>
      <c r="D5290" t="s">
        <v>12449</v>
      </c>
      <c r="E5290" t="s">
        <v>531</v>
      </c>
      <c r="F5290" t="s">
        <v>6130</v>
      </c>
      <c r="G5290" t="s">
        <v>12450</v>
      </c>
      <c r="H5290" t="s">
        <v>927</v>
      </c>
      <c r="I5290" t="s">
        <v>19</v>
      </c>
      <c r="J5290" s="3">
        <v>5511970404989</v>
      </c>
      <c r="K5290" t="s">
        <v>12451</v>
      </c>
      <c r="L5290" t="s">
        <v>439</v>
      </c>
      <c r="M5290" t="s">
        <v>32144</v>
      </c>
    </row>
    <row r="5291" spans="1:13" x14ac:dyDescent="0.25">
      <c r="A5291" t="s">
        <v>25363</v>
      </c>
      <c r="B5291" t="s">
        <v>13</v>
      </c>
      <c r="C5291" s="1">
        <v>42531</v>
      </c>
      <c r="D5291" t="s">
        <v>25364</v>
      </c>
      <c r="E5291" t="s">
        <v>531</v>
      </c>
      <c r="F5291" t="s">
        <v>1464</v>
      </c>
      <c r="G5291" t="s">
        <v>25365</v>
      </c>
      <c r="H5291" t="s">
        <v>265</v>
      </c>
      <c r="I5291" t="s">
        <v>19</v>
      </c>
      <c r="J5291" s="3" t="s">
        <v>25366</v>
      </c>
      <c r="K5291" t="s">
        <v>25367</v>
      </c>
      <c r="L5291" t="s">
        <v>25368</v>
      </c>
      <c r="M5291" t="s">
        <v>57</v>
      </c>
    </row>
    <row r="5292" spans="1:13" x14ac:dyDescent="0.25">
      <c r="A5292" t="s">
        <v>6267</v>
      </c>
      <c r="B5292" t="s">
        <v>13</v>
      </c>
      <c r="C5292" t="s">
        <v>6268</v>
      </c>
      <c r="D5292" t="s">
        <v>6269</v>
      </c>
      <c r="E5292" s="2" t="s">
        <v>30885</v>
      </c>
      <c r="F5292" t="s">
        <v>6270</v>
      </c>
      <c r="G5292" t="s">
        <v>6271</v>
      </c>
      <c r="H5292" t="s">
        <v>36</v>
      </c>
      <c r="I5292" t="s">
        <v>19</v>
      </c>
      <c r="J5292" s="3">
        <f>55-11-55711062</f>
        <v>-55711018</v>
      </c>
      <c r="K5292" t="s">
        <v>6272</v>
      </c>
      <c r="L5292" t="s">
        <v>32135</v>
      </c>
      <c r="M5292" t="s">
        <v>32144</v>
      </c>
    </row>
    <row r="5293" spans="1:13" x14ac:dyDescent="0.25">
      <c r="A5293" t="s">
        <v>24409</v>
      </c>
      <c r="B5293" t="s">
        <v>13</v>
      </c>
      <c r="C5293" s="1">
        <v>42890</v>
      </c>
      <c r="D5293" t="s">
        <v>24410</v>
      </c>
      <c r="E5293" t="s">
        <v>24411</v>
      </c>
      <c r="F5293" t="s">
        <v>3084</v>
      </c>
      <c r="G5293" t="s">
        <v>24412</v>
      </c>
      <c r="H5293" t="s">
        <v>36</v>
      </c>
      <c r="I5293" t="s">
        <v>19</v>
      </c>
      <c r="J5293" s="3" t="s">
        <v>24413</v>
      </c>
      <c r="K5293" t="s">
        <v>24414</v>
      </c>
      <c r="L5293" t="s">
        <v>21134</v>
      </c>
      <c r="M5293" t="s">
        <v>32144</v>
      </c>
    </row>
    <row r="5294" spans="1:13" x14ac:dyDescent="0.25">
      <c r="A5294" t="s">
        <v>5097</v>
      </c>
      <c r="B5294" t="s">
        <v>13</v>
      </c>
      <c r="C5294" t="s">
        <v>4119</v>
      </c>
      <c r="D5294" t="s">
        <v>32135</v>
      </c>
      <c r="E5294" s="2" t="s">
        <v>30833</v>
      </c>
      <c r="F5294" t="s">
        <v>5098</v>
      </c>
      <c r="G5294" t="s">
        <v>5099</v>
      </c>
      <c r="H5294" t="s">
        <v>5100</v>
      </c>
      <c r="I5294" t="s">
        <v>19</v>
      </c>
      <c r="J5294" s="3">
        <v>5581981904681</v>
      </c>
      <c r="K5294" t="s">
        <v>5101</v>
      </c>
      <c r="L5294" t="s">
        <v>32135</v>
      </c>
      <c r="M5294" t="s">
        <v>785</v>
      </c>
    </row>
    <row r="5295" spans="1:13" x14ac:dyDescent="0.25">
      <c r="A5295" t="s">
        <v>16200</v>
      </c>
      <c r="B5295" t="s">
        <v>13</v>
      </c>
      <c r="C5295" t="s">
        <v>16197</v>
      </c>
      <c r="D5295" t="s">
        <v>16201</v>
      </c>
      <c r="E5295" t="s">
        <v>1815</v>
      </c>
      <c r="F5295" t="s">
        <v>2947</v>
      </c>
      <c r="G5295" t="s">
        <v>16202</v>
      </c>
      <c r="H5295" t="s">
        <v>540</v>
      </c>
      <c r="I5295" t="s">
        <v>19</v>
      </c>
      <c r="J5295" s="3">
        <f>55-91-980327607</f>
        <v>-980327643</v>
      </c>
      <c r="K5295" t="s">
        <v>16203</v>
      </c>
      <c r="L5295" t="s">
        <v>3751</v>
      </c>
      <c r="M5295" t="s">
        <v>771</v>
      </c>
    </row>
    <row r="5296" spans="1:13" x14ac:dyDescent="0.25">
      <c r="A5296" t="s">
        <v>3996</v>
      </c>
      <c r="B5296" t="s">
        <v>13</v>
      </c>
      <c r="C5296" s="1">
        <v>44777</v>
      </c>
      <c r="D5296" t="s">
        <v>3997</v>
      </c>
      <c r="E5296" t="s">
        <v>1815</v>
      </c>
      <c r="F5296" t="s">
        <v>3998</v>
      </c>
      <c r="G5296" t="s">
        <v>3999</v>
      </c>
      <c r="H5296" t="s">
        <v>428</v>
      </c>
      <c r="I5296" t="s">
        <v>19</v>
      </c>
      <c r="J5296" s="3">
        <f>55-51-999165657</f>
        <v>-999165653</v>
      </c>
      <c r="K5296" t="s">
        <v>4000</v>
      </c>
      <c r="L5296" t="s">
        <v>1295</v>
      </c>
      <c r="M5296" t="s">
        <v>771</v>
      </c>
    </row>
    <row r="5297" spans="1:13" x14ac:dyDescent="0.25">
      <c r="A5297" t="s">
        <v>27634</v>
      </c>
      <c r="B5297" t="s">
        <v>13</v>
      </c>
      <c r="C5297" t="s">
        <v>27520</v>
      </c>
      <c r="D5297" t="s">
        <v>27635</v>
      </c>
      <c r="E5297" t="s">
        <v>1815</v>
      </c>
      <c r="F5297" t="s">
        <v>771</v>
      </c>
      <c r="G5297" t="s">
        <v>27636</v>
      </c>
      <c r="H5297" t="s">
        <v>265</v>
      </c>
      <c r="I5297" t="s">
        <v>19</v>
      </c>
      <c r="J5297" s="3" t="s">
        <v>27637</v>
      </c>
      <c r="K5297" t="s">
        <v>27638</v>
      </c>
      <c r="L5297" t="s">
        <v>3558</v>
      </c>
      <c r="M5297" t="s">
        <v>771</v>
      </c>
    </row>
    <row r="5298" spans="1:13" x14ac:dyDescent="0.25">
      <c r="A5298" t="s">
        <v>25773</v>
      </c>
      <c r="B5298" t="s">
        <v>13</v>
      </c>
      <c r="C5298" s="1">
        <v>42618</v>
      </c>
      <c r="D5298" t="s">
        <v>25774</v>
      </c>
      <c r="E5298" t="s">
        <v>1815</v>
      </c>
      <c r="F5298" t="s">
        <v>771</v>
      </c>
      <c r="G5298" t="s">
        <v>25775</v>
      </c>
      <c r="H5298" t="s">
        <v>36</v>
      </c>
      <c r="I5298" t="s">
        <v>19</v>
      </c>
      <c r="J5298" s="3" t="s">
        <v>24506</v>
      </c>
      <c r="K5298" t="s">
        <v>14699</v>
      </c>
      <c r="L5298" t="s">
        <v>2725</v>
      </c>
      <c r="M5298" t="s">
        <v>771</v>
      </c>
    </row>
    <row r="5299" spans="1:13" x14ac:dyDescent="0.25">
      <c r="A5299" t="s">
        <v>20628</v>
      </c>
      <c r="B5299" t="s">
        <v>101</v>
      </c>
      <c r="C5299" t="s">
        <v>20629</v>
      </c>
      <c r="D5299" t="s">
        <v>20630</v>
      </c>
      <c r="E5299" t="s">
        <v>1815</v>
      </c>
      <c r="F5299" t="s">
        <v>771</v>
      </c>
      <c r="G5299" t="s">
        <v>20631</v>
      </c>
      <c r="H5299" t="s">
        <v>36</v>
      </c>
      <c r="I5299" t="s">
        <v>19</v>
      </c>
      <c r="J5299" s="3" t="s">
        <v>20632</v>
      </c>
      <c r="K5299" t="s">
        <v>20633</v>
      </c>
      <c r="L5299" t="s">
        <v>2725</v>
      </c>
      <c r="M5299" t="s">
        <v>771</v>
      </c>
    </row>
    <row r="5300" spans="1:13" x14ac:dyDescent="0.25">
      <c r="A5300" t="s">
        <v>22482</v>
      </c>
      <c r="B5300" t="s">
        <v>13</v>
      </c>
      <c r="C5300" t="s">
        <v>8036</v>
      </c>
      <c r="D5300" t="s">
        <v>22483</v>
      </c>
      <c r="E5300" t="s">
        <v>1815</v>
      </c>
      <c r="F5300" t="s">
        <v>771</v>
      </c>
      <c r="G5300" t="s">
        <v>22484</v>
      </c>
      <c r="H5300" t="s">
        <v>45</v>
      </c>
      <c r="I5300" t="s">
        <v>19</v>
      </c>
      <c r="J5300" s="3" t="s">
        <v>22485</v>
      </c>
      <c r="K5300" t="s">
        <v>22486</v>
      </c>
      <c r="L5300" t="s">
        <v>21674</v>
      </c>
      <c r="M5300" t="s">
        <v>771</v>
      </c>
    </row>
    <row r="5301" spans="1:13" x14ac:dyDescent="0.25">
      <c r="A5301" t="s">
        <v>25878</v>
      </c>
      <c r="B5301" t="s">
        <v>101</v>
      </c>
      <c r="C5301" t="s">
        <v>18841</v>
      </c>
      <c r="D5301" t="s">
        <v>25879</v>
      </c>
      <c r="E5301" t="s">
        <v>1815</v>
      </c>
      <c r="F5301" t="s">
        <v>771</v>
      </c>
      <c r="G5301" t="s">
        <v>25880</v>
      </c>
      <c r="H5301" t="s">
        <v>25881</v>
      </c>
      <c r="I5301" t="s">
        <v>19</v>
      </c>
      <c r="J5301" s="3" t="s">
        <v>25882</v>
      </c>
      <c r="K5301" t="s">
        <v>25883</v>
      </c>
      <c r="L5301" t="s">
        <v>25884</v>
      </c>
      <c r="M5301" t="s">
        <v>771</v>
      </c>
    </row>
    <row r="5302" spans="1:13" x14ac:dyDescent="0.25">
      <c r="A5302" t="s">
        <v>19348</v>
      </c>
      <c r="B5302" t="s">
        <v>13</v>
      </c>
      <c r="C5302" s="1">
        <v>43200</v>
      </c>
      <c r="D5302" t="s">
        <v>19349</v>
      </c>
      <c r="E5302" t="s">
        <v>1815</v>
      </c>
      <c r="F5302" t="s">
        <v>771</v>
      </c>
      <c r="G5302" t="s">
        <v>19350</v>
      </c>
      <c r="H5302" t="s">
        <v>36</v>
      </c>
      <c r="I5302" t="s">
        <v>19</v>
      </c>
      <c r="J5302" s="3">
        <f>55-11-998533107</f>
        <v>-998533063</v>
      </c>
      <c r="K5302" t="s">
        <v>19351</v>
      </c>
      <c r="L5302" t="s">
        <v>1303</v>
      </c>
      <c r="M5302" t="s">
        <v>771</v>
      </c>
    </row>
    <row r="5303" spans="1:13" x14ac:dyDescent="0.25">
      <c r="A5303" t="s">
        <v>19302</v>
      </c>
      <c r="B5303" t="s">
        <v>13</v>
      </c>
      <c r="C5303" s="1">
        <v>43383</v>
      </c>
      <c r="D5303" t="s">
        <v>19303</v>
      </c>
      <c r="E5303" t="s">
        <v>1815</v>
      </c>
      <c r="F5303" t="s">
        <v>224</v>
      </c>
      <c r="G5303" t="s">
        <v>19304</v>
      </c>
      <c r="H5303" t="s">
        <v>265</v>
      </c>
      <c r="I5303" t="s">
        <v>19</v>
      </c>
      <c r="J5303" s="3" t="s">
        <v>19305</v>
      </c>
      <c r="K5303" t="s">
        <v>19306</v>
      </c>
      <c r="L5303" t="s">
        <v>321</v>
      </c>
      <c r="M5303" t="s">
        <v>224</v>
      </c>
    </row>
    <row r="5304" spans="1:13" x14ac:dyDescent="0.25">
      <c r="A5304" t="s">
        <v>28479</v>
      </c>
      <c r="B5304" t="s">
        <v>13</v>
      </c>
      <c r="C5304" s="1">
        <v>42097</v>
      </c>
      <c r="D5304" t="s">
        <v>28480</v>
      </c>
      <c r="E5304" t="s">
        <v>1815</v>
      </c>
      <c r="F5304" t="s">
        <v>224</v>
      </c>
      <c r="G5304" t="s">
        <v>20822</v>
      </c>
      <c r="H5304" t="s">
        <v>36</v>
      </c>
      <c r="I5304" t="s">
        <v>19</v>
      </c>
      <c r="J5304" s="3" t="s">
        <v>28481</v>
      </c>
      <c r="K5304" t="s">
        <v>24061</v>
      </c>
      <c r="L5304" t="s">
        <v>24062</v>
      </c>
      <c r="M5304" t="s">
        <v>224</v>
      </c>
    </row>
    <row r="5305" spans="1:13" x14ac:dyDescent="0.25">
      <c r="A5305" t="s">
        <v>14852</v>
      </c>
      <c r="B5305" t="s">
        <v>13</v>
      </c>
      <c r="C5305" t="s">
        <v>14853</v>
      </c>
      <c r="D5305" t="s">
        <v>14854</v>
      </c>
      <c r="E5305" t="s">
        <v>1815</v>
      </c>
      <c r="F5305" t="s">
        <v>224</v>
      </c>
      <c r="G5305" t="s">
        <v>2981</v>
      </c>
      <c r="H5305" t="s">
        <v>753</v>
      </c>
      <c r="I5305" t="s">
        <v>19</v>
      </c>
      <c r="J5305" s="3" t="s">
        <v>14855</v>
      </c>
      <c r="K5305" t="s">
        <v>2983</v>
      </c>
      <c r="L5305" t="s">
        <v>14856</v>
      </c>
      <c r="M5305" t="s">
        <v>224</v>
      </c>
    </row>
    <row r="5306" spans="1:13" x14ac:dyDescent="0.25">
      <c r="A5306" t="s">
        <v>24713</v>
      </c>
      <c r="B5306" t="s">
        <v>13</v>
      </c>
      <c r="C5306" t="s">
        <v>24679</v>
      </c>
      <c r="D5306" t="s">
        <v>24714</v>
      </c>
      <c r="E5306" t="s">
        <v>1815</v>
      </c>
      <c r="F5306" t="s">
        <v>224</v>
      </c>
      <c r="G5306" t="s">
        <v>24715</v>
      </c>
      <c r="H5306" t="s">
        <v>1301</v>
      </c>
      <c r="I5306" t="s">
        <v>19</v>
      </c>
      <c r="J5306" s="3" t="s">
        <v>24716</v>
      </c>
      <c r="K5306" t="s">
        <v>1302</v>
      </c>
      <c r="L5306" t="s">
        <v>24282</v>
      </c>
      <c r="M5306" t="s">
        <v>224</v>
      </c>
    </row>
    <row r="5307" spans="1:13" x14ac:dyDescent="0.25">
      <c r="A5307" t="s">
        <v>19008</v>
      </c>
      <c r="B5307" t="s">
        <v>13</v>
      </c>
      <c r="C5307" t="s">
        <v>12812</v>
      </c>
      <c r="D5307" t="s">
        <v>19009</v>
      </c>
      <c r="E5307" t="s">
        <v>1815</v>
      </c>
      <c r="F5307" t="s">
        <v>224</v>
      </c>
      <c r="G5307" t="s">
        <v>19006</v>
      </c>
      <c r="H5307" t="s">
        <v>472</v>
      </c>
      <c r="I5307" t="s">
        <v>19</v>
      </c>
      <c r="J5307" s="3">
        <f>55-81-21224100</f>
        <v>-21224126</v>
      </c>
      <c r="K5307" t="s">
        <v>19007</v>
      </c>
      <c r="L5307" t="s">
        <v>18143</v>
      </c>
      <c r="M5307" t="s">
        <v>224</v>
      </c>
    </row>
    <row r="5308" spans="1:13" x14ac:dyDescent="0.25">
      <c r="A5308" t="s">
        <v>6854</v>
      </c>
      <c r="B5308" t="s">
        <v>13</v>
      </c>
      <c r="C5308" t="s">
        <v>6850</v>
      </c>
      <c r="D5308" t="s">
        <v>32135</v>
      </c>
      <c r="E5308" t="s">
        <v>1815</v>
      </c>
      <c r="F5308" t="s">
        <v>6855</v>
      </c>
      <c r="G5308" t="s">
        <v>6856</v>
      </c>
      <c r="H5308" t="s">
        <v>32135</v>
      </c>
      <c r="I5308" t="s">
        <v>19</v>
      </c>
      <c r="J5308" s="3">
        <f>55-41-33611799</f>
        <v>-33611785</v>
      </c>
      <c r="K5308" t="s">
        <v>6857</v>
      </c>
      <c r="L5308" t="s">
        <v>32135</v>
      </c>
      <c r="M5308" t="s">
        <v>32192</v>
      </c>
    </row>
    <row r="5309" spans="1:13" x14ac:dyDescent="0.25">
      <c r="A5309" t="s">
        <v>25339</v>
      </c>
      <c r="B5309" t="s">
        <v>13</v>
      </c>
      <c r="C5309" s="1">
        <v>42653</v>
      </c>
      <c r="D5309" t="s">
        <v>25340</v>
      </c>
      <c r="E5309" t="s">
        <v>1815</v>
      </c>
      <c r="F5309" t="s">
        <v>1129</v>
      </c>
      <c r="G5309" t="s">
        <v>10106</v>
      </c>
      <c r="H5309" t="s">
        <v>3618</v>
      </c>
      <c r="I5309" t="s">
        <v>19</v>
      </c>
      <c r="J5309" s="3" t="s">
        <v>25341</v>
      </c>
      <c r="K5309" t="s">
        <v>24903</v>
      </c>
      <c r="L5309" t="s">
        <v>82</v>
      </c>
      <c r="M5309" t="s">
        <v>224</v>
      </c>
    </row>
    <row r="5310" spans="1:13" x14ac:dyDescent="0.25">
      <c r="A5310" t="s">
        <v>25460</v>
      </c>
      <c r="B5310" t="s">
        <v>13</v>
      </c>
      <c r="C5310" t="s">
        <v>25122</v>
      </c>
      <c r="D5310" t="s">
        <v>25461</v>
      </c>
      <c r="E5310" t="s">
        <v>1815</v>
      </c>
      <c r="F5310" t="s">
        <v>1129</v>
      </c>
      <c r="G5310" t="s">
        <v>5863</v>
      </c>
      <c r="H5310" t="s">
        <v>299</v>
      </c>
      <c r="I5310" t="s">
        <v>19</v>
      </c>
      <c r="J5310" s="3" t="s">
        <v>14129</v>
      </c>
      <c r="K5310" t="s">
        <v>5865</v>
      </c>
      <c r="L5310" t="s">
        <v>13988</v>
      </c>
      <c r="M5310" t="s">
        <v>224</v>
      </c>
    </row>
    <row r="5311" spans="1:13" x14ac:dyDescent="0.25">
      <c r="A5311" t="s">
        <v>21536</v>
      </c>
      <c r="B5311" t="s">
        <v>13</v>
      </c>
      <c r="C5311" s="1">
        <v>43439</v>
      </c>
      <c r="D5311" t="s">
        <v>21537</v>
      </c>
      <c r="E5311" t="s">
        <v>1815</v>
      </c>
      <c r="F5311" t="s">
        <v>1129</v>
      </c>
      <c r="G5311" t="s">
        <v>21538</v>
      </c>
      <c r="H5311" t="s">
        <v>428</v>
      </c>
      <c r="I5311" t="s">
        <v>19</v>
      </c>
      <c r="J5311" s="3" t="s">
        <v>21539</v>
      </c>
      <c r="K5311" t="s">
        <v>21540</v>
      </c>
      <c r="L5311" t="s">
        <v>1113</v>
      </c>
      <c r="M5311" t="s">
        <v>224</v>
      </c>
    </row>
    <row r="5312" spans="1:13" x14ac:dyDescent="0.25">
      <c r="A5312" t="s">
        <v>20972</v>
      </c>
      <c r="B5312" t="s">
        <v>13</v>
      </c>
      <c r="C5312" t="s">
        <v>11801</v>
      </c>
      <c r="D5312" t="s">
        <v>20973</v>
      </c>
      <c r="E5312" t="s">
        <v>1815</v>
      </c>
      <c r="F5312" t="s">
        <v>1129</v>
      </c>
      <c r="G5312" t="s">
        <v>944</v>
      </c>
      <c r="H5312" t="s">
        <v>36</v>
      </c>
      <c r="I5312" t="s">
        <v>19</v>
      </c>
      <c r="J5312" s="3" t="s">
        <v>20974</v>
      </c>
      <c r="K5312" t="s">
        <v>18498</v>
      </c>
      <c r="L5312" t="s">
        <v>5007</v>
      </c>
      <c r="M5312" t="s">
        <v>224</v>
      </c>
    </row>
    <row r="5313" spans="1:13" x14ac:dyDescent="0.25">
      <c r="A5313" t="s">
        <v>23815</v>
      </c>
      <c r="B5313" t="s">
        <v>13</v>
      </c>
      <c r="C5313" s="1">
        <v>42774</v>
      </c>
      <c r="D5313" t="s">
        <v>23816</v>
      </c>
      <c r="E5313" t="s">
        <v>1815</v>
      </c>
      <c r="F5313" t="s">
        <v>1129</v>
      </c>
      <c r="G5313" t="s">
        <v>23817</v>
      </c>
      <c r="H5313" t="s">
        <v>3416</v>
      </c>
      <c r="I5313" t="s">
        <v>19</v>
      </c>
      <c r="J5313" s="3" t="s">
        <v>23818</v>
      </c>
      <c r="K5313" t="s">
        <v>23819</v>
      </c>
      <c r="L5313" t="s">
        <v>23820</v>
      </c>
      <c r="M5313" t="s">
        <v>224</v>
      </c>
    </row>
    <row r="5314" spans="1:13" x14ac:dyDescent="0.25">
      <c r="A5314" t="s">
        <v>17771</v>
      </c>
      <c r="B5314" t="s">
        <v>13</v>
      </c>
      <c r="C5314" t="s">
        <v>7645</v>
      </c>
      <c r="D5314" t="s">
        <v>17772</v>
      </c>
      <c r="E5314" t="s">
        <v>1815</v>
      </c>
      <c r="F5314" t="s">
        <v>1129</v>
      </c>
      <c r="G5314" t="s">
        <v>17773</v>
      </c>
      <c r="H5314" t="s">
        <v>36</v>
      </c>
      <c r="I5314" t="s">
        <v>19</v>
      </c>
      <c r="J5314" s="3">
        <v>5511954341848</v>
      </c>
      <c r="K5314" t="s">
        <v>17774</v>
      </c>
      <c r="L5314" t="s">
        <v>17775</v>
      </c>
      <c r="M5314" t="s">
        <v>224</v>
      </c>
    </row>
    <row r="5315" spans="1:13" x14ac:dyDescent="0.25">
      <c r="A5315" t="s">
        <v>22526</v>
      </c>
      <c r="B5315" t="s">
        <v>13</v>
      </c>
      <c r="C5315" t="s">
        <v>22521</v>
      </c>
      <c r="D5315" t="s">
        <v>22527</v>
      </c>
      <c r="E5315" t="s">
        <v>1815</v>
      </c>
      <c r="F5315" t="s">
        <v>1129</v>
      </c>
      <c r="G5315" t="s">
        <v>17451</v>
      </c>
      <c r="H5315" t="s">
        <v>706</v>
      </c>
      <c r="I5315" t="s">
        <v>19</v>
      </c>
      <c r="J5315" s="3">
        <f>55-31-34092799</f>
        <v>-34092775</v>
      </c>
      <c r="K5315" t="s">
        <v>22528</v>
      </c>
      <c r="L5315" t="s">
        <v>565</v>
      </c>
      <c r="M5315" t="s">
        <v>224</v>
      </c>
    </row>
    <row r="5316" spans="1:13" x14ac:dyDescent="0.25">
      <c r="A5316" t="s">
        <v>23086</v>
      </c>
      <c r="B5316" t="s">
        <v>13</v>
      </c>
      <c r="C5316" s="1">
        <v>42927</v>
      </c>
      <c r="D5316" t="s">
        <v>23087</v>
      </c>
      <c r="E5316" t="s">
        <v>1815</v>
      </c>
      <c r="F5316" t="s">
        <v>1129</v>
      </c>
      <c r="G5316" t="s">
        <v>23088</v>
      </c>
      <c r="H5316" t="s">
        <v>18</v>
      </c>
      <c r="I5316" t="s">
        <v>19</v>
      </c>
      <c r="J5316" s="3">
        <f>55-12-991073884</f>
        <v>-991073841</v>
      </c>
      <c r="K5316" t="s">
        <v>23089</v>
      </c>
      <c r="L5316" t="s">
        <v>285</v>
      </c>
      <c r="M5316" t="s">
        <v>224</v>
      </c>
    </row>
    <row r="5317" spans="1:13" x14ac:dyDescent="0.25">
      <c r="A5317" t="s">
        <v>16017</v>
      </c>
      <c r="B5317" t="s">
        <v>101</v>
      </c>
      <c r="C5317" t="s">
        <v>6274</v>
      </c>
      <c r="D5317" t="s">
        <v>16018</v>
      </c>
      <c r="E5317" t="s">
        <v>1815</v>
      </c>
      <c r="F5317" t="s">
        <v>1129</v>
      </c>
      <c r="G5317" t="s">
        <v>16019</v>
      </c>
      <c r="H5317" t="s">
        <v>16020</v>
      </c>
      <c r="I5317" t="s">
        <v>19</v>
      </c>
      <c r="J5317" s="3">
        <v>5508491499547</v>
      </c>
      <c r="K5317" t="s">
        <v>16021</v>
      </c>
      <c r="L5317" t="s">
        <v>16022</v>
      </c>
      <c r="M5317" t="s">
        <v>224</v>
      </c>
    </row>
    <row r="5318" spans="1:13" x14ac:dyDescent="0.25">
      <c r="A5318" t="s">
        <v>15796</v>
      </c>
      <c r="B5318" t="s">
        <v>13</v>
      </c>
      <c r="C5318" s="1">
        <v>43506</v>
      </c>
      <c r="D5318" t="s">
        <v>15797</v>
      </c>
      <c r="E5318" t="s">
        <v>1815</v>
      </c>
      <c r="F5318" t="s">
        <v>1129</v>
      </c>
      <c r="G5318" t="s">
        <v>15798</v>
      </c>
      <c r="H5318" t="s">
        <v>299</v>
      </c>
      <c r="I5318" t="s">
        <v>19</v>
      </c>
      <c r="J5318" s="3">
        <v>551438801246</v>
      </c>
      <c r="K5318" t="s">
        <v>15799</v>
      </c>
      <c r="L5318" t="s">
        <v>15800</v>
      </c>
      <c r="M5318" t="s">
        <v>224</v>
      </c>
    </row>
    <row r="5319" spans="1:13" x14ac:dyDescent="0.25">
      <c r="A5319" t="s">
        <v>14931</v>
      </c>
      <c r="B5319" t="s">
        <v>13</v>
      </c>
      <c r="C5319" t="s">
        <v>6364</v>
      </c>
      <c r="D5319" t="s">
        <v>14932</v>
      </c>
      <c r="E5319" t="s">
        <v>1815</v>
      </c>
      <c r="F5319" t="s">
        <v>1129</v>
      </c>
      <c r="G5319" t="s">
        <v>14933</v>
      </c>
      <c r="H5319" t="s">
        <v>14934</v>
      </c>
      <c r="I5319" t="s">
        <v>19</v>
      </c>
      <c r="J5319" s="3">
        <f>55-44-998282768</f>
        <v>-998282757</v>
      </c>
      <c r="K5319" t="s">
        <v>14935</v>
      </c>
      <c r="L5319" t="s">
        <v>14936</v>
      </c>
      <c r="M5319" t="s">
        <v>224</v>
      </c>
    </row>
    <row r="5320" spans="1:13" x14ac:dyDescent="0.25">
      <c r="A5320" t="s">
        <v>14797</v>
      </c>
      <c r="B5320" t="s">
        <v>13</v>
      </c>
      <c r="C5320" t="s">
        <v>14401</v>
      </c>
      <c r="D5320" t="s">
        <v>14798</v>
      </c>
      <c r="E5320" t="s">
        <v>1815</v>
      </c>
      <c r="F5320" t="s">
        <v>1129</v>
      </c>
      <c r="G5320" t="s">
        <v>944</v>
      </c>
      <c r="H5320" t="s">
        <v>36</v>
      </c>
      <c r="I5320" t="s">
        <v>19</v>
      </c>
      <c r="J5320" s="3">
        <v>5511999530716</v>
      </c>
      <c r="K5320" t="s">
        <v>946</v>
      </c>
      <c r="L5320" t="s">
        <v>14799</v>
      </c>
      <c r="M5320" t="s">
        <v>224</v>
      </c>
    </row>
    <row r="5321" spans="1:13" x14ac:dyDescent="0.25">
      <c r="A5321" t="s">
        <v>4818</v>
      </c>
      <c r="B5321" t="s">
        <v>13</v>
      </c>
      <c r="C5321" s="1">
        <v>44867</v>
      </c>
      <c r="D5321" t="s">
        <v>4819</v>
      </c>
      <c r="E5321" t="s">
        <v>1815</v>
      </c>
      <c r="F5321" t="s">
        <v>1129</v>
      </c>
      <c r="G5321" t="s">
        <v>4820</v>
      </c>
      <c r="H5321" t="s">
        <v>4821</v>
      </c>
      <c r="I5321" t="s">
        <v>19</v>
      </c>
      <c r="J5321" s="3">
        <v>5511988439960</v>
      </c>
      <c r="K5321" t="s">
        <v>4822</v>
      </c>
      <c r="L5321" t="s">
        <v>321</v>
      </c>
      <c r="M5321" t="s">
        <v>224</v>
      </c>
    </row>
    <row r="5322" spans="1:13" x14ac:dyDescent="0.25">
      <c r="A5322" t="s">
        <v>25124</v>
      </c>
      <c r="B5322" t="s">
        <v>13</v>
      </c>
      <c r="C5322" t="s">
        <v>25125</v>
      </c>
      <c r="D5322" t="s">
        <v>25126</v>
      </c>
      <c r="E5322" t="s">
        <v>1815</v>
      </c>
      <c r="F5322" t="s">
        <v>1464</v>
      </c>
      <c r="G5322" t="s">
        <v>25127</v>
      </c>
      <c r="H5322" t="s">
        <v>352</v>
      </c>
      <c r="I5322" t="s">
        <v>19</v>
      </c>
      <c r="J5322" s="3" t="s">
        <v>25128</v>
      </c>
      <c r="K5322" t="s">
        <v>25129</v>
      </c>
      <c r="L5322" t="s">
        <v>25130</v>
      </c>
      <c r="M5322" t="s">
        <v>771</v>
      </c>
    </row>
    <row r="5323" spans="1:13" x14ac:dyDescent="0.25">
      <c r="A5323" t="s">
        <v>30500</v>
      </c>
      <c r="B5323" t="s">
        <v>13</v>
      </c>
      <c r="C5323" s="1">
        <v>40797</v>
      </c>
      <c r="D5323" t="s">
        <v>30501</v>
      </c>
      <c r="E5323" t="s">
        <v>1815</v>
      </c>
      <c r="F5323" t="s">
        <v>1464</v>
      </c>
      <c r="G5323" t="s">
        <v>30502</v>
      </c>
      <c r="H5323" t="s">
        <v>88</v>
      </c>
      <c r="I5323" t="s">
        <v>19</v>
      </c>
      <c r="J5323" s="3" t="s">
        <v>30503</v>
      </c>
      <c r="K5323" t="s">
        <v>30504</v>
      </c>
      <c r="L5323" t="s">
        <v>91</v>
      </c>
      <c r="M5323" t="s">
        <v>771</v>
      </c>
    </row>
    <row r="5324" spans="1:13" x14ac:dyDescent="0.25">
      <c r="A5324" t="s">
        <v>30271</v>
      </c>
      <c r="B5324" t="s">
        <v>101</v>
      </c>
      <c r="C5324" t="s">
        <v>30142</v>
      </c>
      <c r="D5324" t="s">
        <v>30272</v>
      </c>
      <c r="E5324" t="s">
        <v>1815</v>
      </c>
      <c r="F5324" t="s">
        <v>1464</v>
      </c>
      <c r="G5324" t="s">
        <v>4874</v>
      </c>
      <c r="H5324" t="s">
        <v>299</v>
      </c>
      <c r="I5324" t="s">
        <v>19</v>
      </c>
      <c r="J5324" s="3" t="s">
        <v>30273</v>
      </c>
      <c r="K5324" t="s">
        <v>30274</v>
      </c>
      <c r="L5324" t="s">
        <v>2548</v>
      </c>
      <c r="M5324" t="s">
        <v>771</v>
      </c>
    </row>
    <row r="5325" spans="1:13" x14ac:dyDescent="0.25">
      <c r="A5325" t="s">
        <v>20515</v>
      </c>
      <c r="B5325" t="s">
        <v>13</v>
      </c>
      <c r="C5325" t="s">
        <v>20499</v>
      </c>
      <c r="D5325" t="s">
        <v>20516</v>
      </c>
      <c r="E5325" t="s">
        <v>1815</v>
      </c>
      <c r="F5325" t="s">
        <v>1464</v>
      </c>
      <c r="G5325" t="s">
        <v>20517</v>
      </c>
      <c r="H5325" t="s">
        <v>1466</v>
      </c>
      <c r="I5325" t="s">
        <v>19</v>
      </c>
      <c r="J5325" s="3">
        <v>5535991927284</v>
      </c>
      <c r="K5325" t="s">
        <v>20518</v>
      </c>
      <c r="L5325" t="s">
        <v>1469</v>
      </c>
      <c r="M5325" t="s">
        <v>771</v>
      </c>
    </row>
    <row r="5326" spans="1:13" x14ac:dyDescent="0.25">
      <c r="A5326" t="s">
        <v>19908</v>
      </c>
      <c r="B5326" t="s">
        <v>13</v>
      </c>
      <c r="C5326" t="s">
        <v>11001</v>
      </c>
      <c r="D5326" t="s">
        <v>19909</v>
      </c>
      <c r="E5326" t="s">
        <v>13111</v>
      </c>
      <c r="F5326" t="s">
        <v>1464</v>
      </c>
      <c r="G5326" t="s">
        <v>19910</v>
      </c>
      <c r="H5326" t="s">
        <v>36</v>
      </c>
      <c r="I5326" t="s">
        <v>19</v>
      </c>
      <c r="J5326" s="3">
        <v>5511983221272</v>
      </c>
      <c r="K5326" t="s">
        <v>19911</v>
      </c>
      <c r="L5326" t="s">
        <v>5007</v>
      </c>
      <c r="M5326" t="s">
        <v>771</v>
      </c>
    </row>
    <row r="5327" spans="1:13" x14ac:dyDescent="0.25">
      <c r="A5327" t="s">
        <v>13600</v>
      </c>
      <c r="B5327" t="s">
        <v>13</v>
      </c>
      <c r="C5327" s="1">
        <v>44167</v>
      </c>
      <c r="D5327" t="s">
        <v>13601</v>
      </c>
      <c r="E5327" t="s">
        <v>1815</v>
      </c>
      <c r="F5327" t="s">
        <v>1464</v>
      </c>
      <c r="G5327" t="s">
        <v>13602</v>
      </c>
      <c r="H5327" t="s">
        <v>13603</v>
      </c>
      <c r="I5327" t="s">
        <v>19</v>
      </c>
      <c r="J5327" s="3">
        <f>55-83-988504148</f>
        <v>-988504176</v>
      </c>
      <c r="K5327" t="s">
        <v>13604</v>
      </c>
      <c r="L5327" t="s">
        <v>91</v>
      </c>
      <c r="M5327" t="s">
        <v>771</v>
      </c>
    </row>
    <row r="5328" spans="1:13" x14ac:dyDescent="0.25">
      <c r="A5328" t="s">
        <v>22828</v>
      </c>
      <c r="B5328" t="s">
        <v>13</v>
      </c>
      <c r="C5328" t="s">
        <v>8017</v>
      </c>
      <c r="D5328" t="s">
        <v>22829</v>
      </c>
      <c r="E5328" t="s">
        <v>1815</v>
      </c>
      <c r="F5328" t="s">
        <v>1464</v>
      </c>
      <c r="G5328" t="s">
        <v>22830</v>
      </c>
      <c r="H5328" t="s">
        <v>36</v>
      </c>
      <c r="I5328" t="s">
        <v>19</v>
      </c>
      <c r="J5328" s="3">
        <f>55-11-998591323</f>
        <v>-998591279</v>
      </c>
      <c r="K5328" t="s">
        <v>22831</v>
      </c>
      <c r="L5328" t="s">
        <v>223</v>
      </c>
      <c r="M5328" t="s">
        <v>771</v>
      </c>
    </row>
    <row r="5329" spans="1:13" x14ac:dyDescent="0.25">
      <c r="A5329" t="s">
        <v>16984</v>
      </c>
      <c r="B5329" t="s">
        <v>13</v>
      </c>
      <c r="C5329" t="s">
        <v>16959</v>
      </c>
      <c r="D5329" t="s">
        <v>16985</v>
      </c>
      <c r="E5329" t="s">
        <v>1815</v>
      </c>
      <c r="F5329" t="s">
        <v>1464</v>
      </c>
      <c r="G5329" t="s">
        <v>12119</v>
      </c>
      <c r="H5329" t="s">
        <v>12120</v>
      </c>
      <c r="I5329" t="s">
        <v>19</v>
      </c>
      <c r="J5329" s="3">
        <f>55-24-992192494</f>
        <v>-992192463</v>
      </c>
      <c r="K5329" t="s">
        <v>12121</v>
      </c>
      <c r="L5329" t="s">
        <v>12122</v>
      </c>
      <c r="M5329" t="s">
        <v>32185</v>
      </c>
    </row>
    <row r="5330" spans="1:13" x14ac:dyDescent="0.25">
      <c r="A5330" t="s">
        <v>22920</v>
      </c>
      <c r="B5330" t="s">
        <v>13</v>
      </c>
      <c r="C5330" t="s">
        <v>11826</v>
      </c>
      <c r="D5330" t="s">
        <v>22921</v>
      </c>
      <c r="E5330" t="s">
        <v>1815</v>
      </c>
      <c r="F5330" t="s">
        <v>1815</v>
      </c>
      <c r="G5330" t="s">
        <v>22922</v>
      </c>
      <c r="H5330" t="s">
        <v>36</v>
      </c>
      <c r="I5330" t="s">
        <v>19</v>
      </c>
      <c r="J5330" s="3">
        <f>55-11-966438833</f>
        <v>-966438789</v>
      </c>
      <c r="K5330" t="s">
        <v>22923</v>
      </c>
      <c r="L5330" t="s">
        <v>197</v>
      </c>
      <c r="M5330" t="s">
        <v>771</v>
      </c>
    </row>
    <row r="5331" spans="1:13" x14ac:dyDescent="0.25">
      <c r="A5331" t="s">
        <v>21788</v>
      </c>
      <c r="B5331" t="s">
        <v>13</v>
      </c>
      <c r="C5331" t="s">
        <v>9183</v>
      </c>
      <c r="D5331" t="s">
        <v>21789</v>
      </c>
      <c r="E5331" t="s">
        <v>21790</v>
      </c>
      <c r="F5331" t="s">
        <v>1129</v>
      </c>
      <c r="G5331" t="s">
        <v>21791</v>
      </c>
      <c r="H5331" t="s">
        <v>1466</v>
      </c>
      <c r="I5331" t="s">
        <v>19</v>
      </c>
      <c r="J5331" s="3" t="s">
        <v>21792</v>
      </c>
      <c r="K5331" t="s">
        <v>21793</v>
      </c>
      <c r="L5331" t="s">
        <v>1469</v>
      </c>
      <c r="M5331" t="s">
        <v>224</v>
      </c>
    </row>
    <row r="5332" spans="1:13" x14ac:dyDescent="0.25">
      <c r="A5332" t="s">
        <v>19505</v>
      </c>
      <c r="B5332" t="s">
        <v>13</v>
      </c>
      <c r="C5332" t="s">
        <v>19478</v>
      </c>
      <c r="D5332" t="s">
        <v>19506</v>
      </c>
      <c r="E5332" t="s">
        <v>19507</v>
      </c>
      <c r="F5332" t="s">
        <v>2947</v>
      </c>
      <c r="G5332" t="s">
        <v>19508</v>
      </c>
      <c r="H5332" t="s">
        <v>15827</v>
      </c>
      <c r="I5332" t="s">
        <v>15828</v>
      </c>
      <c r="J5332" s="3">
        <v>5733163563987</v>
      </c>
      <c r="K5332" t="s">
        <v>19509</v>
      </c>
      <c r="L5332" t="s">
        <v>15830</v>
      </c>
      <c r="M5332" t="s">
        <v>771</v>
      </c>
    </row>
    <row r="5333" spans="1:13" x14ac:dyDescent="0.25">
      <c r="A5333" t="s">
        <v>10176</v>
      </c>
      <c r="B5333" t="s">
        <v>13</v>
      </c>
      <c r="C5333" t="s">
        <v>8861</v>
      </c>
      <c r="D5333" t="s">
        <v>10177</v>
      </c>
      <c r="E5333" s="2" t="s">
        <v>32011</v>
      </c>
      <c r="F5333" t="s">
        <v>1464</v>
      </c>
      <c r="G5333" t="s">
        <v>10178</v>
      </c>
      <c r="H5333" t="s">
        <v>10179</v>
      </c>
      <c r="I5333" t="s">
        <v>19</v>
      </c>
      <c r="J5333" s="3">
        <f>55-43-999556161</f>
        <v>-999556149</v>
      </c>
      <c r="K5333" t="s">
        <v>10180</v>
      </c>
      <c r="L5333" t="s">
        <v>10181</v>
      </c>
      <c r="M5333" t="s">
        <v>771</v>
      </c>
    </row>
    <row r="5334" spans="1:13" x14ac:dyDescent="0.25">
      <c r="A5334" t="s">
        <v>24051</v>
      </c>
      <c r="B5334" t="s">
        <v>13</v>
      </c>
      <c r="C5334" s="1">
        <v>42862</v>
      </c>
      <c r="D5334" t="s">
        <v>24052</v>
      </c>
      <c r="E5334" t="s">
        <v>24053</v>
      </c>
      <c r="F5334" t="s">
        <v>2947</v>
      </c>
      <c r="G5334" t="s">
        <v>24054</v>
      </c>
      <c r="H5334" t="s">
        <v>150</v>
      </c>
      <c r="I5334" t="s">
        <v>19</v>
      </c>
      <c r="J5334" s="3" t="s">
        <v>24055</v>
      </c>
      <c r="K5334" t="s">
        <v>24056</v>
      </c>
      <c r="L5334" t="s">
        <v>24057</v>
      </c>
      <c r="M5334" t="s">
        <v>771</v>
      </c>
    </row>
    <row r="5335" spans="1:13" x14ac:dyDescent="0.25">
      <c r="A5335" t="s">
        <v>8264</v>
      </c>
      <c r="B5335" t="s">
        <v>13</v>
      </c>
      <c r="C5335" s="1">
        <v>44410</v>
      </c>
      <c r="D5335" t="s">
        <v>8265</v>
      </c>
      <c r="E5335" t="s">
        <v>8266</v>
      </c>
      <c r="F5335" t="s">
        <v>224</v>
      </c>
      <c r="G5335" t="s">
        <v>2632</v>
      </c>
      <c r="H5335" t="s">
        <v>28</v>
      </c>
      <c r="I5335" t="s">
        <v>19</v>
      </c>
      <c r="J5335" s="3">
        <v>553221023117</v>
      </c>
      <c r="K5335" t="s">
        <v>8267</v>
      </c>
      <c r="L5335" t="s">
        <v>32135</v>
      </c>
      <c r="M5335" t="s">
        <v>32144</v>
      </c>
    </row>
    <row r="5336" spans="1:13" x14ac:dyDescent="0.25">
      <c r="A5336" t="s">
        <v>11351</v>
      </c>
      <c r="B5336" t="s">
        <v>13</v>
      </c>
      <c r="C5336" t="s">
        <v>9573</v>
      </c>
      <c r="D5336" t="s">
        <v>11352</v>
      </c>
      <c r="E5336" t="s">
        <v>32674</v>
      </c>
      <c r="F5336" t="s">
        <v>224</v>
      </c>
      <c r="G5336" t="s">
        <v>11353</v>
      </c>
      <c r="H5336" t="s">
        <v>1486</v>
      </c>
      <c r="I5336" t="s">
        <v>19</v>
      </c>
      <c r="J5336" s="3">
        <f>55-34992687956</f>
        <v>-34992687901</v>
      </c>
      <c r="K5336" t="s">
        <v>11354</v>
      </c>
      <c r="L5336" t="s">
        <v>3681</v>
      </c>
      <c r="M5336" t="s">
        <v>224</v>
      </c>
    </row>
    <row r="5337" spans="1:13" x14ac:dyDescent="0.25">
      <c r="A5337" t="s">
        <v>19615</v>
      </c>
      <c r="B5337" t="s">
        <v>13</v>
      </c>
      <c r="C5337" t="s">
        <v>6734</v>
      </c>
      <c r="D5337" t="s">
        <v>19616</v>
      </c>
      <c r="E5337" t="s">
        <v>19617</v>
      </c>
      <c r="F5337" t="s">
        <v>1464</v>
      </c>
      <c r="G5337" t="s">
        <v>19092</v>
      </c>
      <c r="H5337" t="s">
        <v>36</v>
      </c>
      <c r="I5337" t="s">
        <v>19</v>
      </c>
      <c r="J5337" s="3" t="s">
        <v>19618</v>
      </c>
      <c r="K5337" t="s">
        <v>19619</v>
      </c>
      <c r="L5337" t="s">
        <v>13032</v>
      </c>
      <c r="M5337" t="s">
        <v>771</v>
      </c>
    </row>
    <row r="5338" spans="1:13" x14ac:dyDescent="0.25">
      <c r="A5338" t="s">
        <v>29389</v>
      </c>
      <c r="B5338" t="s">
        <v>13</v>
      </c>
      <c r="C5338" t="s">
        <v>29371</v>
      </c>
      <c r="D5338" t="s">
        <v>29390</v>
      </c>
      <c r="E5338" t="s">
        <v>32675</v>
      </c>
      <c r="F5338" t="s">
        <v>224</v>
      </c>
      <c r="G5338" t="s">
        <v>29391</v>
      </c>
      <c r="H5338" t="s">
        <v>11044</v>
      </c>
      <c r="I5338" t="s">
        <v>19</v>
      </c>
      <c r="J5338" s="3" t="s">
        <v>29392</v>
      </c>
      <c r="K5338" t="s">
        <v>29393</v>
      </c>
      <c r="L5338" t="s">
        <v>29394</v>
      </c>
      <c r="M5338" t="s">
        <v>224</v>
      </c>
    </row>
    <row r="5339" spans="1:13" x14ac:dyDescent="0.25">
      <c r="A5339" t="s">
        <v>22195</v>
      </c>
      <c r="B5339" t="s">
        <v>13</v>
      </c>
      <c r="C5339" t="s">
        <v>22182</v>
      </c>
      <c r="D5339" t="s">
        <v>22196</v>
      </c>
      <c r="E5339" s="2" t="s">
        <v>31837</v>
      </c>
      <c r="F5339" t="s">
        <v>2947</v>
      </c>
      <c r="G5339" t="s">
        <v>17664</v>
      </c>
      <c r="H5339" t="s">
        <v>409</v>
      </c>
      <c r="I5339" t="s">
        <v>19</v>
      </c>
      <c r="J5339" s="3">
        <f>55-48-36648609</f>
        <v>-36648602</v>
      </c>
      <c r="K5339" t="s">
        <v>17665</v>
      </c>
      <c r="L5339" t="s">
        <v>1823</v>
      </c>
      <c r="M5339" t="s">
        <v>771</v>
      </c>
    </row>
    <row r="5340" spans="1:13" x14ac:dyDescent="0.25">
      <c r="A5340" t="s">
        <v>14362</v>
      </c>
      <c r="B5340" t="s">
        <v>13</v>
      </c>
      <c r="C5340" s="1">
        <v>43983</v>
      </c>
      <c r="D5340" t="s">
        <v>14363</v>
      </c>
      <c r="E5340" s="2" t="s">
        <v>31090</v>
      </c>
      <c r="F5340" t="s">
        <v>1129</v>
      </c>
      <c r="G5340" t="s">
        <v>14365</v>
      </c>
      <c r="H5340" t="s">
        <v>1301</v>
      </c>
      <c r="I5340" t="s">
        <v>19</v>
      </c>
      <c r="J5340" s="3">
        <v>551124057827</v>
      </c>
      <c r="K5340" t="s">
        <v>14366</v>
      </c>
      <c r="L5340" t="s">
        <v>14367</v>
      </c>
      <c r="M5340" t="s">
        <v>224</v>
      </c>
    </row>
    <row r="5341" spans="1:13" x14ac:dyDescent="0.25">
      <c r="A5341" t="s">
        <v>19090</v>
      </c>
      <c r="B5341" t="s">
        <v>13</v>
      </c>
      <c r="C5341" s="1">
        <v>43292</v>
      </c>
      <c r="D5341" t="s">
        <v>19091</v>
      </c>
      <c r="E5341" t="s">
        <v>5862</v>
      </c>
      <c r="F5341" t="s">
        <v>1129</v>
      </c>
      <c r="G5341" t="s">
        <v>19092</v>
      </c>
      <c r="H5341" t="s">
        <v>36</v>
      </c>
      <c r="I5341" t="s">
        <v>19</v>
      </c>
      <c r="J5341" s="3" t="s">
        <v>19093</v>
      </c>
      <c r="K5341" t="s">
        <v>19094</v>
      </c>
      <c r="L5341" t="s">
        <v>13032</v>
      </c>
      <c r="M5341" t="s">
        <v>224</v>
      </c>
    </row>
    <row r="5342" spans="1:13" x14ac:dyDescent="0.25">
      <c r="A5342" t="s">
        <v>5860</v>
      </c>
      <c r="B5342" t="s">
        <v>13</v>
      </c>
      <c r="C5342" s="1">
        <v>42434</v>
      </c>
      <c r="D5342" t="s">
        <v>5861</v>
      </c>
      <c r="E5342" s="2" t="s">
        <v>31411</v>
      </c>
      <c r="F5342" t="s">
        <v>1129</v>
      </c>
      <c r="G5342" t="s">
        <v>5863</v>
      </c>
      <c r="H5342" t="s">
        <v>299</v>
      </c>
      <c r="I5342" t="s">
        <v>19</v>
      </c>
      <c r="J5342" s="3" t="s">
        <v>5864</v>
      </c>
      <c r="K5342" t="s">
        <v>5865</v>
      </c>
      <c r="L5342" t="s">
        <v>2548</v>
      </c>
      <c r="M5342" t="s">
        <v>224</v>
      </c>
    </row>
    <row r="5343" spans="1:13" x14ac:dyDescent="0.25">
      <c r="A5343" t="s">
        <v>16754</v>
      </c>
      <c r="B5343" t="s">
        <v>13</v>
      </c>
      <c r="C5343" t="s">
        <v>16755</v>
      </c>
      <c r="D5343" t="s">
        <v>16756</v>
      </c>
      <c r="E5343" t="s">
        <v>16757</v>
      </c>
      <c r="F5343" t="s">
        <v>1129</v>
      </c>
      <c r="G5343" t="s">
        <v>15128</v>
      </c>
      <c r="H5343" t="s">
        <v>372</v>
      </c>
      <c r="I5343" t="s">
        <v>19</v>
      </c>
      <c r="J5343" s="3">
        <v>5501931241515</v>
      </c>
      <c r="K5343" t="s">
        <v>15129</v>
      </c>
      <c r="L5343" t="s">
        <v>16758</v>
      </c>
      <c r="M5343" t="s">
        <v>224</v>
      </c>
    </row>
    <row r="5344" spans="1:13" x14ac:dyDescent="0.25">
      <c r="A5344" t="s">
        <v>8490</v>
      </c>
      <c r="B5344" t="s">
        <v>13</v>
      </c>
      <c r="C5344" t="s">
        <v>8491</v>
      </c>
      <c r="D5344" t="s">
        <v>8492</v>
      </c>
      <c r="E5344" s="2" t="s">
        <v>30955</v>
      </c>
      <c r="F5344" t="s">
        <v>1129</v>
      </c>
      <c r="G5344" t="s">
        <v>8493</v>
      </c>
      <c r="H5344" t="s">
        <v>1215</v>
      </c>
      <c r="I5344" t="s">
        <v>19</v>
      </c>
      <c r="J5344" s="3" t="s">
        <v>8494</v>
      </c>
      <c r="K5344" t="s">
        <v>8495</v>
      </c>
      <c r="L5344" t="s">
        <v>8429</v>
      </c>
      <c r="M5344" t="s">
        <v>224</v>
      </c>
    </row>
    <row r="5345" spans="1:13" x14ac:dyDescent="0.25">
      <c r="A5345" t="s">
        <v>23564</v>
      </c>
      <c r="B5345" t="s">
        <v>13</v>
      </c>
      <c r="C5345" t="s">
        <v>9648</v>
      </c>
      <c r="D5345" t="s">
        <v>23565</v>
      </c>
      <c r="E5345" t="s">
        <v>32676</v>
      </c>
      <c r="F5345" t="s">
        <v>224</v>
      </c>
      <c r="G5345" t="s">
        <v>23566</v>
      </c>
      <c r="H5345" t="s">
        <v>16411</v>
      </c>
      <c r="I5345" t="s">
        <v>19</v>
      </c>
      <c r="J5345" s="3" t="s">
        <v>23567</v>
      </c>
      <c r="K5345" t="s">
        <v>23568</v>
      </c>
      <c r="L5345" t="s">
        <v>23569</v>
      </c>
      <c r="M5345" t="s">
        <v>224</v>
      </c>
    </row>
    <row r="5346" spans="1:13" x14ac:dyDescent="0.25">
      <c r="A5346" t="s">
        <v>25670</v>
      </c>
      <c r="B5346" t="s">
        <v>13</v>
      </c>
      <c r="C5346" t="s">
        <v>25671</v>
      </c>
      <c r="D5346" t="s">
        <v>25672</v>
      </c>
      <c r="E5346" t="s">
        <v>8875</v>
      </c>
      <c r="F5346" t="s">
        <v>25673</v>
      </c>
      <c r="G5346" t="s">
        <v>25674</v>
      </c>
      <c r="H5346" t="s">
        <v>25675</v>
      </c>
      <c r="I5346" t="s">
        <v>19</v>
      </c>
      <c r="J5346" s="3" t="s">
        <v>25676</v>
      </c>
      <c r="K5346" t="s">
        <v>25677</v>
      </c>
      <c r="L5346" t="s">
        <v>25678</v>
      </c>
      <c r="M5346" t="s">
        <v>224</v>
      </c>
    </row>
    <row r="5347" spans="1:13" x14ac:dyDescent="0.25">
      <c r="A5347" t="s">
        <v>22443</v>
      </c>
      <c r="B5347" t="s">
        <v>13</v>
      </c>
      <c r="C5347" t="s">
        <v>10219</v>
      </c>
      <c r="D5347" t="s">
        <v>22444</v>
      </c>
      <c r="E5347" t="s">
        <v>8875</v>
      </c>
      <c r="F5347" t="s">
        <v>771</v>
      </c>
      <c r="G5347" t="s">
        <v>19185</v>
      </c>
      <c r="H5347" t="s">
        <v>88</v>
      </c>
      <c r="I5347" t="s">
        <v>19</v>
      </c>
      <c r="J5347" s="3">
        <f>55-84-33422010</f>
        <v>-33422039</v>
      </c>
      <c r="K5347" t="s">
        <v>19186</v>
      </c>
      <c r="L5347" t="s">
        <v>91</v>
      </c>
      <c r="M5347" t="s">
        <v>771</v>
      </c>
    </row>
    <row r="5348" spans="1:13" x14ac:dyDescent="0.25">
      <c r="A5348" t="s">
        <v>21675</v>
      </c>
      <c r="B5348" t="s">
        <v>13</v>
      </c>
      <c r="C5348" s="1">
        <v>43195</v>
      </c>
      <c r="D5348" t="s">
        <v>21676</v>
      </c>
      <c r="E5348" t="s">
        <v>8875</v>
      </c>
      <c r="F5348" t="s">
        <v>224</v>
      </c>
      <c r="G5348" t="s">
        <v>1816</v>
      </c>
      <c r="H5348" t="s">
        <v>706</v>
      </c>
      <c r="I5348" t="s">
        <v>19</v>
      </c>
      <c r="J5348" s="3">
        <f>55-31-34094791</f>
        <v>-34094767</v>
      </c>
      <c r="K5348" t="s">
        <v>1817</v>
      </c>
      <c r="L5348" t="s">
        <v>565</v>
      </c>
      <c r="M5348" t="s">
        <v>224</v>
      </c>
    </row>
    <row r="5349" spans="1:13" x14ac:dyDescent="0.25">
      <c r="A5349" t="s">
        <v>8872</v>
      </c>
      <c r="B5349" t="s">
        <v>13</v>
      </c>
      <c r="C5349" t="s">
        <v>8873</v>
      </c>
      <c r="D5349" t="s">
        <v>8874</v>
      </c>
      <c r="E5349" t="s">
        <v>8875</v>
      </c>
      <c r="F5349" t="s">
        <v>224</v>
      </c>
      <c r="G5349" t="s">
        <v>3819</v>
      </c>
      <c r="H5349" t="s">
        <v>428</v>
      </c>
      <c r="I5349" t="s">
        <v>19</v>
      </c>
      <c r="J5349" s="3">
        <v>555198448440</v>
      </c>
      <c r="K5349" t="s">
        <v>3820</v>
      </c>
      <c r="L5349" t="s">
        <v>3821</v>
      </c>
      <c r="M5349" t="s">
        <v>224</v>
      </c>
    </row>
    <row r="5350" spans="1:13" x14ac:dyDescent="0.25">
      <c r="A5350" t="s">
        <v>17028</v>
      </c>
      <c r="B5350" t="s">
        <v>13</v>
      </c>
      <c r="C5350" t="s">
        <v>11863</v>
      </c>
      <c r="D5350" t="s">
        <v>17029</v>
      </c>
      <c r="E5350" t="s">
        <v>8875</v>
      </c>
      <c r="F5350" t="s">
        <v>1129</v>
      </c>
      <c r="G5350" t="s">
        <v>16827</v>
      </c>
      <c r="H5350" t="s">
        <v>1466</v>
      </c>
      <c r="I5350" t="s">
        <v>19</v>
      </c>
      <c r="J5350" s="3">
        <f>55-353701-1925</f>
        <v>-355571</v>
      </c>
      <c r="K5350" t="s">
        <v>3260</v>
      </c>
      <c r="L5350" t="s">
        <v>1469</v>
      </c>
      <c r="M5350" t="s">
        <v>224</v>
      </c>
    </row>
    <row r="5351" spans="1:13" x14ac:dyDescent="0.25">
      <c r="A5351" t="s">
        <v>18476</v>
      </c>
      <c r="B5351" t="s">
        <v>13</v>
      </c>
      <c r="C5351" t="s">
        <v>18472</v>
      </c>
      <c r="D5351" t="s">
        <v>18477</v>
      </c>
      <c r="E5351" s="2" t="s">
        <v>31417</v>
      </c>
      <c r="F5351" t="s">
        <v>1129</v>
      </c>
      <c r="G5351" t="s">
        <v>18478</v>
      </c>
      <c r="H5351" t="s">
        <v>299</v>
      </c>
      <c r="I5351" t="s">
        <v>19</v>
      </c>
      <c r="J5351" s="3">
        <f>55-19-9842301541</f>
        <v>-9842301505</v>
      </c>
      <c r="K5351" t="s">
        <v>18479</v>
      </c>
      <c r="L5351" t="s">
        <v>13271</v>
      </c>
      <c r="M5351" t="s">
        <v>224</v>
      </c>
    </row>
    <row r="5352" spans="1:13" x14ac:dyDescent="0.25">
      <c r="A5352" t="s">
        <v>14246</v>
      </c>
      <c r="B5352" t="s">
        <v>13</v>
      </c>
      <c r="C5352" t="s">
        <v>14247</v>
      </c>
      <c r="D5352" t="s">
        <v>14248</v>
      </c>
      <c r="E5352" t="s">
        <v>14249</v>
      </c>
      <c r="F5352" t="s">
        <v>224</v>
      </c>
      <c r="G5352" t="s">
        <v>14250</v>
      </c>
      <c r="H5352" t="s">
        <v>36</v>
      </c>
      <c r="I5352" t="s">
        <v>19</v>
      </c>
      <c r="J5352" s="3" t="s">
        <v>14251</v>
      </c>
      <c r="K5352" t="s">
        <v>14252</v>
      </c>
      <c r="L5352" t="s">
        <v>14253</v>
      </c>
      <c r="M5352" t="s">
        <v>224</v>
      </c>
    </row>
    <row r="5353" spans="1:13" x14ac:dyDescent="0.25">
      <c r="A5353" t="s">
        <v>19967</v>
      </c>
      <c r="B5353" t="s">
        <v>13</v>
      </c>
      <c r="C5353" t="s">
        <v>13612</v>
      </c>
      <c r="D5353" t="s">
        <v>19968</v>
      </c>
      <c r="E5353" t="s">
        <v>19969</v>
      </c>
      <c r="F5353" t="s">
        <v>224</v>
      </c>
      <c r="G5353" t="s">
        <v>19970</v>
      </c>
      <c r="H5353" t="s">
        <v>1466</v>
      </c>
      <c r="I5353" t="s">
        <v>19</v>
      </c>
      <c r="J5353" s="3" t="s">
        <v>19971</v>
      </c>
      <c r="K5353" t="s">
        <v>19972</v>
      </c>
      <c r="L5353" t="s">
        <v>1469</v>
      </c>
      <c r="M5353" t="s">
        <v>224</v>
      </c>
    </row>
    <row r="5354" spans="1:13" x14ac:dyDescent="0.25">
      <c r="A5354" t="s">
        <v>15317</v>
      </c>
      <c r="B5354" t="s">
        <v>13</v>
      </c>
      <c r="C5354" t="s">
        <v>15293</v>
      </c>
      <c r="D5354" t="s">
        <v>15318</v>
      </c>
      <c r="E5354" t="s">
        <v>1299</v>
      </c>
      <c r="F5354" t="s">
        <v>1464</v>
      </c>
      <c r="G5354" t="s">
        <v>15319</v>
      </c>
      <c r="H5354" t="s">
        <v>1301</v>
      </c>
      <c r="I5354" t="s">
        <v>19</v>
      </c>
      <c r="J5354" s="3">
        <f>55-11-24641700</f>
        <v>-24641656</v>
      </c>
      <c r="K5354" t="s">
        <v>14366</v>
      </c>
      <c r="L5354" t="s">
        <v>15320</v>
      </c>
      <c r="M5354" t="s">
        <v>771</v>
      </c>
    </row>
    <row r="5355" spans="1:13" x14ac:dyDescent="0.25">
      <c r="A5355" t="s">
        <v>15326</v>
      </c>
      <c r="B5355" t="s">
        <v>13</v>
      </c>
      <c r="C5355" t="s">
        <v>13090</v>
      </c>
      <c r="D5355" t="s">
        <v>15327</v>
      </c>
      <c r="E5355" s="2" t="s">
        <v>32677</v>
      </c>
      <c r="F5355" t="s">
        <v>1129</v>
      </c>
      <c r="G5355" t="s">
        <v>15328</v>
      </c>
      <c r="H5355" t="s">
        <v>608</v>
      </c>
      <c r="I5355" t="s">
        <v>19</v>
      </c>
      <c r="J5355" s="3">
        <v>5554991551689</v>
      </c>
      <c r="K5355" t="s">
        <v>15329</v>
      </c>
      <c r="L5355" t="s">
        <v>15330</v>
      </c>
      <c r="M5355" t="s">
        <v>224</v>
      </c>
    </row>
    <row r="5356" spans="1:13" x14ac:dyDescent="0.25">
      <c r="A5356" t="s">
        <v>15623</v>
      </c>
      <c r="B5356" t="s">
        <v>13</v>
      </c>
      <c r="C5356" s="1">
        <v>43718</v>
      </c>
      <c r="D5356" t="s">
        <v>15624</v>
      </c>
      <c r="E5356" s="2" t="s">
        <v>31134</v>
      </c>
      <c r="F5356" t="s">
        <v>224</v>
      </c>
      <c r="G5356" t="s">
        <v>3543</v>
      </c>
      <c r="H5356" t="s">
        <v>195</v>
      </c>
      <c r="I5356" t="s">
        <v>19</v>
      </c>
      <c r="J5356" s="3" t="s">
        <v>15626</v>
      </c>
      <c r="K5356" t="s">
        <v>15627</v>
      </c>
      <c r="L5356" t="s">
        <v>10524</v>
      </c>
      <c r="M5356" t="s">
        <v>224</v>
      </c>
    </row>
    <row r="5357" spans="1:13" x14ac:dyDescent="0.25">
      <c r="A5357" t="s">
        <v>5086</v>
      </c>
      <c r="B5357" t="s">
        <v>13</v>
      </c>
      <c r="C5357" t="s">
        <v>5087</v>
      </c>
      <c r="D5357" t="s">
        <v>5088</v>
      </c>
      <c r="E5357" s="2" t="s">
        <v>31645</v>
      </c>
      <c r="F5357" t="s">
        <v>2036</v>
      </c>
      <c r="G5357" t="s">
        <v>5089</v>
      </c>
      <c r="H5357" t="s">
        <v>5090</v>
      </c>
      <c r="I5357" t="s">
        <v>19</v>
      </c>
      <c r="J5357" s="3">
        <v>55018996655595</v>
      </c>
      <c r="K5357" t="s">
        <v>5091</v>
      </c>
      <c r="L5357" t="s">
        <v>32135</v>
      </c>
      <c r="M5357" t="s">
        <v>57</v>
      </c>
    </row>
    <row r="5358" spans="1:13" x14ac:dyDescent="0.25">
      <c r="A5358" t="s">
        <v>10740</v>
      </c>
      <c r="B5358" t="s">
        <v>13</v>
      </c>
      <c r="C5358" t="s">
        <v>10729</v>
      </c>
      <c r="D5358" t="s">
        <v>10741</v>
      </c>
      <c r="E5358" t="s">
        <v>8709</v>
      </c>
      <c r="F5358" t="s">
        <v>771</v>
      </c>
      <c r="G5358" t="s">
        <v>10742</v>
      </c>
      <c r="H5358" t="s">
        <v>352</v>
      </c>
      <c r="I5358" t="s">
        <v>19</v>
      </c>
      <c r="J5358" s="3">
        <f>55-21-999556363</f>
        <v>-999556329</v>
      </c>
      <c r="K5358" t="s">
        <v>10743</v>
      </c>
      <c r="L5358" t="s">
        <v>550</v>
      </c>
      <c r="M5358" t="s">
        <v>771</v>
      </c>
    </row>
    <row r="5359" spans="1:13" x14ac:dyDescent="0.25">
      <c r="A5359" t="s">
        <v>17016</v>
      </c>
      <c r="B5359" t="s">
        <v>13</v>
      </c>
      <c r="C5359" t="s">
        <v>2945</v>
      </c>
      <c r="D5359" t="s">
        <v>17017</v>
      </c>
      <c r="E5359" s="2" t="s">
        <v>8709</v>
      </c>
      <c r="F5359" t="s">
        <v>1129</v>
      </c>
      <c r="G5359" t="s">
        <v>8493</v>
      </c>
      <c r="H5359" t="s">
        <v>1215</v>
      </c>
      <c r="I5359" t="s">
        <v>19</v>
      </c>
      <c r="J5359" s="3" t="s">
        <v>8494</v>
      </c>
      <c r="K5359" t="s">
        <v>17018</v>
      </c>
      <c r="L5359" t="s">
        <v>17019</v>
      </c>
      <c r="M5359" t="s">
        <v>224</v>
      </c>
    </row>
    <row r="5360" spans="1:13" x14ac:dyDescent="0.25">
      <c r="A5360" t="s">
        <v>8707</v>
      </c>
      <c r="B5360" t="s">
        <v>13</v>
      </c>
      <c r="C5360" t="s">
        <v>7240</v>
      </c>
      <c r="D5360" t="s">
        <v>8708</v>
      </c>
      <c r="E5360" t="s">
        <v>8709</v>
      </c>
      <c r="F5360" t="s">
        <v>1129</v>
      </c>
      <c r="G5360" t="s">
        <v>8710</v>
      </c>
      <c r="H5360" t="s">
        <v>1072</v>
      </c>
      <c r="I5360" t="s">
        <v>19</v>
      </c>
      <c r="J5360" s="3">
        <f>55-84-981679087</f>
        <v>-981679116</v>
      </c>
      <c r="K5360" t="s">
        <v>8711</v>
      </c>
      <c r="L5360" t="s">
        <v>8712</v>
      </c>
      <c r="M5360" t="s">
        <v>224</v>
      </c>
    </row>
    <row r="5361" spans="1:13" x14ac:dyDescent="0.25">
      <c r="A5361" t="s">
        <v>5793</v>
      </c>
      <c r="B5361" t="s">
        <v>13</v>
      </c>
      <c r="C5361" s="1">
        <v>44266</v>
      </c>
      <c r="D5361" t="s">
        <v>32135</v>
      </c>
      <c r="E5361" s="2" t="s">
        <v>31670</v>
      </c>
      <c r="F5361" t="s">
        <v>771</v>
      </c>
      <c r="G5361" t="s">
        <v>5795</v>
      </c>
      <c r="H5361" t="s">
        <v>352</v>
      </c>
      <c r="I5361" t="s">
        <v>19</v>
      </c>
      <c r="J5361" s="3">
        <f>55-21-988741884</f>
        <v>-988741850</v>
      </c>
      <c r="K5361" t="s">
        <v>5796</v>
      </c>
      <c r="L5361" t="s">
        <v>32135</v>
      </c>
      <c r="M5361" t="s">
        <v>771</v>
      </c>
    </row>
    <row r="5362" spans="1:13" x14ac:dyDescent="0.25">
      <c r="A5362" t="s">
        <v>22283</v>
      </c>
      <c r="B5362" t="s">
        <v>13</v>
      </c>
      <c r="C5362" s="1">
        <v>43253</v>
      </c>
      <c r="D5362" t="s">
        <v>22284</v>
      </c>
      <c r="E5362" t="s">
        <v>22285</v>
      </c>
      <c r="F5362" t="s">
        <v>224</v>
      </c>
      <c r="G5362" t="s">
        <v>20898</v>
      </c>
      <c r="H5362" t="s">
        <v>195</v>
      </c>
      <c r="I5362" t="s">
        <v>19</v>
      </c>
      <c r="J5362" s="3">
        <f>55-16-991932926</f>
        <v>-991932887</v>
      </c>
      <c r="K5362" t="s">
        <v>20899</v>
      </c>
      <c r="L5362" t="s">
        <v>197</v>
      </c>
      <c r="M5362" t="s">
        <v>224</v>
      </c>
    </row>
    <row r="5363" spans="1:13" x14ac:dyDescent="0.25">
      <c r="A5363" t="s">
        <v>22581</v>
      </c>
      <c r="B5363" t="s">
        <v>13</v>
      </c>
      <c r="C5363" t="s">
        <v>9618</v>
      </c>
      <c r="D5363" t="s">
        <v>22582</v>
      </c>
      <c r="E5363" t="s">
        <v>22583</v>
      </c>
      <c r="F5363" t="s">
        <v>1129</v>
      </c>
      <c r="G5363" t="s">
        <v>22584</v>
      </c>
      <c r="H5363" t="s">
        <v>2598</v>
      </c>
      <c r="I5363" t="s">
        <v>19</v>
      </c>
      <c r="J5363" s="3">
        <f>55-47-999057432</f>
        <v>-999057424</v>
      </c>
      <c r="K5363" t="s">
        <v>22585</v>
      </c>
      <c r="L5363" t="s">
        <v>1823</v>
      </c>
      <c r="M5363" t="s">
        <v>224</v>
      </c>
    </row>
    <row r="5364" spans="1:13" x14ac:dyDescent="0.25">
      <c r="A5364" t="s">
        <v>30097</v>
      </c>
      <c r="B5364" t="s">
        <v>13</v>
      </c>
      <c r="C5364" t="s">
        <v>14184</v>
      </c>
      <c r="D5364" t="s">
        <v>30098</v>
      </c>
      <c r="E5364" t="s">
        <v>32678</v>
      </c>
      <c r="F5364" t="s">
        <v>224</v>
      </c>
      <c r="G5364" t="s">
        <v>30099</v>
      </c>
      <c r="H5364" t="s">
        <v>2545</v>
      </c>
      <c r="I5364" t="s">
        <v>19</v>
      </c>
      <c r="J5364" s="3" t="s">
        <v>30100</v>
      </c>
      <c r="K5364" t="s">
        <v>30101</v>
      </c>
      <c r="L5364" t="s">
        <v>30102</v>
      </c>
      <c r="M5364" t="s">
        <v>224</v>
      </c>
    </row>
    <row r="5365" spans="1:13" x14ac:dyDescent="0.25">
      <c r="A5365" t="s">
        <v>10688</v>
      </c>
      <c r="B5365" t="s">
        <v>13</v>
      </c>
      <c r="C5365" t="s">
        <v>10689</v>
      </c>
      <c r="D5365" t="s">
        <v>10690</v>
      </c>
      <c r="E5365" s="2" t="s">
        <v>31003</v>
      </c>
      <c r="F5365" t="s">
        <v>1129</v>
      </c>
      <c r="G5365" t="s">
        <v>10691</v>
      </c>
      <c r="H5365" t="s">
        <v>10692</v>
      </c>
      <c r="I5365" t="s">
        <v>19</v>
      </c>
      <c r="J5365" s="3">
        <v>84991114653</v>
      </c>
      <c r="K5365" t="s">
        <v>10693</v>
      </c>
      <c r="L5365" t="s">
        <v>91</v>
      </c>
      <c r="M5365" t="s">
        <v>224</v>
      </c>
    </row>
    <row r="5366" spans="1:13" x14ac:dyDescent="0.25">
      <c r="A5366" t="s">
        <v>26388</v>
      </c>
      <c r="B5366" t="s">
        <v>13</v>
      </c>
      <c r="C5366" s="1">
        <v>42465</v>
      </c>
      <c r="D5366" t="s">
        <v>26389</v>
      </c>
      <c r="E5366" t="s">
        <v>26390</v>
      </c>
      <c r="F5366" t="s">
        <v>2947</v>
      </c>
      <c r="G5366" t="s">
        <v>26391</v>
      </c>
      <c r="H5366" t="s">
        <v>489</v>
      </c>
      <c r="I5366" t="s">
        <v>19</v>
      </c>
      <c r="J5366" s="3" t="s">
        <v>26392</v>
      </c>
      <c r="K5366" t="s">
        <v>26393</v>
      </c>
      <c r="L5366" t="s">
        <v>2661</v>
      </c>
      <c r="M5366" t="s">
        <v>771</v>
      </c>
    </row>
    <row r="5367" spans="1:13" x14ac:dyDescent="0.25">
      <c r="A5367" t="s">
        <v>18144</v>
      </c>
      <c r="B5367" t="s">
        <v>13</v>
      </c>
      <c r="C5367" s="1">
        <v>43049</v>
      </c>
      <c r="D5367" t="s">
        <v>18145</v>
      </c>
      <c r="E5367" s="2" t="s">
        <v>31191</v>
      </c>
      <c r="F5367" t="s">
        <v>1464</v>
      </c>
      <c r="G5367" t="s">
        <v>18146</v>
      </c>
      <c r="H5367" t="s">
        <v>36</v>
      </c>
      <c r="I5367" t="s">
        <v>19</v>
      </c>
      <c r="J5367" s="3" t="s">
        <v>18147</v>
      </c>
      <c r="K5367" t="s">
        <v>18148</v>
      </c>
      <c r="L5367" t="s">
        <v>223</v>
      </c>
      <c r="M5367" t="s">
        <v>32191</v>
      </c>
    </row>
    <row r="5368" spans="1:13" x14ac:dyDescent="0.25">
      <c r="A5368" t="s">
        <v>10658</v>
      </c>
      <c r="B5368" t="s">
        <v>13</v>
      </c>
      <c r="C5368" t="s">
        <v>7838</v>
      </c>
      <c r="D5368" t="s">
        <v>10659</v>
      </c>
      <c r="E5368" t="s">
        <v>10660</v>
      </c>
      <c r="F5368" t="s">
        <v>1129</v>
      </c>
      <c r="G5368" t="s">
        <v>10661</v>
      </c>
      <c r="H5368" t="s">
        <v>936</v>
      </c>
      <c r="I5368" t="s">
        <v>19</v>
      </c>
      <c r="J5368" s="3">
        <f>55-71-3117-7575</f>
        <v>-10708</v>
      </c>
      <c r="K5368" t="s">
        <v>10662</v>
      </c>
      <c r="L5368" t="s">
        <v>4132</v>
      </c>
      <c r="M5368" t="s">
        <v>224</v>
      </c>
    </row>
    <row r="5369" spans="1:13" x14ac:dyDescent="0.25">
      <c r="A5369" t="s">
        <v>20412</v>
      </c>
      <c r="B5369" t="s">
        <v>13</v>
      </c>
      <c r="C5369" t="s">
        <v>5704</v>
      </c>
      <c r="D5369" t="s">
        <v>20413</v>
      </c>
      <c r="E5369" t="s">
        <v>20414</v>
      </c>
      <c r="F5369" t="s">
        <v>1129</v>
      </c>
      <c r="G5369" t="s">
        <v>12119</v>
      </c>
      <c r="H5369" t="s">
        <v>12120</v>
      </c>
      <c r="I5369" t="s">
        <v>19</v>
      </c>
      <c r="J5369" s="3">
        <f>55-24-992192494</f>
        <v>-992192463</v>
      </c>
      <c r="K5369" t="s">
        <v>12121</v>
      </c>
      <c r="L5369" t="s">
        <v>12122</v>
      </c>
      <c r="M5369" t="s">
        <v>224</v>
      </c>
    </row>
    <row r="5370" spans="1:13" x14ac:dyDescent="0.25">
      <c r="A5370" t="s">
        <v>15535</v>
      </c>
      <c r="B5370" t="s">
        <v>13</v>
      </c>
      <c r="C5370" s="1">
        <v>43416</v>
      </c>
      <c r="D5370" t="s">
        <v>15536</v>
      </c>
      <c r="E5370" t="s">
        <v>15537</v>
      </c>
      <c r="F5370" t="s">
        <v>1129</v>
      </c>
      <c r="G5370" t="s">
        <v>15538</v>
      </c>
      <c r="H5370" t="s">
        <v>615</v>
      </c>
      <c r="I5370" t="s">
        <v>19</v>
      </c>
      <c r="J5370" s="3">
        <f>55-34-32182901</f>
        <v>-32182880</v>
      </c>
      <c r="K5370" t="s">
        <v>15539</v>
      </c>
      <c r="L5370" t="s">
        <v>618</v>
      </c>
      <c r="M5370" t="s">
        <v>224</v>
      </c>
    </row>
    <row r="5371" spans="1:13" x14ac:dyDescent="0.25">
      <c r="A5371" t="s">
        <v>28984</v>
      </c>
      <c r="B5371" t="s">
        <v>13</v>
      </c>
      <c r="C5371" s="1">
        <v>41458</v>
      </c>
      <c r="D5371" t="s">
        <v>28985</v>
      </c>
      <c r="E5371" t="s">
        <v>32679</v>
      </c>
      <c r="F5371" t="s">
        <v>224</v>
      </c>
      <c r="G5371" t="s">
        <v>28986</v>
      </c>
      <c r="H5371" t="s">
        <v>428</v>
      </c>
      <c r="I5371" t="s">
        <v>19</v>
      </c>
      <c r="J5371" s="3" t="s">
        <v>28987</v>
      </c>
      <c r="K5371" t="s">
        <v>28988</v>
      </c>
      <c r="L5371" t="s">
        <v>1113</v>
      </c>
      <c r="M5371" t="s">
        <v>224</v>
      </c>
    </row>
    <row r="5372" spans="1:13" x14ac:dyDescent="0.25">
      <c r="A5372" t="s">
        <v>15734</v>
      </c>
      <c r="B5372" t="s">
        <v>13</v>
      </c>
      <c r="C5372" s="1">
        <v>41402</v>
      </c>
      <c r="D5372" t="s">
        <v>15735</v>
      </c>
      <c r="E5372" t="s">
        <v>15736</v>
      </c>
      <c r="F5372" t="s">
        <v>1464</v>
      </c>
      <c r="G5372" t="s">
        <v>15737</v>
      </c>
      <c r="H5372" t="s">
        <v>1215</v>
      </c>
      <c r="I5372" t="s">
        <v>19</v>
      </c>
      <c r="J5372" s="3" t="s">
        <v>15738</v>
      </c>
      <c r="K5372" t="s">
        <v>15739</v>
      </c>
      <c r="L5372" t="s">
        <v>15740</v>
      </c>
      <c r="M5372" t="s">
        <v>771</v>
      </c>
    </row>
    <row r="5373" spans="1:13" x14ac:dyDescent="0.25">
      <c r="A5373" t="s">
        <v>30431</v>
      </c>
      <c r="B5373" t="s">
        <v>13</v>
      </c>
      <c r="C5373" t="s">
        <v>30432</v>
      </c>
      <c r="D5373" t="s">
        <v>30433</v>
      </c>
      <c r="E5373" t="s">
        <v>30434</v>
      </c>
      <c r="F5373" t="s">
        <v>1129</v>
      </c>
      <c r="G5373" t="s">
        <v>28108</v>
      </c>
      <c r="H5373" t="s">
        <v>352</v>
      </c>
      <c r="I5373" t="s">
        <v>19</v>
      </c>
      <c r="J5373" s="3" t="s">
        <v>30435</v>
      </c>
      <c r="K5373" t="s">
        <v>28110</v>
      </c>
      <c r="L5373" t="s">
        <v>3001</v>
      </c>
      <c r="M5373" t="s">
        <v>224</v>
      </c>
    </row>
    <row r="5374" spans="1:13" x14ac:dyDescent="0.25">
      <c r="A5374" t="s">
        <v>2476</v>
      </c>
      <c r="B5374" t="s">
        <v>13</v>
      </c>
      <c r="C5374" t="s">
        <v>2469</v>
      </c>
      <c r="D5374" t="s">
        <v>2477</v>
      </c>
      <c r="E5374" s="2" t="s">
        <v>30738</v>
      </c>
      <c r="F5374" t="s">
        <v>1464</v>
      </c>
      <c r="G5374" t="s">
        <v>2478</v>
      </c>
      <c r="H5374" t="s">
        <v>2479</v>
      </c>
      <c r="I5374" t="s">
        <v>19</v>
      </c>
      <c r="J5374" s="3" t="s">
        <v>2480</v>
      </c>
      <c r="K5374" t="s">
        <v>2481</v>
      </c>
      <c r="L5374" t="s">
        <v>2482</v>
      </c>
      <c r="M5374" t="s">
        <v>1775</v>
      </c>
    </row>
    <row r="5375" spans="1:13" x14ac:dyDescent="0.25">
      <c r="A5375" t="s">
        <v>10209</v>
      </c>
      <c r="B5375" t="s">
        <v>13</v>
      </c>
      <c r="C5375" t="s">
        <v>10191</v>
      </c>
      <c r="D5375" t="s">
        <v>10210</v>
      </c>
      <c r="E5375" s="2" t="s">
        <v>31423</v>
      </c>
      <c r="F5375" t="s">
        <v>1129</v>
      </c>
      <c r="G5375" t="s">
        <v>10211</v>
      </c>
      <c r="H5375" t="s">
        <v>798</v>
      </c>
      <c r="I5375" t="s">
        <v>19</v>
      </c>
      <c r="J5375" s="3">
        <v>5561933000709</v>
      </c>
      <c r="K5375" t="s">
        <v>10212</v>
      </c>
      <c r="L5375" t="s">
        <v>10213</v>
      </c>
      <c r="M5375" t="s">
        <v>32144</v>
      </c>
    </row>
    <row r="5376" spans="1:13" x14ac:dyDescent="0.25">
      <c r="A5376" t="s">
        <v>8920</v>
      </c>
      <c r="B5376" t="s">
        <v>13</v>
      </c>
      <c r="C5376" s="1">
        <v>44055</v>
      </c>
      <c r="D5376" t="s">
        <v>32135</v>
      </c>
      <c r="E5376" s="2" t="s">
        <v>31711</v>
      </c>
      <c r="F5376" t="s">
        <v>8921</v>
      </c>
      <c r="G5376" t="s">
        <v>8922</v>
      </c>
      <c r="H5376" t="s">
        <v>195</v>
      </c>
      <c r="I5376" t="s">
        <v>19</v>
      </c>
      <c r="J5376" s="3">
        <f>55-16-997691718</f>
        <v>-997691679</v>
      </c>
      <c r="K5376" t="s">
        <v>8923</v>
      </c>
      <c r="L5376" t="s">
        <v>32135</v>
      </c>
      <c r="M5376" t="s">
        <v>1775</v>
      </c>
    </row>
    <row r="5377" spans="1:13" x14ac:dyDescent="0.25">
      <c r="A5377" t="s">
        <v>19307</v>
      </c>
      <c r="B5377" t="s">
        <v>13</v>
      </c>
      <c r="C5377" s="1">
        <v>43383</v>
      </c>
      <c r="D5377" t="s">
        <v>19308</v>
      </c>
      <c r="E5377" s="2" t="s">
        <v>31518</v>
      </c>
      <c r="F5377" t="s">
        <v>332</v>
      </c>
      <c r="G5377" t="s">
        <v>19309</v>
      </c>
      <c r="H5377" t="s">
        <v>1301</v>
      </c>
      <c r="I5377" t="s">
        <v>19</v>
      </c>
      <c r="J5377" s="3" t="s">
        <v>19310</v>
      </c>
      <c r="K5377" t="s">
        <v>19311</v>
      </c>
      <c r="L5377" t="s">
        <v>14367</v>
      </c>
      <c r="M5377" t="s">
        <v>337</v>
      </c>
    </row>
    <row r="5378" spans="1:13" x14ac:dyDescent="0.25">
      <c r="A5378" t="s">
        <v>22091</v>
      </c>
      <c r="B5378" t="s">
        <v>101</v>
      </c>
      <c r="C5378" s="1">
        <v>43134</v>
      </c>
      <c r="D5378" t="s">
        <v>22092</v>
      </c>
      <c r="E5378" t="s">
        <v>32806</v>
      </c>
      <c r="F5378" t="s">
        <v>32147</v>
      </c>
      <c r="G5378" t="s">
        <v>22093</v>
      </c>
      <c r="H5378" t="s">
        <v>1802</v>
      </c>
      <c r="I5378" t="s">
        <v>19</v>
      </c>
      <c r="J5378" s="3">
        <f>55-14-33136740</f>
        <v>-33136699</v>
      </c>
      <c r="K5378" t="s">
        <v>22094</v>
      </c>
      <c r="L5378" t="s">
        <v>22095</v>
      </c>
      <c r="M5378" t="s">
        <v>32147</v>
      </c>
    </row>
    <row r="5379" spans="1:13" x14ac:dyDescent="0.25">
      <c r="A5379" t="s">
        <v>30543</v>
      </c>
      <c r="B5379" t="s">
        <v>13</v>
      </c>
      <c r="C5379" t="s">
        <v>30527</v>
      </c>
      <c r="D5379" t="s">
        <v>30544</v>
      </c>
      <c r="E5379" t="s">
        <v>30394</v>
      </c>
      <c r="F5379" t="s">
        <v>1464</v>
      </c>
      <c r="G5379" t="s">
        <v>30545</v>
      </c>
      <c r="H5379" t="s">
        <v>36</v>
      </c>
      <c r="I5379" t="s">
        <v>19</v>
      </c>
      <c r="J5379" s="3" t="s">
        <v>30546</v>
      </c>
      <c r="K5379" t="s">
        <v>30547</v>
      </c>
      <c r="L5379" t="s">
        <v>439</v>
      </c>
      <c r="M5379" t="s">
        <v>1775</v>
      </c>
    </row>
    <row r="5380" spans="1:13" x14ac:dyDescent="0.25">
      <c r="A5380" t="s">
        <v>30392</v>
      </c>
      <c r="B5380" t="s">
        <v>13</v>
      </c>
      <c r="C5380" s="1">
        <v>41000</v>
      </c>
      <c r="D5380" t="s">
        <v>30393</v>
      </c>
      <c r="E5380" t="s">
        <v>30394</v>
      </c>
      <c r="F5380" t="s">
        <v>1190</v>
      </c>
      <c r="G5380" t="s">
        <v>307</v>
      </c>
      <c r="H5380" t="s">
        <v>308</v>
      </c>
      <c r="I5380" t="s">
        <v>309</v>
      </c>
      <c r="J5380" s="3" t="s">
        <v>310</v>
      </c>
      <c r="K5380" t="s">
        <v>311</v>
      </c>
      <c r="L5380" t="s">
        <v>312</v>
      </c>
      <c r="M5380" t="s">
        <v>432</v>
      </c>
    </row>
    <row r="5381" spans="1:13" x14ac:dyDescent="0.25">
      <c r="A5381" t="s">
        <v>20521</v>
      </c>
      <c r="B5381" t="s">
        <v>13</v>
      </c>
      <c r="C5381" t="s">
        <v>20522</v>
      </c>
      <c r="D5381" t="s">
        <v>20523</v>
      </c>
      <c r="E5381" s="2" t="s">
        <v>32008</v>
      </c>
      <c r="F5381" t="s">
        <v>1464</v>
      </c>
      <c r="G5381" t="s">
        <v>16144</v>
      </c>
      <c r="H5381" t="s">
        <v>255</v>
      </c>
      <c r="I5381" t="s">
        <v>19</v>
      </c>
      <c r="J5381" s="3" t="s">
        <v>20524</v>
      </c>
      <c r="K5381" t="s">
        <v>16146</v>
      </c>
      <c r="L5381" t="s">
        <v>9587</v>
      </c>
      <c r="M5381" t="s">
        <v>57</v>
      </c>
    </row>
    <row r="5382" spans="1:13" x14ac:dyDescent="0.25">
      <c r="A5382" t="s">
        <v>3159</v>
      </c>
      <c r="B5382" t="s">
        <v>13</v>
      </c>
      <c r="C5382" s="1">
        <v>44568</v>
      </c>
      <c r="D5382" t="s">
        <v>3160</v>
      </c>
      <c r="E5382" t="s">
        <v>3161</v>
      </c>
      <c r="F5382" t="s">
        <v>3162</v>
      </c>
      <c r="G5382" t="s">
        <v>3163</v>
      </c>
      <c r="H5382" t="s">
        <v>798</v>
      </c>
      <c r="I5382" t="s">
        <v>19</v>
      </c>
      <c r="J5382" s="3">
        <f>55-61-31073117</f>
        <v>-31073123</v>
      </c>
      <c r="K5382" t="s">
        <v>3164</v>
      </c>
      <c r="L5382" t="s">
        <v>3165</v>
      </c>
      <c r="M5382" t="s">
        <v>224</v>
      </c>
    </row>
    <row r="5383" spans="1:13" x14ac:dyDescent="0.25">
      <c r="A5383" t="s">
        <v>17915</v>
      </c>
      <c r="B5383" t="s">
        <v>13</v>
      </c>
      <c r="C5383" s="1">
        <v>43469</v>
      </c>
      <c r="D5383" t="s">
        <v>17916</v>
      </c>
      <c r="E5383" t="s">
        <v>17917</v>
      </c>
      <c r="F5383" t="s">
        <v>3084</v>
      </c>
      <c r="G5383" t="s">
        <v>17918</v>
      </c>
      <c r="H5383" t="s">
        <v>352</v>
      </c>
      <c r="I5383" t="s">
        <v>19</v>
      </c>
      <c r="J5383" s="3" t="s">
        <v>17919</v>
      </c>
      <c r="K5383" t="s">
        <v>17920</v>
      </c>
      <c r="L5383" t="s">
        <v>1232</v>
      </c>
      <c r="M5383" t="s">
        <v>32144</v>
      </c>
    </row>
    <row r="5384" spans="1:13" x14ac:dyDescent="0.25">
      <c r="A5384" t="s">
        <v>25991</v>
      </c>
      <c r="B5384" t="s">
        <v>13</v>
      </c>
      <c r="C5384" t="s">
        <v>25992</v>
      </c>
      <c r="D5384" t="s">
        <v>25993</v>
      </c>
      <c r="E5384" t="s">
        <v>25994</v>
      </c>
      <c r="F5384" t="s">
        <v>2036</v>
      </c>
      <c r="G5384" t="s">
        <v>2940</v>
      </c>
      <c r="H5384" t="s">
        <v>265</v>
      </c>
      <c r="I5384" t="s">
        <v>19</v>
      </c>
      <c r="J5384" s="3" t="s">
        <v>2941</v>
      </c>
      <c r="K5384" t="s">
        <v>2942</v>
      </c>
      <c r="L5384" t="s">
        <v>2943</v>
      </c>
      <c r="M5384" t="s">
        <v>57</v>
      </c>
    </row>
    <row r="5385" spans="1:13" x14ac:dyDescent="0.25">
      <c r="A5385" t="s">
        <v>13371</v>
      </c>
      <c r="B5385" t="s">
        <v>13</v>
      </c>
      <c r="C5385" s="1">
        <v>43221</v>
      </c>
      <c r="D5385" t="s">
        <v>13372</v>
      </c>
      <c r="E5385" t="s">
        <v>13373</v>
      </c>
      <c r="F5385" t="s">
        <v>2036</v>
      </c>
      <c r="G5385" t="s">
        <v>2461</v>
      </c>
      <c r="H5385" t="s">
        <v>669</v>
      </c>
      <c r="I5385" t="s">
        <v>670</v>
      </c>
      <c r="J5385" s="3">
        <v>5697122483</v>
      </c>
      <c r="K5385" t="s">
        <v>671</v>
      </c>
      <c r="L5385" t="s">
        <v>672</v>
      </c>
      <c r="M5385" t="s">
        <v>57</v>
      </c>
    </row>
    <row r="5386" spans="1:13" x14ac:dyDescent="0.25">
      <c r="A5386" t="s">
        <v>18421</v>
      </c>
      <c r="B5386" t="s">
        <v>13</v>
      </c>
      <c r="C5386" s="1">
        <v>43377</v>
      </c>
      <c r="D5386" t="s">
        <v>18422</v>
      </c>
      <c r="E5386" t="s">
        <v>13373</v>
      </c>
      <c r="F5386" t="s">
        <v>2036</v>
      </c>
      <c r="G5386" t="s">
        <v>2461</v>
      </c>
      <c r="H5386" t="s">
        <v>669</v>
      </c>
      <c r="I5386" t="s">
        <v>670</v>
      </c>
      <c r="J5386" s="3">
        <v>5697122483</v>
      </c>
      <c r="K5386" t="s">
        <v>671</v>
      </c>
      <c r="L5386" t="s">
        <v>672</v>
      </c>
      <c r="M5386" t="s">
        <v>57</v>
      </c>
    </row>
    <row r="5387" spans="1:13" x14ac:dyDescent="0.25">
      <c r="A5387" t="s">
        <v>384</v>
      </c>
      <c r="B5387" t="s">
        <v>13</v>
      </c>
      <c r="C5387" t="s">
        <v>366</v>
      </c>
      <c r="D5387" t="s">
        <v>385</v>
      </c>
      <c r="E5387" t="s">
        <v>386</v>
      </c>
      <c r="F5387" t="s">
        <v>387</v>
      </c>
      <c r="G5387" t="s">
        <v>388</v>
      </c>
      <c r="H5387" t="s">
        <v>265</v>
      </c>
      <c r="I5387" t="s">
        <v>19</v>
      </c>
      <c r="J5387" s="3" t="s">
        <v>389</v>
      </c>
      <c r="K5387" t="s">
        <v>390</v>
      </c>
      <c r="L5387" t="s">
        <v>391</v>
      </c>
      <c r="M5387" t="s">
        <v>57</v>
      </c>
    </row>
    <row r="5388" spans="1:13" x14ac:dyDescent="0.25">
      <c r="A5388" t="s">
        <v>8237</v>
      </c>
      <c r="B5388" t="s">
        <v>13</v>
      </c>
      <c r="C5388" s="1">
        <v>44441</v>
      </c>
      <c r="D5388" t="s">
        <v>32135</v>
      </c>
      <c r="E5388" t="s">
        <v>8238</v>
      </c>
      <c r="F5388" t="s">
        <v>387</v>
      </c>
      <c r="G5388" t="s">
        <v>8239</v>
      </c>
      <c r="H5388" t="s">
        <v>265</v>
      </c>
      <c r="I5388" t="s">
        <v>19</v>
      </c>
      <c r="J5388" s="3">
        <f>55-16-988103220</f>
        <v>-988103181</v>
      </c>
      <c r="K5388" t="s">
        <v>8240</v>
      </c>
      <c r="L5388" t="s">
        <v>32135</v>
      </c>
      <c r="M5388" t="s">
        <v>57</v>
      </c>
    </row>
    <row r="5389" spans="1:13" x14ac:dyDescent="0.25">
      <c r="A5389" t="s">
        <v>338</v>
      </c>
      <c r="B5389" t="s">
        <v>13</v>
      </c>
      <c r="C5389" t="s">
        <v>314</v>
      </c>
      <c r="D5389" t="s">
        <v>339</v>
      </c>
      <c r="E5389" t="s">
        <v>340</v>
      </c>
      <c r="F5389" t="s">
        <v>341</v>
      </c>
      <c r="G5389" t="s">
        <v>342</v>
      </c>
      <c r="H5389" t="s">
        <v>150</v>
      </c>
      <c r="I5389" t="s">
        <v>19</v>
      </c>
      <c r="J5389" s="3">
        <v>551126617585</v>
      </c>
      <c r="K5389" t="s">
        <v>343</v>
      </c>
      <c r="L5389" t="s">
        <v>344</v>
      </c>
      <c r="M5389" t="s">
        <v>771</v>
      </c>
    </row>
    <row r="5390" spans="1:13" x14ac:dyDescent="0.25">
      <c r="A5390" t="s">
        <v>27837</v>
      </c>
      <c r="B5390" t="s">
        <v>13</v>
      </c>
      <c r="C5390" t="s">
        <v>27838</v>
      </c>
      <c r="D5390" t="s">
        <v>27839</v>
      </c>
      <c r="E5390" t="s">
        <v>27840</v>
      </c>
      <c r="F5390" t="s">
        <v>117</v>
      </c>
      <c r="G5390" t="s">
        <v>27841</v>
      </c>
      <c r="H5390" t="s">
        <v>428</v>
      </c>
      <c r="I5390" t="s">
        <v>19</v>
      </c>
      <c r="J5390" s="3">
        <v>555133598000</v>
      </c>
      <c r="K5390" t="s">
        <v>27842</v>
      </c>
      <c r="L5390" t="s">
        <v>14193</v>
      </c>
      <c r="M5390" t="s">
        <v>32145</v>
      </c>
    </row>
    <row r="5391" spans="1:13" x14ac:dyDescent="0.25">
      <c r="A5391" t="s">
        <v>30388</v>
      </c>
      <c r="B5391" t="s">
        <v>13</v>
      </c>
      <c r="C5391" s="1">
        <v>41000</v>
      </c>
      <c r="D5391" t="s">
        <v>30389</v>
      </c>
      <c r="E5391" t="s">
        <v>32680</v>
      </c>
      <c r="F5391" t="s">
        <v>9519</v>
      </c>
      <c r="G5391" t="s">
        <v>25026</v>
      </c>
      <c r="H5391" t="s">
        <v>1215</v>
      </c>
      <c r="I5391" t="s">
        <v>19</v>
      </c>
      <c r="J5391" s="3" t="s">
        <v>30390</v>
      </c>
      <c r="K5391" t="s">
        <v>25028</v>
      </c>
      <c r="L5391" t="s">
        <v>30391</v>
      </c>
      <c r="M5391" t="s">
        <v>32145</v>
      </c>
    </row>
    <row r="5392" spans="1:13" x14ac:dyDescent="0.25">
      <c r="A5392" t="s">
        <v>6815</v>
      </c>
      <c r="B5392" t="s">
        <v>13</v>
      </c>
      <c r="C5392" t="s">
        <v>6816</v>
      </c>
      <c r="D5392" t="s">
        <v>6817</v>
      </c>
      <c r="E5392" t="s">
        <v>6818</v>
      </c>
      <c r="F5392" t="s">
        <v>1464</v>
      </c>
      <c r="G5392" t="s">
        <v>6819</v>
      </c>
      <c r="H5392" t="s">
        <v>36</v>
      </c>
      <c r="I5392" t="s">
        <v>19</v>
      </c>
      <c r="J5392" s="3" t="s">
        <v>6820</v>
      </c>
      <c r="K5392" t="s">
        <v>6821</v>
      </c>
      <c r="L5392" t="s">
        <v>6822</v>
      </c>
      <c r="M5392" t="s">
        <v>337</v>
      </c>
    </row>
    <row r="5393" spans="1:13" x14ac:dyDescent="0.25">
      <c r="A5393" t="s">
        <v>16394</v>
      </c>
      <c r="B5393" t="s">
        <v>13</v>
      </c>
      <c r="C5393" t="s">
        <v>16385</v>
      </c>
      <c r="D5393" t="s">
        <v>16395</v>
      </c>
      <c r="E5393" t="s">
        <v>5153</v>
      </c>
      <c r="F5393" t="s">
        <v>6130</v>
      </c>
      <c r="G5393" t="s">
        <v>16396</v>
      </c>
      <c r="H5393" t="s">
        <v>16397</v>
      </c>
      <c r="I5393" t="s">
        <v>19</v>
      </c>
      <c r="J5393" s="3">
        <v>5517991761835</v>
      </c>
      <c r="K5393" t="s">
        <v>16398</v>
      </c>
      <c r="L5393" t="s">
        <v>16399</v>
      </c>
      <c r="M5393" t="s">
        <v>32144</v>
      </c>
    </row>
    <row r="5394" spans="1:13" x14ac:dyDescent="0.25">
      <c r="A5394" t="s">
        <v>23611</v>
      </c>
      <c r="B5394" t="s">
        <v>13</v>
      </c>
      <c r="C5394" s="1">
        <v>42864</v>
      </c>
      <c r="D5394" t="s">
        <v>23612</v>
      </c>
      <c r="E5394" t="s">
        <v>5153</v>
      </c>
      <c r="F5394" t="s">
        <v>3084</v>
      </c>
      <c r="G5394" t="s">
        <v>23613</v>
      </c>
      <c r="H5394" t="s">
        <v>798</v>
      </c>
      <c r="I5394" t="s">
        <v>19</v>
      </c>
      <c r="J5394" s="3" t="s">
        <v>23614</v>
      </c>
      <c r="K5394" t="s">
        <v>23615</v>
      </c>
      <c r="L5394" t="s">
        <v>1767</v>
      </c>
      <c r="M5394" t="s">
        <v>32144</v>
      </c>
    </row>
    <row r="5395" spans="1:13" x14ac:dyDescent="0.25">
      <c r="A5395" t="s">
        <v>6397</v>
      </c>
      <c r="B5395" t="s">
        <v>13</v>
      </c>
      <c r="C5395" t="s">
        <v>5170</v>
      </c>
      <c r="D5395" t="s">
        <v>32135</v>
      </c>
      <c r="E5395" s="2" t="s">
        <v>30891</v>
      </c>
      <c r="F5395" t="s">
        <v>5153</v>
      </c>
      <c r="G5395" t="s">
        <v>6398</v>
      </c>
      <c r="H5395" t="s">
        <v>36</v>
      </c>
      <c r="I5395" t="s">
        <v>19</v>
      </c>
      <c r="J5395" s="3">
        <f>55-13-991527262</f>
        <v>-991527220</v>
      </c>
      <c r="K5395" t="s">
        <v>6399</v>
      </c>
      <c r="L5395" t="s">
        <v>32135</v>
      </c>
      <c r="M5395" t="s">
        <v>32144</v>
      </c>
    </row>
    <row r="5396" spans="1:13" x14ac:dyDescent="0.25">
      <c r="A5396" t="s">
        <v>8082</v>
      </c>
      <c r="B5396" t="s">
        <v>13</v>
      </c>
      <c r="C5396" t="s">
        <v>8073</v>
      </c>
      <c r="D5396" t="s">
        <v>8083</v>
      </c>
      <c r="E5396" t="s">
        <v>8084</v>
      </c>
      <c r="F5396" t="s">
        <v>8085</v>
      </c>
      <c r="G5396" t="s">
        <v>8086</v>
      </c>
      <c r="H5396" t="s">
        <v>1503</v>
      </c>
      <c r="I5396" t="s">
        <v>19</v>
      </c>
      <c r="J5396" s="3" t="s">
        <v>8087</v>
      </c>
      <c r="K5396" t="s">
        <v>8088</v>
      </c>
      <c r="L5396" t="s">
        <v>439</v>
      </c>
      <c r="M5396" t="s">
        <v>771</v>
      </c>
    </row>
    <row r="5397" spans="1:13" x14ac:dyDescent="0.25">
      <c r="A5397" t="s">
        <v>7967</v>
      </c>
      <c r="B5397" t="s">
        <v>13</v>
      </c>
      <c r="C5397" t="s">
        <v>7968</v>
      </c>
      <c r="D5397" t="s">
        <v>7969</v>
      </c>
      <c r="E5397" t="s">
        <v>7970</v>
      </c>
      <c r="F5397" t="s">
        <v>7973</v>
      </c>
      <c r="G5397" t="s">
        <v>7971</v>
      </c>
      <c r="H5397" t="s">
        <v>1656</v>
      </c>
      <c r="I5397" t="s">
        <v>19</v>
      </c>
      <c r="J5397" s="3">
        <v>5555997238466</v>
      </c>
      <c r="K5397" t="s">
        <v>7972</v>
      </c>
      <c r="L5397" t="s">
        <v>32135</v>
      </c>
      <c r="M5397" t="s">
        <v>32144</v>
      </c>
    </row>
    <row r="5398" spans="1:13" x14ac:dyDescent="0.25">
      <c r="A5398" t="s">
        <v>9017</v>
      </c>
      <c r="B5398" t="s">
        <v>13</v>
      </c>
      <c r="C5398" t="s">
        <v>499</v>
      </c>
      <c r="D5398" t="s">
        <v>9018</v>
      </c>
      <c r="E5398" s="2" t="s">
        <v>30967</v>
      </c>
      <c r="F5398" t="s">
        <v>9019</v>
      </c>
      <c r="G5398" t="s">
        <v>9020</v>
      </c>
      <c r="H5398" t="s">
        <v>2564</v>
      </c>
      <c r="I5398" t="s">
        <v>19</v>
      </c>
      <c r="J5398" s="3">
        <f>55-65-981116162</f>
        <v>-981116172</v>
      </c>
      <c r="K5398" t="s">
        <v>9021</v>
      </c>
      <c r="L5398" t="s">
        <v>9022</v>
      </c>
      <c r="M5398" t="s">
        <v>32144</v>
      </c>
    </row>
    <row r="5399" spans="1:13" x14ac:dyDescent="0.25">
      <c r="A5399" t="s">
        <v>27139</v>
      </c>
      <c r="B5399" t="s">
        <v>13</v>
      </c>
      <c r="C5399" s="1">
        <v>42522</v>
      </c>
      <c r="D5399" t="s">
        <v>27140</v>
      </c>
      <c r="E5399" t="s">
        <v>27141</v>
      </c>
      <c r="F5399" t="s">
        <v>792</v>
      </c>
      <c r="G5399" t="s">
        <v>27142</v>
      </c>
      <c r="H5399" t="s">
        <v>36</v>
      </c>
      <c r="I5399" t="s">
        <v>19</v>
      </c>
      <c r="J5399" s="3">
        <v>551126617834</v>
      </c>
      <c r="K5399" t="s">
        <v>27143</v>
      </c>
      <c r="L5399" t="s">
        <v>344</v>
      </c>
      <c r="M5399" t="s">
        <v>792</v>
      </c>
    </row>
    <row r="5400" spans="1:13" x14ac:dyDescent="0.25">
      <c r="A5400" t="s">
        <v>3917</v>
      </c>
      <c r="B5400" t="s">
        <v>13</v>
      </c>
      <c r="C5400" t="s">
        <v>583</v>
      </c>
      <c r="D5400" t="s">
        <v>3918</v>
      </c>
      <c r="E5400" s="2" t="s">
        <v>31427</v>
      </c>
      <c r="F5400" t="s">
        <v>3919</v>
      </c>
      <c r="G5400" t="s">
        <v>3920</v>
      </c>
      <c r="H5400" t="s">
        <v>1206</v>
      </c>
      <c r="I5400" t="s">
        <v>19</v>
      </c>
      <c r="J5400" s="3" t="s">
        <v>3921</v>
      </c>
      <c r="K5400" t="s">
        <v>3922</v>
      </c>
      <c r="L5400" t="s">
        <v>3923</v>
      </c>
      <c r="M5400" t="s">
        <v>57</v>
      </c>
    </row>
    <row r="5401" spans="1:13" x14ac:dyDescent="0.25">
      <c r="A5401" t="s">
        <v>14005</v>
      </c>
      <c r="B5401" t="s">
        <v>13</v>
      </c>
      <c r="C5401" t="s">
        <v>6128</v>
      </c>
      <c r="D5401" t="s">
        <v>14006</v>
      </c>
      <c r="E5401" t="s">
        <v>8319</v>
      </c>
      <c r="F5401" t="s">
        <v>1464</v>
      </c>
      <c r="G5401" t="s">
        <v>14007</v>
      </c>
      <c r="H5401" t="s">
        <v>36</v>
      </c>
      <c r="I5401" t="s">
        <v>19</v>
      </c>
      <c r="J5401" s="3">
        <f>55-11-55764430</f>
        <v>-55764386</v>
      </c>
      <c r="K5401" t="s">
        <v>14008</v>
      </c>
      <c r="L5401" t="s">
        <v>14009</v>
      </c>
      <c r="M5401" t="s">
        <v>32185</v>
      </c>
    </row>
    <row r="5402" spans="1:13" x14ac:dyDescent="0.25">
      <c r="A5402" t="s">
        <v>2971</v>
      </c>
      <c r="B5402" t="s">
        <v>13</v>
      </c>
      <c r="C5402" t="s">
        <v>2972</v>
      </c>
      <c r="D5402" t="s">
        <v>2973</v>
      </c>
      <c r="E5402" t="s">
        <v>2974</v>
      </c>
      <c r="F5402" t="s">
        <v>2975</v>
      </c>
      <c r="G5402" t="s">
        <v>2976</v>
      </c>
      <c r="H5402" t="s">
        <v>53</v>
      </c>
      <c r="I5402" t="s">
        <v>19</v>
      </c>
      <c r="J5402" s="3" t="s">
        <v>2977</v>
      </c>
      <c r="K5402" t="s">
        <v>2978</v>
      </c>
      <c r="L5402" t="s">
        <v>2979</v>
      </c>
      <c r="M5402" t="s">
        <v>32149</v>
      </c>
    </row>
    <row r="5403" spans="1:13" x14ac:dyDescent="0.25">
      <c r="A5403" t="s">
        <v>22059</v>
      </c>
      <c r="B5403" t="s">
        <v>13</v>
      </c>
      <c r="C5403" s="1">
        <v>43315</v>
      </c>
      <c r="D5403" t="s">
        <v>22060</v>
      </c>
      <c r="E5403" s="2" t="s">
        <v>31750</v>
      </c>
      <c r="F5403" t="s">
        <v>10034</v>
      </c>
      <c r="G5403" t="s">
        <v>22062</v>
      </c>
      <c r="H5403" t="s">
        <v>36</v>
      </c>
      <c r="I5403" t="s">
        <v>19</v>
      </c>
      <c r="J5403" s="3">
        <f>55-43-999352615</f>
        <v>-999352603</v>
      </c>
      <c r="K5403" t="s">
        <v>22063</v>
      </c>
      <c r="L5403" t="s">
        <v>22064</v>
      </c>
      <c r="M5403" t="s">
        <v>741</v>
      </c>
    </row>
    <row r="5404" spans="1:13" x14ac:dyDescent="0.25">
      <c r="A5404" t="s">
        <v>22885</v>
      </c>
      <c r="B5404" t="s">
        <v>13</v>
      </c>
      <c r="C5404" s="1">
        <v>42747</v>
      </c>
      <c r="D5404" t="s">
        <v>22886</v>
      </c>
      <c r="E5404" t="s">
        <v>22887</v>
      </c>
      <c r="F5404" t="s">
        <v>2758</v>
      </c>
      <c r="G5404" t="s">
        <v>11829</v>
      </c>
      <c r="H5404" t="s">
        <v>3416</v>
      </c>
      <c r="I5404" t="s">
        <v>19</v>
      </c>
      <c r="J5404" s="3" t="s">
        <v>11830</v>
      </c>
      <c r="K5404" t="s">
        <v>11831</v>
      </c>
      <c r="L5404" t="s">
        <v>11832</v>
      </c>
      <c r="M5404" t="s">
        <v>32149</v>
      </c>
    </row>
    <row r="5405" spans="1:13" x14ac:dyDescent="0.25">
      <c r="A5405" t="s">
        <v>28852</v>
      </c>
      <c r="B5405" t="s">
        <v>13</v>
      </c>
      <c r="C5405" t="s">
        <v>28853</v>
      </c>
      <c r="D5405" t="s">
        <v>28854</v>
      </c>
      <c r="E5405" t="s">
        <v>9797</v>
      </c>
      <c r="F5405" t="s">
        <v>6686</v>
      </c>
      <c r="G5405" t="s">
        <v>28855</v>
      </c>
      <c r="H5405" t="s">
        <v>428</v>
      </c>
      <c r="I5405" t="s">
        <v>19</v>
      </c>
      <c r="J5405" s="3" t="s">
        <v>28856</v>
      </c>
      <c r="K5405" t="s">
        <v>28857</v>
      </c>
      <c r="L5405" t="s">
        <v>1269</v>
      </c>
      <c r="M5405" t="s">
        <v>337</v>
      </c>
    </row>
    <row r="5406" spans="1:13" x14ac:dyDescent="0.25">
      <c r="A5406" t="s">
        <v>6096</v>
      </c>
      <c r="B5406" t="s">
        <v>13</v>
      </c>
      <c r="C5406" t="s">
        <v>6097</v>
      </c>
      <c r="D5406" t="s">
        <v>6098</v>
      </c>
      <c r="E5406" t="s">
        <v>32681</v>
      </c>
      <c r="F5406" t="s">
        <v>148</v>
      </c>
      <c r="G5406" t="s">
        <v>6099</v>
      </c>
      <c r="H5406" t="s">
        <v>6100</v>
      </c>
      <c r="I5406" t="s">
        <v>19</v>
      </c>
      <c r="J5406" s="3">
        <f>55-96-98133-4223</f>
        <v>-102397</v>
      </c>
      <c r="K5406" t="s">
        <v>6101</v>
      </c>
      <c r="L5406" t="s">
        <v>32135</v>
      </c>
      <c r="M5406" t="s">
        <v>741</v>
      </c>
    </row>
    <row r="5407" spans="1:13" x14ac:dyDescent="0.25">
      <c r="A5407" t="s">
        <v>11392</v>
      </c>
      <c r="B5407" t="s">
        <v>13</v>
      </c>
      <c r="C5407" t="s">
        <v>11383</v>
      </c>
      <c r="D5407" t="s">
        <v>11393</v>
      </c>
      <c r="E5407" s="2" t="s">
        <v>32682</v>
      </c>
      <c r="F5407" t="s">
        <v>3084</v>
      </c>
      <c r="G5407" t="s">
        <v>11395</v>
      </c>
      <c r="H5407" t="s">
        <v>4993</v>
      </c>
      <c r="I5407" t="s">
        <v>19</v>
      </c>
      <c r="J5407" s="3">
        <f>55-11-23206120</f>
        <v>-23206076</v>
      </c>
      <c r="K5407" t="s">
        <v>11396</v>
      </c>
      <c r="L5407" t="s">
        <v>2277</v>
      </c>
      <c r="M5407" t="s">
        <v>32144</v>
      </c>
    </row>
    <row r="5408" spans="1:13" x14ac:dyDescent="0.25">
      <c r="A5408" t="s">
        <v>29222</v>
      </c>
      <c r="B5408" t="s">
        <v>13</v>
      </c>
      <c r="C5408" s="1">
        <v>41700</v>
      </c>
      <c r="D5408" t="s">
        <v>29223</v>
      </c>
      <c r="E5408" t="s">
        <v>29224</v>
      </c>
      <c r="F5408" t="s">
        <v>1464</v>
      </c>
      <c r="G5408" t="s">
        <v>29225</v>
      </c>
      <c r="H5408" t="s">
        <v>1335</v>
      </c>
      <c r="I5408" t="s">
        <v>19</v>
      </c>
      <c r="J5408" s="3" t="s">
        <v>28369</v>
      </c>
      <c r="K5408" t="s">
        <v>29226</v>
      </c>
      <c r="L5408" t="s">
        <v>1338</v>
      </c>
      <c r="M5408" t="s">
        <v>792</v>
      </c>
    </row>
    <row r="5409" spans="1:13" x14ac:dyDescent="0.25">
      <c r="A5409" t="s">
        <v>28366</v>
      </c>
      <c r="B5409" t="s">
        <v>13</v>
      </c>
      <c r="C5409" s="1">
        <v>42159</v>
      </c>
      <c r="D5409" t="s">
        <v>28367</v>
      </c>
      <c r="E5409" t="s">
        <v>32807</v>
      </c>
      <c r="F5409" t="s">
        <v>1464</v>
      </c>
      <c r="G5409" t="s">
        <v>28368</v>
      </c>
      <c r="H5409" t="s">
        <v>1335</v>
      </c>
      <c r="I5409" t="s">
        <v>19</v>
      </c>
      <c r="J5409" s="3" t="s">
        <v>28369</v>
      </c>
      <c r="K5409" t="s">
        <v>28370</v>
      </c>
      <c r="L5409" t="s">
        <v>1338</v>
      </c>
      <c r="M5409" t="s">
        <v>1775</v>
      </c>
    </row>
    <row r="5410" spans="1:13" x14ac:dyDescent="0.25">
      <c r="A5410" t="s">
        <v>25348</v>
      </c>
      <c r="B5410" t="s">
        <v>13</v>
      </c>
      <c r="C5410" s="1">
        <v>42653</v>
      </c>
      <c r="D5410" t="s">
        <v>25349</v>
      </c>
      <c r="E5410" t="s">
        <v>25350</v>
      </c>
      <c r="F5410" t="s">
        <v>1464</v>
      </c>
      <c r="G5410" t="s">
        <v>25351</v>
      </c>
      <c r="H5410" t="s">
        <v>1466</v>
      </c>
      <c r="I5410" t="s">
        <v>19</v>
      </c>
      <c r="J5410" s="3" t="s">
        <v>25352</v>
      </c>
      <c r="K5410" t="s">
        <v>25353</v>
      </c>
      <c r="L5410" t="s">
        <v>1469</v>
      </c>
      <c r="M5410" t="s">
        <v>57</v>
      </c>
    </row>
    <row r="5411" spans="1:13" x14ac:dyDescent="0.25">
      <c r="A5411" t="s">
        <v>10257</v>
      </c>
      <c r="B5411" t="s">
        <v>13</v>
      </c>
      <c r="C5411" t="s">
        <v>9229</v>
      </c>
      <c r="D5411" t="s">
        <v>10258</v>
      </c>
      <c r="E5411" s="2" t="s">
        <v>32032</v>
      </c>
      <c r="F5411" t="s">
        <v>1464</v>
      </c>
      <c r="G5411" t="s">
        <v>10259</v>
      </c>
      <c r="H5411" t="s">
        <v>352</v>
      </c>
      <c r="I5411" t="s">
        <v>19</v>
      </c>
      <c r="J5411" s="3" t="s">
        <v>10260</v>
      </c>
      <c r="K5411" t="s">
        <v>10261</v>
      </c>
      <c r="L5411" t="s">
        <v>10262</v>
      </c>
      <c r="M5411" t="s">
        <v>57</v>
      </c>
    </row>
    <row r="5412" spans="1:13" x14ac:dyDescent="0.25">
      <c r="A5412" t="s">
        <v>25798</v>
      </c>
      <c r="B5412" t="s">
        <v>13</v>
      </c>
      <c r="C5412" t="s">
        <v>25786</v>
      </c>
      <c r="D5412" t="s">
        <v>25799</v>
      </c>
      <c r="E5412" t="s">
        <v>25800</v>
      </c>
      <c r="F5412" t="s">
        <v>10034</v>
      </c>
      <c r="G5412" t="s">
        <v>25801</v>
      </c>
      <c r="H5412" t="s">
        <v>141</v>
      </c>
      <c r="I5412" t="s">
        <v>19</v>
      </c>
      <c r="J5412" s="3" t="s">
        <v>25802</v>
      </c>
      <c r="K5412" t="s">
        <v>25803</v>
      </c>
      <c r="L5412" t="s">
        <v>1058</v>
      </c>
      <c r="M5412" t="s">
        <v>741</v>
      </c>
    </row>
    <row r="5413" spans="1:13" x14ac:dyDescent="0.25">
      <c r="A5413" t="s">
        <v>14785</v>
      </c>
      <c r="B5413" t="s">
        <v>13</v>
      </c>
      <c r="C5413" t="s">
        <v>14786</v>
      </c>
      <c r="D5413" t="s">
        <v>14787</v>
      </c>
      <c r="E5413" t="s">
        <v>14788</v>
      </c>
      <c r="F5413" t="s">
        <v>741</v>
      </c>
      <c r="G5413" t="s">
        <v>14789</v>
      </c>
      <c r="H5413" t="s">
        <v>1047</v>
      </c>
      <c r="I5413" t="s">
        <v>19</v>
      </c>
      <c r="J5413" s="3" t="s">
        <v>14790</v>
      </c>
      <c r="K5413" t="s">
        <v>14791</v>
      </c>
      <c r="L5413" t="s">
        <v>14440</v>
      </c>
      <c r="M5413" t="s">
        <v>741</v>
      </c>
    </row>
    <row r="5414" spans="1:13" x14ac:dyDescent="0.25">
      <c r="A5414" t="s">
        <v>18271</v>
      </c>
      <c r="B5414" t="s">
        <v>13</v>
      </c>
      <c r="C5414" t="s">
        <v>18272</v>
      </c>
      <c r="D5414" t="s">
        <v>18273</v>
      </c>
      <c r="E5414" t="s">
        <v>5240</v>
      </c>
      <c r="F5414" t="s">
        <v>2947</v>
      </c>
      <c r="G5414" t="s">
        <v>18274</v>
      </c>
      <c r="H5414" t="s">
        <v>36</v>
      </c>
      <c r="I5414" t="s">
        <v>19</v>
      </c>
      <c r="J5414" s="3">
        <f>55-1133859222</f>
        <v>-1133859167</v>
      </c>
      <c r="K5414" t="s">
        <v>18275</v>
      </c>
      <c r="L5414" t="s">
        <v>223</v>
      </c>
      <c r="M5414" t="s">
        <v>771</v>
      </c>
    </row>
    <row r="5415" spans="1:13" x14ac:dyDescent="0.25">
      <c r="A5415" t="s">
        <v>10287</v>
      </c>
      <c r="B5415" t="s">
        <v>13</v>
      </c>
      <c r="C5415" t="s">
        <v>8701</v>
      </c>
      <c r="D5415" t="s">
        <v>10288</v>
      </c>
      <c r="E5415" t="s">
        <v>10289</v>
      </c>
      <c r="F5415" t="s">
        <v>771</v>
      </c>
      <c r="G5415" t="s">
        <v>10290</v>
      </c>
      <c r="H5415" t="s">
        <v>927</v>
      </c>
      <c r="I5415" t="s">
        <v>19</v>
      </c>
      <c r="J5415" s="3" t="s">
        <v>10291</v>
      </c>
      <c r="K5415" t="s">
        <v>10292</v>
      </c>
      <c r="L5415" t="s">
        <v>3232</v>
      </c>
      <c r="M5415" t="s">
        <v>771</v>
      </c>
    </row>
    <row r="5416" spans="1:13" x14ac:dyDescent="0.25">
      <c r="A5416" t="s">
        <v>22487</v>
      </c>
      <c r="B5416" t="s">
        <v>13</v>
      </c>
      <c r="C5416" t="s">
        <v>8036</v>
      </c>
      <c r="D5416" t="s">
        <v>22488</v>
      </c>
      <c r="E5416" s="2" t="s">
        <v>32808</v>
      </c>
      <c r="F5416" t="s">
        <v>2947</v>
      </c>
      <c r="G5416" t="s">
        <v>22489</v>
      </c>
      <c r="H5416" t="s">
        <v>71</v>
      </c>
      <c r="I5416" t="s">
        <v>19</v>
      </c>
      <c r="J5416" s="3">
        <f>55-86-999761739</f>
        <v>-999761770</v>
      </c>
      <c r="K5416" t="s">
        <v>22490</v>
      </c>
      <c r="L5416" t="s">
        <v>22491</v>
      </c>
      <c r="M5416" t="s">
        <v>771</v>
      </c>
    </row>
    <row r="5417" spans="1:13" x14ac:dyDescent="0.25">
      <c r="A5417" t="s">
        <v>14146</v>
      </c>
      <c r="B5417" t="s">
        <v>13</v>
      </c>
      <c r="C5417" t="s">
        <v>7263</v>
      </c>
      <c r="D5417" t="s">
        <v>14147</v>
      </c>
      <c r="E5417" s="2" t="s">
        <v>31085</v>
      </c>
      <c r="F5417" t="s">
        <v>2947</v>
      </c>
      <c r="G5417" t="s">
        <v>1731</v>
      </c>
      <c r="H5417" t="s">
        <v>265</v>
      </c>
      <c r="I5417" t="s">
        <v>19</v>
      </c>
      <c r="J5417" s="3" t="s">
        <v>1732</v>
      </c>
      <c r="K5417" t="s">
        <v>1733</v>
      </c>
      <c r="L5417" t="s">
        <v>1734</v>
      </c>
      <c r="M5417" t="s">
        <v>771</v>
      </c>
    </row>
    <row r="5418" spans="1:13" x14ac:dyDescent="0.25">
      <c r="A5418" t="s">
        <v>25342</v>
      </c>
      <c r="B5418" t="s">
        <v>13</v>
      </c>
      <c r="C5418" s="1">
        <v>42653</v>
      </c>
      <c r="D5418" t="s">
        <v>25343</v>
      </c>
      <c r="E5418" t="s">
        <v>25344</v>
      </c>
      <c r="F5418" t="s">
        <v>1464</v>
      </c>
      <c r="G5418" t="s">
        <v>25345</v>
      </c>
      <c r="H5418" t="s">
        <v>36</v>
      </c>
      <c r="I5418" t="s">
        <v>19</v>
      </c>
      <c r="J5418" s="3" t="s">
        <v>25346</v>
      </c>
      <c r="K5418" t="s">
        <v>25347</v>
      </c>
      <c r="L5418" t="s">
        <v>8044</v>
      </c>
      <c r="M5418" t="s">
        <v>32204</v>
      </c>
    </row>
    <row r="5419" spans="1:13" x14ac:dyDescent="0.25">
      <c r="A5419" t="s">
        <v>3339</v>
      </c>
      <c r="B5419" t="s">
        <v>101</v>
      </c>
      <c r="C5419" t="s">
        <v>3340</v>
      </c>
      <c r="D5419" t="s">
        <v>3341</v>
      </c>
      <c r="E5419" s="2" t="s">
        <v>30775</v>
      </c>
      <c r="F5419" t="s">
        <v>3342</v>
      </c>
      <c r="G5419" t="s">
        <v>3343</v>
      </c>
      <c r="H5419" t="s">
        <v>936</v>
      </c>
      <c r="I5419" t="s">
        <v>19</v>
      </c>
      <c r="J5419" s="3">
        <v>5571987750584</v>
      </c>
      <c r="K5419" t="s">
        <v>3344</v>
      </c>
      <c r="L5419" t="s">
        <v>3345</v>
      </c>
      <c r="M5419" t="s">
        <v>1304</v>
      </c>
    </row>
    <row r="5420" spans="1:13" x14ac:dyDescent="0.25">
      <c r="A5420" t="s">
        <v>13966</v>
      </c>
      <c r="B5420" t="s">
        <v>13</v>
      </c>
      <c r="C5420" t="s">
        <v>6128</v>
      </c>
      <c r="D5420" t="s">
        <v>13967</v>
      </c>
      <c r="E5420" t="s">
        <v>13968</v>
      </c>
      <c r="F5420" t="s">
        <v>9327</v>
      </c>
      <c r="G5420" t="s">
        <v>10533</v>
      </c>
      <c r="H5420" t="s">
        <v>265</v>
      </c>
      <c r="I5420" t="s">
        <v>19</v>
      </c>
      <c r="J5420" s="3">
        <f>55-16-33154195</f>
        <v>-33154156</v>
      </c>
      <c r="K5420" t="s">
        <v>10534</v>
      </c>
      <c r="L5420" t="s">
        <v>13969</v>
      </c>
      <c r="M5420" t="s">
        <v>1304</v>
      </c>
    </row>
    <row r="5421" spans="1:13" x14ac:dyDescent="0.25">
      <c r="A5421" t="s">
        <v>18373</v>
      </c>
      <c r="B5421" t="s">
        <v>101</v>
      </c>
      <c r="C5421" s="1">
        <v>43679</v>
      </c>
      <c r="D5421" t="s">
        <v>18374</v>
      </c>
      <c r="E5421" t="s">
        <v>13968</v>
      </c>
      <c r="F5421" t="s">
        <v>57</v>
      </c>
      <c r="G5421" t="s">
        <v>18375</v>
      </c>
      <c r="H5421" t="s">
        <v>352</v>
      </c>
      <c r="I5421" t="s">
        <v>19</v>
      </c>
      <c r="J5421" s="3">
        <v>5502128688083</v>
      </c>
      <c r="K5421" t="s">
        <v>18376</v>
      </c>
      <c r="L5421" t="s">
        <v>15100</v>
      </c>
      <c r="M5421" t="s">
        <v>57</v>
      </c>
    </row>
    <row r="5422" spans="1:13" x14ac:dyDescent="0.25">
      <c r="A5422" t="s">
        <v>23782</v>
      </c>
      <c r="B5422" t="s">
        <v>13</v>
      </c>
      <c r="C5422" t="s">
        <v>15868</v>
      </c>
      <c r="D5422" t="s">
        <v>23783</v>
      </c>
      <c r="E5422" t="s">
        <v>23784</v>
      </c>
      <c r="F5422" t="s">
        <v>57</v>
      </c>
      <c r="G5422" t="s">
        <v>23785</v>
      </c>
      <c r="H5422" t="s">
        <v>352</v>
      </c>
      <c r="I5422" t="s">
        <v>19</v>
      </c>
      <c r="J5422" s="3" t="s">
        <v>23786</v>
      </c>
      <c r="K5422" t="s">
        <v>23787</v>
      </c>
      <c r="L5422" t="s">
        <v>550</v>
      </c>
      <c r="M5422" t="s">
        <v>57</v>
      </c>
    </row>
    <row r="5423" spans="1:13" x14ac:dyDescent="0.25">
      <c r="A5423" t="s">
        <v>15095</v>
      </c>
      <c r="B5423" t="s">
        <v>101</v>
      </c>
      <c r="C5423" s="1">
        <v>43657</v>
      </c>
      <c r="D5423" t="s">
        <v>15096</v>
      </c>
      <c r="E5423" t="s">
        <v>15097</v>
      </c>
      <c r="F5423" t="s">
        <v>57</v>
      </c>
      <c r="G5423" t="s">
        <v>15098</v>
      </c>
      <c r="H5423" t="s">
        <v>352</v>
      </c>
      <c r="I5423" t="s">
        <v>19</v>
      </c>
      <c r="J5423" s="3">
        <v>5521999594089</v>
      </c>
      <c r="K5423" t="s">
        <v>15099</v>
      </c>
      <c r="L5423" t="s">
        <v>15100</v>
      </c>
      <c r="M5423" t="s">
        <v>57</v>
      </c>
    </row>
    <row r="5424" spans="1:13" x14ac:dyDescent="0.25">
      <c r="A5424" t="s">
        <v>2533</v>
      </c>
      <c r="B5424" t="s">
        <v>13</v>
      </c>
      <c r="C5424" t="s">
        <v>2534</v>
      </c>
      <c r="D5424" t="s">
        <v>2535</v>
      </c>
      <c r="E5424" t="s">
        <v>2536</v>
      </c>
      <c r="F5424" t="s">
        <v>1464</v>
      </c>
      <c r="G5424" t="s">
        <v>2537</v>
      </c>
      <c r="H5424" t="s">
        <v>472</v>
      </c>
      <c r="I5424" t="s">
        <v>19</v>
      </c>
      <c r="J5424" s="3" t="s">
        <v>2538</v>
      </c>
      <c r="K5424" t="s">
        <v>2539</v>
      </c>
      <c r="L5424" t="s">
        <v>2540</v>
      </c>
      <c r="M5424" t="s">
        <v>57</v>
      </c>
    </row>
    <row r="5425" spans="1:13" x14ac:dyDescent="0.25">
      <c r="A5425" t="s">
        <v>11862</v>
      </c>
      <c r="B5425" t="s">
        <v>13</v>
      </c>
      <c r="C5425" t="s">
        <v>11863</v>
      </c>
      <c r="D5425" t="s">
        <v>11864</v>
      </c>
      <c r="E5425" t="s">
        <v>2536</v>
      </c>
      <c r="F5425" t="s">
        <v>4639</v>
      </c>
      <c r="G5425" t="s">
        <v>11865</v>
      </c>
      <c r="H5425" t="s">
        <v>472</v>
      </c>
      <c r="I5425" t="s">
        <v>19</v>
      </c>
      <c r="J5425" s="3">
        <v>5581991721582</v>
      </c>
      <c r="K5425" t="s">
        <v>11866</v>
      </c>
      <c r="L5425" t="s">
        <v>2101</v>
      </c>
      <c r="M5425" t="s">
        <v>57</v>
      </c>
    </row>
    <row r="5426" spans="1:13" x14ac:dyDescent="0.25">
      <c r="A5426" t="s">
        <v>16656</v>
      </c>
      <c r="B5426" t="s">
        <v>13</v>
      </c>
      <c r="C5426" t="s">
        <v>16644</v>
      </c>
      <c r="D5426" t="s">
        <v>16657</v>
      </c>
      <c r="E5426" t="s">
        <v>16658</v>
      </c>
      <c r="F5426" t="s">
        <v>1129</v>
      </c>
      <c r="G5426" t="s">
        <v>16659</v>
      </c>
      <c r="H5426" t="s">
        <v>706</v>
      </c>
      <c r="I5426" t="s">
        <v>19</v>
      </c>
      <c r="J5426" s="3" t="s">
        <v>16660</v>
      </c>
      <c r="K5426" t="s">
        <v>16661</v>
      </c>
      <c r="L5426" t="s">
        <v>565</v>
      </c>
      <c r="M5426" t="s">
        <v>224</v>
      </c>
    </row>
    <row r="5427" spans="1:13" x14ac:dyDescent="0.25">
      <c r="A5427" t="s">
        <v>19043</v>
      </c>
      <c r="B5427" t="s">
        <v>13</v>
      </c>
      <c r="C5427" s="1">
        <v>43354</v>
      </c>
      <c r="D5427" t="s">
        <v>19044</v>
      </c>
      <c r="E5427" s="2" t="s">
        <v>31217</v>
      </c>
      <c r="F5427" t="s">
        <v>3084</v>
      </c>
      <c r="G5427" t="s">
        <v>19045</v>
      </c>
      <c r="H5427" t="s">
        <v>798</v>
      </c>
      <c r="I5427" t="s">
        <v>19</v>
      </c>
      <c r="J5427" s="3" t="s">
        <v>19046</v>
      </c>
      <c r="K5427" t="s">
        <v>19047</v>
      </c>
      <c r="L5427" t="s">
        <v>19048</v>
      </c>
      <c r="M5427" t="s">
        <v>32144</v>
      </c>
    </row>
    <row r="5428" spans="1:13" x14ac:dyDescent="0.25">
      <c r="A5428" t="s">
        <v>2264</v>
      </c>
      <c r="B5428" t="s">
        <v>13</v>
      </c>
      <c r="C5428" t="s">
        <v>2265</v>
      </c>
      <c r="D5428" t="s">
        <v>2266</v>
      </c>
      <c r="E5428" t="s">
        <v>2267</v>
      </c>
      <c r="F5428" t="s">
        <v>2268</v>
      </c>
      <c r="G5428" t="s">
        <v>2269</v>
      </c>
      <c r="H5428" t="s">
        <v>150</v>
      </c>
      <c r="I5428" t="s">
        <v>19</v>
      </c>
      <c r="J5428" s="3">
        <v>5551996849595</v>
      </c>
      <c r="K5428" t="s">
        <v>2270</v>
      </c>
      <c r="L5428" t="s">
        <v>321</v>
      </c>
      <c r="M5428" t="s">
        <v>741</v>
      </c>
    </row>
    <row r="5429" spans="1:13" x14ac:dyDescent="0.25">
      <c r="A5429" t="s">
        <v>19576</v>
      </c>
      <c r="B5429" t="s">
        <v>13</v>
      </c>
      <c r="C5429" t="s">
        <v>19574</v>
      </c>
      <c r="D5429" t="s">
        <v>19577</v>
      </c>
      <c r="E5429" t="s">
        <v>32683</v>
      </c>
      <c r="F5429" t="s">
        <v>1464</v>
      </c>
      <c r="G5429" t="s">
        <v>19578</v>
      </c>
      <c r="H5429" t="s">
        <v>1656</v>
      </c>
      <c r="I5429" t="s">
        <v>19</v>
      </c>
      <c r="J5429" s="3" t="s">
        <v>19579</v>
      </c>
      <c r="K5429" t="s">
        <v>19580</v>
      </c>
      <c r="L5429" t="s">
        <v>12598</v>
      </c>
      <c r="M5429" t="s">
        <v>57</v>
      </c>
    </row>
    <row r="5430" spans="1:13" x14ac:dyDescent="0.25">
      <c r="A5430" t="s">
        <v>24635</v>
      </c>
      <c r="B5430" t="s">
        <v>13</v>
      </c>
      <c r="C5430" t="s">
        <v>24636</v>
      </c>
      <c r="D5430" t="s">
        <v>24637</v>
      </c>
      <c r="E5430" t="s">
        <v>24638</v>
      </c>
      <c r="F5430" t="s">
        <v>57</v>
      </c>
      <c r="G5430" t="s">
        <v>24536</v>
      </c>
      <c r="H5430" t="s">
        <v>1335</v>
      </c>
      <c r="I5430" t="s">
        <v>19</v>
      </c>
      <c r="J5430" s="3" t="s">
        <v>24537</v>
      </c>
      <c r="K5430" t="s">
        <v>24538</v>
      </c>
      <c r="L5430" t="s">
        <v>24539</v>
      </c>
      <c r="M5430" t="s">
        <v>57</v>
      </c>
    </row>
    <row r="5431" spans="1:13" x14ac:dyDescent="0.25">
      <c r="A5431" t="s">
        <v>11013</v>
      </c>
      <c r="B5431" t="s">
        <v>13</v>
      </c>
      <c r="C5431" t="s">
        <v>11014</v>
      </c>
      <c r="D5431" t="s">
        <v>11015</v>
      </c>
      <c r="E5431" s="2" t="s">
        <v>31432</v>
      </c>
      <c r="F5431" t="s">
        <v>2758</v>
      </c>
      <c r="G5431" t="s">
        <v>11016</v>
      </c>
      <c r="H5431" t="s">
        <v>18</v>
      </c>
      <c r="I5431" t="s">
        <v>19</v>
      </c>
      <c r="J5431" s="3">
        <f>55-19-35219089</f>
        <v>-35219053</v>
      </c>
      <c r="K5431" t="s">
        <v>11017</v>
      </c>
      <c r="L5431" t="s">
        <v>285</v>
      </c>
      <c r="M5431" t="s">
        <v>32149</v>
      </c>
    </row>
    <row r="5432" spans="1:13" x14ac:dyDescent="0.25">
      <c r="A5432" t="s">
        <v>18087</v>
      </c>
      <c r="B5432" t="s">
        <v>13</v>
      </c>
      <c r="C5432" t="s">
        <v>18077</v>
      </c>
      <c r="D5432" t="s">
        <v>18088</v>
      </c>
      <c r="E5432" s="2" t="s">
        <v>31189</v>
      </c>
      <c r="F5432" t="s">
        <v>1464</v>
      </c>
      <c r="G5432" t="s">
        <v>2261</v>
      </c>
      <c r="H5432" t="s">
        <v>2215</v>
      </c>
      <c r="I5432" t="s">
        <v>19</v>
      </c>
      <c r="J5432" s="3" t="s">
        <v>2262</v>
      </c>
      <c r="K5432" t="s">
        <v>2263</v>
      </c>
      <c r="L5432" t="s">
        <v>2218</v>
      </c>
      <c r="M5432" t="s">
        <v>337</v>
      </c>
    </row>
    <row r="5433" spans="1:13" x14ac:dyDescent="0.25">
      <c r="A5433" t="s">
        <v>4501</v>
      </c>
      <c r="B5433" t="s">
        <v>13</v>
      </c>
      <c r="C5433" s="1">
        <v>44595</v>
      </c>
      <c r="D5433" t="s">
        <v>4502</v>
      </c>
      <c r="E5433" t="s">
        <v>4503</v>
      </c>
      <c r="F5433" t="s">
        <v>4504</v>
      </c>
      <c r="G5433" t="s">
        <v>4505</v>
      </c>
      <c r="H5433" t="s">
        <v>4506</v>
      </c>
      <c r="I5433" t="s">
        <v>19</v>
      </c>
      <c r="J5433" s="3">
        <f>55-88-998056206</f>
        <v>-998056239</v>
      </c>
      <c r="K5433" t="s">
        <v>4507</v>
      </c>
      <c r="L5433" t="s">
        <v>4508</v>
      </c>
      <c r="M5433" t="s">
        <v>337</v>
      </c>
    </row>
    <row r="5434" spans="1:13" x14ac:dyDescent="0.25">
      <c r="A5434" t="s">
        <v>14261</v>
      </c>
      <c r="B5434" t="s">
        <v>13</v>
      </c>
      <c r="C5434" s="1">
        <v>44105</v>
      </c>
      <c r="D5434" t="s">
        <v>14262</v>
      </c>
      <c r="E5434" s="2" t="s">
        <v>31808</v>
      </c>
      <c r="F5434" t="s">
        <v>332</v>
      </c>
      <c r="G5434" t="s">
        <v>14263</v>
      </c>
      <c r="H5434" t="s">
        <v>798</v>
      </c>
      <c r="I5434" t="s">
        <v>19</v>
      </c>
      <c r="J5434" s="3">
        <f>55-61-3550-8900</f>
        <v>-12456</v>
      </c>
      <c r="K5434" t="s">
        <v>14264</v>
      </c>
      <c r="L5434" t="s">
        <v>14265</v>
      </c>
      <c r="M5434" t="s">
        <v>337</v>
      </c>
    </row>
    <row r="5435" spans="1:13" x14ac:dyDescent="0.25">
      <c r="A5435" t="s">
        <v>24415</v>
      </c>
      <c r="B5435" t="s">
        <v>13</v>
      </c>
      <c r="C5435" s="1">
        <v>42890</v>
      </c>
      <c r="D5435" t="s">
        <v>24416</v>
      </c>
      <c r="E5435" t="s">
        <v>24417</v>
      </c>
      <c r="F5435" t="s">
        <v>1464</v>
      </c>
      <c r="G5435" t="s">
        <v>24418</v>
      </c>
      <c r="H5435" t="s">
        <v>1466</v>
      </c>
      <c r="I5435" t="s">
        <v>19</v>
      </c>
      <c r="J5435" s="3" t="s">
        <v>24419</v>
      </c>
      <c r="K5435" t="s">
        <v>24420</v>
      </c>
      <c r="L5435" t="s">
        <v>24421</v>
      </c>
      <c r="M5435" t="s">
        <v>337</v>
      </c>
    </row>
    <row r="5436" spans="1:13" x14ac:dyDescent="0.25">
      <c r="A5436" t="s">
        <v>13896</v>
      </c>
      <c r="B5436" t="s">
        <v>13</v>
      </c>
      <c r="C5436" t="s">
        <v>7230</v>
      </c>
      <c r="D5436" t="s">
        <v>13897</v>
      </c>
      <c r="E5436" t="s">
        <v>13898</v>
      </c>
      <c r="F5436" t="s">
        <v>1464</v>
      </c>
      <c r="G5436" t="s">
        <v>13899</v>
      </c>
      <c r="H5436" t="s">
        <v>1335</v>
      </c>
      <c r="I5436" t="s">
        <v>19</v>
      </c>
      <c r="J5436" s="3" t="s">
        <v>13900</v>
      </c>
      <c r="K5436" t="s">
        <v>13901</v>
      </c>
      <c r="L5436" t="s">
        <v>13902</v>
      </c>
      <c r="M5436" t="s">
        <v>785</v>
      </c>
    </row>
    <row r="5437" spans="1:13" x14ac:dyDescent="0.25">
      <c r="A5437" t="s">
        <v>26645</v>
      </c>
      <c r="B5437" t="s">
        <v>13</v>
      </c>
      <c r="C5437" s="1">
        <v>42373</v>
      </c>
      <c r="D5437" t="s">
        <v>26646</v>
      </c>
      <c r="E5437" t="s">
        <v>26647</v>
      </c>
      <c r="F5437" t="s">
        <v>57</v>
      </c>
      <c r="G5437" t="s">
        <v>26648</v>
      </c>
      <c r="H5437" t="s">
        <v>26649</v>
      </c>
      <c r="I5437" t="s">
        <v>19</v>
      </c>
      <c r="J5437" s="3">
        <v>5514997143500</v>
      </c>
      <c r="K5437" t="s">
        <v>26650</v>
      </c>
      <c r="L5437" t="s">
        <v>22936</v>
      </c>
      <c r="M5437" t="s">
        <v>57</v>
      </c>
    </row>
    <row r="5438" spans="1:13" x14ac:dyDescent="0.25">
      <c r="A5438" t="s">
        <v>29828</v>
      </c>
      <c r="B5438" t="s">
        <v>13</v>
      </c>
      <c r="C5438" t="s">
        <v>15685</v>
      </c>
      <c r="D5438" t="s">
        <v>29829</v>
      </c>
      <c r="E5438" t="s">
        <v>29830</v>
      </c>
      <c r="F5438" t="s">
        <v>332</v>
      </c>
      <c r="G5438" t="s">
        <v>29825</v>
      </c>
      <c r="H5438" t="s">
        <v>36</v>
      </c>
      <c r="I5438" t="s">
        <v>19</v>
      </c>
      <c r="J5438" s="3" t="s">
        <v>29826</v>
      </c>
      <c r="K5438" t="s">
        <v>29827</v>
      </c>
      <c r="L5438" t="s">
        <v>17420</v>
      </c>
      <c r="M5438" t="s">
        <v>337</v>
      </c>
    </row>
    <row r="5439" spans="1:13" x14ac:dyDescent="0.25">
      <c r="A5439" t="s">
        <v>14495</v>
      </c>
      <c r="B5439" t="s">
        <v>13</v>
      </c>
      <c r="C5439" s="1">
        <v>43438</v>
      </c>
      <c r="D5439" t="s">
        <v>14496</v>
      </c>
      <c r="E5439" t="s">
        <v>8813</v>
      </c>
      <c r="F5439" t="s">
        <v>57</v>
      </c>
      <c r="G5439" t="s">
        <v>14497</v>
      </c>
      <c r="H5439" t="s">
        <v>36</v>
      </c>
      <c r="I5439" t="s">
        <v>19</v>
      </c>
      <c r="J5439" s="3">
        <v>551130917418</v>
      </c>
      <c r="K5439" t="s">
        <v>14498</v>
      </c>
      <c r="L5439" t="s">
        <v>3512</v>
      </c>
      <c r="M5439" t="s">
        <v>57</v>
      </c>
    </row>
    <row r="5440" spans="1:13" x14ac:dyDescent="0.25">
      <c r="A5440" t="s">
        <v>25082</v>
      </c>
      <c r="B5440" t="s">
        <v>13</v>
      </c>
      <c r="C5440" s="1">
        <v>42381</v>
      </c>
      <c r="D5440" t="s">
        <v>25083</v>
      </c>
      <c r="E5440" t="s">
        <v>14954</v>
      </c>
      <c r="F5440" t="s">
        <v>2036</v>
      </c>
      <c r="G5440" t="s">
        <v>25084</v>
      </c>
      <c r="H5440" t="s">
        <v>265</v>
      </c>
      <c r="I5440" t="s">
        <v>19</v>
      </c>
      <c r="J5440" s="3" t="s">
        <v>25085</v>
      </c>
      <c r="K5440" t="s">
        <v>25086</v>
      </c>
      <c r="L5440" t="s">
        <v>25087</v>
      </c>
      <c r="M5440" t="s">
        <v>57</v>
      </c>
    </row>
    <row r="5441" spans="1:13" x14ac:dyDescent="0.25">
      <c r="A5441" t="s">
        <v>12858</v>
      </c>
      <c r="B5441" t="s">
        <v>13</v>
      </c>
      <c r="C5441" s="1">
        <v>43168</v>
      </c>
      <c r="D5441" t="s">
        <v>12859</v>
      </c>
      <c r="E5441" t="s">
        <v>12860</v>
      </c>
      <c r="F5441" t="s">
        <v>2036</v>
      </c>
      <c r="G5441" t="s">
        <v>12861</v>
      </c>
      <c r="H5441" t="s">
        <v>1802</v>
      </c>
      <c r="I5441" t="s">
        <v>19</v>
      </c>
      <c r="J5441" s="3">
        <v>5514981034628</v>
      </c>
      <c r="K5441" t="s">
        <v>12862</v>
      </c>
      <c r="L5441" t="s">
        <v>1805</v>
      </c>
      <c r="M5441" t="s">
        <v>57</v>
      </c>
    </row>
    <row r="5442" spans="1:13" x14ac:dyDescent="0.25">
      <c r="A5442" t="s">
        <v>14952</v>
      </c>
      <c r="B5442" t="s">
        <v>13</v>
      </c>
      <c r="C5442" t="s">
        <v>6364</v>
      </c>
      <c r="D5442" t="s">
        <v>14953</v>
      </c>
      <c r="E5442" t="s">
        <v>14954</v>
      </c>
      <c r="F5442" t="s">
        <v>2036</v>
      </c>
      <c r="G5442" t="s">
        <v>14955</v>
      </c>
      <c r="H5442" t="s">
        <v>372</v>
      </c>
      <c r="I5442" t="s">
        <v>19</v>
      </c>
      <c r="J5442" s="3">
        <v>5519971415148</v>
      </c>
      <c r="K5442" t="s">
        <v>663</v>
      </c>
      <c r="L5442" t="s">
        <v>14956</v>
      </c>
      <c r="M5442" t="s">
        <v>57</v>
      </c>
    </row>
    <row r="5443" spans="1:13" x14ac:dyDescent="0.25">
      <c r="A5443" t="s">
        <v>8811</v>
      </c>
      <c r="B5443" t="s">
        <v>13</v>
      </c>
      <c r="C5443" t="s">
        <v>8802</v>
      </c>
      <c r="D5443" t="s">
        <v>8812</v>
      </c>
      <c r="E5443" t="s">
        <v>8813</v>
      </c>
      <c r="F5443" t="s">
        <v>2036</v>
      </c>
      <c r="G5443" t="s">
        <v>660</v>
      </c>
      <c r="H5443" t="s">
        <v>1802</v>
      </c>
      <c r="I5443" t="s">
        <v>19</v>
      </c>
      <c r="J5443" s="3">
        <f>55-19-971415148</f>
        <v>-971415112</v>
      </c>
      <c r="K5443" t="s">
        <v>663</v>
      </c>
      <c r="L5443" t="s">
        <v>32135</v>
      </c>
      <c r="M5443" t="s">
        <v>57</v>
      </c>
    </row>
    <row r="5444" spans="1:13" x14ac:dyDescent="0.25">
      <c r="A5444" t="s">
        <v>29319</v>
      </c>
      <c r="B5444" t="s">
        <v>13</v>
      </c>
      <c r="C5444" t="s">
        <v>29311</v>
      </c>
      <c r="D5444" t="s">
        <v>29320</v>
      </c>
      <c r="E5444" t="s">
        <v>8813</v>
      </c>
      <c r="F5444" t="s">
        <v>1464</v>
      </c>
      <c r="G5444" t="s">
        <v>29321</v>
      </c>
      <c r="H5444" t="s">
        <v>3416</v>
      </c>
      <c r="I5444" t="s">
        <v>19</v>
      </c>
      <c r="J5444" s="3" t="s">
        <v>29322</v>
      </c>
      <c r="K5444" t="s">
        <v>29323</v>
      </c>
      <c r="L5444" t="s">
        <v>29324</v>
      </c>
      <c r="M5444" t="s">
        <v>57</v>
      </c>
    </row>
    <row r="5445" spans="1:13" x14ac:dyDescent="0.25">
      <c r="A5445" t="s">
        <v>29336</v>
      </c>
      <c r="B5445" t="s">
        <v>13</v>
      </c>
      <c r="C5445" t="s">
        <v>29337</v>
      </c>
      <c r="D5445" t="s">
        <v>29338</v>
      </c>
      <c r="E5445" t="s">
        <v>29339</v>
      </c>
      <c r="F5445" t="s">
        <v>332</v>
      </c>
      <c r="G5445" t="s">
        <v>29340</v>
      </c>
      <c r="H5445" t="s">
        <v>195</v>
      </c>
      <c r="I5445" t="s">
        <v>19</v>
      </c>
      <c r="J5445" s="3" t="s">
        <v>29341</v>
      </c>
      <c r="K5445" t="s">
        <v>29342</v>
      </c>
      <c r="L5445" t="s">
        <v>29343</v>
      </c>
      <c r="M5445" t="s">
        <v>337</v>
      </c>
    </row>
    <row r="5446" spans="1:13" x14ac:dyDescent="0.25">
      <c r="A5446" t="s">
        <v>30232</v>
      </c>
      <c r="B5446" t="s">
        <v>13</v>
      </c>
      <c r="C5446" t="s">
        <v>15685</v>
      </c>
      <c r="D5446" t="s">
        <v>30233</v>
      </c>
      <c r="E5446" t="s">
        <v>30234</v>
      </c>
      <c r="F5446" t="s">
        <v>2036</v>
      </c>
      <c r="G5446" t="s">
        <v>27361</v>
      </c>
      <c r="H5446" t="s">
        <v>372</v>
      </c>
      <c r="I5446" t="s">
        <v>19</v>
      </c>
      <c r="J5446" s="3" t="s">
        <v>30235</v>
      </c>
      <c r="K5446" t="s">
        <v>27363</v>
      </c>
      <c r="L5446" t="s">
        <v>11426</v>
      </c>
      <c r="M5446" t="s">
        <v>57</v>
      </c>
    </row>
    <row r="5447" spans="1:13" x14ac:dyDescent="0.25">
      <c r="A5447" t="s">
        <v>29916</v>
      </c>
      <c r="B5447" t="s">
        <v>13</v>
      </c>
      <c r="C5447" t="s">
        <v>14184</v>
      </c>
      <c r="D5447" t="s">
        <v>29917</v>
      </c>
      <c r="E5447" t="s">
        <v>29918</v>
      </c>
      <c r="F5447" t="s">
        <v>2036</v>
      </c>
      <c r="G5447" t="s">
        <v>29919</v>
      </c>
      <c r="H5447" t="s">
        <v>28</v>
      </c>
      <c r="I5447" t="s">
        <v>19</v>
      </c>
      <c r="J5447" s="3" t="s">
        <v>29920</v>
      </c>
      <c r="K5447" t="s">
        <v>29921</v>
      </c>
      <c r="L5447" t="s">
        <v>923</v>
      </c>
      <c r="M5447" t="s">
        <v>57</v>
      </c>
    </row>
    <row r="5448" spans="1:13" x14ac:dyDescent="0.25">
      <c r="A5448" t="s">
        <v>30491</v>
      </c>
      <c r="B5448" t="s">
        <v>13</v>
      </c>
      <c r="C5448" s="1">
        <v>40706</v>
      </c>
      <c r="D5448" t="s">
        <v>30492</v>
      </c>
      <c r="E5448" t="s">
        <v>18309</v>
      </c>
      <c r="F5448" t="s">
        <v>2036</v>
      </c>
      <c r="G5448" t="s">
        <v>27361</v>
      </c>
      <c r="H5448" t="s">
        <v>372</v>
      </c>
      <c r="I5448" t="s">
        <v>19</v>
      </c>
      <c r="J5448" s="3" t="s">
        <v>30235</v>
      </c>
      <c r="K5448" t="s">
        <v>27363</v>
      </c>
      <c r="L5448" t="s">
        <v>11426</v>
      </c>
      <c r="M5448" t="s">
        <v>57</v>
      </c>
    </row>
    <row r="5449" spans="1:13" x14ac:dyDescent="0.25">
      <c r="A5449" t="s">
        <v>27359</v>
      </c>
      <c r="B5449" t="s">
        <v>13</v>
      </c>
      <c r="C5449" s="1">
        <v>40910</v>
      </c>
      <c r="D5449" t="s">
        <v>27360</v>
      </c>
      <c r="E5449" t="s">
        <v>18309</v>
      </c>
      <c r="F5449" t="s">
        <v>332</v>
      </c>
      <c r="G5449" t="s">
        <v>27361</v>
      </c>
      <c r="H5449" t="s">
        <v>372</v>
      </c>
      <c r="I5449" t="s">
        <v>19</v>
      </c>
      <c r="J5449" s="3" t="s">
        <v>27362</v>
      </c>
      <c r="K5449" t="s">
        <v>27363</v>
      </c>
      <c r="L5449" t="s">
        <v>11426</v>
      </c>
      <c r="M5449" t="s">
        <v>337</v>
      </c>
    </row>
    <row r="5450" spans="1:13" x14ac:dyDescent="0.25">
      <c r="A5450" t="s">
        <v>28916</v>
      </c>
      <c r="B5450" t="s">
        <v>101</v>
      </c>
      <c r="C5450" s="1">
        <v>41648</v>
      </c>
      <c r="D5450" t="s">
        <v>28917</v>
      </c>
      <c r="E5450" t="s">
        <v>18309</v>
      </c>
      <c r="F5450" t="s">
        <v>332</v>
      </c>
      <c r="G5450" t="s">
        <v>10102</v>
      </c>
      <c r="H5450" t="s">
        <v>372</v>
      </c>
      <c r="I5450" t="s">
        <v>19</v>
      </c>
      <c r="J5450" s="3" t="s">
        <v>28918</v>
      </c>
      <c r="K5450" t="s">
        <v>10103</v>
      </c>
      <c r="L5450" t="s">
        <v>28919</v>
      </c>
      <c r="M5450" t="s">
        <v>337</v>
      </c>
    </row>
    <row r="5451" spans="1:13" x14ac:dyDescent="0.25">
      <c r="A5451" t="s">
        <v>22465</v>
      </c>
      <c r="B5451" t="s">
        <v>13</v>
      </c>
      <c r="C5451" s="1">
        <v>42648</v>
      </c>
      <c r="D5451" t="s">
        <v>22466</v>
      </c>
      <c r="E5451" t="s">
        <v>18309</v>
      </c>
      <c r="F5451" t="s">
        <v>332</v>
      </c>
      <c r="G5451" t="s">
        <v>20429</v>
      </c>
      <c r="H5451" t="s">
        <v>18</v>
      </c>
      <c r="I5451" t="s">
        <v>19</v>
      </c>
      <c r="J5451" s="3">
        <f>55-19-991431765</f>
        <v>-991431729</v>
      </c>
      <c r="K5451" t="s">
        <v>22467</v>
      </c>
      <c r="L5451" t="s">
        <v>10443</v>
      </c>
      <c r="M5451" t="s">
        <v>337</v>
      </c>
    </row>
    <row r="5452" spans="1:13" x14ac:dyDescent="0.25">
      <c r="A5452" t="s">
        <v>18307</v>
      </c>
      <c r="B5452" t="s">
        <v>13</v>
      </c>
      <c r="C5452" t="s">
        <v>18302</v>
      </c>
      <c r="D5452" t="s">
        <v>18308</v>
      </c>
      <c r="E5452" t="s">
        <v>18309</v>
      </c>
      <c r="F5452" t="s">
        <v>332</v>
      </c>
      <c r="G5452" t="s">
        <v>18310</v>
      </c>
      <c r="H5452" t="s">
        <v>936</v>
      </c>
      <c r="I5452" t="s">
        <v>19</v>
      </c>
      <c r="J5452" s="3" t="s">
        <v>18311</v>
      </c>
      <c r="K5452" t="s">
        <v>18312</v>
      </c>
      <c r="L5452" t="s">
        <v>1578</v>
      </c>
      <c r="M5452" t="s">
        <v>337</v>
      </c>
    </row>
    <row r="5453" spans="1:13" x14ac:dyDescent="0.25">
      <c r="A5453" t="s">
        <v>30611</v>
      </c>
      <c r="B5453" t="s">
        <v>13</v>
      </c>
      <c r="C5453" s="1">
        <v>40793</v>
      </c>
      <c r="D5453" t="s">
        <v>30612</v>
      </c>
      <c r="E5453" t="s">
        <v>30613</v>
      </c>
      <c r="F5453" t="s">
        <v>2036</v>
      </c>
      <c r="G5453" t="s">
        <v>30614</v>
      </c>
      <c r="H5453" t="s">
        <v>4498</v>
      </c>
      <c r="I5453" t="s">
        <v>19</v>
      </c>
      <c r="J5453" s="3" t="s">
        <v>30615</v>
      </c>
      <c r="K5453" t="s">
        <v>30616</v>
      </c>
      <c r="L5453" t="s">
        <v>28774</v>
      </c>
      <c r="M5453" t="s">
        <v>57</v>
      </c>
    </row>
    <row r="5454" spans="1:13" x14ac:dyDescent="0.25">
      <c r="A5454" t="s">
        <v>29733</v>
      </c>
      <c r="B5454" t="s">
        <v>13</v>
      </c>
      <c r="C5454" s="1">
        <v>40882</v>
      </c>
      <c r="D5454" t="s">
        <v>29734</v>
      </c>
      <c r="E5454" t="s">
        <v>29735</v>
      </c>
      <c r="F5454" t="s">
        <v>2036</v>
      </c>
      <c r="G5454" t="s">
        <v>22187</v>
      </c>
      <c r="H5454" t="s">
        <v>29736</v>
      </c>
      <c r="I5454" t="s">
        <v>19</v>
      </c>
      <c r="J5454" s="3" t="s">
        <v>22188</v>
      </c>
      <c r="K5454" t="s">
        <v>22189</v>
      </c>
      <c r="L5454" t="s">
        <v>923</v>
      </c>
      <c r="M5454" t="s">
        <v>57</v>
      </c>
    </row>
    <row r="5455" spans="1:13" x14ac:dyDescent="0.25">
      <c r="A5455" t="s">
        <v>17854</v>
      </c>
      <c r="B5455" t="s">
        <v>13</v>
      </c>
      <c r="C5455" s="1">
        <v>43681</v>
      </c>
      <c r="D5455" t="s">
        <v>17855</v>
      </c>
      <c r="E5455" t="s">
        <v>17856</v>
      </c>
      <c r="F5455" t="s">
        <v>2036</v>
      </c>
      <c r="G5455" t="s">
        <v>17857</v>
      </c>
      <c r="H5455" t="s">
        <v>170</v>
      </c>
      <c r="I5455" t="s">
        <v>19</v>
      </c>
      <c r="J5455" s="3">
        <f>55-123947-9000</f>
        <v>-132892</v>
      </c>
      <c r="K5455" t="s">
        <v>17858</v>
      </c>
      <c r="L5455" t="s">
        <v>9501</v>
      </c>
      <c r="M5455" t="s">
        <v>57</v>
      </c>
    </row>
    <row r="5456" spans="1:13" x14ac:dyDescent="0.25">
      <c r="A5456" t="s">
        <v>3961</v>
      </c>
      <c r="B5456" t="s">
        <v>13</v>
      </c>
      <c r="C5456" s="1">
        <v>44899</v>
      </c>
      <c r="D5456" t="s">
        <v>32135</v>
      </c>
      <c r="E5456" t="s">
        <v>3962</v>
      </c>
      <c r="F5456" t="s">
        <v>3213</v>
      </c>
      <c r="G5456" t="s">
        <v>3963</v>
      </c>
      <c r="H5456" t="s">
        <v>706</v>
      </c>
      <c r="I5456" t="s">
        <v>19</v>
      </c>
      <c r="J5456" s="3" t="s">
        <v>3964</v>
      </c>
      <c r="K5456" t="s">
        <v>3965</v>
      </c>
      <c r="L5456" t="s">
        <v>3966</v>
      </c>
      <c r="M5456" t="s">
        <v>57</v>
      </c>
    </row>
    <row r="5457" spans="1:13" x14ac:dyDescent="0.25">
      <c r="A5457" t="s">
        <v>7854</v>
      </c>
      <c r="B5457" t="s">
        <v>13</v>
      </c>
      <c r="C5457" s="1">
        <v>44231</v>
      </c>
      <c r="D5457" t="s">
        <v>7855</v>
      </c>
      <c r="E5457" t="s">
        <v>7856</v>
      </c>
      <c r="F5457" t="s">
        <v>2036</v>
      </c>
      <c r="G5457" t="s">
        <v>5258</v>
      </c>
      <c r="H5457" t="s">
        <v>472</v>
      </c>
      <c r="I5457" t="s">
        <v>19</v>
      </c>
      <c r="J5457" s="3">
        <f>55-81-21268492</f>
        <v>-21268518</v>
      </c>
      <c r="K5457" t="s">
        <v>5259</v>
      </c>
      <c r="L5457" t="s">
        <v>32135</v>
      </c>
      <c r="M5457" t="s">
        <v>57</v>
      </c>
    </row>
    <row r="5458" spans="1:13" x14ac:dyDescent="0.25">
      <c r="A5458" t="s">
        <v>10724</v>
      </c>
      <c r="B5458" t="s">
        <v>13</v>
      </c>
      <c r="C5458" t="s">
        <v>6843</v>
      </c>
      <c r="D5458" t="s">
        <v>10725</v>
      </c>
      <c r="E5458" t="s">
        <v>3962</v>
      </c>
      <c r="F5458" t="s">
        <v>2036</v>
      </c>
      <c r="G5458" t="s">
        <v>10726</v>
      </c>
      <c r="H5458" t="s">
        <v>372</v>
      </c>
      <c r="I5458" t="s">
        <v>19</v>
      </c>
      <c r="J5458" s="3">
        <f>55-19-34345538</f>
        <v>-34345502</v>
      </c>
      <c r="K5458" t="s">
        <v>10727</v>
      </c>
      <c r="L5458" t="s">
        <v>285</v>
      </c>
      <c r="M5458" t="s">
        <v>57</v>
      </c>
    </row>
    <row r="5459" spans="1:13" x14ac:dyDescent="0.25">
      <c r="A5459" t="s">
        <v>16971</v>
      </c>
      <c r="B5459" t="s">
        <v>13</v>
      </c>
      <c r="C5459" t="s">
        <v>16959</v>
      </c>
      <c r="D5459" t="s">
        <v>16972</v>
      </c>
      <c r="E5459" t="s">
        <v>3962</v>
      </c>
      <c r="F5459" t="s">
        <v>1464</v>
      </c>
      <c r="G5459" t="s">
        <v>15218</v>
      </c>
      <c r="H5459" t="s">
        <v>615</v>
      </c>
      <c r="I5459" t="s">
        <v>19</v>
      </c>
      <c r="J5459" s="3">
        <v>553432182929</v>
      </c>
      <c r="K5459" t="s">
        <v>15219</v>
      </c>
      <c r="L5459" t="s">
        <v>618</v>
      </c>
      <c r="M5459" t="s">
        <v>57</v>
      </c>
    </row>
    <row r="5460" spans="1:13" x14ac:dyDescent="0.25">
      <c r="A5460" t="s">
        <v>13744</v>
      </c>
      <c r="B5460" t="s">
        <v>13</v>
      </c>
      <c r="C5460" s="1">
        <v>43984</v>
      </c>
      <c r="D5460" t="s">
        <v>13745</v>
      </c>
      <c r="E5460" t="s">
        <v>7856</v>
      </c>
      <c r="F5460" t="s">
        <v>1464</v>
      </c>
      <c r="G5460" t="s">
        <v>13746</v>
      </c>
      <c r="H5460" t="s">
        <v>3416</v>
      </c>
      <c r="I5460" t="s">
        <v>19</v>
      </c>
      <c r="J5460" s="3" t="s">
        <v>13747</v>
      </c>
      <c r="K5460" t="s">
        <v>13748</v>
      </c>
      <c r="L5460" t="s">
        <v>13749</v>
      </c>
      <c r="M5460" t="s">
        <v>57</v>
      </c>
    </row>
    <row r="5461" spans="1:13" x14ac:dyDescent="0.25">
      <c r="A5461" t="s">
        <v>29822</v>
      </c>
      <c r="B5461" t="s">
        <v>13</v>
      </c>
      <c r="C5461" t="s">
        <v>14184</v>
      </c>
      <c r="D5461" t="s">
        <v>29823</v>
      </c>
      <c r="E5461" t="s">
        <v>29824</v>
      </c>
      <c r="F5461" t="s">
        <v>332</v>
      </c>
      <c r="G5461" t="s">
        <v>29825</v>
      </c>
      <c r="H5461" t="s">
        <v>36</v>
      </c>
      <c r="I5461" t="s">
        <v>19</v>
      </c>
      <c r="J5461" s="3" t="s">
        <v>29826</v>
      </c>
      <c r="K5461" t="s">
        <v>29827</v>
      </c>
      <c r="L5461" t="s">
        <v>17420</v>
      </c>
      <c r="M5461" t="s">
        <v>337</v>
      </c>
    </row>
    <row r="5462" spans="1:13" x14ac:dyDescent="0.25">
      <c r="A5462" t="s">
        <v>15295</v>
      </c>
      <c r="B5462" t="s">
        <v>13</v>
      </c>
      <c r="C5462" t="s">
        <v>15293</v>
      </c>
      <c r="D5462" t="s">
        <v>15296</v>
      </c>
      <c r="E5462" t="s">
        <v>15297</v>
      </c>
      <c r="F5462" t="s">
        <v>1464</v>
      </c>
      <c r="G5462" t="s">
        <v>15298</v>
      </c>
      <c r="H5462" t="s">
        <v>1090</v>
      </c>
      <c r="I5462" t="s">
        <v>19</v>
      </c>
      <c r="J5462" s="3" t="s">
        <v>15299</v>
      </c>
      <c r="K5462" t="s">
        <v>15300</v>
      </c>
      <c r="L5462" t="s">
        <v>618</v>
      </c>
      <c r="M5462" t="s">
        <v>57</v>
      </c>
    </row>
    <row r="5463" spans="1:13" x14ac:dyDescent="0.25">
      <c r="A5463" t="s">
        <v>22184</v>
      </c>
      <c r="B5463" t="s">
        <v>13</v>
      </c>
      <c r="C5463" t="s">
        <v>22182</v>
      </c>
      <c r="D5463" t="s">
        <v>22185</v>
      </c>
      <c r="E5463" t="s">
        <v>22186</v>
      </c>
      <c r="F5463" t="s">
        <v>2036</v>
      </c>
      <c r="G5463" t="s">
        <v>22187</v>
      </c>
      <c r="H5463" t="s">
        <v>28</v>
      </c>
      <c r="I5463" t="s">
        <v>19</v>
      </c>
      <c r="J5463" s="3" t="s">
        <v>22188</v>
      </c>
      <c r="K5463" t="s">
        <v>22189</v>
      </c>
      <c r="L5463" t="s">
        <v>923</v>
      </c>
      <c r="M5463" t="s">
        <v>57</v>
      </c>
    </row>
    <row r="5464" spans="1:13" x14ac:dyDescent="0.25">
      <c r="A5464" t="s">
        <v>18102</v>
      </c>
      <c r="B5464" t="s">
        <v>101</v>
      </c>
      <c r="C5464" t="s">
        <v>1003</v>
      </c>
      <c r="D5464" t="s">
        <v>18103</v>
      </c>
      <c r="E5464" t="s">
        <v>18104</v>
      </c>
      <c r="F5464" t="s">
        <v>1464</v>
      </c>
      <c r="G5464" t="s">
        <v>18105</v>
      </c>
      <c r="H5464" t="s">
        <v>11044</v>
      </c>
      <c r="I5464" t="s">
        <v>19</v>
      </c>
      <c r="J5464" s="3" t="s">
        <v>18106</v>
      </c>
      <c r="K5464" t="s">
        <v>18107</v>
      </c>
      <c r="L5464" t="s">
        <v>18108</v>
      </c>
      <c r="M5464" t="s">
        <v>57</v>
      </c>
    </row>
    <row r="5465" spans="1:13" x14ac:dyDescent="0.25">
      <c r="A5465" t="s">
        <v>3746</v>
      </c>
      <c r="B5465" t="s">
        <v>13</v>
      </c>
      <c r="C5465" t="s">
        <v>3747</v>
      </c>
      <c r="D5465" t="s">
        <v>3748</v>
      </c>
      <c r="E5465" t="s">
        <v>1080</v>
      </c>
      <c r="F5465" t="s">
        <v>2199</v>
      </c>
      <c r="G5465" t="s">
        <v>3749</v>
      </c>
      <c r="H5465" t="s">
        <v>540</v>
      </c>
      <c r="I5465" t="s">
        <v>19</v>
      </c>
      <c r="J5465" s="3">
        <f>550913266-2041</f>
        <v>550911225</v>
      </c>
      <c r="K5465" t="s">
        <v>3750</v>
      </c>
      <c r="L5465" t="s">
        <v>3751</v>
      </c>
      <c r="M5465" t="s">
        <v>57</v>
      </c>
    </row>
    <row r="5466" spans="1:13" x14ac:dyDescent="0.25">
      <c r="A5466" t="s">
        <v>23944</v>
      </c>
      <c r="B5466" t="s">
        <v>13</v>
      </c>
      <c r="C5466" t="s">
        <v>23939</v>
      </c>
      <c r="D5466" t="s">
        <v>23945</v>
      </c>
      <c r="E5466" t="s">
        <v>1939</v>
      </c>
      <c r="F5466" t="s">
        <v>337</v>
      </c>
      <c r="G5466" t="s">
        <v>23946</v>
      </c>
      <c r="H5466" t="s">
        <v>170</v>
      </c>
      <c r="I5466" t="s">
        <v>19</v>
      </c>
      <c r="J5466" s="3" t="s">
        <v>23947</v>
      </c>
      <c r="K5466" t="s">
        <v>23948</v>
      </c>
      <c r="L5466" t="s">
        <v>23949</v>
      </c>
      <c r="M5466" t="s">
        <v>337</v>
      </c>
    </row>
    <row r="5467" spans="1:13" x14ac:dyDescent="0.25">
      <c r="A5467" t="s">
        <v>1937</v>
      </c>
      <c r="B5467" t="s">
        <v>13</v>
      </c>
      <c r="C5467" t="s">
        <v>1283</v>
      </c>
      <c r="D5467" t="s">
        <v>1938</v>
      </c>
      <c r="E5467" t="s">
        <v>1939</v>
      </c>
      <c r="F5467" t="s">
        <v>1940</v>
      </c>
      <c r="G5467" t="s">
        <v>1941</v>
      </c>
      <c r="H5467" t="s">
        <v>706</v>
      </c>
      <c r="I5467" t="s">
        <v>19</v>
      </c>
      <c r="J5467" s="3" t="s">
        <v>1942</v>
      </c>
      <c r="K5467" t="s">
        <v>1943</v>
      </c>
      <c r="L5467" t="s">
        <v>1944</v>
      </c>
      <c r="M5467" t="s">
        <v>57</v>
      </c>
    </row>
    <row r="5468" spans="1:13" x14ac:dyDescent="0.25">
      <c r="A5468" t="s">
        <v>24759</v>
      </c>
      <c r="B5468" t="s">
        <v>13</v>
      </c>
      <c r="C5468" s="1">
        <v>43009</v>
      </c>
      <c r="D5468" t="s">
        <v>24760</v>
      </c>
      <c r="E5468" t="s">
        <v>1939</v>
      </c>
      <c r="F5468" t="s">
        <v>2036</v>
      </c>
      <c r="G5468" t="s">
        <v>24761</v>
      </c>
      <c r="H5468" t="s">
        <v>372</v>
      </c>
      <c r="I5468" t="s">
        <v>19</v>
      </c>
      <c r="J5468" s="3" t="s">
        <v>24762</v>
      </c>
      <c r="K5468" t="s">
        <v>24763</v>
      </c>
      <c r="L5468" t="s">
        <v>14327</v>
      </c>
      <c r="M5468" t="s">
        <v>57</v>
      </c>
    </row>
    <row r="5469" spans="1:13" x14ac:dyDescent="0.25">
      <c r="A5469" t="s">
        <v>14806</v>
      </c>
      <c r="B5469" t="s">
        <v>101</v>
      </c>
      <c r="C5469" t="s">
        <v>14807</v>
      </c>
      <c r="D5469" t="s">
        <v>14808</v>
      </c>
      <c r="E5469" t="s">
        <v>1939</v>
      </c>
      <c r="F5469" t="s">
        <v>2036</v>
      </c>
      <c r="G5469" t="s">
        <v>14809</v>
      </c>
      <c r="H5469" t="s">
        <v>45</v>
      </c>
      <c r="I5469" t="s">
        <v>19</v>
      </c>
      <c r="J5469" s="3">
        <f>55-85-996231268</f>
        <v>-996231298</v>
      </c>
      <c r="K5469" t="s">
        <v>14810</v>
      </c>
      <c r="L5469" t="s">
        <v>14811</v>
      </c>
      <c r="M5469" t="s">
        <v>57</v>
      </c>
    </row>
    <row r="5470" spans="1:13" x14ac:dyDescent="0.25">
      <c r="A5470" t="s">
        <v>21176</v>
      </c>
      <c r="B5470" t="s">
        <v>13</v>
      </c>
      <c r="C5470" s="1">
        <v>43137</v>
      </c>
      <c r="D5470" t="s">
        <v>21177</v>
      </c>
      <c r="E5470" t="s">
        <v>1939</v>
      </c>
      <c r="F5470" t="s">
        <v>1464</v>
      </c>
      <c r="G5470" t="s">
        <v>21178</v>
      </c>
      <c r="H5470" t="s">
        <v>45</v>
      </c>
      <c r="I5470" t="s">
        <v>19</v>
      </c>
      <c r="J5470" s="3">
        <f>55-85-981707905</f>
        <v>-981707935</v>
      </c>
      <c r="K5470" t="s">
        <v>21179</v>
      </c>
      <c r="L5470" t="s">
        <v>1909</v>
      </c>
      <c r="M5470" t="s">
        <v>57</v>
      </c>
    </row>
    <row r="5471" spans="1:13" x14ac:dyDescent="0.25">
      <c r="A5471" t="s">
        <v>6531</v>
      </c>
      <c r="B5471" t="s">
        <v>13</v>
      </c>
      <c r="C5471" s="1">
        <v>44264</v>
      </c>
      <c r="D5471" t="s">
        <v>6532</v>
      </c>
      <c r="E5471" t="s">
        <v>1939</v>
      </c>
      <c r="F5471" t="s">
        <v>1464</v>
      </c>
      <c r="G5471" t="s">
        <v>6533</v>
      </c>
      <c r="H5471" t="s">
        <v>409</v>
      </c>
      <c r="I5471" t="s">
        <v>19</v>
      </c>
      <c r="J5471" s="3" t="s">
        <v>6534</v>
      </c>
      <c r="K5471" t="s">
        <v>6535</v>
      </c>
      <c r="L5471" t="s">
        <v>32135</v>
      </c>
      <c r="M5471" t="s">
        <v>57</v>
      </c>
    </row>
    <row r="5472" spans="1:13" x14ac:dyDescent="0.25">
      <c r="A5472" t="s">
        <v>9257</v>
      </c>
      <c r="B5472" t="s">
        <v>13</v>
      </c>
      <c r="C5472" s="1">
        <v>43222</v>
      </c>
      <c r="D5472" t="s">
        <v>9258</v>
      </c>
      <c r="E5472" t="s">
        <v>1080</v>
      </c>
      <c r="F5472" t="s">
        <v>332</v>
      </c>
      <c r="G5472" t="s">
        <v>9259</v>
      </c>
      <c r="H5472" t="s">
        <v>472</v>
      </c>
      <c r="I5472" t="s">
        <v>19</v>
      </c>
      <c r="J5472" s="3" t="s">
        <v>9260</v>
      </c>
      <c r="K5472" t="s">
        <v>9261</v>
      </c>
      <c r="L5472" t="s">
        <v>2101</v>
      </c>
      <c r="M5472" t="s">
        <v>337</v>
      </c>
    </row>
    <row r="5473" spans="1:13" x14ac:dyDescent="0.25">
      <c r="A5473" t="s">
        <v>11265</v>
      </c>
      <c r="B5473" t="s">
        <v>13</v>
      </c>
      <c r="C5473" t="s">
        <v>11266</v>
      </c>
      <c r="D5473" t="s">
        <v>11267</v>
      </c>
      <c r="E5473" t="s">
        <v>1939</v>
      </c>
      <c r="F5473" t="s">
        <v>332</v>
      </c>
      <c r="G5473" t="s">
        <v>11268</v>
      </c>
      <c r="H5473" t="s">
        <v>53</v>
      </c>
      <c r="I5473" t="s">
        <v>19</v>
      </c>
      <c r="J5473" s="3">
        <f>55-38-35326082</f>
        <v>-35326065</v>
      </c>
      <c r="K5473" t="s">
        <v>11269</v>
      </c>
      <c r="L5473" t="s">
        <v>56</v>
      </c>
      <c r="M5473" t="s">
        <v>337</v>
      </c>
    </row>
    <row r="5474" spans="1:13" x14ac:dyDescent="0.25">
      <c r="A5474" t="s">
        <v>7479</v>
      </c>
      <c r="B5474" t="s">
        <v>13</v>
      </c>
      <c r="C5474" t="s">
        <v>7480</v>
      </c>
      <c r="D5474" t="s">
        <v>32135</v>
      </c>
      <c r="E5474" t="s">
        <v>1080</v>
      </c>
      <c r="F5474" t="s">
        <v>1080</v>
      </c>
      <c r="G5474" t="s">
        <v>7481</v>
      </c>
      <c r="H5474" t="s">
        <v>2934</v>
      </c>
      <c r="I5474" t="s">
        <v>19</v>
      </c>
      <c r="J5474" s="3">
        <f>55-37-33297709</f>
        <v>-33297691</v>
      </c>
      <c r="K5474" t="s">
        <v>7482</v>
      </c>
      <c r="L5474" t="s">
        <v>32135</v>
      </c>
      <c r="M5474" t="s">
        <v>57</v>
      </c>
    </row>
    <row r="5475" spans="1:13" x14ac:dyDescent="0.25">
      <c r="A5475" t="s">
        <v>11246</v>
      </c>
      <c r="B5475" t="s">
        <v>13</v>
      </c>
      <c r="C5475" t="s">
        <v>11241</v>
      </c>
      <c r="D5475" t="s">
        <v>11247</v>
      </c>
      <c r="E5475" s="2" t="s">
        <v>31011</v>
      </c>
      <c r="F5475" t="s">
        <v>332</v>
      </c>
      <c r="G5475" t="s">
        <v>11248</v>
      </c>
      <c r="H5475" t="s">
        <v>5844</v>
      </c>
      <c r="I5475" t="s">
        <v>19</v>
      </c>
      <c r="J5475" s="3" t="s">
        <v>11249</v>
      </c>
      <c r="K5475" t="s">
        <v>11250</v>
      </c>
      <c r="L5475" t="s">
        <v>11251</v>
      </c>
      <c r="M5475" t="s">
        <v>337</v>
      </c>
    </row>
    <row r="5476" spans="1:13" x14ac:dyDescent="0.25">
      <c r="A5476" t="s">
        <v>14586</v>
      </c>
      <c r="B5476" t="s">
        <v>13</v>
      </c>
      <c r="C5476" s="1">
        <v>43811</v>
      </c>
      <c r="D5476" t="s">
        <v>14587</v>
      </c>
      <c r="E5476" s="2" t="s">
        <v>31098</v>
      </c>
      <c r="F5476" t="s">
        <v>1464</v>
      </c>
      <c r="G5476" t="s">
        <v>14588</v>
      </c>
      <c r="H5476" t="s">
        <v>45</v>
      </c>
      <c r="I5476" t="s">
        <v>19</v>
      </c>
      <c r="J5476" s="3">
        <f>55-88-999625833</f>
        <v>-999625866</v>
      </c>
      <c r="K5476" t="s">
        <v>14589</v>
      </c>
      <c r="L5476" t="s">
        <v>1909</v>
      </c>
      <c r="M5476" t="s">
        <v>57</v>
      </c>
    </row>
    <row r="5477" spans="1:13" x14ac:dyDescent="0.25">
      <c r="A5477" t="s">
        <v>25498</v>
      </c>
      <c r="B5477" t="s">
        <v>13</v>
      </c>
      <c r="C5477" s="1">
        <v>42713</v>
      </c>
      <c r="D5477" t="s">
        <v>25499</v>
      </c>
      <c r="E5477" t="s">
        <v>25500</v>
      </c>
      <c r="F5477" t="s">
        <v>2036</v>
      </c>
      <c r="G5477" t="s">
        <v>25494</v>
      </c>
      <c r="H5477" t="s">
        <v>25495</v>
      </c>
      <c r="I5477" t="s">
        <v>19</v>
      </c>
      <c r="J5477" s="3" t="s">
        <v>25496</v>
      </c>
      <c r="K5477" t="s">
        <v>25497</v>
      </c>
      <c r="L5477" t="s">
        <v>1658</v>
      </c>
      <c r="M5477" t="s">
        <v>57</v>
      </c>
    </row>
    <row r="5478" spans="1:13" x14ac:dyDescent="0.25">
      <c r="A5478" t="s">
        <v>21403</v>
      </c>
      <c r="B5478" t="s">
        <v>13</v>
      </c>
      <c r="C5478" t="s">
        <v>16294</v>
      </c>
      <c r="D5478" t="s">
        <v>21404</v>
      </c>
      <c r="E5478" t="s">
        <v>21405</v>
      </c>
      <c r="F5478" t="s">
        <v>6686</v>
      </c>
      <c r="G5478" t="s">
        <v>21406</v>
      </c>
      <c r="H5478" t="s">
        <v>45</v>
      </c>
      <c r="I5478" t="s">
        <v>19</v>
      </c>
      <c r="J5478" s="3">
        <f>55 - 85 - 999249400</f>
        <v>-999249430</v>
      </c>
      <c r="K5478" t="s">
        <v>21407</v>
      </c>
      <c r="L5478" t="s">
        <v>21408</v>
      </c>
      <c r="M5478" t="s">
        <v>32144</v>
      </c>
    </row>
    <row r="5479" spans="1:13" x14ac:dyDescent="0.25">
      <c r="A5479" t="s">
        <v>11574</v>
      </c>
      <c r="B5479" t="s">
        <v>13</v>
      </c>
      <c r="C5479" s="1">
        <v>43867</v>
      </c>
      <c r="D5479" t="s">
        <v>11575</v>
      </c>
      <c r="E5479" t="s">
        <v>11576</v>
      </c>
      <c r="F5479" t="s">
        <v>1464</v>
      </c>
      <c r="G5479" t="s">
        <v>11577</v>
      </c>
      <c r="H5479" t="s">
        <v>936</v>
      </c>
      <c r="I5479" t="s">
        <v>19</v>
      </c>
      <c r="J5479" s="3">
        <v>5507121092210</v>
      </c>
      <c r="K5479" t="s">
        <v>11578</v>
      </c>
      <c r="L5479" t="s">
        <v>11579</v>
      </c>
      <c r="M5479" t="s">
        <v>337</v>
      </c>
    </row>
    <row r="5480" spans="1:13" x14ac:dyDescent="0.25">
      <c r="A5480" t="s">
        <v>22953</v>
      </c>
      <c r="B5480" t="s">
        <v>13</v>
      </c>
      <c r="C5480" t="s">
        <v>8017</v>
      </c>
      <c r="D5480" t="s">
        <v>22954</v>
      </c>
      <c r="E5480" s="2" t="s">
        <v>31321</v>
      </c>
      <c r="F5480" t="s">
        <v>2036</v>
      </c>
      <c r="G5480" t="s">
        <v>19536</v>
      </c>
      <c r="H5480" t="s">
        <v>2678</v>
      </c>
      <c r="I5480" t="s">
        <v>19</v>
      </c>
      <c r="J5480" s="3" t="s">
        <v>19537</v>
      </c>
      <c r="K5480" t="s">
        <v>14218</v>
      </c>
      <c r="L5480" t="s">
        <v>993</v>
      </c>
      <c r="M5480" t="s">
        <v>57</v>
      </c>
    </row>
    <row r="5481" spans="1:13" x14ac:dyDescent="0.25">
      <c r="A5481" t="s">
        <v>18187</v>
      </c>
      <c r="B5481" t="s">
        <v>13</v>
      </c>
      <c r="C5481" s="1">
        <v>43649</v>
      </c>
      <c r="D5481" t="s">
        <v>18188</v>
      </c>
      <c r="E5481" s="2" t="s">
        <v>31194</v>
      </c>
      <c r="F5481" t="s">
        <v>2036</v>
      </c>
      <c r="G5481" t="s">
        <v>18189</v>
      </c>
      <c r="H5481" t="s">
        <v>88</v>
      </c>
      <c r="I5481" t="s">
        <v>19</v>
      </c>
      <c r="J5481" s="3">
        <v>558499852201</v>
      </c>
      <c r="K5481" t="s">
        <v>18190</v>
      </c>
      <c r="L5481" t="s">
        <v>13330</v>
      </c>
      <c r="M5481" t="s">
        <v>57</v>
      </c>
    </row>
    <row r="5482" spans="1:13" x14ac:dyDescent="0.25">
      <c r="A5482" t="s">
        <v>4445</v>
      </c>
      <c r="B5482" t="s">
        <v>101</v>
      </c>
      <c r="C5482" s="1">
        <v>44745</v>
      </c>
      <c r="D5482" t="s">
        <v>4446</v>
      </c>
      <c r="E5482" s="2" t="s">
        <v>31567</v>
      </c>
      <c r="F5482" t="s">
        <v>1939</v>
      </c>
      <c r="G5482" t="s">
        <v>4448</v>
      </c>
      <c r="H5482" t="s">
        <v>88</v>
      </c>
      <c r="I5482" t="s">
        <v>19</v>
      </c>
      <c r="J5482" s="3">
        <f>55-84-998088618</f>
        <v>-998088647</v>
      </c>
      <c r="K5482" t="s">
        <v>4449</v>
      </c>
      <c r="L5482" t="s">
        <v>4450</v>
      </c>
      <c r="M5482" t="s">
        <v>57</v>
      </c>
    </row>
    <row r="5483" spans="1:13" x14ac:dyDescent="0.25">
      <c r="A5483" t="s">
        <v>11461</v>
      </c>
      <c r="B5483" t="s">
        <v>101</v>
      </c>
      <c r="C5483" t="s">
        <v>11438</v>
      </c>
      <c r="D5483" t="s">
        <v>11462</v>
      </c>
      <c r="E5483" s="2" t="s">
        <v>31393</v>
      </c>
      <c r="F5483" t="s">
        <v>1464</v>
      </c>
      <c r="G5483" t="s">
        <v>11463</v>
      </c>
      <c r="H5483" t="s">
        <v>1802</v>
      </c>
      <c r="I5483" t="s">
        <v>19</v>
      </c>
      <c r="J5483" s="3">
        <f>55-44-999109674</f>
        <v>-999109663</v>
      </c>
      <c r="K5483" t="s">
        <v>11464</v>
      </c>
      <c r="L5483" t="s">
        <v>11465</v>
      </c>
      <c r="M5483" t="s">
        <v>57</v>
      </c>
    </row>
    <row r="5484" spans="1:13" x14ac:dyDescent="0.25">
      <c r="A5484" t="s">
        <v>16609</v>
      </c>
      <c r="B5484" t="s">
        <v>13</v>
      </c>
      <c r="C5484" t="s">
        <v>16610</v>
      </c>
      <c r="D5484" t="s">
        <v>16611</v>
      </c>
      <c r="E5484" t="s">
        <v>4447</v>
      </c>
      <c r="F5484" t="s">
        <v>2036</v>
      </c>
      <c r="G5484" t="s">
        <v>16612</v>
      </c>
      <c r="H5484" t="s">
        <v>2829</v>
      </c>
      <c r="I5484" t="s">
        <v>19</v>
      </c>
      <c r="J5484" s="3" t="s">
        <v>16613</v>
      </c>
      <c r="K5484" t="s">
        <v>16614</v>
      </c>
      <c r="L5484" t="s">
        <v>923</v>
      </c>
      <c r="M5484" t="s">
        <v>57</v>
      </c>
    </row>
    <row r="5485" spans="1:13" x14ac:dyDescent="0.25">
      <c r="A5485" t="s">
        <v>24781</v>
      </c>
      <c r="B5485" t="s">
        <v>13</v>
      </c>
      <c r="C5485" s="1">
        <v>42979</v>
      </c>
      <c r="D5485" t="s">
        <v>24782</v>
      </c>
      <c r="E5485" t="s">
        <v>4447</v>
      </c>
      <c r="F5485" t="s">
        <v>2036</v>
      </c>
      <c r="G5485" t="s">
        <v>24783</v>
      </c>
      <c r="H5485" t="s">
        <v>255</v>
      </c>
      <c r="I5485" t="s">
        <v>19</v>
      </c>
      <c r="J5485" s="3" t="s">
        <v>24784</v>
      </c>
      <c r="K5485" t="s">
        <v>24785</v>
      </c>
      <c r="L5485" t="s">
        <v>24786</v>
      </c>
      <c r="M5485" t="s">
        <v>57</v>
      </c>
    </row>
    <row r="5486" spans="1:13" x14ac:dyDescent="0.25">
      <c r="A5486" t="s">
        <v>9346</v>
      </c>
      <c r="B5486" t="s">
        <v>13</v>
      </c>
      <c r="C5486" s="1">
        <v>43931</v>
      </c>
      <c r="D5486" t="s">
        <v>9347</v>
      </c>
      <c r="E5486" t="s">
        <v>4447</v>
      </c>
      <c r="F5486" t="s">
        <v>2036</v>
      </c>
      <c r="G5486" t="s">
        <v>9348</v>
      </c>
      <c r="H5486" t="s">
        <v>9349</v>
      </c>
      <c r="I5486" t="s">
        <v>19</v>
      </c>
      <c r="J5486" s="3" t="s">
        <v>9350</v>
      </c>
      <c r="K5486" t="s">
        <v>9351</v>
      </c>
      <c r="L5486" t="s">
        <v>9352</v>
      </c>
      <c r="M5486" t="s">
        <v>57</v>
      </c>
    </row>
    <row r="5487" spans="1:13" x14ac:dyDescent="0.25">
      <c r="A5487" t="s">
        <v>5546</v>
      </c>
      <c r="B5487" t="s">
        <v>13</v>
      </c>
      <c r="C5487" t="s">
        <v>5547</v>
      </c>
      <c r="D5487" t="s">
        <v>5548</v>
      </c>
      <c r="E5487" t="s">
        <v>4447</v>
      </c>
      <c r="F5487" t="s">
        <v>2036</v>
      </c>
      <c r="G5487" t="s">
        <v>5549</v>
      </c>
      <c r="H5487" t="s">
        <v>5550</v>
      </c>
      <c r="I5487" t="s">
        <v>19</v>
      </c>
      <c r="J5487" s="3" t="s">
        <v>5551</v>
      </c>
      <c r="K5487" t="s">
        <v>5552</v>
      </c>
      <c r="L5487" t="s">
        <v>32135</v>
      </c>
      <c r="M5487" t="s">
        <v>57</v>
      </c>
    </row>
    <row r="5488" spans="1:13" x14ac:dyDescent="0.25">
      <c r="A5488" t="s">
        <v>14975</v>
      </c>
      <c r="B5488" t="s">
        <v>13</v>
      </c>
      <c r="C5488" t="s">
        <v>14967</v>
      </c>
      <c r="D5488" t="s">
        <v>14976</v>
      </c>
      <c r="E5488" t="s">
        <v>4447</v>
      </c>
      <c r="F5488" t="s">
        <v>332</v>
      </c>
      <c r="G5488" t="s">
        <v>14977</v>
      </c>
      <c r="H5488" t="s">
        <v>265</v>
      </c>
      <c r="I5488" t="s">
        <v>19</v>
      </c>
      <c r="J5488" s="3">
        <f>55-16-33154016</f>
        <v>-33153977</v>
      </c>
      <c r="K5488" t="s">
        <v>14978</v>
      </c>
      <c r="L5488" t="s">
        <v>11292</v>
      </c>
      <c r="M5488" t="s">
        <v>337</v>
      </c>
    </row>
    <row r="5489" spans="1:13" x14ac:dyDescent="0.25">
      <c r="A5489" t="s">
        <v>14328</v>
      </c>
      <c r="B5489" t="s">
        <v>13</v>
      </c>
      <c r="C5489" s="1">
        <v>43983</v>
      </c>
      <c r="D5489" t="s">
        <v>14329</v>
      </c>
      <c r="E5489" t="s">
        <v>32684</v>
      </c>
      <c r="F5489" t="s">
        <v>57</v>
      </c>
      <c r="G5489" t="s">
        <v>14330</v>
      </c>
      <c r="H5489" t="s">
        <v>352</v>
      </c>
      <c r="I5489" t="s">
        <v>19</v>
      </c>
      <c r="J5489" s="3" t="s">
        <v>14331</v>
      </c>
      <c r="K5489" t="s">
        <v>14332</v>
      </c>
      <c r="L5489" t="s">
        <v>14333</v>
      </c>
      <c r="M5489" t="s">
        <v>32158</v>
      </c>
    </row>
    <row r="5490" spans="1:13" x14ac:dyDescent="0.25">
      <c r="A5490" t="s">
        <v>21363</v>
      </c>
      <c r="B5490" t="s">
        <v>13</v>
      </c>
      <c r="C5490" t="s">
        <v>7645</v>
      </c>
      <c r="D5490" t="s">
        <v>21364</v>
      </c>
      <c r="E5490" t="s">
        <v>21365</v>
      </c>
      <c r="F5490" t="s">
        <v>57</v>
      </c>
      <c r="G5490" t="s">
        <v>16951</v>
      </c>
      <c r="H5490" t="s">
        <v>36</v>
      </c>
      <c r="I5490" t="s">
        <v>19</v>
      </c>
      <c r="J5490" s="3" t="s">
        <v>21366</v>
      </c>
      <c r="K5490" t="s">
        <v>16952</v>
      </c>
      <c r="L5490" t="s">
        <v>20371</v>
      </c>
      <c r="M5490" t="s">
        <v>57</v>
      </c>
    </row>
    <row r="5491" spans="1:13" x14ac:dyDescent="0.25">
      <c r="A5491" t="s">
        <v>23938</v>
      </c>
      <c r="B5491" t="s">
        <v>13</v>
      </c>
      <c r="C5491" t="s">
        <v>23939</v>
      </c>
      <c r="D5491" t="s">
        <v>23940</v>
      </c>
      <c r="E5491" s="2" t="s">
        <v>31302</v>
      </c>
      <c r="F5491" t="s">
        <v>1464</v>
      </c>
      <c r="G5491" t="s">
        <v>23941</v>
      </c>
      <c r="H5491" t="s">
        <v>1656</v>
      </c>
      <c r="I5491" t="s">
        <v>19</v>
      </c>
      <c r="J5491" s="3" t="s">
        <v>23942</v>
      </c>
      <c r="K5491" t="s">
        <v>23943</v>
      </c>
      <c r="L5491" t="s">
        <v>1658</v>
      </c>
      <c r="M5491" t="s">
        <v>57</v>
      </c>
    </row>
    <row r="5492" spans="1:13" x14ac:dyDescent="0.25">
      <c r="A5492" t="s">
        <v>21913</v>
      </c>
      <c r="B5492" t="s">
        <v>13</v>
      </c>
      <c r="C5492" s="1">
        <v>43438</v>
      </c>
      <c r="D5492" t="s">
        <v>21914</v>
      </c>
      <c r="E5492" s="2" t="s">
        <v>31302</v>
      </c>
      <c r="F5492" t="s">
        <v>1464</v>
      </c>
      <c r="G5492" t="s">
        <v>21915</v>
      </c>
      <c r="H5492" t="s">
        <v>1656</v>
      </c>
      <c r="I5492" t="s">
        <v>19</v>
      </c>
      <c r="J5492" s="3" t="s">
        <v>21916</v>
      </c>
      <c r="K5492" t="s">
        <v>21917</v>
      </c>
      <c r="L5492" t="s">
        <v>1658</v>
      </c>
      <c r="M5492" t="s">
        <v>57</v>
      </c>
    </row>
    <row r="5493" spans="1:13" x14ac:dyDescent="0.25">
      <c r="A5493" t="s">
        <v>22702</v>
      </c>
      <c r="B5493" t="s">
        <v>13</v>
      </c>
      <c r="C5493" s="1">
        <v>43160</v>
      </c>
      <c r="D5493" t="s">
        <v>22703</v>
      </c>
      <c r="E5493" t="s">
        <v>22704</v>
      </c>
      <c r="F5493" t="s">
        <v>57</v>
      </c>
      <c r="G5493" t="s">
        <v>16612</v>
      </c>
      <c r="H5493" t="s">
        <v>2829</v>
      </c>
      <c r="I5493" t="s">
        <v>19</v>
      </c>
      <c r="J5493" s="3">
        <f>55-33-33011000</f>
        <v>-33010978</v>
      </c>
      <c r="K5493" t="s">
        <v>22705</v>
      </c>
      <c r="L5493" t="s">
        <v>923</v>
      </c>
      <c r="M5493" t="s">
        <v>57</v>
      </c>
    </row>
    <row r="5494" spans="1:13" x14ac:dyDescent="0.25">
      <c r="A5494" t="s">
        <v>11615</v>
      </c>
      <c r="B5494" t="s">
        <v>13</v>
      </c>
      <c r="C5494" t="s">
        <v>11616</v>
      </c>
      <c r="D5494" t="s">
        <v>11617</v>
      </c>
      <c r="E5494" t="s">
        <v>32685</v>
      </c>
      <c r="F5494" t="s">
        <v>1464</v>
      </c>
      <c r="G5494" t="s">
        <v>11618</v>
      </c>
      <c r="H5494" t="s">
        <v>88</v>
      </c>
      <c r="I5494" t="s">
        <v>19</v>
      </c>
      <c r="J5494" s="3">
        <v>5584991481143</v>
      </c>
      <c r="K5494" t="s">
        <v>11619</v>
      </c>
      <c r="L5494" t="s">
        <v>91</v>
      </c>
      <c r="M5494" t="s">
        <v>57</v>
      </c>
    </row>
    <row r="5495" spans="1:13" x14ac:dyDescent="0.25">
      <c r="A5495" t="s">
        <v>20427</v>
      </c>
      <c r="B5495" t="s">
        <v>13</v>
      </c>
      <c r="C5495" t="s">
        <v>5704</v>
      </c>
      <c r="D5495" t="s">
        <v>20428</v>
      </c>
      <c r="E5495" s="2" t="s">
        <v>31435</v>
      </c>
      <c r="F5495" t="s">
        <v>57</v>
      </c>
      <c r="G5495" t="s">
        <v>20429</v>
      </c>
      <c r="H5495" t="s">
        <v>18</v>
      </c>
      <c r="I5495" t="s">
        <v>19</v>
      </c>
      <c r="J5495" s="3">
        <f>55-19-991431765</f>
        <v>-991431729</v>
      </c>
      <c r="K5495" t="s">
        <v>20430</v>
      </c>
      <c r="L5495" t="s">
        <v>197</v>
      </c>
      <c r="M5495" t="s">
        <v>57</v>
      </c>
    </row>
    <row r="5496" spans="1:13" x14ac:dyDescent="0.25">
      <c r="A5496" t="s">
        <v>13534</v>
      </c>
      <c r="B5496" t="s">
        <v>13</v>
      </c>
      <c r="C5496" t="s">
        <v>13535</v>
      </c>
      <c r="D5496" t="s">
        <v>13536</v>
      </c>
      <c r="E5496" t="s">
        <v>7238</v>
      </c>
      <c r="F5496" t="s">
        <v>2036</v>
      </c>
      <c r="G5496" t="s">
        <v>13537</v>
      </c>
      <c r="H5496" t="s">
        <v>927</v>
      </c>
      <c r="I5496" t="s">
        <v>19</v>
      </c>
      <c r="J5496" s="3">
        <f>55-13-991564685</f>
        <v>-991564643</v>
      </c>
      <c r="K5496" t="s">
        <v>13538</v>
      </c>
      <c r="L5496" t="s">
        <v>439</v>
      </c>
      <c r="M5496" t="s">
        <v>57</v>
      </c>
    </row>
    <row r="5497" spans="1:13" x14ac:dyDescent="0.25">
      <c r="A5497" t="s">
        <v>16763</v>
      </c>
      <c r="B5497" t="s">
        <v>13</v>
      </c>
      <c r="C5497" t="s">
        <v>16755</v>
      </c>
      <c r="D5497" t="s">
        <v>16764</v>
      </c>
      <c r="E5497" s="2" t="s">
        <v>31929</v>
      </c>
      <c r="F5497" t="s">
        <v>2036</v>
      </c>
      <c r="G5497" t="s">
        <v>16765</v>
      </c>
      <c r="H5497" t="s">
        <v>936</v>
      </c>
      <c r="I5497" t="s">
        <v>19</v>
      </c>
      <c r="J5497" s="3" t="s">
        <v>16766</v>
      </c>
      <c r="K5497" t="s">
        <v>16767</v>
      </c>
      <c r="L5497" t="s">
        <v>16768</v>
      </c>
      <c r="M5497" t="s">
        <v>57</v>
      </c>
    </row>
    <row r="5498" spans="1:13" x14ac:dyDescent="0.25">
      <c r="A5498" t="s">
        <v>7236</v>
      </c>
      <c r="B5498" t="s">
        <v>13</v>
      </c>
      <c r="C5498" s="1">
        <v>44233</v>
      </c>
      <c r="D5498" t="s">
        <v>7237</v>
      </c>
      <c r="E5498" s="2" t="s">
        <v>32129</v>
      </c>
      <c r="F5498" t="s">
        <v>934</v>
      </c>
      <c r="H5498" t="s">
        <v>32135</v>
      </c>
      <c r="I5498" t="s">
        <v>32135</v>
      </c>
      <c r="J5498" t="s">
        <v>32135</v>
      </c>
      <c r="K5498" s="3" t="s">
        <v>32135</v>
      </c>
      <c r="L5498" t="s">
        <v>32135</v>
      </c>
      <c r="M5498" t="s">
        <v>57</v>
      </c>
    </row>
    <row r="5499" spans="1:13" x14ac:dyDescent="0.25">
      <c r="A5499" t="s">
        <v>16293</v>
      </c>
      <c r="B5499" t="s">
        <v>13</v>
      </c>
      <c r="C5499" t="s">
        <v>16294</v>
      </c>
      <c r="D5499" t="s">
        <v>16295</v>
      </c>
      <c r="E5499" s="2" t="s">
        <v>31153</v>
      </c>
      <c r="F5499" t="s">
        <v>2036</v>
      </c>
      <c r="G5499" t="s">
        <v>16296</v>
      </c>
      <c r="H5499" t="s">
        <v>36</v>
      </c>
      <c r="I5499" t="s">
        <v>19</v>
      </c>
      <c r="J5499" s="3">
        <f>55-11-996076596</f>
        <v>-996076552</v>
      </c>
      <c r="K5499" t="s">
        <v>16297</v>
      </c>
      <c r="L5499" t="s">
        <v>439</v>
      </c>
      <c r="M5499" t="s">
        <v>57</v>
      </c>
    </row>
    <row r="5500" spans="1:13" x14ac:dyDescent="0.25">
      <c r="A5500" t="s">
        <v>5015</v>
      </c>
      <c r="B5500" t="s">
        <v>13</v>
      </c>
      <c r="C5500" t="s">
        <v>5016</v>
      </c>
      <c r="D5500" t="s">
        <v>5017</v>
      </c>
      <c r="E5500" s="2" t="s">
        <v>31709</v>
      </c>
      <c r="F5500" t="s">
        <v>2036</v>
      </c>
      <c r="G5500" t="s">
        <v>5018</v>
      </c>
      <c r="H5500" t="s">
        <v>195</v>
      </c>
      <c r="I5500" t="s">
        <v>19</v>
      </c>
      <c r="J5500" s="3">
        <f>55-16-33612081</f>
        <v>-33612042</v>
      </c>
      <c r="K5500" t="s">
        <v>5019</v>
      </c>
      <c r="L5500" t="s">
        <v>197</v>
      </c>
      <c r="M5500" t="s">
        <v>57</v>
      </c>
    </row>
    <row r="5501" spans="1:13" x14ac:dyDescent="0.25">
      <c r="A5501" t="s">
        <v>19533</v>
      </c>
      <c r="B5501" t="s">
        <v>13</v>
      </c>
      <c r="C5501" t="s">
        <v>13535</v>
      </c>
      <c r="D5501" t="s">
        <v>19534</v>
      </c>
      <c r="E5501" t="s">
        <v>19535</v>
      </c>
      <c r="F5501" t="s">
        <v>2036</v>
      </c>
      <c r="G5501" t="s">
        <v>19536</v>
      </c>
      <c r="H5501" t="s">
        <v>2678</v>
      </c>
      <c r="I5501" t="s">
        <v>19</v>
      </c>
      <c r="J5501" s="3" t="s">
        <v>19537</v>
      </c>
      <c r="K5501" t="s">
        <v>14218</v>
      </c>
      <c r="L5501" t="s">
        <v>993</v>
      </c>
      <c r="M5501" t="s">
        <v>57</v>
      </c>
    </row>
    <row r="5502" spans="1:13" x14ac:dyDescent="0.25">
      <c r="A5502" t="s">
        <v>16783</v>
      </c>
      <c r="B5502" t="s">
        <v>101</v>
      </c>
      <c r="C5502" s="1">
        <v>43806</v>
      </c>
      <c r="D5502" t="s">
        <v>16784</v>
      </c>
      <c r="E5502" t="s">
        <v>16785</v>
      </c>
      <c r="F5502" t="s">
        <v>1464</v>
      </c>
      <c r="G5502" t="s">
        <v>12007</v>
      </c>
      <c r="H5502" t="s">
        <v>36</v>
      </c>
      <c r="I5502" t="s">
        <v>19</v>
      </c>
      <c r="J5502" s="3">
        <f>55-11-999832212</f>
        <v>-999832168</v>
      </c>
      <c r="K5502" t="s">
        <v>12008</v>
      </c>
      <c r="L5502" t="s">
        <v>439</v>
      </c>
      <c r="M5502" t="s">
        <v>129</v>
      </c>
    </row>
    <row r="5503" spans="1:13" x14ac:dyDescent="0.25">
      <c r="A5503" t="s">
        <v>16546</v>
      </c>
      <c r="B5503" t="s">
        <v>13</v>
      </c>
      <c r="C5503" s="1">
        <v>43807</v>
      </c>
      <c r="D5503" t="s">
        <v>16547</v>
      </c>
      <c r="E5503" t="s">
        <v>16548</v>
      </c>
      <c r="F5503" t="s">
        <v>57</v>
      </c>
      <c r="G5503" t="s">
        <v>2178</v>
      </c>
      <c r="H5503" t="s">
        <v>2112</v>
      </c>
      <c r="I5503" t="s">
        <v>19</v>
      </c>
      <c r="J5503" s="3">
        <f>55-45-32207344</f>
        <v>-32207334</v>
      </c>
      <c r="K5503" t="s">
        <v>14019</v>
      </c>
      <c r="L5503" t="s">
        <v>14020</v>
      </c>
      <c r="M5503" t="s">
        <v>57</v>
      </c>
    </row>
    <row r="5504" spans="1:13" x14ac:dyDescent="0.25">
      <c r="A5504" t="s">
        <v>7173</v>
      </c>
      <c r="B5504" t="s">
        <v>13</v>
      </c>
      <c r="C5504" s="1">
        <v>44414</v>
      </c>
      <c r="D5504" t="s">
        <v>32135</v>
      </c>
      <c r="E5504" s="2" t="s">
        <v>30924</v>
      </c>
      <c r="F5504" t="s">
        <v>1760</v>
      </c>
      <c r="G5504" t="s">
        <v>7174</v>
      </c>
      <c r="H5504" t="s">
        <v>2513</v>
      </c>
      <c r="I5504" t="s">
        <v>19</v>
      </c>
      <c r="J5504" s="3" t="s">
        <v>7175</v>
      </c>
      <c r="K5504" t="s">
        <v>7176</v>
      </c>
      <c r="L5504" t="s">
        <v>32135</v>
      </c>
      <c r="M5504" t="s">
        <v>224</v>
      </c>
    </row>
    <row r="5505" spans="1:13" x14ac:dyDescent="0.25">
      <c r="A5505" t="s">
        <v>25150</v>
      </c>
      <c r="B5505" t="s">
        <v>13</v>
      </c>
      <c r="C5505" t="s">
        <v>25142</v>
      </c>
      <c r="D5505" t="s">
        <v>25151</v>
      </c>
      <c r="E5505" t="s">
        <v>25152</v>
      </c>
      <c r="F5505" t="s">
        <v>1129</v>
      </c>
      <c r="G5505" t="s">
        <v>25153</v>
      </c>
      <c r="H5505" t="s">
        <v>983</v>
      </c>
      <c r="I5505" t="s">
        <v>19</v>
      </c>
      <c r="J5505" s="3" t="s">
        <v>25154</v>
      </c>
      <c r="K5505" t="s">
        <v>25155</v>
      </c>
      <c r="L5505" t="s">
        <v>25063</v>
      </c>
      <c r="M5505" t="s">
        <v>224</v>
      </c>
    </row>
    <row r="5506" spans="1:13" x14ac:dyDescent="0.25">
      <c r="A5506" t="s">
        <v>22835</v>
      </c>
      <c r="B5506" t="s">
        <v>13</v>
      </c>
      <c r="C5506" s="1">
        <v>43051</v>
      </c>
      <c r="D5506" t="s">
        <v>22836</v>
      </c>
      <c r="E5506" s="2" t="s">
        <v>31319</v>
      </c>
      <c r="F5506" t="s">
        <v>1129</v>
      </c>
      <c r="G5506" t="s">
        <v>22837</v>
      </c>
      <c r="H5506" t="s">
        <v>131</v>
      </c>
      <c r="I5506" t="s">
        <v>19</v>
      </c>
      <c r="J5506" s="3" t="s">
        <v>22838</v>
      </c>
      <c r="K5506" t="s">
        <v>22839</v>
      </c>
      <c r="L5506" t="s">
        <v>2101</v>
      </c>
      <c r="M5506" t="s">
        <v>224</v>
      </c>
    </row>
    <row r="5507" spans="1:13" x14ac:dyDescent="0.25">
      <c r="A5507" t="s">
        <v>16555</v>
      </c>
      <c r="B5507" t="s">
        <v>101</v>
      </c>
      <c r="C5507" s="1">
        <v>43654</v>
      </c>
      <c r="D5507" t="s">
        <v>16556</v>
      </c>
      <c r="E5507" t="s">
        <v>32686</v>
      </c>
      <c r="F5507" t="s">
        <v>8193</v>
      </c>
      <c r="G5507" t="s">
        <v>768</v>
      </c>
      <c r="H5507" t="s">
        <v>265</v>
      </c>
      <c r="I5507" t="s">
        <v>19</v>
      </c>
      <c r="J5507" s="3">
        <v>551636022477</v>
      </c>
      <c r="K5507" t="s">
        <v>769</v>
      </c>
      <c r="L5507" t="s">
        <v>770</v>
      </c>
      <c r="M5507" t="s">
        <v>129</v>
      </c>
    </row>
    <row r="5508" spans="1:13" x14ac:dyDescent="0.25">
      <c r="A5508" t="s">
        <v>30043</v>
      </c>
      <c r="B5508" t="s">
        <v>13</v>
      </c>
      <c r="C5508" t="s">
        <v>14184</v>
      </c>
      <c r="D5508" t="s">
        <v>30044</v>
      </c>
      <c r="E5508" t="s">
        <v>30045</v>
      </c>
      <c r="F5508" t="s">
        <v>1129</v>
      </c>
      <c r="G5508" t="s">
        <v>1868</v>
      </c>
      <c r="H5508" t="s">
        <v>195</v>
      </c>
      <c r="I5508" t="s">
        <v>19</v>
      </c>
      <c r="J5508" s="3" t="s">
        <v>19532</v>
      </c>
      <c r="K5508" t="s">
        <v>1870</v>
      </c>
      <c r="L5508" t="s">
        <v>30046</v>
      </c>
      <c r="M5508" t="s">
        <v>224</v>
      </c>
    </row>
    <row r="5509" spans="1:13" x14ac:dyDescent="0.25">
      <c r="A5509" t="s">
        <v>25388</v>
      </c>
      <c r="B5509" t="s">
        <v>13</v>
      </c>
      <c r="C5509" t="s">
        <v>9183</v>
      </c>
      <c r="D5509" t="s">
        <v>25389</v>
      </c>
      <c r="E5509" t="s">
        <v>25390</v>
      </c>
      <c r="F5509" t="s">
        <v>6686</v>
      </c>
      <c r="G5509" t="s">
        <v>12354</v>
      </c>
      <c r="H5509" t="s">
        <v>2186</v>
      </c>
      <c r="I5509" t="s">
        <v>19</v>
      </c>
      <c r="J5509" s="3" t="s">
        <v>12355</v>
      </c>
      <c r="K5509" t="s">
        <v>12356</v>
      </c>
      <c r="L5509" t="s">
        <v>12357</v>
      </c>
      <c r="M5509" t="s">
        <v>337</v>
      </c>
    </row>
    <row r="5510" spans="1:13" x14ac:dyDescent="0.25">
      <c r="A5510" t="s">
        <v>25664</v>
      </c>
      <c r="B5510" t="s">
        <v>13</v>
      </c>
      <c r="C5510" t="s">
        <v>19011</v>
      </c>
      <c r="D5510" t="s">
        <v>25665</v>
      </c>
      <c r="E5510" t="s">
        <v>32687</v>
      </c>
      <c r="F5510" t="s">
        <v>306</v>
      </c>
      <c r="G5510" t="s">
        <v>25666</v>
      </c>
      <c r="H5510" t="s">
        <v>25667</v>
      </c>
      <c r="I5510" t="s">
        <v>19</v>
      </c>
      <c r="J5510" s="3" t="s">
        <v>25668</v>
      </c>
      <c r="K5510" t="s">
        <v>25669</v>
      </c>
      <c r="L5510" t="s">
        <v>1767</v>
      </c>
      <c r="M5510" t="s">
        <v>32145</v>
      </c>
    </row>
    <row r="5511" spans="1:13" x14ac:dyDescent="0.25">
      <c r="A5511" t="s">
        <v>30609</v>
      </c>
      <c r="B5511" t="s">
        <v>101</v>
      </c>
      <c r="C5511" s="1">
        <v>40854</v>
      </c>
      <c r="D5511" t="s">
        <v>30610</v>
      </c>
      <c r="E5511" t="s">
        <v>32688</v>
      </c>
      <c r="F5511" t="s">
        <v>1190</v>
      </c>
      <c r="G5511" t="s">
        <v>30608</v>
      </c>
      <c r="H5511" t="s">
        <v>150</v>
      </c>
      <c r="I5511" t="s">
        <v>19</v>
      </c>
      <c r="J5511" s="3">
        <v>551136659890</v>
      </c>
      <c r="K5511" t="s">
        <v>22217</v>
      </c>
      <c r="L5511" t="s">
        <v>1999</v>
      </c>
      <c r="M5511" t="s">
        <v>432</v>
      </c>
    </row>
    <row r="5512" spans="1:13" x14ac:dyDescent="0.25">
      <c r="A5512" t="s">
        <v>29717</v>
      </c>
      <c r="B5512" t="s">
        <v>13</v>
      </c>
      <c r="C5512" s="1">
        <v>40882</v>
      </c>
      <c r="D5512" t="s">
        <v>29718</v>
      </c>
      <c r="E5512" t="s">
        <v>29719</v>
      </c>
      <c r="F5512" t="s">
        <v>1129</v>
      </c>
      <c r="G5512" t="s">
        <v>29720</v>
      </c>
      <c r="H5512" t="s">
        <v>29721</v>
      </c>
      <c r="I5512" t="s">
        <v>19</v>
      </c>
      <c r="J5512" s="3" t="s">
        <v>29722</v>
      </c>
      <c r="K5512" t="s">
        <v>29723</v>
      </c>
      <c r="L5512" t="s">
        <v>29724</v>
      </c>
      <c r="M5512" t="s">
        <v>224</v>
      </c>
    </row>
    <row r="5513" spans="1:13" x14ac:dyDescent="0.25">
      <c r="A5513" t="s">
        <v>8151</v>
      </c>
      <c r="B5513" t="s">
        <v>13</v>
      </c>
      <c r="C5513" s="1">
        <v>44502</v>
      </c>
      <c r="D5513" t="s">
        <v>8152</v>
      </c>
      <c r="E5513" t="s">
        <v>32689</v>
      </c>
      <c r="F5513" t="s">
        <v>8153</v>
      </c>
      <c r="G5513" t="s">
        <v>8154</v>
      </c>
      <c r="H5513" t="s">
        <v>352</v>
      </c>
      <c r="I5513" t="s">
        <v>19</v>
      </c>
      <c r="J5513" s="3">
        <v>5521998560288</v>
      </c>
      <c r="K5513" t="s">
        <v>8155</v>
      </c>
      <c r="L5513" t="s">
        <v>8154</v>
      </c>
      <c r="M5513" t="s">
        <v>1775</v>
      </c>
    </row>
    <row r="5514" spans="1:13" x14ac:dyDescent="0.25">
      <c r="A5514" t="s">
        <v>15166</v>
      </c>
      <c r="B5514" t="s">
        <v>13</v>
      </c>
      <c r="C5514" t="s">
        <v>9417</v>
      </c>
      <c r="D5514" t="s">
        <v>15167</v>
      </c>
      <c r="E5514" t="s">
        <v>32690</v>
      </c>
      <c r="F5514" t="s">
        <v>1464</v>
      </c>
      <c r="G5514" t="s">
        <v>4955</v>
      </c>
      <c r="H5514" t="s">
        <v>8003</v>
      </c>
      <c r="I5514" t="s">
        <v>19</v>
      </c>
      <c r="J5514" s="3" t="s">
        <v>12473</v>
      </c>
      <c r="K5514" t="s">
        <v>4957</v>
      </c>
      <c r="L5514" t="s">
        <v>12474</v>
      </c>
      <c r="M5514" t="s">
        <v>224</v>
      </c>
    </row>
    <row r="5515" spans="1:13" x14ac:dyDescent="0.25">
      <c r="A5515" t="s">
        <v>10147</v>
      </c>
      <c r="B5515" t="s">
        <v>13</v>
      </c>
      <c r="C5515" t="s">
        <v>8861</v>
      </c>
      <c r="D5515" t="s">
        <v>10148</v>
      </c>
      <c r="E5515" t="s">
        <v>10149</v>
      </c>
      <c r="F5515" t="s">
        <v>2758</v>
      </c>
      <c r="G5515" t="s">
        <v>8276</v>
      </c>
      <c r="H5515" t="s">
        <v>503</v>
      </c>
      <c r="I5515" t="s">
        <v>19</v>
      </c>
      <c r="J5515" s="3" t="s">
        <v>10150</v>
      </c>
      <c r="K5515" t="s">
        <v>10151</v>
      </c>
      <c r="L5515" t="s">
        <v>10152</v>
      </c>
      <c r="M5515" t="s">
        <v>32149</v>
      </c>
    </row>
    <row r="5516" spans="1:13" x14ac:dyDescent="0.25">
      <c r="A5516" t="s">
        <v>30253</v>
      </c>
      <c r="B5516" t="s">
        <v>13</v>
      </c>
      <c r="C5516" t="s">
        <v>15685</v>
      </c>
      <c r="D5516" t="s">
        <v>30254</v>
      </c>
      <c r="E5516" t="s">
        <v>32691</v>
      </c>
      <c r="F5516" t="s">
        <v>9519</v>
      </c>
      <c r="G5516" t="s">
        <v>30255</v>
      </c>
      <c r="H5516" t="s">
        <v>265</v>
      </c>
      <c r="I5516" t="s">
        <v>19</v>
      </c>
      <c r="J5516" s="3" t="s">
        <v>30256</v>
      </c>
      <c r="K5516" t="s">
        <v>30257</v>
      </c>
      <c r="L5516" t="s">
        <v>30258</v>
      </c>
      <c r="M5516" t="s">
        <v>32145</v>
      </c>
    </row>
    <row r="5517" spans="1:13" x14ac:dyDescent="0.25">
      <c r="A5517" t="s">
        <v>16028</v>
      </c>
      <c r="B5517" t="s">
        <v>13</v>
      </c>
      <c r="C5517" t="s">
        <v>16029</v>
      </c>
      <c r="D5517" t="s">
        <v>16030</v>
      </c>
      <c r="E5517" t="s">
        <v>32692</v>
      </c>
      <c r="F5517" t="s">
        <v>16031</v>
      </c>
      <c r="G5517" t="s">
        <v>16032</v>
      </c>
      <c r="H5517" t="s">
        <v>5523</v>
      </c>
      <c r="I5517" t="s">
        <v>19</v>
      </c>
      <c r="J5517" s="3" t="s">
        <v>16033</v>
      </c>
      <c r="K5517" t="s">
        <v>16034</v>
      </c>
      <c r="L5517" t="s">
        <v>16035</v>
      </c>
      <c r="M5517" t="s">
        <v>1775</v>
      </c>
    </row>
    <row r="5518" spans="1:13" x14ac:dyDescent="0.25">
      <c r="A5518" t="s">
        <v>14381</v>
      </c>
      <c r="B5518" t="s">
        <v>101</v>
      </c>
      <c r="C5518" s="1">
        <v>43891</v>
      </c>
      <c r="D5518" t="s">
        <v>14382</v>
      </c>
      <c r="E5518" s="2" t="s">
        <v>31444</v>
      </c>
      <c r="F5518" t="s">
        <v>2947</v>
      </c>
      <c r="G5518" t="s">
        <v>14383</v>
      </c>
      <c r="H5518" t="s">
        <v>14384</v>
      </c>
      <c r="I5518" t="s">
        <v>19</v>
      </c>
      <c r="J5518" s="3" t="s">
        <v>14385</v>
      </c>
      <c r="K5518" t="s">
        <v>14386</v>
      </c>
      <c r="L5518" t="s">
        <v>1531</v>
      </c>
      <c r="M5518" t="s">
        <v>771</v>
      </c>
    </row>
    <row r="5519" spans="1:13" x14ac:dyDescent="0.25">
      <c r="A5519" t="s">
        <v>25564</v>
      </c>
      <c r="B5519" t="s">
        <v>13</v>
      </c>
      <c r="C5519" s="1">
        <v>42591</v>
      </c>
      <c r="D5519" t="s">
        <v>25565</v>
      </c>
      <c r="E5519" t="s">
        <v>25566</v>
      </c>
      <c r="F5519" t="s">
        <v>1464</v>
      </c>
      <c r="G5519" t="s">
        <v>12417</v>
      </c>
      <c r="H5519" t="s">
        <v>1656</v>
      </c>
      <c r="I5519" t="s">
        <v>19</v>
      </c>
      <c r="J5519" s="3" t="s">
        <v>12418</v>
      </c>
      <c r="K5519" t="s">
        <v>12419</v>
      </c>
      <c r="L5519" t="s">
        <v>12420</v>
      </c>
      <c r="M5519" t="s">
        <v>337</v>
      </c>
    </row>
    <row r="5520" spans="1:13" x14ac:dyDescent="0.25">
      <c r="A5520" t="s">
        <v>5979</v>
      </c>
      <c r="B5520" t="s">
        <v>13</v>
      </c>
      <c r="C5520" s="1">
        <v>44540</v>
      </c>
      <c r="D5520" t="s">
        <v>32135</v>
      </c>
      <c r="E5520" s="2" t="s">
        <v>32809</v>
      </c>
      <c r="F5520" t="s">
        <v>5980</v>
      </c>
      <c r="G5520" t="s">
        <v>5981</v>
      </c>
      <c r="H5520" t="s">
        <v>5982</v>
      </c>
      <c r="I5520" t="s">
        <v>19</v>
      </c>
      <c r="J5520" s="3" t="s">
        <v>5983</v>
      </c>
      <c r="K5520" t="s">
        <v>5984</v>
      </c>
      <c r="L5520" t="s">
        <v>32135</v>
      </c>
      <c r="M5520" t="s">
        <v>224</v>
      </c>
    </row>
    <row r="5521" spans="1:13" x14ac:dyDescent="0.25">
      <c r="A5521" t="s">
        <v>9873</v>
      </c>
      <c r="B5521" t="s">
        <v>13</v>
      </c>
      <c r="C5521" s="1">
        <v>44021</v>
      </c>
      <c r="D5521" t="s">
        <v>9874</v>
      </c>
      <c r="E5521" t="s">
        <v>9875</v>
      </c>
      <c r="F5521" t="s">
        <v>2947</v>
      </c>
      <c r="G5521" t="s">
        <v>9876</v>
      </c>
      <c r="H5521" t="s">
        <v>753</v>
      </c>
      <c r="I5521" t="s">
        <v>19</v>
      </c>
      <c r="J5521" s="3" t="s">
        <v>9877</v>
      </c>
      <c r="K5521" t="s">
        <v>9878</v>
      </c>
      <c r="L5521" t="s">
        <v>3312</v>
      </c>
      <c r="M5521" t="s">
        <v>771</v>
      </c>
    </row>
    <row r="5522" spans="1:13" x14ac:dyDescent="0.25">
      <c r="A5522" t="s">
        <v>19369</v>
      </c>
      <c r="B5522" t="s">
        <v>13</v>
      </c>
      <c r="C5522" s="1">
        <v>43141</v>
      </c>
      <c r="D5522" t="s">
        <v>19370</v>
      </c>
      <c r="E5522" t="s">
        <v>1379</v>
      </c>
      <c r="F5522" t="s">
        <v>1464</v>
      </c>
      <c r="G5522" t="s">
        <v>19371</v>
      </c>
      <c r="H5522" t="s">
        <v>372</v>
      </c>
      <c r="I5522" t="s">
        <v>19</v>
      </c>
      <c r="J5522" s="3" t="s">
        <v>19372</v>
      </c>
      <c r="K5522" t="s">
        <v>19373</v>
      </c>
      <c r="L5522" t="s">
        <v>14182</v>
      </c>
      <c r="M5522" t="s">
        <v>32155</v>
      </c>
    </row>
    <row r="5523" spans="1:13" x14ac:dyDescent="0.25">
      <c r="A5523" t="s">
        <v>13929</v>
      </c>
      <c r="B5523" t="s">
        <v>13</v>
      </c>
      <c r="C5523" t="s">
        <v>12548</v>
      </c>
      <c r="D5523" t="s">
        <v>13930</v>
      </c>
      <c r="E5523" t="s">
        <v>13931</v>
      </c>
      <c r="F5523" t="s">
        <v>1464</v>
      </c>
      <c r="G5523" t="s">
        <v>13932</v>
      </c>
      <c r="H5523" t="s">
        <v>1215</v>
      </c>
      <c r="I5523" t="s">
        <v>19</v>
      </c>
      <c r="J5523" s="3">
        <v>5501832295821</v>
      </c>
      <c r="K5523" t="s">
        <v>13933</v>
      </c>
      <c r="L5523" t="s">
        <v>13934</v>
      </c>
      <c r="M5523" t="s">
        <v>1775</v>
      </c>
    </row>
    <row r="5524" spans="1:13" x14ac:dyDescent="0.25">
      <c r="A5524" t="s">
        <v>19903</v>
      </c>
      <c r="B5524" t="s">
        <v>13</v>
      </c>
      <c r="C5524" t="s">
        <v>12154</v>
      </c>
      <c r="D5524" t="s">
        <v>19904</v>
      </c>
      <c r="E5524" t="s">
        <v>19905</v>
      </c>
      <c r="F5524" t="s">
        <v>224</v>
      </c>
      <c r="G5524" t="s">
        <v>19906</v>
      </c>
      <c r="H5524" t="s">
        <v>798</v>
      </c>
      <c r="I5524" t="s">
        <v>19</v>
      </c>
      <c r="J5524" s="3">
        <f>55-61-33072252</f>
        <v>-33072258</v>
      </c>
      <c r="K5524" t="s">
        <v>19907</v>
      </c>
      <c r="L5524" t="s">
        <v>4378</v>
      </c>
      <c r="M5524" t="s">
        <v>224</v>
      </c>
    </row>
    <row r="5525" spans="1:13" x14ac:dyDescent="0.25">
      <c r="A5525" t="s">
        <v>1178</v>
      </c>
      <c r="B5525" t="s">
        <v>13</v>
      </c>
      <c r="C5525" t="s">
        <v>1179</v>
      </c>
      <c r="D5525" t="s">
        <v>1180</v>
      </c>
      <c r="E5525" s="2" t="s">
        <v>30701</v>
      </c>
      <c r="F5525" t="s">
        <v>1183</v>
      </c>
      <c r="G5525" t="s">
        <v>1184</v>
      </c>
      <c r="H5525" t="s">
        <v>409</v>
      </c>
      <c r="I5525" t="s">
        <v>19</v>
      </c>
      <c r="J5525" s="3" t="s">
        <v>1185</v>
      </c>
      <c r="K5525" t="s">
        <v>1186</v>
      </c>
      <c r="L5525" t="s">
        <v>412</v>
      </c>
      <c r="M5525" t="s">
        <v>1349</v>
      </c>
    </row>
    <row r="5526" spans="1:13" x14ac:dyDescent="0.25">
      <c r="A5526" t="s">
        <v>5694</v>
      </c>
      <c r="B5526" t="s">
        <v>13</v>
      </c>
      <c r="C5526" s="1">
        <v>44480</v>
      </c>
      <c r="D5526" t="s">
        <v>32135</v>
      </c>
      <c r="E5526" s="2" t="s">
        <v>30855</v>
      </c>
      <c r="F5526" t="s">
        <v>1025</v>
      </c>
      <c r="G5526" t="s">
        <v>5695</v>
      </c>
      <c r="H5526" t="s">
        <v>1915</v>
      </c>
      <c r="I5526" t="s">
        <v>19</v>
      </c>
      <c r="J5526" s="3">
        <v>61982002603</v>
      </c>
      <c r="K5526" t="s">
        <v>5696</v>
      </c>
      <c r="L5526" t="s">
        <v>32135</v>
      </c>
      <c r="M5526" t="s">
        <v>57</v>
      </c>
    </row>
    <row r="5527" spans="1:13" x14ac:dyDescent="0.25">
      <c r="A5527" t="s">
        <v>12057</v>
      </c>
      <c r="B5527" t="s">
        <v>13</v>
      </c>
      <c r="C5527" t="s">
        <v>12053</v>
      </c>
      <c r="D5527" t="s">
        <v>12058</v>
      </c>
      <c r="E5527" t="s">
        <v>12059</v>
      </c>
      <c r="F5527" t="s">
        <v>117</v>
      </c>
      <c r="G5527" t="s">
        <v>11689</v>
      </c>
      <c r="H5527" t="s">
        <v>706</v>
      </c>
      <c r="I5527" t="s">
        <v>19</v>
      </c>
      <c r="J5527" s="3" t="s">
        <v>11690</v>
      </c>
      <c r="K5527" t="s">
        <v>11691</v>
      </c>
      <c r="L5527" t="s">
        <v>565</v>
      </c>
      <c r="M5527" t="s">
        <v>32145</v>
      </c>
    </row>
    <row r="5528" spans="1:13" x14ac:dyDescent="0.25">
      <c r="A5528" t="s">
        <v>12085</v>
      </c>
      <c r="B5528" t="s">
        <v>13</v>
      </c>
      <c r="C5528" t="s">
        <v>9668</v>
      </c>
      <c r="D5528" t="s">
        <v>12086</v>
      </c>
      <c r="E5528" t="s">
        <v>12087</v>
      </c>
      <c r="F5528" t="s">
        <v>117</v>
      </c>
      <c r="G5528" t="s">
        <v>11689</v>
      </c>
      <c r="H5528" t="s">
        <v>706</v>
      </c>
      <c r="I5528" t="s">
        <v>19</v>
      </c>
      <c r="J5528" s="3" t="s">
        <v>11690</v>
      </c>
      <c r="K5528" t="s">
        <v>11691</v>
      </c>
      <c r="L5528" t="s">
        <v>565</v>
      </c>
      <c r="M5528" t="s">
        <v>32145</v>
      </c>
    </row>
    <row r="5529" spans="1:13" x14ac:dyDescent="0.25">
      <c r="A5529" t="s">
        <v>24260</v>
      </c>
      <c r="B5529" t="s">
        <v>13</v>
      </c>
      <c r="C5529" t="s">
        <v>24251</v>
      </c>
      <c r="D5529" t="s">
        <v>24261</v>
      </c>
      <c r="E5529" s="2" t="s">
        <v>31421</v>
      </c>
      <c r="F5529" t="s">
        <v>337</v>
      </c>
      <c r="G5529" t="s">
        <v>24262</v>
      </c>
      <c r="H5529" t="s">
        <v>7504</v>
      </c>
      <c r="I5529" t="s">
        <v>19</v>
      </c>
      <c r="J5529" s="3" t="s">
        <v>24263</v>
      </c>
      <c r="K5529" t="s">
        <v>24264</v>
      </c>
      <c r="L5529" t="s">
        <v>12003</v>
      </c>
      <c r="M5529" t="s">
        <v>337</v>
      </c>
    </row>
    <row r="5530" spans="1:13" x14ac:dyDescent="0.25">
      <c r="A5530" t="s">
        <v>6765</v>
      </c>
      <c r="B5530" t="s">
        <v>13</v>
      </c>
      <c r="C5530" s="1">
        <v>44319</v>
      </c>
      <c r="D5530" t="s">
        <v>32135</v>
      </c>
      <c r="E5530" t="s">
        <v>6766</v>
      </c>
      <c r="F5530" t="s">
        <v>845</v>
      </c>
      <c r="G5530" t="s">
        <v>1237</v>
      </c>
      <c r="H5530" t="s">
        <v>1238</v>
      </c>
      <c r="I5530" t="s">
        <v>19</v>
      </c>
      <c r="J5530" s="3" t="s">
        <v>4933</v>
      </c>
      <c r="K5530" t="s">
        <v>1240</v>
      </c>
      <c r="L5530" t="s">
        <v>32135</v>
      </c>
      <c r="M5530" t="s">
        <v>337</v>
      </c>
    </row>
    <row r="5531" spans="1:13" x14ac:dyDescent="0.25">
      <c r="A5531" t="s">
        <v>14259</v>
      </c>
      <c r="B5531" t="s">
        <v>13</v>
      </c>
      <c r="C5531" s="1">
        <v>44105</v>
      </c>
      <c r="D5531" t="s">
        <v>14260</v>
      </c>
      <c r="E5531" s="2" t="s">
        <v>31086</v>
      </c>
      <c r="F5531" t="s">
        <v>1464</v>
      </c>
      <c r="G5531" t="s">
        <v>13675</v>
      </c>
      <c r="H5531" t="s">
        <v>2678</v>
      </c>
      <c r="I5531" t="s">
        <v>19</v>
      </c>
      <c r="J5531" s="3">
        <f>55-53-999349134</f>
        <v>-999349132</v>
      </c>
      <c r="K5531" t="s">
        <v>13676</v>
      </c>
      <c r="L5531" t="s">
        <v>2677</v>
      </c>
      <c r="M5531" t="s">
        <v>337</v>
      </c>
    </row>
    <row r="5532" spans="1:13" x14ac:dyDescent="0.25">
      <c r="A5532" t="s">
        <v>15161</v>
      </c>
      <c r="B5532" t="s">
        <v>13</v>
      </c>
      <c r="C5532" t="s">
        <v>9417</v>
      </c>
      <c r="D5532" t="s">
        <v>15162</v>
      </c>
      <c r="E5532" t="s">
        <v>15163</v>
      </c>
      <c r="F5532" t="s">
        <v>2758</v>
      </c>
      <c r="G5532" t="s">
        <v>12869</v>
      </c>
      <c r="H5532" t="s">
        <v>489</v>
      </c>
      <c r="I5532" t="s">
        <v>19</v>
      </c>
      <c r="J5532" s="3" t="s">
        <v>15164</v>
      </c>
      <c r="K5532" t="s">
        <v>15165</v>
      </c>
      <c r="L5532" t="s">
        <v>625</v>
      </c>
      <c r="M5532" t="s">
        <v>32149</v>
      </c>
    </row>
    <row r="5533" spans="1:13" x14ac:dyDescent="0.25">
      <c r="A5533" t="s">
        <v>1695</v>
      </c>
      <c r="B5533" t="s">
        <v>13</v>
      </c>
      <c r="C5533" t="s">
        <v>864</v>
      </c>
      <c r="D5533" t="s">
        <v>1696</v>
      </c>
      <c r="E5533" s="2" t="s">
        <v>31375</v>
      </c>
      <c r="F5533" t="s">
        <v>1697</v>
      </c>
      <c r="G5533" t="s">
        <v>1698</v>
      </c>
      <c r="H5533" t="s">
        <v>714</v>
      </c>
      <c r="I5533" t="s">
        <v>19</v>
      </c>
      <c r="J5533" s="3" t="s">
        <v>1699</v>
      </c>
      <c r="K5533" t="s">
        <v>1700</v>
      </c>
      <c r="L5533" t="s">
        <v>1701</v>
      </c>
      <c r="M5533" t="s">
        <v>337</v>
      </c>
    </row>
    <row r="5534" spans="1:13" x14ac:dyDescent="0.25">
      <c r="A5534" t="s">
        <v>3062</v>
      </c>
      <c r="B5534" t="s">
        <v>13</v>
      </c>
      <c r="C5534" s="1">
        <v>44872</v>
      </c>
      <c r="D5534" t="s">
        <v>3063</v>
      </c>
      <c r="E5534" t="s">
        <v>2350</v>
      </c>
      <c r="F5534" t="s">
        <v>3064</v>
      </c>
      <c r="G5534" t="s">
        <v>3065</v>
      </c>
      <c r="H5534" t="s">
        <v>1335</v>
      </c>
      <c r="I5534" t="s">
        <v>19</v>
      </c>
      <c r="J5534" s="3">
        <v>5543999633852</v>
      </c>
      <c r="K5534" t="s">
        <v>3066</v>
      </c>
      <c r="L5534" t="s">
        <v>1461</v>
      </c>
      <c r="M5534" t="s">
        <v>32145</v>
      </c>
    </row>
    <row r="5535" spans="1:13" x14ac:dyDescent="0.25">
      <c r="A5535" t="s">
        <v>26120</v>
      </c>
      <c r="B5535" t="s">
        <v>13</v>
      </c>
      <c r="C5535" t="s">
        <v>26115</v>
      </c>
      <c r="D5535" t="s">
        <v>26121</v>
      </c>
      <c r="E5535" t="s">
        <v>2350</v>
      </c>
      <c r="F5535" t="s">
        <v>1464</v>
      </c>
      <c r="G5535" t="s">
        <v>26122</v>
      </c>
      <c r="H5535" t="s">
        <v>26123</v>
      </c>
      <c r="I5535" t="s">
        <v>19</v>
      </c>
      <c r="J5535" s="3" t="s">
        <v>26124</v>
      </c>
      <c r="K5535" t="s">
        <v>26125</v>
      </c>
      <c r="L5535" t="s">
        <v>1461</v>
      </c>
      <c r="M5535" t="s">
        <v>1775</v>
      </c>
    </row>
    <row r="5536" spans="1:13" x14ac:dyDescent="0.25">
      <c r="A5536" t="s">
        <v>5939</v>
      </c>
      <c r="B5536" t="s">
        <v>13</v>
      </c>
      <c r="C5536" t="s">
        <v>5931</v>
      </c>
      <c r="D5536" t="s">
        <v>32135</v>
      </c>
      <c r="E5536" t="s">
        <v>32693</v>
      </c>
      <c r="F5536" t="s">
        <v>5940</v>
      </c>
      <c r="G5536" t="s">
        <v>5941</v>
      </c>
      <c r="H5536" t="s">
        <v>36</v>
      </c>
      <c r="I5536" t="s">
        <v>19</v>
      </c>
      <c r="J5536" s="3">
        <v>551150879838</v>
      </c>
      <c r="K5536" t="s">
        <v>5942</v>
      </c>
      <c r="L5536" t="s">
        <v>32135</v>
      </c>
      <c r="M5536" t="s">
        <v>741</v>
      </c>
    </row>
    <row r="5537" spans="1:13" x14ac:dyDescent="0.25">
      <c r="A5537" t="s">
        <v>18442</v>
      </c>
      <c r="B5537" t="s">
        <v>13</v>
      </c>
      <c r="C5537" s="1">
        <v>42861</v>
      </c>
      <c r="D5537" t="s">
        <v>18443</v>
      </c>
      <c r="E5537" t="s">
        <v>18444</v>
      </c>
      <c r="F5537" t="s">
        <v>129</v>
      </c>
      <c r="G5537" t="s">
        <v>18445</v>
      </c>
      <c r="H5537" t="s">
        <v>18446</v>
      </c>
      <c r="I5537" t="s">
        <v>19</v>
      </c>
      <c r="J5537" s="3" t="s">
        <v>18447</v>
      </c>
      <c r="K5537" t="s">
        <v>18448</v>
      </c>
      <c r="L5537" t="s">
        <v>13988</v>
      </c>
      <c r="M5537" t="s">
        <v>129</v>
      </c>
    </row>
    <row r="5538" spans="1:13" x14ac:dyDescent="0.25">
      <c r="A5538" t="s">
        <v>13150</v>
      </c>
      <c r="B5538" t="s">
        <v>13</v>
      </c>
      <c r="C5538" s="1">
        <v>43985</v>
      </c>
      <c r="D5538" t="s">
        <v>13151</v>
      </c>
      <c r="E5538" t="s">
        <v>13152</v>
      </c>
      <c r="F5538" t="s">
        <v>332</v>
      </c>
      <c r="G5538" t="s">
        <v>13153</v>
      </c>
      <c r="H5538" t="s">
        <v>13154</v>
      </c>
      <c r="I5538" t="s">
        <v>19</v>
      </c>
      <c r="J5538" s="3">
        <f>55-18-996201100</f>
        <v>-996201063</v>
      </c>
      <c r="K5538" t="s">
        <v>13155</v>
      </c>
      <c r="L5538" t="s">
        <v>13156</v>
      </c>
      <c r="M5538" t="s">
        <v>337</v>
      </c>
    </row>
    <row r="5539" spans="1:13" x14ac:dyDescent="0.25">
      <c r="A5539" t="s">
        <v>23114</v>
      </c>
      <c r="B5539" t="s">
        <v>13</v>
      </c>
      <c r="C5539" s="1">
        <v>42741</v>
      </c>
      <c r="D5539" t="s">
        <v>23115</v>
      </c>
      <c r="E5539" t="s">
        <v>23116</v>
      </c>
      <c r="F5539" t="s">
        <v>2104</v>
      </c>
      <c r="G5539" t="s">
        <v>23117</v>
      </c>
      <c r="H5539" t="s">
        <v>23118</v>
      </c>
      <c r="I5539" t="s">
        <v>19</v>
      </c>
      <c r="J5539" s="3" t="s">
        <v>23119</v>
      </c>
      <c r="K5539" t="s">
        <v>23120</v>
      </c>
      <c r="L5539" t="s">
        <v>23121</v>
      </c>
      <c r="M5539" t="s">
        <v>1775</v>
      </c>
    </row>
    <row r="5540" spans="1:13" x14ac:dyDescent="0.25">
      <c r="A5540" t="s">
        <v>7956</v>
      </c>
      <c r="B5540" t="s">
        <v>13</v>
      </c>
      <c r="C5540" t="s">
        <v>7957</v>
      </c>
      <c r="D5540" t="s">
        <v>32135</v>
      </c>
      <c r="E5540" t="s">
        <v>7958</v>
      </c>
      <c r="F5540" t="s">
        <v>568</v>
      </c>
      <c r="G5540" t="s">
        <v>7959</v>
      </c>
      <c r="H5540" t="s">
        <v>489</v>
      </c>
      <c r="I5540" t="s">
        <v>19</v>
      </c>
      <c r="J5540" s="3">
        <v>554133101500</v>
      </c>
      <c r="K5540" t="s">
        <v>7960</v>
      </c>
      <c r="L5540" t="s">
        <v>32135</v>
      </c>
      <c r="M5540" t="s">
        <v>432</v>
      </c>
    </row>
    <row r="5541" spans="1:13" x14ac:dyDescent="0.25">
      <c r="A5541" t="s">
        <v>10461</v>
      </c>
      <c r="B5541" t="s">
        <v>13</v>
      </c>
      <c r="C5541" s="1">
        <v>44173</v>
      </c>
      <c r="D5541" t="s">
        <v>10462</v>
      </c>
      <c r="E5541" t="s">
        <v>1933</v>
      </c>
      <c r="F5541" t="s">
        <v>1464</v>
      </c>
      <c r="G5541" t="s">
        <v>1935</v>
      </c>
      <c r="H5541" t="s">
        <v>36</v>
      </c>
      <c r="I5541" t="s">
        <v>19</v>
      </c>
      <c r="J5541" s="3">
        <f>55-11-30617000</f>
        <v>-30616956</v>
      </c>
      <c r="K5541" t="s">
        <v>1936</v>
      </c>
      <c r="L5541" t="s">
        <v>328</v>
      </c>
      <c r="M5541" t="s">
        <v>129</v>
      </c>
    </row>
    <row r="5542" spans="1:13" x14ac:dyDescent="0.25">
      <c r="A5542" t="s">
        <v>1930</v>
      </c>
      <c r="B5542" t="s">
        <v>13</v>
      </c>
      <c r="C5542" t="s">
        <v>1931</v>
      </c>
      <c r="D5542" t="s">
        <v>1932</v>
      </c>
      <c r="E5542" t="s">
        <v>1933</v>
      </c>
      <c r="F5542" t="s">
        <v>1934</v>
      </c>
      <c r="G5542" t="s">
        <v>1935</v>
      </c>
      <c r="H5542" t="s">
        <v>36</v>
      </c>
      <c r="I5542" t="s">
        <v>19</v>
      </c>
      <c r="J5542" s="3">
        <f>55-11-30617000</f>
        <v>-30616956</v>
      </c>
      <c r="K5542" t="s">
        <v>1936</v>
      </c>
      <c r="L5542" t="s">
        <v>328</v>
      </c>
      <c r="M5542" t="s">
        <v>432</v>
      </c>
    </row>
    <row r="5543" spans="1:13" x14ac:dyDescent="0.25">
      <c r="A5543" t="s">
        <v>10450</v>
      </c>
      <c r="B5543" t="s">
        <v>13</v>
      </c>
      <c r="C5543" s="1">
        <v>44173</v>
      </c>
      <c r="D5543" t="s">
        <v>10451</v>
      </c>
      <c r="E5543" t="s">
        <v>6041</v>
      </c>
      <c r="F5543" t="s">
        <v>2947</v>
      </c>
      <c r="G5543" t="s">
        <v>3483</v>
      </c>
      <c r="H5543" t="s">
        <v>1949</v>
      </c>
      <c r="I5543" t="s">
        <v>19</v>
      </c>
      <c r="J5543" s="3">
        <v>55055999224402</v>
      </c>
      <c r="K5543" t="s">
        <v>3484</v>
      </c>
      <c r="L5543" t="s">
        <v>3485</v>
      </c>
      <c r="M5543" t="s">
        <v>771</v>
      </c>
    </row>
    <row r="5544" spans="1:13" x14ac:dyDescent="0.25">
      <c r="A5544" t="s">
        <v>4940</v>
      </c>
      <c r="B5544" t="s">
        <v>13</v>
      </c>
      <c r="C5544" t="s">
        <v>1387</v>
      </c>
      <c r="D5544" t="s">
        <v>4941</v>
      </c>
      <c r="E5544" t="s">
        <v>5671</v>
      </c>
      <c r="F5544" t="s">
        <v>1365</v>
      </c>
      <c r="G5544" t="s">
        <v>4942</v>
      </c>
      <c r="H5544" t="s">
        <v>2479</v>
      </c>
      <c r="I5544" t="s">
        <v>19</v>
      </c>
      <c r="J5544" s="3" t="s">
        <v>4943</v>
      </c>
      <c r="K5544" t="s">
        <v>4944</v>
      </c>
      <c r="L5544" t="s">
        <v>32135</v>
      </c>
      <c r="M5544" t="s">
        <v>432</v>
      </c>
    </row>
    <row r="5545" spans="1:13" x14ac:dyDescent="0.25">
      <c r="A5545" t="s">
        <v>27379</v>
      </c>
      <c r="B5545" t="s">
        <v>13</v>
      </c>
      <c r="C5545" t="s">
        <v>27380</v>
      </c>
      <c r="D5545" t="s">
        <v>27381</v>
      </c>
      <c r="E5545" s="2" t="s">
        <v>31765</v>
      </c>
      <c r="F5545" t="s">
        <v>771</v>
      </c>
      <c r="G5545" t="s">
        <v>23070</v>
      </c>
      <c r="H5545" t="s">
        <v>21441</v>
      </c>
      <c r="I5545" t="s">
        <v>19</v>
      </c>
      <c r="J5545" s="3" t="s">
        <v>23071</v>
      </c>
      <c r="K5545" t="s">
        <v>23072</v>
      </c>
      <c r="L5545" t="s">
        <v>1030</v>
      </c>
      <c r="M5545" t="s">
        <v>771</v>
      </c>
    </row>
    <row r="5546" spans="1:13" x14ac:dyDescent="0.25">
      <c r="A5546" t="s">
        <v>21499</v>
      </c>
      <c r="B5546" t="s">
        <v>13</v>
      </c>
      <c r="C5546" t="s">
        <v>16205</v>
      </c>
      <c r="D5546" t="s">
        <v>21500</v>
      </c>
      <c r="E5546" s="2" t="s">
        <v>31522</v>
      </c>
      <c r="F5546" t="s">
        <v>2947</v>
      </c>
      <c r="G5546" t="s">
        <v>3483</v>
      </c>
      <c r="H5546" t="s">
        <v>1949</v>
      </c>
      <c r="I5546" t="s">
        <v>19</v>
      </c>
      <c r="J5546" s="3">
        <f>55-55-999224402</f>
        <v>-999224402</v>
      </c>
      <c r="K5546" t="s">
        <v>3484</v>
      </c>
      <c r="L5546" t="s">
        <v>3485</v>
      </c>
      <c r="M5546" t="s">
        <v>771</v>
      </c>
    </row>
    <row r="5547" spans="1:13" x14ac:dyDescent="0.25">
      <c r="A5547" t="s">
        <v>27041</v>
      </c>
      <c r="B5547" t="s">
        <v>13</v>
      </c>
      <c r="C5547" t="s">
        <v>27042</v>
      </c>
      <c r="D5547" t="s">
        <v>27043</v>
      </c>
      <c r="E5547" t="s">
        <v>27044</v>
      </c>
      <c r="F5547" t="s">
        <v>771</v>
      </c>
      <c r="G5547" t="s">
        <v>27045</v>
      </c>
      <c r="H5547" t="s">
        <v>114</v>
      </c>
      <c r="I5547" t="s">
        <v>19</v>
      </c>
      <c r="J5547" s="3" t="s">
        <v>27046</v>
      </c>
      <c r="K5547" t="s">
        <v>27047</v>
      </c>
      <c r="L5547" t="s">
        <v>10657</v>
      </c>
      <c r="M5547" t="s">
        <v>771</v>
      </c>
    </row>
    <row r="5548" spans="1:13" x14ac:dyDescent="0.25">
      <c r="A5548" t="s">
        <v>9617</v>
      </c>
      <c r="B5548" t="s">
        <v>13</v>
      </c>
      <c r="C5548" t="s">
        <v>9618</v>
      </c>
      <c r="D5548" t="s">
        <v>9619</v>
      </c>
      <c r="E5548" s="2" t="s">
        <v>30976</v>
      </c>
      <c r="F5548" t="s">
        <v>2947</v>
      </c>
      <c r="G5548" t="s">
        <v>9620</v>
      </c>
      <c r="H5548" t="s">
        <v>2479</v>
      </c>
      <c r="I5548" t="s">
        <v>19</v>
      </c>
      <c r="J5548" s="3">
        <f>55-51-999925319</f>
        <v>-999925315</v>
      </c>
      <c r="K5548" t="s">
        <v>9621</v>
      </c>
      <c r="L5548" t="s">
        <v>3114</v>
      </c>
      <c r="M5548" t="s">
        <v>771</v>
      </c>
    </row>
    <row r="5549" spans="1:13" x14ac:dyDescent="0.25">
      <c r="A5549" t="s">
        <v>6039</v>
      </c>
      <c r="B5549" t="s">
        <v>13</v>
      </c>
      <c r="C5549" s="1">
        <v>44479</v>
      </c>
      <c r="D5549" t="s">
        <v>6040</v>
      </c>
      <c r="E5549" s="2" t="s">
        <v>30872</v>
      </c>
      <c r="F5549" t="s">
        <v>2947</v>
      </c>
      <c r="G5549" t="s">
        <v>3483</v>
      </c>
      <c r="H5549" t="s">
        <v>1949</v>
      </c>
      <c r="I5549" t="s">
        <v>19</v>
      </c>
      <c r="J5549" s="3">
        <f>55-55-999224402</f>
        <v>-999224402</v>
      </c>
      <c r="K5549" t="s">
        <v>3484</v>
      </c>
      <c r="L5549" t="s">
        <v>3485</v>
      </c>
      <c r="M5549" t="s">
        <v>771</v>
      </c>
    </row>
    <row r="5550" spans="1:13" x14ac:dyDescent="0.25">
      <c r="A5550" t="s">
        <v>16079</v>
      </c>
      <c r="B5550" t="s">
        <v>13</v>
      </c>
      <c r="C5550" t="s">
        <v>7263</v>
      </c>
      <c r="D5550" t="s">
        <v>16080</v>
      </c>
      <c r="E5550" t="s">
        <v>16081</v>
      </c>
      <c r="F5550" t="s">
        <v>2947</v>
      </c>
      <c r="G5550" t="s">
        <v>16082</v>
      </c>
      <c r="H5550" t="s">
        <v>936</v>
      </c>
      <c r="I5550" t="s">
        <v>19</v>
      </c>
      <c r="J5550" s="3">
        <v>7132838910</v>
      </c>
      <c r="K5550" t="s">
        <v>16083</v>
      </c>
      <c r="L5550" t="s">
        <v>16084</v>
      </c>
      <c r="M5550" t="s">
        <v>771</v>
      </c>
    </row>
    <row r="5551" spans="1:13" x14ac:dyDescent="0.25">
      <c r="A5551" t="s">
        <v>28995</v>
      </c>
      <c r="B5551" t="s">
        <v>13</v>
      </c>
      <c r="C5551" t="s">
        <v>28996</v>
      </c>
      <c r="D5551" t="s">
        <v>28997</v>
      </c>
      <c r="E5551" t="s">
        <v>28998</v>
      </c>
      <c r="F5551" t="s">
        <v>224</v>
      </c>
      <c r="G5551" t="s">
        <v>28999</v>
      </c>
      <c r="H5551" t="s">
        <v>36</v>
      </c>
      <c r="I5551" t="s">
        <v>19</v>
      </c>
      <c r="J5551" s="3" t="s">
        <v>29000</v>
      </c>
      <c r="K5551" t="s">
        <v>29001</v>
      </c>
      <c r="L5551" t="s">
        <v>439</v>
      </c>
      <c r="M5551" t="s">
        <v>224</v>
      </c>
    </row>
    <row r="5552" spans="1:13" x14ac:dyDescent="0.25">
      <c r="A5552" t="s">
        <v>26005</v>
      </c>
      <c r="B5552" t="s">
        <v>13</v>
      </c>
      <c r="C5552" t="s">
        <v>26006</v>
      </c>
      <c r="D5552" t="s">
        <v>26007</v>
      </c>
      <c r="E5552" t="s">
        <v>26008</v>
      </c>
      <c r="F5552" t="s">
        <v>2036</v>
      </c>
      <c r="G5552" t="s">
        <v>26009</v>
      </c>
      <c r="H5552" t="s">
        <v>114</v>
      </c>
      <c r="I5552" t="s">
        <v>19</v>
      </c>
      <c r="J5552" s="3" t="s">
        <v>26010</v>
      </c>
      <c r="K5552" t="s">
        <v>20241</v>
      </c>
      <c r="L5552" t="s">
        <v>26011</v>
      </c>
      <c r="M5552" t="s">
        <v>57</v>
      </c>
    </row>
    <row r="5553" spans="1:13" x14ac:dyDescent="0.25">
      <c r="A5553" t="s">
        <v>26331</v>
      </c>
      <c r="B5553" t="s">
        <v>101</v>
      </c>
      <c r="C5553" s="1">
        <v>42526</v>
      </c>
      <c r="D5553" t="s">
        <v>26332</v>
      </c>
      <c r="E5553" t="s">
        <v>26333</v>
      </c>
      <c r="F5553" t="s">
        <v>2036</v>
      </c>
      <c r="G5553" t="s">
        <v>26334</v>
      </c>
      <c r="H5553" t="s">
        <v>798</v>
      </c>
      <c r="I5553" t="s">
        <v>19</v>
      </c>
      <c r="J5553" s="3" t="s">
        <v>26335</v>
      </c>
      <c r="K5553" t="s">
        <v>26336</v>
      </c>
      <c r="L5553" t="s">
        <v>26337</v>
      </c>
      <c r="M5553" t="s">
        <v>57</v>
      </c>
    </row>
    <row r="5554" spans="1:13" x14ac:dyDescent="0.25">
      <c r="A5554" t="s">
        <v>10510</v>
      </c>
      <c r="B5554" t="s">
        <v>13</v>
      </c>
      <c r="C5554" t="s">
        <v>10511</v>
      </c>
      <c r="D5554" t="s">
        <v>10512</v>
      </c>
      <c r="E5554" t="s">
        <v>10513</v>
      </c>
      <c r="F5554" t="s">
        <v>1349</v>
      </c>
      <c r="G5554" t="s">
        <v>10514</v>
      </c>
      <c r="H5554" t="s">
        <v>36</v>
      </c>
      <c r="I5554" t="s">
        <v>19</v>
      </c>
      <c r="J5554" s="3" t="s">
        <v>10515</v>
      </c>
      <c r="K5554" t="s">
        <v>10516</v>
      </c>
      <c r="L5554" t="s">
        <v>10517</v>
      </c>
      <c r="M5554" t="s">
        <v>1349</v>
      </c>
    </row>
    <row r="5555" spans="1:13" x14ac:dyDescent="0.25">
      <c r="A5555" t="s">
        <v>6680</v>
      </c>
      <c r="B5555" t="s">
        <v>13</v>
      </c>
      <c r="C5555" t="s">
        <v>6666</v>
      </c>
      <c r="D5555" t="s">
        <v>32135</v>
      </c>
      <c r="E5555" t="s">
        <v>4307</v>
      </c>
      <c r="F5555" t="s">
        <v>6681</v>
      </c>
      <c r="G5555" t="s">
        <v>6682</v>
      </c>
      <c r="H5555" t="s">
        <v>1090</v>
      </c>
      <c r="I5555" t="s">
        <v>19</v>
      </c>
      <c r="J5555" s="3">
        <f>55-83-999001282</f>
        <v>-999001310</v>
      </c>
      <c r="K5555" t="s">
        <v>6683</v>
      </c>
      <c r="L5555" t="s">
        <v>32135</v>
      </c>
      <c r="M5555" t="s">
        <v>1432</v>
      </c>
    </row>
    <row r="5556" spans="1:13" x14ac:dyDescent="0.25">
      <c r="A5556" t="s">
        <v>3970</v>
      </c>
      <c r="B5556" t="s">
        <v>13</v>
      </c>
      <c r="C5556" s="1">
        <v>44899</v>
      </c>
      <c r="D5556" t="s">
        <v>3971</v>
      </c>
      <c r="E5556" t="s">
        <v>358</v>
      </c>
      <c r="F5556" t="s">
        <v>3972</v>
      </c>
      <c r="G5556" t="s">
        <v>3973</v>
      </c>
      <c r="H5556" t="s">
        <v>195</v>
      </c>
      <c r="I5556" t="s">
        <v>19</v>
      </c>
      <c r="J5556" s="3">
        <v>5501633739672</v>
      </c>
      <c r="K5556" t="s">
        <v>3974</v>
      </c>
      <c r="L5556" t="s">
        <v>3975</v>
      </c>
      <c r="M5556" t="s">
        <v>1432</v>
      </c>
    </row>
    <row r="5557" spans="1:13" x14ac:dyDescent="0.25">
      <c r="A5557" t="s">
        <v>21237</v>
      </c>
      <c r="B5557" t="s">
        <v>13</v>
      </c>
      <c r="C5557" t="s">
        <v>14151</v>
      </c>
      <c r="D5557" t="s">
        <v>21238</v>
      </c>
      <c r="E5557" t="s">
        <v>358</v>
      </c>
      <c r="F5557" t="s">
        <v>792</v>
      </c>
      <c r="G5557" t="s">
        <v>21239</v>
      </c>
      <c r="H5557" t="s">
        <v>352</v>
      </c>
      <c r="I5557" t="s">
        <v>19</v>
      </c>
      <c r="J5557" s="3" t="s">
        <v>21240</v>
      </c>
      <c r="K5557" t="s">
        <v>21241</v>
      </c>
      <c r="L5557" t="s">
        <v>21242</v>
      </c>
      <c r="M5557" t="s">
        <v>1432</v>
      </c>
    </row>
    <row r="5558" spans="1:13" x14ac:dyDescent="0.25">
      <c r="A5558" t="s">
        <v>5383</v>
      </c>
      <c r="B5558" t="s">
        <v>13</v>
      </c>
      <c r="C5558" s="1">
        <v>44107</v>
      </c>
      <c r="D5558" t="s">
        <v>5384</v>
      </c>
      <c r="E5558" t="s">
        <v>4307</v>
      </c>
      <c r="F5558" t="s">
        <v>792</v>
      </c>
      <c r="G5558" t="s">
        <v>5385</v>
      </c>
      <c r="H5558" t="s">
        <v>5386</v>
      </c>
      <c r="I5558" t="s">
        <v>19</v>
      </c>
      <c r="J5558" s="3" t="s">
        <v>5387</v>
      </c>
      <c r="K5558" t="s">
        <v>5388</v>
      </c>
      <c r="L5558" t="s">
        <v>5389</v>
      </c>
      <c r="M5558" t="s">
        <v>1432</v>
      </c>
    </row>
    <row r="5559" spans="1:13" x14ac:dyDescent="0.25">
      <c r="A5559" t="s">
        <v>9161</v>
      </c>
      <c r="B5559" t="s">
        <v>13</v>
      </c>
      <c r="C5559" s="1">
        <v>43901</v>
      </c>
      <c r="D5559" t="s">
        <v>9162</v>
      </c>
      <c r="E5559" t="s">
        <v>4307</v>
      </c>
      <c r="F5559" t="s">
        <v>792</v>
      </c>
      <c r="G5559" t="s">
        <v>9163</v>
      </c>
      <c r="H5559" t="s">
        <v>36</v>
      </c>
      <c r="I5559" t="s">
        <v>19</v>
      </c>
      <c r="J5559" s="3">
        <v>55011997791404</v>
      </c>
      <c r="K5559" t="s">
        <v>9164</v>
      </c>
      <c r="L5559" t="s">
        <v>328</v>
      </c>
      <c r="M5559" t="s">
        <v>1432</v>
      </c>
    </row>
    <row r="5560" spans="1:13" x14ac:dyDescent="0.25">
      <c r="A5560" t="s">
        <v>6306</v>
      </c>
      <c r="B5560" t="s">
        <v>13</v>
      </c>
      <c r="C5560" s="1">
        <v>43807</v>
      </c>
      <c r="D5560" t="s">
        <v>6307</v>
      </c>
      <c r="E5560" t="s">
        <v>4307</v>
      </c>
      <c r="F5560" t="s">
        <v>6308</v>
      </c>
      <c r="G5560" t="s">
        <v>6309</v>
      </c>
      <c r="H5560" t="s">
        <v>299</v>
      </c>
      <c r="I5560" t="s">
        <v>19</v>
      </c>
      <c r="J5560" s="3">
        <f>55-14-38116256</f>
        <v>-38116215</v>
      </c>
      <c r="K5560" t="s">
        <v>6310</v>
      </c>
      <c r="L5560" t="s">
        <v>6311</v>
      </c>
      <c r="M5560" t="s">
        <v>1432</v>
      </c>
    </row>
    <row r="5561" spans="1:13" x14ac:dyDescent="0.25">
      <c r="A5561" t="s">
        <v>20773</v>
      </c>
      <c r="B5561" t="s">
        <v>13</v>
      </c>
      <c r="C5561" s="1">
        <v>43166</v>
      </c>
      <c r="D5561" t="s">
        <v>20774</v>
      </c>
      <c r="E5561" t="s">
        <v>4307</v>
      </c>
      <c r="F5561" t="s">
        <v>6308</v>
      </c>
      <c r="G5561" t="s">
        <v>20775</v>
      </c>
      <c r="H5561" t="s">
        <v>20776</v>
      </c>
      <c r="I5561" t="s">
        <v>19</v>
      </c>
      <c r="J5561" s="3">
        <f>55-61-983385951</f>
        <v>-983385957</v>
      </c>
      <c r="K5561" t="s">
        <v>20777</v>
      </c>
      <c r="L5561" t="s">
        <v>20778</v>
      </c>
      <c r="M5561" t="s">
        <v>1432</v>
      </c>
    </row>
    <row r="5562" spans="1:13" x14ac:dyDescent="0.25">
      <c r="A5562" t="s">
        <v>19095</v>
      </c>
      <c r="B5562" t="s">
        <v>13</v>
      </c>
      <c r="C5562" s="1">
        <v>43292</v>
      </c>
      <c r="D5562" t="s">
        <v>19096</v>
      </c>
      <c r="E5562" t="s">
        <v>4307</v>
      </c>
      <c r="F5562" t="s">
        <v>6308</v>
      </c>
      <c r="G5562" t="s">
        <v>19097</v>
      </c>
      <c r="H5562" t="s">
        <v>36</v>
      </c>
      <c r="I5562" t="s">
        <v>19</v>
      </c>
      <c r="J5562" s="3">
        <f>55-11-35128415</f>
        <v>-35128371</v>
      </c>
      <c r="K5562" t="s">
        <v>19098</v>
      </c>
      <c r="L5562" t="s">
        <v>19099</v>
      </c>
      <c r="M5562" t="s">
        <v>1432</v>
      </c>
    </row>
    <row r="5563" spans="1:13" x14ac:dyDescent="0.25">
      <c r="A5563" t="s">
        <v>356</v>
      </c>
      <c r="B5563" t="s">
        <v>13</v>
      </c>
      <c r="C5563" t="s">
        <v>314</v>
      </c>
      <c r="D5563" t="s">
        <v>357</v>
      </c>
      <c r="E5563" t="s">
        <v>358</v>
      </c>
      <c r="F5563" t="s">
        <v>359</v>
      </c>
      <c r="G5563" t="s">
        <v>360</v>
      </c>
      <c r="H5563" t="s">
        <v>361</v>
      </c>
      <c r="I5563" t="s">
        <v>19</v>
      </c>
      <c r="J5563" s="3" t="s">
        <v>362</v>
      </c>
      <c r="K5563" t="s">
        <v>363</v>
      </c>
      <c r="L5563" t="s">
        <v>364</v>
      </c>
      <c r="M5563" t="s">
        <v>1432</v>
      </c>
    </row>
    <row r="5564" spans="1:13" x14ac:dyDescent="0.25">
      <c r="A5564" t="s">
        <v>10812</v>
      </c>
      <c r="B5564" t="s">
        <v>13</v>
      </c>
      <c r="C5564" t="s">
        <v>7057</v>
      </c>
      <c r="D5564" t="s">
        <v>10813</v>
      </c>
      <c r="E5564" t="s">
        <v>4307</v>
      </c>
      <c r="F5564" t="s">
        <v>1464</v>
      </c>
      <c r="G5564" t="s">
        <v>10814</v>
      </c>
      <c r="H5564" t="s">
        <v>1656</v>
      </c>
      <c r="I5564" t="s">
        <v>19</v>
      </c>
      <c r="J5564" s="3">
        <f>55-55-32208000</f>
        <v>-32208000</v>
      </c>
      <c r="K5564" t="s">
        <v>10815</v>
      </c>
      <c r="L5564" t="s">
        <v>1658</v>
      </c>
      <c r="M5564" t="s">
        <v>1432</v>
      </c>
    </row>
    <row r="5565" spans="1:13" x14ac:dyDescent="0.25">
      <c r="A5565" t="s">
        <v>11457</v>
      </c>
      <c r="B5565" t="s">
        <v>13</v>
      </c>
      <c r="C5565" t="s">
        <v>11438</v>
      </c>
      <c r="D5565" t="s">
        <v>11458</v>
      </c>
      <c r="E5565" t="s">
        <v>4307</v>
      </c>
      <c r="F5565" t="s">
        <v>1464</v>
      </c>
      <c r="G5565" t="s">
        <v>11459</v>
      </c>
      <c r="H5565" t="s">
        <v>1802</v>
      </c>
      <c r="I5565" t="s">
        <v>19</v>
      </c>
      <c r="J5565" s="3">
        <v>551432358332</v>
      </c>
      <c r="K5565" t="s">
        <v>11460</v>
      </c>
      <c r="L5565" t="s">
        <v>1805</v>
      </c>
      <c r="M5565" t="s">
        <v>1432</v>
      </c>
    </row>
    <row r="5566" spans="1:13" x14ac:dyDescent="0.25">
      <c r="A5566" t="s">
        <v>4304</v>
      </c>
      <c r="B5566" t="s">
        <v>101</v>
      </c>
      <c r="C5566" t="s">
        <v>4305</v>
      </c>
      <c r="D5566" t="s">
        <v>4306</v>
      </c>
      <c r="E5566" s="2" t="s">
        <v>31995</v>
      </c>
      <c r="F5566" t="s">
        <v>4308</v>
      </c>
      <c r="G5566" t="s">
        <v>4309</v>
      </c>
      <c r="H5566" t="s">
        <v>489</v>
      </c>
      <c r="I5566" t="s">
        <v>19</v>
      </c>
      <c r="J5566" s="3">
        <f>55-41-3360-4122</f>
        <v>-7468</v>
      </c>
      <c r="K5566" t="s">
        <v>4310</v>
      </c>
      <c r="L5566" t="s">
        <v>625</v>
      </c>
      <c r="M5566" t="s">
        <v>792</v>
      </c>
    </row>
    <row r="5567" spans="1:13" x14ac:dyDescent="0.25">
      <c r="A5567" t="s">
        <v>8444</v>
      </c>
      <c r="B5567" t="s">
        <v>13</v>
      </c>
      <c r="C5567" t="s">
        <v>8439</v>
      </c>
      <c r="D5567" t="s">
        <v>8445</v>
      </c>
      <c r="E5567" t="s">
        <v>8446</v>
      </c>
      <c r="F5567" t="s">
        <v>8447</v>
      </c>
      <c r="G5567" t="s">
        <v>8448</v>
      </c>
      <c r="H5567" t="s">
        <v>8449</v>
      </c>
      <c r="I5567" t="s">
        <v>19</v>
      </c>
      <c r="J5567" s="3" t="s">
        <v>8450</v>
      </c>
      <c r="K5567" t="s">
        <v>8451</v>
      </c>
      <c r="L5567" t="s">
        <v>8452</v>
      </c>
      <c r="M5567" t="s">
        <v>129</v>
      </c>
    </row>
    <row r="5568" spans="1:13" x14ac:dyDescent="0.25">
      <c r="A5568" t="s">
        <v>15145</v>
      </c>
      <c r="B5568" t="s">
        <v>13</v>
      </c>
      <c r="C5568" s="1">
        <v>43476</v>
      </c>
      <c r="D5568" t="s">
        <v>15146</v>
      </c>
      <c r="E5568" t="s">
        <v>9959</v>
      </c>
      <c r="F5568" t="s">
        <v>6072</v>
      </c>
      <c r="G5568" t="s">
        <v>15147</v>
      </c>
      <c r="H5568" t="s">
        <v>28</v>
      </c>
      <c r="I5568" t="s">
        <v>19</v>
      </c>
      <c r="J5568" s="3">
        <v>32991196579</v>
      </c>
      <c r="K5568" t="s">
        <v>15148</v>
      </c>
      <c r="L5568" t="s">
        <v>923</v>
      </c>
      <c r="M5568" t="s">
        <v>32144</v>
      </c>
    </row>
    <row r="5569" spans="1:13" x14ac:dyDescent="0.25">
      <c r="A5569" t="s">
        <v>9957</v>
      </c>
      <c r="B5569" t="s">
        <v>101</v>
      </c>
      <c r="C5569" s="1">
        <v>43839</v>
      </c>
      <c r="D5569" t="s">
        <v>9958</v>
      </c>
      <c r="E5569" t="s">
        <v>9959</v>
      </c>
      <c r="F5569" t="s">
        <v>1464</v>
      </c>
      <c r="G5569" t="s">
        <v>8234</v>
      </c>
      <c r="H5569" t="s">
        <v>608</v>
      </c>
      <c r="I5569" t="s">
        <v>19</v>
      </c>
      <c r="J5569" s="3">
        <v>54991123079</v>
      </c>
      <c r="K5569" t="s">
        <v>8236</v>
      </c>
      <c r="L5569" t="s">
        <v>8234</v>
      </c>
      <c r="M5569" t="s">
        <v>32144</v>
      </c>
    </row>
    <row r="5570" spans="1:13" x14ac:dyDescent="0.25">
      <c r="A5570" t="s">
        <v>15849</v>
      </c>
      <c r="B5570" t="s">
        <v>13</v>
      </c>
      <c r="C5570" s="1">
        <v>43475</v>
      </c>
      <c r="D5570" t="s">
        <v>15850</v>
      </c>
      <c r="E5570" s="2" t="s">
        <v>31140</v>
      </c>
      <c r="F5570" t="s">
        <v>1464</v>
      </c>
      <c r="G5570" t="s">
        <v>15851</v>
      </c>
      <c r="H5570" t="s">
        <v>299</v>
      </c>
      <c r="I5570" t="s">
        <v>19</v>
      </c>
      <c r="J5570" s="3">
        <f>55-14-997085360</f>
        <v>-997085319</v>
      </c>
      <c r="K5570" t="s">
        <v>15852</v>
      </c>
      <c r="L5570" t="s">
        <v>2621</v>
      </c>
      <c r="M5570" t="s">
        <v>32121</v>
      </c>
    </row>
    <row r="5571" spans="1:13" x14ac:dyDescent="0.25">
      <c r="A5571" t="s">
        <v>29262</v>
      </c>
      <c r="B5571" t="s">
        <v>13</v>
      </c>
      <c r="C5571" s="1">
        <v>41529</v>
      </c>
      <c r="D5571" t="s">
        <v>29263</v>
      </c>
      <c r="E5571" t="s">
        <v>29264</v>
      </c>
      <c r="F5571" t="s">
        <v>29254</v>
      </c>
      <c r="G5571" t="s">
        <v>29265</v>
      </c>
      <c r="H5571" t="s">
        <v>1466</v>
      </c>
      <c r="I5571" t="s">
        <v>19</v>
      </c>
      <c r="J5571" s="3" t="s">
        <v>29266</v>
      </c>
      <c r="K5571" t="s">
        <v>24883</v>
      </c>
      <c r="L5571" t="s">
        <v>1469</v>
      </c>
      <c r="M5571" t="s">
        <v>32144</v>
      </c>
    </row>
    <row r="5572" spans="1:13" x14ac:dyDescent="0.25">
      <c r="A5572" t="s">
        <v>11794</v>
      </c>
      <c r="B5572" t="s">
        <v>13</v>
      </c>
      <c r="C5572" s="1">
        <v>43772</v>
      </c>
      <c r="D5572" t="s">
        <v>11795</v>
      </c>
      <c r="E5572" t="s">
        <v>11796</v>
      </c>
      <c r="F5572" t="s">
        <v>11797</v>
      </c>
      <c r="G5572" t="s">
        <v>11798</v>
      </c>
      <c r="H5572" t="s">
        <v>28</v>
      </c>
      <c r="I5572" t="s">
        <v>19</v>
      </c>
      <c r="J5572" s="3">
        <f>55-32-988077273</f>
        <v>-988077250</v>
      </c>
      <c r="K5572" t="s">
        <v>11799</v>
      </c>
      <c r="L5572" t="s">
        <v>923</v>
      </c>
      <c r="M5572" t="s">
        <v>32195</v>
      </c>
    </row>
    <row r="5573" spans="1:13" x14ac:dyDescent="0.25">
      <c r="A5573" t="s">
        <v>15443</v>
      </c>
      <c r="B5573" t="s">
        <v>13</v>
      </c>
      <c r="C5573" t="s">
        <v>10689</v>
      </c>
      <c r="D5573" t="s">
        <v>15444</v>
      </c>
      <c r="E5573" t="s">
        <v>15445</v>
      </c>
      <c r="F5573" t="s">
        <v>3084</v>
      </c>
      <c r="G5573" t="s">
        <v>15446</v>
      </c>
      <c r="H5573" t="s">
        <v>489</v>
      </c>
      <c r="I5573" t="s">
        <v>19</v>
      </c>
      <c r="J5573" s="3" t="s">
        <v>15447</v>
      </c>
      <c r="K5573" t="s">
        <v>15448</v>
      </c>
      <c r="L5573" t="s">
        <v>3207</v>
      </c>
      <c r="M5573" t="s">
        <v>32144</v>
      </c>
    </row>
    <row r="5574" spans="1:13" x14ac:dyDescent="0.25">
      <c r="A5574" t="s">
        <v>8801</v>
      </c>
      <c r="B5574" t="s">
        <v>13</v>
      </c>
      <c r="C5574" t="s">
        <v>8802</v>
      </c>
      <c r="D5574" t="s">
        <v>8803</v>
      </c>
      <c r="E5574" s="2" t="s">
        <v>32102</v>
      </c>
      <c r="F5574" t="s">
        <v>8804</v>
      </c>
      <c r="G5574" t="s">
        <v>8805</v>
      </c>
      <c r="H5574" t="s">
        <v>18</v>
      </c>
      <c r="I5574" t="s">
        <v>19</v>
      </c>
      <c r="J5574" s="3">
        <f>55-19-998127856</f>
        <v>-998127820</v>
      </c>
      <c r="K5574" t="s">
        <v>8806</v>
      </c>
      <c r="L5574" t="s">
        <v>32135</v>
      </c>
      <c r="M5574" t="s">
        <v>32144</v>
      </c>
    </row>
    <row r="5575" spans="1:13" x14ac:dyDescent="0.25">
      <c r="A5575" t="s">
        <v>21633</v>
      </c>
      <c r="B5575" t="s">
        <v>13</v>
      </c>
      <c r="C5575" s="1">
        <v>43195</v>
      </c>
      <c r="D5575" t="s">
        <v>21634</v>
      </c>
      <c r="E5575" s="2" t="s">
        <v>31635</v>
      </c>
      <c r="F5575" t="s">
        <v>1775</v>
      </c>
      <c r="G5575" t="s">
        <v>13932</v>
      </c>
      <c r="H5575" t="s">
        <v>1215</v>
      </c>
      <c r="I5575" t="s">
        <v>19</v>
      </c>
      <c r="J5575" s="3" t="s">
        <v>21635</v>
      </c>
      <c r="K5575" t="s">
        <v>21636</v>
      </c>
      <c r="L5575" t="s">
        <v>13934</v>
      </c>
      <c r="M5575" t="s">
        <v>1775</v>
      </c>
    </row>
    <row r="5576" spans="1:13" x14ac:dyDescent="0.25">
      <c r="A5576" t="s">
        <v>14046</v>
      </c>
      <c r="B5576" t="s">
        <v>13</v>
      </c>
      <c r="C5576" t="s">
        <v>14039</v>
      </c>
      <c r="D5576" t="s">
        <v>14047</v>
      </c>
      <c r="E5576" t="s">
        <v>14048</v>
      </c>
      <c r="F5576" t="s">
        <v>432</v>
      </c>
      <c r="G5576" t="s">
        <v>14049</v>
      </c>
      <c r="H5576" t="s">
        <v>753</v>
      </c>
      <c r="I5576" t="s">
        <v>19</v>
      </c>
      <c r="J5576" s="3">
        <v>5506733453149</v>
      </c>
      <c r="K5576" t="s">
        <v>2805</v>
      </c>
      <c r="L5576" t="s">
        <v>14050</v>
      </c>
      <c r="M5576" t="s">
        <v>32144</v>
      </c>
    </row>
    <row r="5577" spans="1:13" x14ac:dyDescent="0.25">
      <c r="A5577" t="s">
        <v>8843</v>
      </c>
      <c r="B5577" t="s">
        <v>13</v>
      </c>
      <c r="C5577" t="s">
        <v>8834</v>
      </c>
      <c r="D5577" t="s">
        <v>8844</v>
      </c>
      <c r="E5577" t="s">
        <v>8845</v>
      </c>
      <c r="F5577" t="s">
        <v>8846</v>
      </c>
      <c r="G5577" t="s">
        <v>8847</v>
      </c>
      <c r="H5577" t="s">
        <v>1335</v>
      </c>
      <c r="I5577" t="s">
        <v>19</v>
      </c>
      <c r="J5577" s="3">
        <v>554330291436</v>
      </c>
      <c r="K5577" t="s">
        <v>8848</v>
      </c>
      <c r="L5577" t="s">
        <v>8849</v>
      </c>
      <c r="M5577" t="s">
        <v>432</v>
      </c>
    </row>
    <row r="5578" spans="1:13" x14ac:dyDescent="0.25">
      <c r="A5578" t="s">
        <v>23156</v>
      </c>
      <c r="B5578" t="s">
        <v>13</v>
      </c>
      <c r="C5578" t="s">
        <v>7290</v>
      </c>
      <c r="D5578" t="s">
        <v>23157</v>
      </c>
      <c r="E5578" s="2" t="s">
        <v>32009</v>
      </c>
      <c r="F5578" t="s">
        <v>6308</v>
      </c>
      <c r="G5578" t="s">
        <v>23158</v>
      </c>
      <c r="H5578" t="s">
        <v>255</v>
      </c>
      <c r="I5578" t="s">
        <v>19</v>
      </c>
      <c r="J5578" s="3">
        <v>5562999806449</v>
      </c>
      <c r="K5578" t="s">
        <v>23159</v>
      </c>
      <c r="L5578" t="s">
        <v>2467</v>
      </c>
      <c r="M5578" t="s">
        <v>1775</v>
      </c>
    </row>
    <row r="5579" spans="1:13" x14ac:dyDescent="0.25">
      <c r="A5579" t="s">
        <v>15528</v>
      </c>
      <c r="B5579" t="s">
        <v>13</v>
      </c>
      <c r="C5579" t="s">
        <v>10383</v>
      </c>
      <c r="D5579" t="s">
        <v>15529</v>
      </c>
      <c r="E5579" s="2" t="s">
        <v>31130</v>
      </c>
      <c r="F5579" t="s">
        <v>1190</v>
      </c>
      <c r="G5579" t="s">
        <v>15530</v>
      </c>
      <c r="H5579" t="s">
        <v>428</v>
      </c>
      <c r="I5579" t="s">
        <v>19</v>
      </c>
      <c r="J5579" s="3">
        <f>55-51-991133842</f>
        <v>-991133838</v>
      </c>
      <c r="K5579" t="s">
        <v>15531</v>
      </c>
      <c r="L5579" t="s">
        <v>15532</v>
      </c>
      <c r="M5579" t="s">
        <v>432</v>
      </c>
    </row>
    <row r="5580" spans="1:13" x14ac:dyDescent="0.25">
      <c r="A5580" t="s">
        <v>20600</v>
      </c>
      <c r="B5580" t="s">
        <v>13</v>
      </c>
      <c r="C5580" s="1">
        <v>43411</v>
      </c>
      <c r="D5580" t="s">
        <v>20601</v>
      </c>
      <c r="E5580" s="2" t="s">
        <v>32694</v>
      </c>
      <c r="F5580" t="s">
        <v>1464</v>
      </c>
      <c r="G5580" t="s">
        <v>20602</v>
      </c>
      <c r="H5580" t="s">
        <v>428</v>
      </c>
      <c r="I5580" t="s">
        <v>19</v>
      </c>
      <c r="J5580" s="3">
        <v>55051997693131</v>
      </c>
      <c r="K5580" t="s">
        <v>20603</v>
      </c>
      <c r="L5580" t="s">
        <v>1126</v>
      </c>
      <c r="M5580" t="s">
        <v>1775</v>
      </c>
    </row>
    <row r="5581" spans="1:13" x14ac:dyDescent="0.25">
      <c r="A5581" t="s">
        <v>16572</v>
      </c>
      <c r="B5581" t="s">
        <v>13</v>
      </c>
      <c r="C5581" t="s">
        <v>10511</v>
      </c>
      <c r="D5581" t="s">
        <v>16573</v>
      </c>
      <c r="E5581" t="s">
        <v>16574</v>
      </c>
      <c r="F5581" t="s">
        <v>1775</v>
      </c>
      <c r="G5581" t="s">
        <v>7718</v>
      </c>
      <c r="H5581" t="s">
        <v>170</v>
      </c>
      <c r="I5581" t="s">
        <v>19</v>
      </c>
      <c r="J5581" s="3" t="s">
        <v>7719</v>
      </c>
      <c r="K5581" t="s">
        <v>7720</v>
      </c>
      <c r="L5581" t="s">
        <v>7721</v>
      </c>
      <c r="M5581" t="s">
        <v>1775</v>
      </c>
    </row>
    <row r="5582" spans="1:13" x14ac:dyDescent="0.25">
      <c r="A5582" t="s">
        <v>1490</v>
      </c>
      <c r="B5582" t="s">
        <v>13</v>
      </c>
      <c r="C5582" s="1">
        <v>44572</v>
      </c>
      <c r="D5582" t="s">
        <v>1491</v>
      </c>
      <c r="E5582" t="s">
        <v>1492</v>
      </c>
      <c r="F5582" t="s">
        <v>1493</v>
      </c>
      <c r="G5582" t="s">
        <v>1494</v>
      </c>
      <c r="H5582" t="s">
        <v>489</v>
      </c>
      <c r="I5582" t="s">
        <v>19</v>
      </c>
      <c r="J5582" s="3" t="s">
        <v>1495</v>
      </c>
      <c r="K5582" t="s">
        <v>1496</v>
      </c>
      <c r="L5582" t="s">
        <v>1497</v>
      </c>
      <c r="M5582" t="s">
        <v>337</v>
      </c>
    </row>
    <row r="5583" spans="1:13" x14ac:dyDescent="0.25">
      <c r="A5583" t="s">
        <v>5534</v>
      </c>
      <c r="B5583" t="s">
        <v>13</v>
      </c>
      <c r="C5583" s="1">
        <v>44239</v>
      </c>
      <c r="D5583" t="s">
        <v>5535</v>
      </c>
      <c r="E5583" t="s">
        <v>1492</v>
      </c>
      <c r="F5583" t="s">
        <v>2110</v>
      </c>
      <c r="G5583" t="s">
        <v>1237</v>
      </c>
      <c r="H5583" t="s">
        <v>1238</v>
      </c>
      <c r="I5583" t="s">
        <v>19</v>
      </c>
      <c r="J5583" s="3" t="s">
        <v>4933</v>
      </c>
      <c r="K5583" t="s">
        <v>1240</v>
      </c>
      <c r="L5583" t="s">
        <v>32135</v>
      </c>
      <c r="M5583" t="s">
        <v>337</v>
      </c>
    </row>
    <row r="5584" spans="1:13" x14ac:dyDescent="0.25">
      <c r="A5584" t="s">
        <v>11882</v>
      </c>
      <c r="B5584" t="s">
        <v>13</v>
      </c>
      <c r="C5584" t="s">
        <v>10275</v>
      </c>
      <c r="D5584" t="s">
        <v>11883</v>
      </c>
      <c r="E5584" t="s">
        <v>1492</v>
      </c>
      <c r="F5584" t="s">
        <v>332</v>
      </c>
      <c r="G5584" t="s">
        <v>11884</v>
      </c>
      <c r="H5584" t="s">
        <v>265</v>
      </c>
      <c r="I5584" t="s">
        <v>19</v>
      </c>
      <c r="J5584" s="3">
        <v>5511960789991</v>
      </c>
      <c r="K5584" t="s">
        <v>11885</v>
      </c>
      <c r="L5584" t="s">
        <v>11886</v>
      </c>
      <c r="M5584" t="s">
        <v>337</v>
      </c>
    </row>
    <row r="5585" spans="1:13" x14ac:dyDescent="0.25">
      <c r="A5585" t="s">
        <v>10094</v>
      </c>
      <c r="B5585" t="s">
        <v>13</v>
      </c>
      <c r="C5585" t="s">
        <v>8861</v>
      </c>
      <c r="D5585" t="s">
        <v>10095</v>
      </c>
      <c r="E5585" s="2" t="s">
        <v>30983</v>
      </c>
      <c r="F5585" t="s">
        <v>6072</v>
      </c>
      <c r="G5585" t="s">
        <v>10096</v>
      </c>
      <c r="H5585" t="s">
        <v>10097</v>
      </c>
      <c r="I5585" t="s">
        <v>19</v>
      </c>
      <c r="J5585" s="3">
        <v>5588992521318</v>
      </c>
      <c r="K5585" t="s">
        <v>10098</v>
      </c>
      <c r="L5585" t="s">
        <v>10099</v>
      </c>
      <c r="M5585" t="s">
        <v>337</v>
      </c>
    </row>
    <row r="5586" spans="1:13" x14ac:dyDescent="0.25">
      <c r="A5586" t="s">
        <v>12075</v>
      </c>
      <c r="B5586" t="s">
        <v>13</v>
      </c>
      <c r="C5586" t="s">
        <v>12053</v>
      </c>
      <c r="D5586" t="s">
        <v>12076</v>
      </c>
      <c r="E5586" t="s">
        <v>4010</v>
      </c>
      <c r="F5586" t="s">
        <v>1464</v>
      </c>
      <c r="G5586" t="s">
        <v>1191</v>
      </c>
      <c r="H5586" t="s">
        <v>7467</v>
      </c>
      <c r="I5586" t="s">
        <v>19</v>
      </c>
      <c r="J5586" s="3">
        <f>55-81-31847661</f>
        <v>-31847687</v>
      </c>
      <c r="K5586" t="s">
        <v>12077</v>
      </c>
      <c r="L5586" t="s">
        <v>1193</v>
      </c>
      <c r="M5586" t="s">
        <v>337</v>
      </c>
    </row>
    <row r="5587" spans="1:13" x14ac:dyDescent="0.25">
      <c r="A5587" t="s">
        <v>21397</v>
      </c>
      <c r="B5587" t="s">
        <v>13</v>
      </c>
      <c r="C5587" t="s">
        <v>21398</v>
      </c>
      <c r="D5587" t="s">
        <v>21399</v>
      </c>
      <c r="E5587" t="s">
        <v>4010</v>
      </c>
      <c r="F5587" t="s">
        <v>332</v>
      </c>
      <c r="G5587" t="s">
        <v>21400</v>
      </c>
      <c r="H5587" t="s">
        <v>18</v>
      </c>
      <c r="I5587" t="s">
        <v>19</v>
      </c>
      <c r="J5587" s="3" t="s">
        <v>21401</v>
      </c>
      <c r="K5587" t="s">
        <v>21402</v>
      </c>
      <c r="L5587" t="s">
        <v>4218</v>
      </c>
      <c r="M5587" t="s">
        <v>337</v>
      </c>
    </row>
    <row r="5588" spans="1:13" x14ac:dyDescent="0.25">
      <c r="A5588" t="s">
        <v>8955</v>
      </c>
      <c r="B5588" t="s">
        <v>13</v>
      </c>
      <c r="C5588" t="s">
        <v>7663</v>
      </c>
      <c r="D5588" t="s">
        <v>8956</v>
      </c>
      <c r="E5588" s="2" t="s">
        <v>30963</v>
      </c>
      <c r="F5588" t="s">
        <v>1464</v>
      </c>
      <c r="G5588" t="s">
        <v>8957</v>
      </c>
      <c r="H5588" t="s">
        <v>2112</v>
      </c>
      <c r="I5588" t="s">
        <v>19</v>
      </c>
      <c r="J5588" s="3">
        <f>55-44-999701674</f>
        <v>-999701663</v>
      </c>
      <c r="K5588" t="s">
        <v>8958</v>
      </c>
      <c r="L5588" t="s">
        <v>2115</v>
      </c>
      <c r="M5588" t="s">
        <v>337</v>
      </c>
    </row>
    <row r="5589" spans="1:13" x14ac:dyDescent="0.25">
      <c r="A5589" t="s">
        <v>15015</v>
      </c>
      <c r="B5589" t="s">
        <v>13</v>
      </c>
      <c r="C5589" t="s">
        <v>15016</v>
      </c>
      <c r="D5589" t="s">
        <v>15017</v>
      </c>
      <c r="E5589" s="2" t="s">
        <v>31115</v>
      </c>
      <c r="F5589" t="s">
        <v>332</v>
      </c>
      <c r="G5589" t="s">
        <v>15018</v>
      </c>
      <c r="H5589" t="s">
        <v>2215</v>
      </c>
      <c r="I5589" t="s">
        <v>19</v>
      </c>
      <c r="J5589" s="3" t="s">
        <v>15019</v>
      </c>
      <c r="K5589" t="s">
        <v>3032</v>
      </c>
      <c r="L5589" t="s">
        <v>2218</v>
      </c>
      <c r="M5589" t="s">
        <v>337</v>
      </c>
    </row>
    <row r="5590" spans="1:13" x14ac:dyDescent="0.25">
      <c r="A5590" t="s">
        <v>8161</v>
      </c>
      <c r="B5590" t="s">
        <v>13</v>
      </c>
      <c r="C5590" s="1">
        <v>44318</v>
      </c>
      <c r="D5590" t="s">
        <v>8162</v>
      </c>
      <c r="E5590" t="s">
        <v>8163</v>
      </c>
      <c r="F5590" t="s">
        <v>8164</v>
      </c>
      <c r="G5590" t="s">
        <v>8165</v>
      </c>
      <c r="H5590" t="s">
        <v>1090</v>
      </c>
      <c r="I5590" t="s">
        <v>19</v>
      </c>
      <c r="J5590" s="3">
        <f>55-83-99467971</f>
        <v>-99467999</v>
      </c>
      <c r="K5590" t="s">
        <v>8166</v>
      </c>
      <c r="L5590" t="s">
        <v>32135</v>
      </c>
      <c r="M5590" t="s">
        <v>337</v>
      </c>
    </row>
    <row r="5591" spans="1:13" x14ac:dyDescent="0.25">
      <c r="A5591" t="s">
        <v>18788</v>
      </c>
      <c r="B5591" t="s">
        <v>13</v>
      </c>
      <c r="C5591" t="s">
        <v>17484</v>
      </c>
      <c r="D5591" t="s">
        <v>18789</v>
      </c>
      <c r="E5591" t="s">
        <v>18790</v>
      </c>
      <c r="F5591" t="s">
        <v>1464</v>
      </c>
      <c r="G5591" t="s">
        <v>18791</v>
      </c>
      <c r="H5591" t="s">
        <v>170</v>
      </c>
      <c r="I5591" t="s">
        <v>19</v>
      </c>
      <c r="J5591" s="3">
        <f>55-12-39479304</f>
        <v>-39479261</v>
      </c>
      <c r="K5591" t="s">
        <v>18792</v>
      </c>
      <c r="L5591" t="s">
        <v>18793</v>
      </c>
      <c r="M5591" t="s">
        <v>337</v>
      </c>
    </row>
    <row r="5592" spans="1:13" x14ac:dyDescent="0.25">
      <c r="A5592" t="s">
        <v>23799</v>
      </c>
      <c r="B5592" t="s">
        <v>13</v>
      </c>
      <c r="C5592" t="s">
        <v>18505</v>
      </c>
      <c r="D5592" t="s">
        <v>23800</v>
      </c>
      <c r="E5592" t="s">
        <v>18790</v>
      </c>
      <c r="F5592" t="s">
        <v>1464</v>
      </c>
      <c r="G5592" t="s">
        <v>18791</v>
      </c>
      <c r="H5592" t="s">
        <v>170</v>
      </c>
      <c r="I5592" t="s">
        <v>19</v>
      </c>
      <c r="J5592" s="3" t="s">
        <v>23801</v>
      </c>
      <c r="K5592" t="s">
        <v>23802</v>
      </c>
      <c r="L5592" t="s">
        <v>23803</v>
      </c>
      <c r="M5592" t="s">
        <v>337</v>
      </c>
    </row>
    <row r="5593" spans="1:13" x14ac:dyDescent="0.25">
      <c r="A5593" t="s">
        <v>21779</v>
      </c>
      <c r="B5593" t="s">
        <v>13</v>
      </c>
      <c r="C5593" t="s">
        <v>21774</v>
      </c>
      <c r="D5593" t="s">
        <v>21780</v>
      </c>
      <c r="E5593" s="2" t="s">
        <v>18790</v>
      </c>
      <c r="F5593" t="s">
        <v>1464</v>
      </c>
      <c r="G5593" t="s">
        <v>18791</v>
      </c>
      <c r="H5593" t="s">
        <v>170</v>
      </c>
      <c r="I5593" t="s">
        <v>19</v>
      </c>
      <c r="J5593" s="3">
        <f>55-12-39479304</f>
        <v>-39479261</v>
      </c>
      <c r="K5593" t="s">
        <v>21339</v>
      </c>
      <c r="L5593" t="s">
        <v>18793</v>
      </c>
      <c r="M5593" t="s">
        <v>337</v>
      </c>
    </row>
    <row r="5594" spans="1:13" x14ac:dyDescent="0.25">
      <c r="A5594" t="s">
        <v>2161</v>
      </c>
      <c r="B5594" t="s">
        <v>13</v>
      </c>
      <c r="C5594" t="s">
        <v>2139</v>
      </c>
      <c r="D5594" t="s">
        <v>2162</v>
      </c>
      <c r="E5594" t="s">
        <v>487</v>
      </c>
      <c r="F5594" t="s">
        <v>968</v>
      </c>
      <c r="G5594" t="s">
        <v>2163</v>
      </c>
      <c r="H5594" t="s">
        <v>2164</v>
      </c>
      <c r="I5594" t="s">
        <v>19</v>
      </c>
      <c r="J5594" s="3" t="s">
        <v>2165</v>
      </c>
      <c r="K5594" t="s">
        <v>2166</v>
      </c>
      <c r="L5594" t="s">
        <v>2167</v>
      </c>
      <c r="M5594" t="s">
        <v>337</v>
      </c>
    </row>
    <row r="5595" spans="1:13" x14ac:dyDescent="0.25">
      <c r="A5595" t="s">
        <v>27456</v>
      </c>
      <c r="B5595" t="s">
        <v>13</v>
      </c>
      <c r="C5595" t="s">
        <v>27457</v>
      </c>
      <c r="D5595" t="s">
        <v>27458</v>
      </c>
      <c r="E5595" t="s">
        <v>487</v>
      </c>
      <c r="F5595" t="s">
        <v>332</v>
      </c>
      <c r="G5595" t="s">
        <v>27459</v>
      </c>
      <c r="H5595" t="s">
        <v>540</v>
      </c>
      <c r="I5595" t="s">
        <v>19</v>
      </c>
      <c r="J5595" s="3">
        <v>559132017494</v>
      </c>
      <c r="K5595" t="s">
        <v>27460</v>
      </c>
      <c r="L5595" t="s">
        <v>1531</v>
      </c>
      <c r="M5595" t="s">
        <v>337</v>
      </c>
    </row>
    <row r="5596" spans="1:13" x14ac:dyDescent="0.25">
      <c r="A5596" t="s">
        <v>25393</v>
      </c>
      <c r="B5596" t="s">
        <v>13</v>
      </c>
      <c r="C5596" t="s">
        <v>25394</v>
      </c>
      <c r="D5596" t="s">
        <v>25395</v>
      </c>
      <c r="E5596" s="2" t="s">
        <v>31577</v>
      </c>
      <c r="F5596" t="s">
        <v>332</v>
      </c>
      <c r="G5596" t="s">
        <v>25396</v>
      </c>
      <c r="H5596" t="s">
        <v>88</v>
      </c>
      <c r="I5596" t="s">
        <v>19</v>
      </c>
      <c r="J5596" s="3" t="s">
        <v>25397</v>
      </c>
      <c r="K5596" t="s">
        <v>25398</v>
      </c>
      <c r="L5596" t="s">
        <v>25399</v>
      </c>
      <c r="M5596" t="s">
        <v>337</v>
      </c>
    </row>
    <row r="5597" spans="1:13" x14ac:dyDescent="0.25">
      <c r="A5597" t="s">
        <v>6015</v>
      </c>
      <c r="B5597" t="s">
        <v>13</v>
      </c>
      <c r="C5597" s="1">
        <v>44510</v>
      </c>
      <c r="D5597" t="s">
        <v>32135</v>
      </c>
      <c r="E5597" s="2" t="s">
        <v>30871</v>
      </c>
      <c r="F5597" t="s">
        <v>3451</v>
      </c>
      <c r="G5597" t="s">
        <v>6016</v>
      </c>
      <c r="H5597" t="s">
        <v>428</v>
      </c>
      <c r="I5597" t="s">
        <v>19</v>
      </c>
      <c r="J5597" s="3" t="s">
        <v>6017</v>
      </c>
      <c r="K5597" t="s">
        <v>6018</v>
      </c>
      <c r="L5597" t="s">
        <v>32135</v>
      </c>
      <c r="M5597" t="s">
        <v>337</v>
      </c>
    </row>
    <row r="5598" spans="1:13" x14ac:dyDescent="0.25">
      <c r="A5598" t="s">
        <v>6585</v>
      </c>
      <c r="B5598" t="s">
        <v>13</v>
      </c>
      <c r="C5598" t="s">
        <v>6586</v>
      </c>
      <c r="D5598" t="s">
        <v>32135</v>
      </c>
      <c r="E5598" t="s">
        <v>6587</v>
      </c>
      <c r="F5598" t="s">
        <v>968</v>
      </c>
      <c r="G5598" t="s">
        <v>6588</v>
      </c>
      <c r="H5598" t="s">
        <v>6589</v>
      </c>
      <c r="I5598" t="s">
        <v>19</v>
      </c>
      <c r="J5598" s="3">
        <v>5583981076153</v>
      </c>
      <c r="K5598" t="s">
        <v>6590</v>
      </c>
      <c r="L5598" t="s">
        <v>32135</v>
      </c>
      <c r="M5598" t="s">
        <v>337</v>
      </c>
    </row>
    <row r="5599" spans="1:13" x14ac:dyDescent="0.25">
      <c r="A5599" t="s">
        <v>20938</v>
      </c>
      <c r="B5599" t="s">
        <v>13</v>
      </c>
      <c r="C5599" t="s">
        <v>20921</v>
      </c>
      <c r="D5599" t="s">
        <v>20939</v>
      </c>
      <c r="E5599" t="s">
        <v>2212</v>
      </c>
      <c r="F5599" t="s">
        <v>332</v>
      </c>
      <c r="G5599" t="s">
        <v>18791</v>
      </c>
      <c r="H5599" t="s">
        <v>170</v>
      </c>
      <c r="I5599" t="s">
        <v>19</v>
      </c>
      <c r="J5599" s="3">
        <f>55-12-39479304</f>
        <v>-39479261</v>
      </c>
      <c r="K5599" t="s">
        <v>18792</v>
      </c>
      <c r="L5599" t="s">
        <v>18793</v>
      </c>
      <c r="M5599" t="s">
        <v>337</v>
      </c>
    </row>
    <row r="5600" spans="1:13" x14ac:dyDescent="0.25">
      <c r="A5600" t="s">
        <v>16384</v>
      </c>
      <c r="B5600" t="s">
        <v>13</v>
      </c>
      <c r="C5600" t="s">
        <v>16385</v>
      </c>
      <c r="D5600" t="s">
        <v>16386</v>
      </c>
      <c r="E5600" t="s">
        <v>1045</v>
      </c>
      <c r="F5600" t="s">
        <v>332</v>
      </c>
      <c r="G5600" t="s">
        <v>7718</v>
      </c>
      <c r="H5600" t="s">
        <v>170</v>
      </c>
      <c r="I5600" t="s">
        <v>19</v>
      </c>
      <c r="J5600" s="3" t="s">
        <v>7719</v>
      </c>
      <c r="K5600" t="s">
        <v>7720</v>
      </c>
      <c r="L5600" t="s">
        <v>7721</v>
      </c>
      <c r="M5600" t="s">
        <v>337</v>
      </c>
    </row>
    <row r="5601" spans="1:13" x14ac:dyDescent="0.25">
      <c r="A5601" t="s">
        <v>26221</v>
      </c>
      <c r="B5601" t="s">
        <v>13</v>
      </c>
      <c r="C5601" t="s">
        <v>26222</v>
      </c>
      <c r="D5601" t="s">
        <v>26223</v>
      </c>
      <c r="E5601" t="s">
        <v>26224</v>
      </c>
      <c r="F5601" t="s">
        <v>1464</v>
      </c>
      <c r="G5601" t="s">
        <v>17992</v>
      </c>
      <c r="H5601" t="s">
        <v>1802</v>
      </c>
      <c r="I5601" t="s">
        <v>19</v>
      </c>
      <c r="J5601" s="3" t="s">
        <v>26225</v>
      </c>
      <c r="K5601" t="s">
        <v>17993</v>
      </c>
      <c r="L5601" t="s">
        <v>26226</v>
      </c>
      <c r="M5601" t="s">
        <v>337</v>
      </c>
    </row>
    <row r="5602" spans="1:13" x14ac:dyDescent="0.25">
      <c r="A5602" t="s">
        <v>18371</v>
      </c>
      <c r="B5602" t="s">
        <v>13</v>
      </c>
      <c r="C5602" s="1">
        <v>43771</v>
      </c>
      <c r="D5602" t="s">
        <v>18372</v>
      </c>
      <c r="E5602" s="2" t="s">
        <v>31201</v>
      </c>
      <c r="F5602" t="s">
        <v>1464</v>
      </c>
      <c r="G5602" t="s">
        <v>2261</v>
      </c>
      <c r="H5602" t="s">
        <v>2215</v>
      </c>
      <c r="I5602" t="s">
        <v>19</v>
      </c>
      <c r="J5602" s="3" t="s">
        <v>2262</v>
      </c>
      <c r="K5602" t="s">
        <v>2263</v>
      </c>
      <c r="L5602" t="s">
        <v>2218</v>
      </c>
      <c r="M5602" t="s">
        <v>337</v>
      </c>
    </row>
    <row r="5603" spans="1:13" x14ac:dyDescent="0.25">
      <c r="A5603" t="s">
        <v>17625</v>
      </c>
      <c r="B5603" t="s">
        <v>13</v>
      </c>
      <c r="C5603" t="s">
        <v>14786</v>
      </c>
      <c r="D5603" t="s">
        <v>17626</v>
      </c>
      <c r="E5603" s="2" t="s">
        <v>31182</v>
      </c>
      <c r="F5603" t="s">
        <v>1464</v>
      </c>
      <c r="G5603" t="s">
        <v>15426</v>
      </c>
      <c r="H5603" t="s">
        <v>578</v>
      </c>
      <c r="I5603" t="s">
        <v>19</v>
      </c>
      <c r="J5603" s="3">
        <v>5592981263100</v>
      </c>
      <c r="K5603" t="s">
        <v>15427</v>
      </c>
      <c r="L5603" t="s">
        <v>678</v>
      </c>
      <c r="M5603" t="s">
        <v>337</v>
      </c>
    </row>
    <row r="5604" spans="1:13" x14ac:dyDescent="0.25">
      <c r="A5604" t="s">
        <v>13282</v>
      </c>
      <c r="B5604" t="s">
        <v>13</v>
      </c>
      <c r="C5604" s="1">
        <v>43864</v>
      </c>
      <c r="D5604" t="s">
        <v>13283</v>
      </c>
      <c r="E5604" s="2" t="s">
        <v>30840</v>
      </c>
      <c r="F5604" t="s">
        <v>1464</v>
      </c>
      <c r="G5604" t="s">
        <v>13284</v>
      </c>
      <c r="H5604" t="s">
        <v>578</v>
      </c>
      <c r="I5604" t="s">
        <v>19</v>
      </c>
      <c r="J5604" s="3">
        <f>55-92-988012627</f>
        <v>-988012664</v>
      </c>
      <c r="K5604" t="s">
        <v>13285</v>
      </c>
      <c r="L5604" t="s">
        <v>13286</v>
      </c>
      <c r="M5604" t="s">
        <v>337</v>
      </c>
    </row>
    <row r="5605" spans="1:13" x14ac:dyDescent="0.25">
      <c r="A5605" t="s">
        <v>15339</v>
      </c>
      <c r="B5605" t="s">
        <v>13</v>
      </c>
      <c r="C5605" t="s">
        <v>15332</v>
      </c>
      <c r="D5605" t="s">
        <v>15340</v>
      </c>
      <c r="E5605" s="2" t="s">
        <v>30840</v>
      </c>
      <c r="F5605" t="s">
        <v>1464</v>
      </c>
      <c r="G5605" t="s">
        <v>13284</v>
      </c>
      <c r="H5605" t="s">
        <v>578</v>
      </c>
      <c r="I5605" t="s">
        <v>19</v>
      </c>
      <c r="J5605" s="3">
        <f>55-92-988012627</f>
        <v>-988012664</v>
      </c>
      <c r="K5605" t="s">
        <v>13285</v>
      </c>
      <c r="L5605" t="s">
        <v>13286</v>
      </c>
      <c r="M5605" t="s">
        <v>337</v>
      </c>
    </row>
    <row r="5606" spans="1:13" x14ac:dyDescent="0.25">
      <c r="A5606" t="s">
        <v>5310</v>
      </c>
      <c r="B5606" t="s">
        <v>13</v>
      </c>
      <c r="C5606" t="s">
        <v>5311</v>
      </c>
      <c r="D5606" t="s">
        <v>32135</v>
      </c>
      <c r="E5606" s="2" t="s">
        <v>30840</v>
      </c>
      <c r="F5606" t="s">
        <v>3759</v>
      </c>
      <c r="G5606" t="s">
        <v>2261</v>
      </c>
      <c r="H5606" t="s">
        <v>2215</v>
      </c>
      <c r="I5606" t="s">
        <v>19</v>
      </c>
      <c r="J5606" s="3" t="s">
        <v>3031</v>
      </c>
      <c r="K5606" t="s">
        <v>3032</v>
      </c>
      <c r="L5606" t="s">
        <v>32135</v>
      </c>
      <c r="M5606" t="s">
        <v>337</v>
      </c>
    </row>
    <row r="5607" spans="1:13" x14ac:dyDescent="0.25">
      <c r="A5607" t="s">
        <v>21344</v>
      </c>
      <c r="B5607" t="s">
        <v>13</v>
      </c>
      <c r="C5607" t="s">
        <v>7645</v>
      </c>
      <c r="D5607" t="s">
        <v>21345</v>
      </c>
      <c r="E5607" t="s">
        <v>21346</v>
      </c>
      <c r="F5607" t="s">
        <v>332</v>
      </c>
      <c r="G5607" t="s">
        <v>21347</v>
      </c>
      <c r="H5607" t="s">
        <v>372</v>
      </c>
      <c r="I5607" t="s">
        <v>19</v>
      </c>
      <c r="J5607" s="3">
        <f>55-19996512112</f>
        <v>-19996512057</v>
      </c>
      <c r="K5607" t="s">
        <v>21348</v>
      </c>
      <c r="L5607" t="s">
        <v>9980</v>
      </c>
      <c r="M5607" t="s">
        <v>337</v>
      </c>
    </row>
    <row r="5608" spans="1:13" x14ac:dyDescent="0.25">
      <c r="A5608" t="s">
        <v>17502</v>
      </c>
      <c r="B5608" t="s">
        <v>13</v>
      </c>
      <c r="C5608" s="1">
        <v>43651</v>
      </c>
      <c r="D5608" t="s">
        <v>17503</v>
      </c>
      <c r="E5608" s="2" t="s">
        <v>30840</v>
      </c>
      <c r="F5608" t="s">
        <v>332</v>
      </c>
      <c r="G5608" t="s">
        <v>2261</v>
      </c>
      <c r="H5608" t="s">
        <v>2215</v>
      </c>
      <c r="I5608" t="s">
        <v>19</v>
      </c>
      <c r="J5608" s="3">
        <v>554232203740</v>
      </c>
      <c r="K5608" t="s">
        <v>3032</v>
      </c>
      <c r="L5608" t="s">
        <v>2218</v>
      </c>
      <c r="M5608" t="s">
        <v>337</v>
      </c>
    </row>
    <row r="5609" spans="1:13" x14ac:dyDescent="0.25">
      <c r="A5609" t="s">
        <v>12646</v>
      </c>
      <c r="B5609" t="s">
        <v>13</v>
      </c>
      <c r="C5609" t="s">
        <v>7461</v>
      </c>
      <c r="D5609" t="s">
        <v>12647</v>
      </c>
      <c r="E5609" t="s">
        <v>12648</v>
      </c>
      <c r="F5609" t="s">
        <v>332</v>
      </c>
      <c r="G5609" t="s">
        <v>3760</v>
      </c>
      <c r="H5609" t="s">
        <v>714</v>
      </c>
      <c r="I5609" t="s">
        <v>19</v>
      </c>
      <c r="J5609" s="3">
        <v>551836363278</v>
      </c>
      <c r="K5609" t="s">
        <v>3761</v>
      </c>
      <c r="L5609" t="s">
        <v>3762</v>
      </c>
      <c r="M5609" t="s">
        <v>337</v>
      </c>
    </row>
    <row r="5610" spans="1:13" x14ac:dyDescent="0.25">
      <c r="A5610" t="s">
        <v>5835</v>
      </c>
      <c r="B5610" t="s">
        <v>13</v>
      </c>
      <c r="C5610" t="s">
        <v>2028</v>
      </c>
      <c r="D5610" t="s">
        <v>5836</v>
      </c>
      <c r="E5610" s="2" t="s">
        <v>31598</v>
      </c>
      <c r="F5610" t="s">
        <v>4010</v>
      </c>
      <c r="G5610" t="s">
        <v>2261</v>
      </c>
      <c r="H5610" t="s">
        <v>2215</v>
      </c>
      <c r="I5610" t="s">
        <v>19</v>
      </c>
      <c r="J5610" s="3" t="s">
        <v>3031</v>
      </c>
      <c r="K5610" t="s">
        <v>3032</v>
      </c>
      <c r="L5610" t="s">
        <v>32135</v>
      </c>
      <c r="M5610" t="s">
        <v>337</v>
      </c>
    </row>
    <row r="5611" spans="1:13" x14ac:dyDescent="0.25">
      <c r="A5611" t="s">
        <v>7791</v>
      </c>
      <c r="B5611" t="s">
        <v>13</v>
      </c>
      <c r="C5611" s="1">
        <v>44443</v>
      </c>
      <c r="D5611" t="s">
        <v>32135</v>
      </c>
      <c r="E5611" s="2" t="s">
        <v>31598</v>
      </c>
      <c r="F5611" t="s">
        <v>4010</v>
      </c>
      <c r="G5611" t="s">
        <v>2261</v>
      </c>
      <c r="H5611" t="s">
        <v>2215</v>
      </c>
      <c r="I5611" t="s">
        <v>19</v>
      </c>
      <c r="J5611" s="3" t="s">
        <v>3031</v>
      </c>
      <c r="K5611" t="s">
        <v>3032</v>
      </c>
      <c r="L5611" t="s">
        <v>32135</v>
      </c>
      <c r="M5611" t="s">
        <v>337</v>
      </c>
    </row>
    <row r="5612" spans="1:13" x14ac:dyDescent="0.25">
      <c r="A5612" t="s">
        <v>11692</v>
      </c>
      <c r="B5612" t="s">
        <v>13</v>
      </c>
      <c r="C5612" t="s">
        <v>2310</v>
      </c>
      <c r="D5612" t="s">
        <v>11693</v>
      </c>
      <c r="E5612" s="2" t="s">
        <v>31021</v>
      </c>
      <c r="G5612" t="s">
        <v>11694</v>
      </c>
      <c r="H5612" t="s">
        <v>11695</v>
      </c>
      <c r="I5612" t="s">
        <v>19</v>
      </c>
      <c r="J5612" s="3" t="s">
        <v>11696</v>
      </c>
      <c r="K5612" t="s">
        <v>11697</v>
      </c>
      <c r="L5612" t="s">
        <v>11698</v>
      </c>
      <c r="M5612" t="s">
        <v>337</v>
      </c>
    </row>
    <row r="5613" spans="1:13" x14ac:dyDescent="0.25">
      <c r="A5613" t="s">
        <v>6207</v>
      </c>
      <c r="B5613" t="s">
        <v>13</v>
      </c>
      <c r="C5613" t="s">
        <v>4643</v>
      </c>
      <c r="D5613" t="s">
        <v>6208</v>
      </c>
      <c r="E5613" s="2" t="s">
        <v>30880</v>
      </c>
      <c r="F5613" t="s">
        <v>4010</v>
      </c>
      <c r="G5613" t="s">
        <v>2261</v>
      </c>
      <c r="H5613" t="s">
        <v>2215</v>
      </c>
      <c r="I5613" t="s">
        <v>19</v>
      </c>
      <c r="J5613" s="3" t="s">
        <v>3031</v>
      </c>
      <c r="K5613" t="s">
        <v>3032</v>
      </c>
      <c r="L5613" t="s">
        <v>32135</v>
      </c>
      <c r="M5613" t="s">
        <v>337</v>
      </c>
    </row>
    <row r="5614" spans="1:13" x14ac:dyDescent="0.25">
      <c r="A5614" t="s">
        <v>21683</v>
      </c>
      <c r="B5614" t="s">
        <v>13</v>
      </c>
      <c r="C5614" s="1">
        <v>43195</v>
      </c>
      <c r="D5614" t="s">
        <v>21684</v>
      </c>
      <c r="E5614" t="s">
        <v>10481</v>
      </c>
      <c r="F5614" t="s">
        <v>332</v>
      </c>
      <c r="G5614" t="s">
        <v>21685</v>
      </c>
      <c r="H5614" t="s">
        <v>714</v>
      </c>
      <c r="I5614" t="s">
        <v>19</v>
      </c>
      <c r="J5614" s="3">
        <v>551836363346</v>
      </c>
      <c r="K5614" t="s">
        <v>21686</v>
      </c>
      <c r="L5614" t="s">
        <v>3762</v>
      </c>
      <c r="M5614" t="s">
        <v>337</v>
      </c>
    </row>
    <row r="5615" spans="1:13" x14ac:dyDescent="0.25">
      <c r="A5615" t="s">
        <v>10777</v>
      </c>
      <c r="B5615" t="s">
        <v>13</v>
      </c>
      <c r="C5615" t="s">
        <v>7057</v>
      </c>
      <c r="D5615" t="s">
        <v>10778</v>
      </c>
      <c r="E5615" t="s">
        <v>10481</v>
      </c>
      <c r="F5615" t="s">
        <v>332</v>
      </c>
      <c r="G5615" t="s">
        <v>10482</v>
      </c>
      <c r="H5615" t="s">
        <v>714</v>
      </c>
      <c r="I5615" t="s">
        <v>19</v>
      </c>
      <c r="J5615" s="3">
        <v>5517996326007</v>
      </c>
      <c r="K5615" t="s">
        <v>10483</v>
      </c>
      <c r="L5615" t="s">
        <v>3762</v>
      </c>
      <c r="M5615" t="s">
        <v>337</v>
      </c>
    </row>
    <row r="5616" spans="1:13" x14ac:dyDescent="0.25">
      <c r="A5616" t="s">
        <v>10479</v>
      </c>
      <c r="B5616" t="s">
        <v>13</v>
      </c>
      <c r="C5616" s="1">
        <v>44143</v>
      </c>
      <c r="D5616" t="s">
        <v>10480</v>
      </c>
      <c r="E5616" t="s">
        <v>10481</v>
      </c>
      <c r="F5616" t="s">
        <v>332</v>
      </c>
      <c r="G5616" t="s">
        <v>10482</v>
      </c>
      <c r="H5616" t="s">
        <v>714</v>
      </c>
      <c r="I5616" t="s">
        <v>19</v>
      </c>
      <c r="J5616" s="3">
        <v>5517996326007</v>
      </c>
      <c r="K5616" t="s">
        <v>10483</v>
      </c>
      <c r="L5616" t="s">
        <v>3762</v>
      </c>
      <c r="M5616" t="s">
        <v>337</v>
      </c>
    </row>
    <row r="5617" spans="1:13" x14ac:dyDescent="0.25">
      <c r="A5617" t="s">
        <v>22144</v>
      </c>
      <c r="B5617" t="s">
        <v>13</v>
      </c>
      <c r="C5617" t="s">
        <v>19254</v>
      </c>
      <c r="D5617" t="s">
        <v>22145</v>
      </c>
      <c r="E5617" t="s">
        <v>22146</v>
      </c>
      <c r="F5617" t="s">
        <v>1464</v>
      </c>
      <c r="G5617" t="s">
        <v>2261</v>
      </c>
      <c r="H5617" t="s">
        <v>2215</v>
      </c>
      <c r="I5617" t="s">
        <v>19</v>
      </c>
      <c r="J5617" s="3" t="s">
        <v>22147</v>
      </c>
      <c r="K5617" t="s">
        <v>3032</v>
      </c>
      <c r="L5617" t="s">
        <v>2218</v>
      </c>
      <c r="M5617" t="s">
        <v>337</v>
      </c>
    </row>
    <row r="5618" spans="1:13" x14ac:dyDescent="0.25">
      <c r="A5618" t="s">
        <v>23504</v>
      </c>
      <c r="B5618" t="s">
        <v>13</v>
      </c>
      <c r="C5618" t="s">
        <v>11911</v>
      </c>
      <c r="D5618" t="s">
        <v>23505</v>
      </c>
      <c r="E5618" t="s">
        <v>22146</v>
      </c>
      <c r="F5618" t="s">
        <v>1464</v>
      </c>
      <c r="G5618" t="s">
        <v>2261</v>
      </c>
      <c r="H5618" t="s">
        <v>2215</v>
      </c>
      <c r="I5618" t="s">
        <v>19</v>
      </c>
      <c r="J5618" s="3" t="s">
        <v>2262</v>
      </c>
      <c r="K5618" t="s">
        <v>2263</v>
      </c>
      <c r="L5618" t="s">
        <v>2218</v>
      </c>
      <c r="M5618" t="s">
        <v>337</v>
      </c>
    </row>
    <row r="5619" spans="1:13" x14ac:dyDescent="0.25">
      <c r="A5619" t="s">
        <v>15973</v>
      </c>
      <c r="B5619" t="s">
        <v>13</v>
      </c>
      <c r="C5619" t="s">
        <v>15974</v>
      </c>
      <c r="D5619" t="s">
        <v>15975</v>
      </c>
      <c r="E5619" t="s">
        <v>15976</v>
      </c>
      <c r="F5619" t="s">
        <v>1464</v>
      </c>
      <c r="G5619" t="s">
        <v>15977</v>
      </c>
      <c r="H5619" t="s">
        <v>578</v>
      </c>
      <c r="I5619" t="s">
        <v>19</v>
      </c>
      <c r="J5619" s="3">
        <v>5592981139290</v>
      </c>
      <c r="K5619" t="s">
        <v>15978</v>
      </c>
      <c r="L5619" t="s">
        <v>678</v>
      </c>
      <c r="M5619" t="s">
        <v>337</v>
      </c>
    </row>
    <row r="5620" spans="1:13" x14ac:dyDescent="0.25">
      <c r="A5620" t="s">
        <v>3642</v>
      </c>
      <c r="B5620" t="s">
        <v>13</v>
      </c>
      <c r="C5620" s="1">
        <v>44296</v>
      </c>
      <c r="D5620" t="s">
        <v>3643</v>
      </c>
      <c r="E5620" t="s">
        <v>2089</v>
      </c>
      <c r="F5620" t="s">
        <v>1006</v>
      </c>
      <c r="G5620" t="s">
        <v>2261</v>
      </c>
      <c r="H5620" t="s">
        <v>2215</v>
      </c>
      <c r="I5620" t="s">
        <v>19</v>
      </c>
      <c r="J5620" s="3" t="s">
        <v>2262</v>
      </c>
      <c r="K5620" t="s">
        <v>2263</v>
      </c>
      <c r="L5620" t="s">
        <v>2218</v>
      </c>
      <c r="M5620" t="s">
        <v>337</v>
      </c>
    </row>
    <row r="5621" spans="1:13" x14ac:dyDescent="0.25">
      <c r="A5621" t="s">
        <v>3521</v>
      </c>
      <c r="B5621" t="s">
        <v>13</v>
      </c>
      <c r="C5621" t="s">
        <v>3522</v>
      </c>
      <c r="D5621" t="s">
        <v>3523</v>
      </c>
      <c r="E5621" t="s">
        <v>2089</v>
      </c>
      <c r="F5621" t="s">
        <v>1006</v>
      </c>
      <c r="G5621" t="s">
        <v>2261</v>
      </c>
      <c r="H5621" t="s">
        <v>2215</v>
      </c>
      <c r="I5621" t="s">
        <v>19</v>
      </c>
      <c r="J5621" s="3" t="s">
        <v>2262</v>
      </c>
      <c r="K5621" t="s">
        <v>2263</v>
      </c>
      <c r="L5621" t="s">
        <v>2218</v>
      </c>
      <c r="M5621" t="s">
        <v>337</v>
      </c>
    </row>
    <row r="5622" spans="1:13" x14ac:dyDescent="0.25">
      <c r="A5622" t="s">
        <v>2259</v>
      </c>
      <c r="B5622" t="s">
        <v>13</v>
      </c>
      <c r="C5622" s="1">
        <v>44601</v>
      </c>
      <c r="D5622" t="s">
        <v>2260</v>
      </c>
      <c r="E5622" t="s">
        <v>2089</v>
      </c>
      <c r="F5622" t="s">
        <v>1006</v>
      </c>
      <c r="G5622" t="s">
        <v>2261</v>
      </c>
      <c r="H5622" t="s">
        <v>2215</v>
      </c>
      <c r="I5622" t="s">
        <v>19</v>
      </c>
      <c r="J5622" s="3" t="s">
        <v>2262</v>
      </c>
      <c r="K5622" t="s">
        <v>2263</v>
      </c>
      <c r="L5622" t="s">
        <v>2218</v>
      </c>
      <c r="M5622" t="s">
        <v>337</v>
      </c>
    </row>
    <row r="5623" spans="1:13" x14ac:dyDescent="0.25">
      <c r="A5623" t="s">
        <v>15860</v>
      </c>
      <c r="B5623" t="s">
        <v>13</v>
      </c>
      <c r="C5623" t="s">
        <v>13040</v>
      </c>
      <c r="D5623" t="s">
        <v>15861</v>
      </c>
      <c r="E5623" t="s">
        <v>15862</v>
      </c>
      <c r="F5623" t="s">
        <v>332</v>
      </c>
      <c r="G5623" t="s">
        <v>11291</v>
      </c>
      <c r="H5623" t="s">
        <v>265</v>
      </c>
      <c r="I5623" t="s">
        <v>19</v>
      </c>
      <c r="J5623" s="3">
        <f>55-16-33154075</f>
        <v>-33154036</v>
      </c>
      <c r="K5623" t="s">
        <v>335</v>
      </c>
      <c r="L5623" t="s">
        <v>321</v>
      </c>
      <c r="M5623" t="s">
        <v>337</v>
      </c>
    </row>
    <row r="5624" spans="1:13" x14ac:dyDescent="0.25">
      <c r="A5624" t="s">
        <v>23177</v>
      </c>
      <c r="B5624" t="s">
        <v>13</v>
      </c>
      <c r="C5624" t="s">
        <v>23178</v>
      </c>
      <c r="D5624" t="s">
        <v>23179</v>
      </c>
      <c r="E5624" t="s">
        <v>23180</v>
      </c>
      <c r="F5624" t="s">
        <v>337</v>
      </c>
      <c r="G5624" t="s">
        <v>23181</v>
      </c>
      <c r="H5624" t="s">
        <v>170</v>
      </c>
      <c r="I5624" t="s">
        <v>19</v>
      </c>
      <c r="J5624" s="3" t="s">
        <v>23182</v>
      </c>
      <c r="K5624" t="s">
        <v>23183</v>
      </c>
      <c r="L5624" t="s">
        <v>23184</v>
      </c>
      <c r="M5624" t="s">
        <v>337</v>
      </c>
    </row>
    <row r="5625" spans="1:13" x14ac:dyDescent="0.25">
      <c r="A5625" t="s">
        <v>10342</v>
      </c>
      <c r="B5625" t="s">
        <v>13</v>
      </c>
      <c r="C5625" t="s">
        <v>7677</v>
      </c>
      <c r="D5625" t="s">
        <v>10343</v>
      </c>
      <c r="E5625" s="2" t="s">
        <v>30991</v>
      </c>
      <c r="F5625" t="s">
        <v>1464</v>
      </c>
      <c r="G5625" t="s">
        <v>10344</v>
      </c>
      <c r="H5625" t="s">
        <v>352</v>
      </c>
      <c r="I5625" t="s">
        <v>19</v>
      </c>
      <c r="J5625" s="3" t="s">
        <v>10345</v>
      </c>
      <c r="K5625" t="s">
        <v>10346</v>
      </c>
      <c r="L5625" t="s">
        <v>10347</v>
      </c>
      <c r="M5625" t="s">
        <v>32144</v>
      </c>
    </row>
    <row r="5626" spans="1:13" x14ac:dyDescent="0.25">
      <c r="A5626" t="s">
        <v>9132</v>
      </c>
      <c r="B5626" t="s">
        <v>13</v>
      </c>
      <c r="C5626" t="s">
        <v>6274</v>
      </c>
      <c r="D5626" t="s">
        <v>9133</v>
      </c>
      <c r="E5626" t="s">
        <v>9134</v>
      </c>
      <c r="F5626" t="s">
        <v>332</v>
      </c>
      <c r="G5626" t="s">
        <v>9135</v>
      </c>
      <c r="H5626" t="s">
        <v>9136</v>
      </c>
      <c r="I5626" t="s">
        <v>19</v>
      </c>
      <c r="J5626" s="3" t="s">
        <v>9137</v>
      </c>
      <c r="K5626" t="s">
        <v>9138</v>
      </c>
      <c r="L5626" t="s">
        <v>9139</v>
      </c>
      <c r="M5626" t="s">
        <v>337</v>
      </c>
    </row>
    <row r="5627" spans="1:13" x14ac:dyDescent="0.25">
      <c r="A5627" t="s">
        <v>8068</v>
      </c>
      <c r="B5627" t="s">
        <v>13</v>
      </c>
      <c r="C5627" t="s">
        <v>8066</v>
      </c>
      <c r="D5627" t="s">
        <v>8069</v>
      </c>
      <c r="E5627" t="s">
        <v>7030</v>
      </c>
      <c r="F5627" t="s">
        <v>6969</v>
      </c>
      <c r="G5627" t="s">
        <v>8070</v>
      </c>
      <c r="H5627" t="s">
        <v>1047</v>
      </c>
      <c r="I5627" t="s">
        <v>19</v>
      </c>
      <c r="J5627" s="3">
        <v>5527988037623</v>
      </c>
      <c r="K5627" t="s">
        <v>8071</v>
      </c>
      <c r="L5627" t="s">
        <v>3398</v>
      </c>
      <c r="M5627" t="s">
        <v>337</v>
      </c>
    </row>
    <row r="5628" spans="1:13" x14ac:dyDescent="0.25">
      <c r="A5628" t="s">
        <v>12811</v>
      </c>
      <c r="B5628" t="s">
        <v>13</v>
      </c>
      <c r="C5628" t="s">
        <v>12812</v>
      </c>
      <c r="D5628" t="s">
        <v>12813</v>
      </c>
      <c r="E5628" t="s">
        <v>12814</v>
      </c>
      <c r="F5628" t="s">
        <v>332</v>
      </c>
      <c r="G5628" t="s">
        <v>12375</v>
      </c>
      <c r="H5628" t="s">
        <v>114</v>
      </c>
      <c r="I5628" t="s">
        <v>19</v>
      </c>
      <c r="J5628" s="3">
        <v>557998479236</v>
      </c>
      <c r="K5628" t="s">
        <v>12376</v>
      </c>
      <c r="L5628" t="s">
        <v>82</v>
      </c>
      <c r="M5628" t="s">
        <v>337</v>
      </c>
    </row>
    <row r="5629" spans="1:13" x14ac:dyDescent="0.25">
      <c r="A5629" t="s">
        <v>21515</v>
      </c>
      <c r="B5629" t="s">
        <v>13</v>
      </c>
      <c r="C5629" t="s">
        <v>16205</v>
      </c>
      <c r="D5629" t="s">
        <v>21516</v>
      </c>
      <c r="E5629" t="s">
        <v>21517</v>
      </c>
      <c r="F5629" t="s">
        <v>9969</v>
      </c>
      <c r="G5629" t="s">
        <v>21518</v>
      </c>
      <c r="H5629" t="s">
        <v>352</v>
      </c>
      <c r="I5629" t="s">
        <v>19</v>
      </c>
      <c r="J5629" s="3">
        <f>55-21-39382098</f>
        <v>-39382064</v>
      </c>
      <c r="K5629" t="s">
        <v>21519</v>
      </c>
      <c r="L5629" t="s">
        <v>1232</v>
      </c>
      <c r="M5629" t="s">
        <v>32149</v>
      </c>
    </row>
    <row r="5630" spans="1:13" x14ac:dyDescent="0.25">
      <c r="A5630" t="s">
        <v>17429</v>
      </c>
      <c r="B5630" t="s">
        <v>13</v>
      </c>
      <c r="C5630" s="1">
        <v>43561</v>
      </c>
      <c r="D5630" t="s">
        <v>17430</v>
      </c>
      <c r="E5630" t="s">
        <v>6351</v>
      </c>
      <c r="F5630" t="s">
        <v>337</v>
      </c>
      <c r="G5630" t="s">
        <v>17431</v>
      </c>
      <c r="H5630" t="s">
        <v>88</v>
      </c>
      <c r="I5630" t="s">
        <v>19</v>
      </c>
      <c r="J5630" s="3">
        <f>55-84-32154133</f>
        <v>-32154162</v>
      </c>
      <c r="K5630" t="s">
        <v>17432</v>
      </c>
      <c r="L5630" t="s">
        <v>764</v>
      </c>
      <c r="M5630" t="s">
        <v>337</v>
      </c>
    </row>
    <row r="5631" spans="1:13" x14ac:dyDescent="0.25">
      <c r="A5631" t="s">
        <v>21135</v>
      </c>
      <c r="B5631" t="s">
        <v>13</v>
      </c>
      <c r="C5631" s="1">
        <v>43226</v>
      </c>
      <c r="D5631" t="s">
        <v>21136</v>
      </c>
      <c r="E5631" t="s">
        <v>6351</v>
      </c>
      <c r="F5631" t="s">
        <v>1464</v>
      </c>
      <c r="G5631" t="s">
        <v>21137</v>
      </c>
      <c r="H5631" t="s">
        <v>1802</v>
      </c>
      <c r="I5631" t="s">
        <v>19</v>
      </c>
      <c r="J5631" s="3" t="s">
        <v>21138</v>
      </c>
      <c r="K5631" t="s">
        <v>21139</v>
      </c>
      <c r="L5631" t="s">
        <v>1805</v>
      </c>
      <c r="M5631" t="s">
        <v>337</v>
      </c>
    </row>
    <row r="5632" spans="1:13" x14ac:dyDescent="0.25">
      <c r="A5632" t="s">
        <v>14162</v>
      </c>
      <c r="B5632" t="s">
        <v>13</v>
      </c>
      <c r="C5632" t="s">
        <v>14163</v>
      </c>
      <c r="D5632" t="s">
        <v>14164</v>
      </c>
      <c r="E5632" t="s">
        <v>14165</v>
      </c>
      <c r="F5632" t="s">
        <v>1464</v>
      </c>
      <c r="G5632" t="s">
        <v>14166</v>
      </c>
      <c r="H5632" t="s">
        <v>3416</v>
      </c>
      <c r="I5632" t="s">
        <v>19</v>
      </c>
      <c r="J5632" s="3">
        <v>551633016411</v>
      </c>
      <c r="K5632" t="s">
        <v>14167</v>
      </c>
      <c r="L5632" t="s">
        <v>3441</v>
      </c>
      <c r="M5632" t="s">
        <v>337</v>
      </c>
    </row>
    <row r="5633" spans="1:13" x14ac:dyDescent="0.25">
      <c r="A5633" t="s">
        <v>20174</v>
      </c>
      <c r="B5633" t="s">
        <v>13</v>
      </c>
      <c r="C5633" s="1">
        <v>43167</v>
      </c>
      <c r="D5633" t="s">
        <v>20175</v>
      </c>
      <c r="E5633" t="s">
        <v>14165</v>
      </c>
      <c r="F5633" t="s">
        <v>332</v>
      </c>
      <c r="G5633" t="s">
        <v>11829</v>
      </c>
      <c r="H5633" t="s">
        <v>3416</v>
      </c>
      <c r="I5633" t="s">
        <v>19</v>
      </c>
      <c r="J5633" s="3" t="s">
        <v>20176</v>
      </c>
      <c r="K5633" t="s">
        <v>11831</v>
      </c>
      <c r="L5633" t="s">
        <v>20177</v>
      </c>
      <c r="M5633" t="s">
        <v>337</v>
      </c>
    </row>
    <row r="5634" spans="1:13" x14ac:dyDescent="0.25">
      <c r="A5634" t="s">
        <v>6350</v>
      </c>
      <c r="B5634" t="s">
        <v>13</v>
      </c>
      <c r="C5634" t="s">
        <v>6347</v>
      </c>
      <c r="D5634" t="s">
        <v>32135</v>
      </c>
      <c r="E5634" s="2" t="s">
        <v>30887</v>
      </c>
      <c r="F5634" t="s">
        <v>6352</v>
      </c>
      <c r="G5634" t="s">
        <v>1064</v>
      </c>
      <c r="H5634" t="s">
        <v>36</v>
      </c>
      <c r="I5634" t="s">
        <v>19</v>
      </c>
      <c r="J5634" s="3" t="s">
        <v>6353</v>
      </c>
      <c r="K5634" t="s">
        <v>1066</v>
      </c>
      <c r="L5634" t="s">
        <v>32135</v>
      </c>
      <c r="M5634" t="s">
        <v>337</v>
      </c>
    </row>
    <row r="5635" spans="1:13" x14ac:dyDescent="0.25">
      <c r="A5635" t="s">
        <v>23543</v>
      </c>
      <c r="B5635" t="s">
        <v>13</v>
      </c>
      <c r="C5635" t="s">
        <v>23537</v>
      </c>
      <c r="D5635" t="s">
        <v>23544</v>
      </c>
      <c r="E5635" s="2" t="s">
        <v>32695</v>
      </c>
      <c r="F5635" t="s">
        <v>1775</v>
      </c>
      <c r="G5635" t="s">
        <v>23545</v>
      </c>
      <c r="H5635" t="s">
        <v>409</v>
      </c>
      <c r="I5635" t="s">
        <v>19</v>
      </c>
      <c r="J5635" s="3" t="s">
        <v>23546</v>
      </c>
      <c r="K5635" t="s">
        <v>23547</v>
      </c>
      <c r="L5635" t="s">
        <v>7763</v>
      </c>
      <c r="M5635" t="s">
        <v>1775</v>
      </c>
    </row>
    <row r="5636" spans="1:13" x14ac:dyDescent="0.25">
      <c r="A5636" t="s">
        <v>15557</v>
      </c>
      <c r="B5636" t="s">
        <v>13</v>
      </c>
      <c r="C5636" s="1">
        <v>43748</v>
      </c>
      <c r="D5636" t="s">
        <v>15558</v>
      </c>
      <c r="E5636" t="s">
        <v>15559</v>
      </c>
      <c r="F5636" t="s">
        <v>1464</v>
      </c>
      <c r="G5636" t="s">
        <v>15560</v>
      </c>
      <c r="H5636" t="s">
        <v>472</v>
      </c>
      <c r="I5636" t="s">
        <v>19</v>
      </c>
      <c r="J5636" s="3" t="s">
        <v>15561</v>
      </c>
      <c r="K5636" t="s">
        <v>15562</v>
      </c>
      <c r="L5636" t="s">
        <v>1193</v>
      </c>
      <c r="M5636" t="s">
        <v>337</v>
      </c>
    </row>
    <row r="5637" spans="1:13" x14ac:dyDescent="0.25">
      <c r="A5637" t="s">
        <v>6069</v>
      </c>
      <c r="B5637" t="s">
        <v>13</v>
      </c>
      <c r="C5637" s="1">
        <v>44449</v>
      </c>
      <c r="D5637" t="s">
        <v>6070</v>
      </c>
      <c r="E5637" t="s">
        <v>6071</v>
      </c>
      <c r="F5637" t="s">
        <v>6072</v>
      </c>
      <c r="H5637" t="s">
        <v>32135</v>
      </c>
      <c r="I5637" t="s">
        <v>32135</v>
      </c>
      <c r="J5637" t="s">
        <v>32135</v>
      </c>
      <c r="K5637" s="3" t="s">
        <v>32135</v>
      </c>
      <c r="L5637" t="s">
        <v>32135</v>
      </c>
      <c r="M5637" t="s">
        <v>337</v>
      </c>
    </row>
    <row r="5638" spans="1:13" x14ac:dyDescent="0.25">
      <c r="A5638" t="s">
        <v>5590</v>
      </c>
      <c r="B5638" t="s">
        <v>13</v>
      </c>
      <c r="C5638" t="s">
        <v>5577</v>
      </c>
      <c r="D5638" t="s">
        <v>5591</v>
      </c>
      <c r="E5638" t="s">
        <v>5592</v>
      </c>
      <c r="F5638" t="s">
        <v>1874</v>
      </c>
      <c r="G5638" t="s">
        <v>5593</v>
      </c>
      <c r="H5638" t="s">
        <v>2112</v>
      </c>
      <c r="I5638" t="s">
        <v>19</v>
      </c>
      <c r="J5638" s="3">
        <f>55-45-32203092</f>
        <v>-32203082</v>
      </c>
      <c r="K5638" t="s">
        <v>5594</v>
      </c>
      <c r="L5638" t="s">
        <v>32135</v>
      </c>
      <c r="M5638" t="s">
        <v>337</v>
      </c>
    </row>
    <row r="5639" spans="1:13" x14ac:dyDescent="0.25">
      <c r="A5639" t="s">
        <v>11874</v>
      </c>
      <c r="B5639" t="s">
        <v>13</v>
      </c>
      <c r="C5639" t="s">
        <v>10275</v>
      </c>
      <c r="D5639" t="s">
        <v>11875</v>
      </c>
      <c r="E5639" s="2" t="s">
        <v>32128</v>
      </c>
      <c r="F5639" t="s">
        <v>332</v>
      </c>
      <c r="G5639" t="s">
        <v>11876</v>
      </c>
      <c r="H5639" t="s">
        <v>11877</v>
      </c>
      <c r="I5639" t="s">
        <v>11878</v>
      </c>
      <c r="J5639" s="3" t="s">
        <v>11879</v>
      </c>
      <c r="K5639" t="s">
        <v>11880</v>
      </c>
      <c r="L5639" t="s">
        <v>11881</v>
      </c>
      <c r="M5639" t="s">
        <v>337</v>
      </c>
    </row>
    <row r="5640" spans="1:13" x14ac:dyDescent="0.25">
      <c r="A5640" t="s">
        <v>27075</v>
      </c>
      <c r="B5640" t="s">
        <v>13</v>
      </c>
      <c r="C5640" t="s">
        <v>27076</v>
      </c>
      <c r="D5640" t="s">
        <v>27077</v>
      </c>
      <c r="E5640" t="s">
        <v>27078</v>
      </c>
      <c r="F5640" t="s">
        <v>785</v>
      </c>
      <c r="G5640" t="s">
        <v>27079</v>
      </c>
      <c r="H5640" t="s">
        <v>88</v>
      </c>
      <c r="I5640" t="s">
        <v>19</v>
      </c>
      <c r="J5640" s="3" t="s">
        <v>27080</v>
      </c>
      <c r="K5640" t="s">
        <v>27081</v>
      </c>
      <c r="L5640" t="s">
        <v>91</v>
      </c>
      <c r="M5640" t="s">
        <v>785</v>
      </c>
    </row>
    <row r="5641" spans="1:13" x14ac:dyDescent="0.25">
      <c r="A5641" t="s">
        <v>7699</v>
      </c>
      <c r="B5641" t="s">
        <v>13</v>
      </c>
      <c r="C5641" s="1">
        <v>44382</v>
      </c>
      <c r="D5641" t="s">
        <v>7700</v>
      </c>
      <c r="E5641" t="s">
        <v>7701</v>
      </c>
      <c r="F5641" t="s">
        <v>7702</v>
      </c>
      <c r="G5641" t="s">
        <v>5892</v>
      </c>
      <c r="H5641" t="s">
        <v>642</v>
      </c>
      <c r="I5641" t="s">
        <v>19</v>
      </c>
      <c r="J5641" s="3" t="s">
        <v>5893</v>
      </c>
      <c r="K5641" t="s">
        <v>589</v>
      </c>
      <c r="L5641" t="s">
        <v>32135</v>
      </c>
      <c r="M5641" t="s">
        <v>337</v>
      </c>
    </row>
    <row r="5642" spans="1:13" x14ac:dyDescent="0.25">
      <c r="A5642" t="s">
        <v>8679</v>
      </c>
      <c r="B5642" t="s">
        <v>13</v>
      </c>
      <c r="C5642" t="s">
        <v>8680</v>
      </c>
      <c r="D5642" t="s">
        <v>8681</v>
      </c>
      <c r="E5642" t="s">
        <v>8682</v>
      </c>
      <c r="F5642" t="s">
        <v>337</v>
      </c>
      <c r="G5642" t="s">
        <v>307</v>
      </c>
      <c r="H5642" t="s">
        <v>308</v>
      </c>
      <c r="I5642" t="s">
        <v>309</v>
      </c>
      <c r="J5642" s="3" t="s">
        <v>310</v>
      </c>
      <c r="K5642" t="s">
        <v>311</v>
      </c>
      <c r="L5642" t="s">
        <v>312</v>
      </c>
      <c r="M5642" t="s">
        <v>337</v>
      </c>
    </row>
    <row r="5643" spans="1:13" x14ac:dyDescent="0.25">
      <c r="A5643" t="s">
        <v>9772</v>
      </c>
      <c r="B5643" t="s">
        <v>13</v>
      </c>
      <c r="C5643" s="1">
        <v>44144</v>
      </c>
      <c r="D5643" t="s">
        <v>9773</v>
      </c>
      <c r="E5643" t="s">
        <v>9774</v>
      </c>
      <c r="F5643" t="s">
        <v>1464</v>
      </c>
      <c r="G5643" t="s">
        <v>6420</v>
      </c>
      <c r="H5643" t="s">
        <v>1802</v>
      </c>
      <c r="I5643" t="s">
        <v>19</v>
      </c>
      <c r="J5643" s="3" t="s">
        <v>6421</v>
      </c>
      <c r="K5643" t="s">
        <v>6422</v>
      </c>
      <c r="L5643" t="s">
        <v>6423</v>
      </c>
      <c r="M5643" t="s">
        <v>337</v>
      </c>
    </row>
    <row r="5644" spans="1:13" x14ac:dyDescent="0.25">
      <c r="A5644" t="s">
        <v>10039</v>
      </c>
      <c r="B5644" t="s">
        <v>13</v>
      </c>
      <c r="C5644" t="s">
        <v>7112</v>
      </c>
      <c r="D5644" t="s">
        <v>10040</v>
      </c>
      <c r="E5644" t="s">
        <v>9774</v>
      </c>
      <c r="F5644" t="s">
        <v>1464</v>
      </c>
      <c r="G5644" t="s">
        <v>6420</v>
      </c>
      <c r="H5644" t="s">
        <v>1802</v>
      </c>
      <c r="I5644" t="s">
        <v>19</v>
      </c>
      <c r="J5644" s="3" t="s">
        <v>6421</v>
      </c>
      <c r="K5644" t="s">
        <v>6422</v>
      </c>
      <c r="L5644" t="s">
        <v>6423</v>
      </c>
      <c r="M5644" t="s">
        <v>337</v>
      </c>
    </row>
    <row r="5645" spans="1:13" x14ac:dyDescent="0.25">
      <c r="A5645" t="s">
        <v>29478</v>
      </c>
      <c r="B5645" t="s">
        <v>13</v>
      </c>
      <c r="C5645" t="s">
        <v>29467</v>
      </c>
      <c r="D5645" t="s">
        <v>29479</v>
      </c>
      <c r="E5645" t="s">
        <v>29480</v>
      </c>
      <c r="F5645" t="s">
        <v>1464</v>
      </c>
      <c r="G5645" t="s">
        <v>29481</v>
      </c>
      <c r="H5645" t="s">
        <v>71</v>
      </c>
      <c r="I5645" t="s">
        <v>19</v>
      </c>
      <c r="J5645" s="3" t="s">
        <v>29482</v>
      </c>
      <c r="K5645" t="s">
        <v>29483</v>
      </c>
      <c r="L5645" t="s">
        <v>74</v>
      </c>
      <c r="M5645" t="s">
        <v>337</v>
      </c>
    </row>
    <row r="5646" spans="1:13" x14ac:dyDescent="0.25">
      <c r="A5646" t="s">
        <v>27180</v>
      </c>
      <c r="B5646" t="s">
        <v>13</v>
      </c>
      <c r="C5646" s="1">
        <v>42461</v>
      </c>
      <c r="D5646" t="s">
        <v>27181</v>
      </c>
      <c r="E5646" t="s">
        <v>27182</v>
      </c>
      <c r="F5646" t="s">
        <v>1464</v>
      </c>
      <c r="G5646" t="s">
        <v>13785</v>
      </c>
      <c r="H5646" t="s">
        <v>45</v>
      </c>
      <c r="I5646" t="s">
        <v>19</v>
      </c>
      <c r="J5646" s="3" t="s">
        <v>13786</v>
      </c>
      <c r="K5646" t="s">
        <v>13787</v>
      </c>
      <c r="L5646" t="s">
        <v>1909</v>
      </c>
      <c r="M5646" t="s">
        <v>337</v>
      </c>
    </row>
    <row r="5647" spans="1:13" x14ac:dyDescent="0.25">
      <c r="A5647" t="s">
        <v>24764</v>
      </c>
      <c r="B5647" t="s">
        <v>13</v>
      </c>
      <c r="C5647" s="1">
        <v>43009</v>
      </c>
      <c r="D5647" t="s">
        <v>24765</v>
      </c>
      <c r="E5647" t="s">
        <v>24766</v>
      </c>
      <c r="F5647" t="s">
        <v>332</v>
      </c>
      <c r="G5647" t="s">
        <v>23868</v>
      </c>
      <c r="H5647" t="s">
        <v>615</v>
      </c>
      <c r="I5647" t="s">
        <v>19</v>
      </c>
      <c r="J5647" s="3" t="s">
        <v>23869</v>
      </c>
      <c r="K5647" t="s">
        <v>23870</v>
      </c>
      <c r="L5647" t="s">
        <v>618</v>
      </c>
      <c r="M5647" t="s">
        <v>337</v>
      </c>
    </row>
    <row r="5648" spans="1:13" x14ac:dyDescent="0.25">
      <c r="A5648" t="s">
        <v>9858</v>
      </c>
      <c r="B5648" t="s">
        <v>13</v>
      </c>
      <c r="C5648" s="1">
        <v>44083</v>
      </c>
      <c r="D5648" t="s">
        <v>9859</v>
      </c>
      <c r="E5648" t="s">
        <v>9860</v>
      </c>
      <c r="F5648" t="s">
        <v>332</v>
      </c>
      <c r="G5648" t="s">
        <v>9861</v>
      </c>
      <c r="H5648" t="s">
        <v>1090</v>
      </c>
      <c r="I5648" t="s">
        <v>19</v>
      </c>
      <c r="J5648" s="3">
        <f>55-83-999467971</f>
        <v>-999467999</v>
      </c>
      <c r="K5648" t="s">
        <v>8166</v>
      </c>
      <c r="L5648" t="s">
        <v>1092</v>
      </c>
      <c r="M5648" t="s">
        <v>337</v>
      </c>
    </row>
    <row r="5649" spans="1:13" x14ac:dyDescent="0.25">
      <c r="A5649" t="s">
        <v>11382</v>
      </c>
      <c r="B5649" t="s">
        <v>13</v>
      </c>
      <c r="C5649" t="s">
        <v>11383</v>
      </c>
      <c r="D5649" t="s">
        <v>11384</v>
      </c>
      <c r="E5649" t="s">
        <v>11385</v>
      </c>
      <c r="F5649" t="s">
        <v>332</v>
      </c>
      <c r="G5649" t="s">
        <v>6970</v>
      </c>
      <c r="H5649" t="s">
        <v>11386</v>
      </c>
      <c r="I5649" t="s">
        <v>19</v>
      </c>
      <c r="J5649" s="3">
        <v>3232356322</v>
      </c>
      <c r="K5649" t="s">
        <v>6972</v>
      </c>
      <c r="L5649" t="s">
        <v>321</v>
      </c>
      <c r="M5649" t="s">
        <v>337</v>
      </c>
    </row>
    <row r="5650" spans="1:13" x14ac:dyDescent="0.25">
      <c r="A5650" t="s">
        <v>3211</v>
      </c>
      <c r="B5650" t="s">
        <v>13</v>
      </c>
      <c r="C5650" t="s">
        <v>3199</v>
      </c>
      <c r="D5650" t="s">
        <v>3212</v>
      </c>
      <c r="E5650" t="s">
        <v>2991</v>
      </c>
      <c r="F5650" t="s">
        <v>3213</v>
      </c>
      <c r="G5650" t="s">
        <v>3214</v>
      </c>
      <c r="H5650" t="s">
        <v>372</v>
      </c>
      <c r="I5650" t="s">
        <v>19</v>
      </c>
      <c r="J5650" s="3" t="s">
        <v>3215</v>
      </c>
      <c r="K5650" t="s">
        <v>3216</v>
      </c>
      <c r="L5650" t="s">
        <v>3217</v>
      </c>
      <c r="M5650" t="s">
        <v>57</v>
      </c>
    </row>
    <row r="5651" spans="1:13" x14ac:dyDescent="0.25">
      <c r="A5651" t="s">
        <v>3449</v>
      </c>
      <c r="B5651" t="s">
        <v>13</v>
      </c>
      <c r="C5651" s="1">
        <v>44779</v>
      </c>
      <c r="D5651" t="s">
        <v>3450</v>
      </c>
      <c r="E5651" t="s">
        <v>2991</v>
      </c>
      <c r="F5651" t="s">
        <v>3451</v>
      </c>
      <c r="G5651" t="s">
        <v>3452</v>
      </c>
      <c r="H5651" t="s">
        <v>3453</v>
      </c>
      <c r="I5651" t="s">
        <v>19</v>
      </c>
      <c r="J5651" s="3" t="s">
        <v>3454</v>
      </c>
      <c r="K5651" t="s">
        <v>3455</v>
      </c>
      <c r="L5651" t="s">
        <v>3456</v>
      </c>
      <c r="M5651" t="s">
        <v>337</v>
      </c>
    </row>
    <row r="5652" spans="1:13" x14ac:dyDescent="0.25">
      <c r="A5652" t="s">
        <v>26465</v>
      </c>
      <c r="B5652" t="s">
        <v>13</v>
      </c>
      <c r="C5652" t="s">
        <v>26466</v>
      </c>
      <c r="D5652" t="s">
        <v>26467</v>
      </c>
      <c r="E5652" t="s">
        <v>26468</v>
      </c>
      <c r="F5652" t="s">
        <v>1464</v>
      </c>
      <c r="G5652" t="s">
        <v>26469</v>
      </c>
      <c r="H5652" t="s">
        <v>18</v>
      </c>
      <c r="I5652" t="s">
        <v>19</v>
      </c>
      <c r="J5652" s="3">
        <f>55193211-3600</f>
        <v>55189611</v>
      </c>
      <c r="K5652" t="s">
        <v>26470</v>
      </c>
      <c r="L5652" t="s">
        <v>26471</v>
      </c>
      <c r="M5652" t="s">
        <v>32144</v>
      </c>
    </row>
    <row r="5653" spans="1:13" x14ac:dyDescent="0.25">
      <c r="A5653" t="s">
        <v>14038</v>
      </c>
      <c r="B5653" t="s">
        <v>13</v>
      </c>
      <c r="C5653" t="s">
        <v>14039</v>
      </c>
      <c r="D5653" t="s">
        <v>14040</v>
      </c>
      <c r="E5653" t="s">
        <v>14041</v>
      </c>
      <c r="F5653" t="s">
        <v>332</v>
      </c>
      <c r="G5653" t="s">
        <v>11622</v>
      </c>
      <c r="H5653" t="s">
        <v>88</v>
      </c>
      <c r="I5653" t="s">
        <v>19</v>
      </c>
      <c r="J5653" s="3" t="s">
        <v>14042</v>
      </c>
      <c r="K5653" t="s">
        <v>11623</v>
      </c>
      <c r="L5653" t="s">
        <v>91</v>
      </c>
      <c r="M5653" t="s">
        <v>337</v>
      </c>
    </row>
    <row r="5654" spans="1:13" x14ac:dyDescent="0.25">
      <c r="A5654" t="s">
        <v>17137</v>
      </c>
      <c r="B5654" t="s">
        <v>13</v>
      </c>
      <c r="C5654" s="1">
        <v>43744</v>
      </c>
      <c r="D5654" t="s">
        <v>17138</v>
      </c>
      <c r="E5654" t="s">
        <v>17139</v>
      </c>
      <c r="F5654" t="s">
        <v>9969</v>
      </c>
      <c r="G5654" t="s">
        <v>17140</v>
      </c>
      <c r="H5654" t="s">
        <v>409</v>
      </c>
      <c r="I5654" t="s">
        <v>19</v>
      </c>
      <c r="J5654" s="3" t="s">
        <v>17141</v>
      </c>
      <c r="K5654" t="s">
        <v>17142</v>
      </c>
      <c r="L5654" t="s">
        <v>412</v>
      </c>
      <c r="M5654" t="s">
        <v>32149</v>
      </c>
    </row>
    <row r="5655" spans="1:13" x14ac:dyDescent="0.25">
      <c r="A5655" t="s">
        <v>18016</v>
      </c>
      <c r="B5655" t="s">
        <v>13</v>
      </c>
      <c r="C5655" t="s">
        <v>14236</v>
      </c>
      <c r="D5655" t="s">
        <v>18017</v>
      </c>
      <c r="E5655" s="2" t="s">
        <v>31953</v>
      </c>
      <c r="F5655" t="s">
        <v>9969</v>
      </c>
      <c r="G5655" t="s">
        <v>18018</v>
      </c>
      <c r="H5655" t="s">
        <v>36</v>
      </c>
      <c r="I5655" t="s">
        <v>19</v>
      </c>
      <c r="J5655" s="3" t="s">
        <v>18019</v>
      </c>
      <c r="K5655" t="s">
        <v>18020</v>
      </c>
      <c r="L5655" t="s">
        <v>18021</v>
      </c>
      <c r="M5655" t="s">
        <v>32149</v>
      </c>
    </row>
    <row r="5656" spans="1:13" x14ac:dyDescent="0.25">
      <c r="A5656" t="s">
        <v>12110</v>
      </c>
      <c r="B5656" t="s">
        <v>13</v>
      </c>
      <c r="C5656" t="s">
        <v>9668</v>
      </c>
      <c r="D5656" t="s">
        <v>12111</v>
      </c>
      <c r="E5656" t="s">
        <v>12112</v>
      </c>
      <c r="F5656" t="s">
        <v>1464</v>
      </c>
      <c r="G5656" t="s">
        <v>12113</v>
      </c>
      <c r="H5656" t="s">
        <v>1072</v>
      </c>
      <c r="I5656" t="s">
        <v>19</v>
      </c>
      <c r="J5656" s="3" t="s">
        <v>12114</v>
      </c>
      <c r="K5656" t="s">
        <v>12115</v>
      </c>
      <c r="L5656" t="s">
        <v>12116</v>
      </c>
      <c r="M5656" t="s">
        <v>741</v>
      </c>
    </row>
    <row r="5657" spans="1:13" x14ac:dyDescent="0.25">
      <c r="A5657" t="s">
        <v>15460</v>
      </c>
      <c r="B5657" t="s">
        <v>13</v>
      </c>
      <c r="C5657" t="s">
        <v>10689</v>
      </c>
      <c r="D5657" t="s">
        <v>15461</v>
      </c>
      <c r="E5657" s="2" t="s">
        <v>31866</v>
      </c>
      <c r="F5657" t="s">
        <v>57</v>
      </c>
      <c r="G5657" t="s">
        <v>15370</v>
      </c>
      <c r="H5657" t="s">
        <v>578</v>
      </c>
      <c r="I5657" t="s">
        <v>19</v>
      </c>
      <c r="J5657" s="3">
        <f>55-92-981286708</f>
        <v>-981286745</v>
      </c>
      <c r="K5657" t="s">
        <v>15371</v>
      </c>
      <c r="L5657" t="s">
        <v>15372</v>
      </c>
      <c r="M5657" t="s">
        <v>57</v>
      </c>
    </row>
    <row r="5658" spans="1:13" x14ac:dyDescent="0.25">
      <c r="A5658" t="s">
        <v>4731</v>
      </c>
      <c r="B5658" t="s">
        <v>13</v>
      </c>
      <c r="C5658" t="s">
        <v>4698</v>
      </c>
      <c r="D5658" t="s">
        <v>4732</v>
      </c>
      <c r="E5658" s="2" t="s">
        <v>30821</v>
      </c>
      <c r="F5658" t="s">
        <v>77</v>
      </c>
      <c r="G5658" t="s">
        <v>4733</v>
      </c>
      <c r="H5658" t="s">
        <v>352</v>
      </c>
      <c r="I5658" t="s">
        <v>19</v>
      </c>
      <c r="J5658" s="3">
        <f>55-21-971931315</f>
        <v>-971931281</v>
      </c>
      <c r="K5658" t="s">
        <v>4734</v>
      </c>
      <c r="L5658" t="s">
        <v>4735</v>
      </c>
      <c r="M5658" t="s">
        <v>1775</v>
      </c>
    </row>
    <row r="5659" spans="1:13" x14ac:dyDescent="0.25">
      <c r="A5659" t="s">
        <v>23719</v>
      </c>
      <c r="B5659" t="s">
        <v>101</v>
      </c>
      <c r="C5659" t="s">
        <v>23720</v>
      </c>
      <c r="D5659" t="s">
        <v>23721</v>
      </c>
      <c r="E5659" t="s">
        <v>32696</v>
      </c>
      <c r="F5659" t="s">
        <v>23722</v>
      </c>
      <c r="G5659" t="s">
        <v>23675</v>
      </c>
      <c r="H5659" t="s">
        <v>23676</v>
      </c>
      <c r="I5659" t="s">
        <v>19</v>
      </c>
      <c r="J5659" s="3" t="s">
        <v>23677</v>
      </c>
      <c r="K5659" t="s">
        <v>23678</v>
      </c>
      <c r="L5659" t="s">
        <v>439</v>
      </c>
      <c r="M5659" t="s">
        <v>1775</v>
      </c>
    </row>
    <row r="5660" spans="1:13" x14ac:dyDescent="0.25">
      <c r="A5660" t="s">
        <v>1556</v>
      </c>
      <c r="B5660" t="s">
        <v>13</v>
      </c>
      <c r="C5660" t="s">
        <v>1547</v>
      </c>
      <c r="D5660" t="s">
        <v>1557</v>
      </c>
      <c r="E5660" s="2" t="s">
        <v>31605</v>
      </c>
      <c r="F5660" t="s">
        <v>1558</v>
      </c>
      <c r="G5660" t="s">
        <v>1559</v>
      </c>
      <c r="H5660" t="s">
        <v>428</v>
      </c>
      <c r="I5660" t="s">
        <v>19</v>
      </c>
      <c r="J5660" s="3" t="s">
        <v>1560</v>
      </c>
      <c r="K5660" t="s">
        <v>1561</v>
      </c>
      <c r="L5660" t="s">
        <v>1113</v>
      </c>
      <c r="M5660" t="s">
        <v>129</v>
      </c>
    </row>
    <row r="5661" spans="1:13" x14ac:dyDescent="0.25">
      <c r="A5661" t="s">
        <v>1562</v>
      </c>
      <c r="B5661" t="s">
        <v>13</v>
      </c>
      <c r="C5661" t="s">
        <v>1547</v>
      </c>
      <c r="D5661" t="s">
        <v>1563</v>
      </c>
      <c r="E5661" t="s">
        <v>1564</v>
      </c>
      <c r="F5661" t="s">
        <v>1565</v>
      </c>
      <c r="G5661" t="s">
        <v>1566</v>
      </c>
      <c r="H5661" t="s">
        <v>265</v>
      </c>
      <c r="I5661" t="s">
        <v>19</v>
      </c>
      <c r="J5661" s="3" t="s">
        <v>1567</v>
      </c>
      <c r="K5661" t="s">
        <v>1568</v>
      </c>
      <c r="L5661" t="s">
        <v>1569</v>
      </c>
      <c r="M5661" t="s">
        <v>32144</v>
      </c>
    </row>
    <row r="5662" spans="1:13" x14ac:dyDescent="0.25">
      <c r="A5662" t="s">
        <v>11768</v>
      </c>
      <c r="B5662" t="s">
        <v>13</v>
      </c>
      <c r="C5662" t="s">
        <v>127</v>
      </c>
      <c r="D5662" t="s">
        <v>11769</v>
      </c>
      <c r="E5662" t="s">
        <v>11770</v>
      </c>
      <c r="F5662" t="s">
        <v>332</v>
      </c>
      <c r="G5662" t="s">
        <v>11771</v>
      </c>
      <c r="H5662" t="s">
        <v>352</v>
      </c>
      <c r="I5662" t="s">
        <v>19</v>
      </c>
      <c r="J5662" s="3">
        <v>5521992714918</v>
      </c>
      <c r="K5662" t="s">
        <v>5528</v>
      </c>
      <c r="L5662" t="s">
        <v>550</v>
      </c>
      <c r="M5662" t="s">
        <v>337</v>
      </c>
    </row>
    <row r="5663" spans="1:13" x14ac:dyDescent="0.25">
      <c r="A5663" t="s">
        <v>22696</v>
      </c>
      <c r="B5663" t="s">
        <v>101</v>
      </c>
      <c r="C5663" s="1">
        <v>43160</v>
      </c>
      <c r="D5663" t="s">
        <v>22697</v>
      </c>
      <c r="E5663" t="s">
        <v>32697</v>
      </c>
      <c r="F5663" t="s">
        <v>11797</v>
      </c>
      <c r="G5663" t="s">
        <v>22698</v>
      </c>
      <c r="H5663" t="s">
        <v>17395</v>
      </c>
      <c r="I5663" t="s">
        <v>19</v>
      </c>
      <c r="J5663" s="3" t="s">
        <v>22699</v>
      </c>
      <c r="K5663" t="s">
        <v>22700</v>
      </c>
      <c r="L5663" t="s">
        <v>22701</v>
      </c>
      <c r="M5663" t="s">
        <v>32195</v>
      </c>
    </row>
    <row r="5664" spans="1:13" x14ac:dyDescent="0.25">
      <c r="A5664" t="s">
        <v>19452</v>
      </c>
      <c r="B5664" t="s">
        <v>13</v>
      </c>
      <c r="C5664" t="s">
        <v>19453</v>
      </c>
      <c r="D5664" t="s">
        <v>19454</v>
      </c>
      <c r="E5664" t="s">
        <v>19455</v>
      </c>
      <c r="F5664" t="s">
        <v>1775</v>
      </c>
      <c r="G5664" t="s">
        <v>19456</v>
      </c>
      <c r="H5664" t="s">
        <v>936</v>
      </c>
      <c r="I5664" t="s">
        <v>19</v>
      </c>
      <c r="J5664" s="3">
        <v>5577991912281</v>
      </c>
      <c r="K5664" t="s">
        <v>19457</v>
      </c>
      <c r="L5664" t="s">
        <v>19458</v>
      </c>
      <c r="M5664" t="s">
        <v>1775</v>
      </c>
    </row>
    <row r="5665" spans="1:13" x14ac:dyDescent="0.25">
      <c r="A5665" t="s">
        <v>17795</v>
      </c>
      <c r="B5665" t="s">
        <v>13</v>
      </c>
      <c r="C5665" s="1">
        <v>43110</v>
      </c>
      <c r="D5665" t="s">
        <v>17796</v>
      </c>
      <c r="E5665" t="s">
        <v>17797</v>
      </c>
      <c r="F5665" t="s">
        <v>1129</v>
      </c>
      <c r="G5665" t="s">
        <v>17798</v>
      </c>
      <c r="H5665" t="s">
        <v>472</v>
      </c>
      <c r="I5665" t="s">
        <v>19</v>
      </c>
      <c r="J5665" s="3" t="s">
        <v>17799</v>
      </c>
      <c r="K5665" t="s">
        <v>17800</v>
      </c>
      <c r="L5665" t="s">
        <v>2101</v>
      </c>
      <c r="M5665" t="s">
        <v>224</v>
      </c>
    </row>
    <row r="5666" spans="1:13" x14ac:dyDescent="0.25">
      <c r="A5666" t="s">
        <v>12512</v>
      </c>
      <c r="B5666" t="s">
        <v>101</v>
      </c>
      <c r="C5666" s="1">
        <v>43894</v>
      </c>
      <c r="D5666" t="s">
        <v>12513</v>
      </c>
      <c r="E5666" t="s">
        <v>12514</v>
      </c>
      <c r="F5666" t="s">
        <v>1129</v>
      </c>
      <c r="G5666" t="s">
        <v>5202</v>
      </c>
      <c r="H5666" t="s">
        <v>1486</v>
      </c>
      <c r="I5666" t="s">
        <v>19</v>
      </c>
      <c r="J5666" s="3" t="s">
        <v>12515</v>
      </c>
      <c r="K5666" t="s">
        <v>5204</v>
      </c>
      <c r="L5666" t="s">
        <v>12516</v>
      </c>
      <c r="M5666" t="s">
        <v>224</v>
      </c>
    </row>
    <row r="5667" spans="1:13" x14ac:dyDescent="0.25">
      <c r="A5667" t="s">
        <v>6858</v>
      </c>
      <c r="B5667" t="s">
        <v>13</v>
      </c>
      <c r="C5667" t="s">
        <v>4220</v>
      </c>
      <c r="D5667" t="s">
        <v>6859</v>
      </c>
      <c r="E5667" t="s">
        <v>6860</v>
      </c>
      <c r="F5667" t="s">
        <v>2758</v>
      </c>
      <c r="G5667" t="s">
        <v>6528</v>
      </c>
      <c r="H5667" t="s">
        <v>6529</v>
      </c>
      <c r="I5667" t="s">
        <v>19</v>
      </c>
      <c r="J5667" s="3">
        <f>55-27-996087012</f>
        <v>-996086984</v>
      </c>
      <c r="K5667" t="s">
        <v>6530</v>
      </c>
      <c r="L5667" t="s">
        <v>1050</v>
      </c>
      <c r="M5667" t="s">
        <v>32149</v>
      </c>
    </row>
    <row r="5668" spans="1:13" x14ac:dyDescent="0.25">
      <c r="A5668" t="s">
        <v>17087</v>
      </c>
      <c r="B5668" t="s">
        <v>13</v>
      </c>
      <c r="C5668" t="s">
        <v>17088</v>
      </c>
      <c r="D5668" t="s">
        <v>17089</v>
      </c>
      <c r="E5668" t="s">
        <v>32698</v>
      </c>
      <c r="F5668" t="s">
        <v>1129</v>
      </c>
      <c r="G5668" t="s">
        <v>17090</v>
      </c>
      <c r="H5668" t="s">
        <v>798</v>
      </c>
      <c r="I5668" t="s">
        <v>19</v>
      </c>
      <c r="J5668" s="3" t="s">
        <v>17091</v>
      </c>
      <c r="K5668" t="s">
        <v>17092</v>
      </c>
      <c r="L5668" t="s">
        <v>17093</v>
      </c>
      <c r="M5668" t="s">
        <v>224</v>
      </c>
    </row>
    <row r="5669" spans="1:13" x14ac:dyDescent="0.25">
      <c r="A5669" t="s">
        <v>22906</v>
      </c>
      <c r="B5669" t="s">
        <v>13</v>
      </c>
      <c r="C5669" t="s">
        <v>17176</v>
      </c>
      <c r="D5669" t="s">
        <v>22907</v>
      </c>
      <c r="E5669" t="s">
        <v>22908</v>
      </c>
      <c r="F5669" t="s">
        <v>2758</v>
      </c>
      <c r="G5669" t="s">
        <v>22909</v>
      </c>
      <c r="H5669" t="s">
        <v>36</v>
      </c>
      <c r="I5669" t="s">
        <v>19</v>
      </c>
      <c r="J5669" s="3" t="s">
        <v>22910</v>
      </c>
      <c r="K5669" t="s">
        <v>22911</v>
      </c>
      <c r="L5669" t="s">
        <v>22912</v>
      </c>
      <c r="M5669" t="s">
        <v>32149</v>
      </c>
    </row>
    <row r="5670" spans="1:13" x14ac:dyDescent="0.25">
      <c r="A5670" t="s">
        <v>16315</v>
      </c>
      <c r="B5670" t="s">
        <v>13</v>
      </c>
      <c r="C5670" t="s">
        <v>16304</v>
      </c>
      <c r="D5670" t="s">
        <v>16316</v>
      </c>
      <c r="E5670" t="s">
        <v>16317</v>
      </c>
      <c r="F5670" t="s">
        <v>2036</v>
      </c>
      <c r="G5670" t="s">
        <v>16318</v>
      </c>
      <c r="H5670" t="s">
        <v>6594</v>
      </c>
      <c r="I5670" t="s">
        <v>19</v>
      </c>
      <c r="J5670" s="3" t="s">
        <v>16319</v>
      </c>
      <c r="K5670" t="s">
        <v>16320</v>
      </c>
      <c r="L5670" t="s">
        <v>16321</v>
      </c>
      <c r="M5670" t="s">
        <v>57</v>
      </c>
    </row>
    <row r="5671" spans="1:13" x14ac:dyDescent="0.25">
      <c r="A5671" t="s">
        <v>26623</v>
      </c>
      <c r="B5671" t="s">
        <v>13</v>
      </c>
      <c r="C5671" s="1">
        <v>42464</v>
      </c>
      <c r="D5671" t="s">
        <v>26624</v>
      </c>
      <c r="E5671" s="2" t="s">
        <v>31726</v>
      </c>
      <c r="F5671" t="s">
        <v>1129</v>
      </c>
      <c r="G5671" t="s">
        <v>26340</v>
      </c>
      <c r="H5671" t="s">
        <v>150</v>
      </c>
      <c r="I5671" t="s">
        <v>19</v>
      </c>
      <c r="J5671" s="3" t="s">
        <v>26341</v>
      </c>
      <c r="K5671" t="s">
        <v>26342</v>
      </c>
      <c r="L5671" t="s">
        <v>26343</v>
      </c>
      <c r="M5671" t="s">
        <v>224</v>
      </c>
    </row>
    <row r="5672" spans="1:13" x14ac:dyDescent="0.25">
      <c r="A5672" t="s">
        <v>26669</v>
      </c>
      <c r="B5672" t="s">
        <v>13</v>
      </c>
      <c r="C5672" t="s">
        <v>26659</v>
      </c>
      <c r="D5672" t="s">
        <v>26670</v>
      </c>
      <c r="E5672" s="2" t="s">
        <v>31726</v>
      </c>
      <c r="F5672" t="s">
        <v>1129</v>
      </c>
      <c r="G5672" t="s">
        <v>26340</v>
      </c>
      <c r="H5672" t="s">
        <v>150</v>
      </c>
      <c r="I5672" t="s">
        <v>19</v>
      </c>
      <c r="J5672" s="3" t="s">
        <v>26341</v>
      </c>
      <c r="K5672" t="s">
        <v>26342</v>
      </c>
      <c r="L5672" t="s">
        <v>26343</v>
      </c>
      <c r="M5672" t="s">
        <v>224</v>
      </c>
    </row>
    <row r="5673" spans="1:13" x14ac:dyDescent="0.25">
      <c r="A5673" t="s">
        <v>26667</v>
      </c>
      <c r="B5673" t="s">
        <v>13</v>
      </c>
      <c r="C5673" t="s">
        <v>26659</v>
      </c>
      <c r="D5673" t="s">
        <v>26668</v>
      </c>
      <c r="E5673" s="2" t="s">
        <v>31726</v>
      </c>
      <c r="F5673" t="s">
        <v>1129</v>
      </c>
      <c r="G5673" t="s">
        <v>26340</v>
      </c>
      <c r="H5673" t="s">
        <v>150</v>
      </c>
      <c r="I5673" t="s">
        <v>19</v>
      </c>
      <c r="J5673" s="3" t="s">
        <v>26341</v>
      </c>
      <c r="K5673" t="s">
        <v>26342</v>
      </c>
      <c r="L5673" t="s">
        <v>26343</v>
      </c>
      <c r="M5673" t="s">
        <v>224</v>
      </c>
    </row>
    <row r="5674" spans="1:13" x14ac:dyDescent="0.25">
      <c r="A5674" t="s">
        <v>26665</v>
      </c>
      <c r="B5674" t="s">
        <v>13</v>
      </c>
      <c r="C5674" t="s">
        <v>26659</v>
      </c>
      <c r="D5674" t="s">
        <v>26666</v>
      </c>
      <c r="E5674" s="2" t="s">
        <v>31726</v>
      </c>
      <c r="F5674" t="s">
        <v>1129</v>
      </c>
      <c r="G5674" t="s">
        <v>26340</v>
      </c>
      <c r="H5674" t="s">
        <v>150</v>
      </c>
      <c r="I5674" t="s">
        <v>19</v>
      </c>
      <c r="J5674" s="3" t="s">
        <v>26341</v>
      </c>
      <c r="K5674" t="s">
        <v>26342</v>
      </c>
      <c r="L5674" t="s">
        <v>26343</v>
      </c>
      <c r="M5674" t="s">
        <v>224</v>
      </c>
    </row>
    <row r="5675" spans="1:13" x14ac:dyDescent="0.25">
      <c r="A5675" t="s">
        <v>26641</v>
      </c>
      <c r="B5675" t="s">
        <v>13</v>
      </c>
      <c r="C5675" s="1">
        <v>42373</v>
      </c>
      <c r="D5675" t="s">
        <v>26642</v>
      </c>
      <c r="E5675" s="2" t="s">
        <v>31726</v>
      </c>
      <c r="F5675" t="s">
        <v>1129</v>
      </c>
      <c r="G5675" t="s">
        <v>26340</v>
      </c>
      <c r="H5675" t="s">
        <v>150</v>
      </c>
      <c r="I5675" t="s">
        <v>19</v>
      </c>
      <c r="J5675" s="3" t="s">
        <v>26341</v>
      </c>
      <c r="K5675" t="s">
        <v>26342</v>
      </c>
      <c r="L5675" t="s">
        <v>26343</v>
      </c>
      <c r="M5675" t="s">
        <v>224</v>
      </c>
    </row>
    <row r="5676" spans="1:13" x14ac:dyDescent="0.25">
      <c r="A5676" t="s">
        <v>21088</v>
      </c>
      <c r="B5676" t="s">
        <v>13</v>
      </c>
      <c r="C5676" t="s">
        <v>16610</v>
      </c>
      <c r="D5676" t="s">
        <v>21089</v>
      </c>
      <c r="E5676" s="2" t="s">
        <v>32007</v>
      </c>
      <c r="F5676" t="s">
        <v>8193</v>
      </c>
      <c r="G5676" t="s">
        <v>21090</v>
      </c>
      <c r="H5676" t="s">
        <v>255</v>
      </c>
      <c r="I5676" t="s">
        <v>19</v>
      </c>
      <c r="J5676" s="3">
        <f>55-62-981447149</f>
        <v>-981447156</v>
      </c>
      <c r="K5676" t="s">
        <v>21091</v>
      </c>
      <c r="L5676" t="s">
        <v>4713</v>
      </c>
      <c r="M5676" t="s">
        <v>32181</v>
      </c>
    </row>
    <row r="5677" spans="1:13" x14ac:dyDescent="0.25">
      <c r="A5677" t="s">
        <v>12654</v>
      </c>
      <c r="B5677" t="s">
        <v>13</v>
      </c>
      <c r="C5677" t="s">
        <v>7461</v>
      </c>
      <c r="D5677" t="s">
        <v>12655</v>
      </c>
      <c r="E5677" t="s">
        <v>12656</v>
      </c>
      <c r="F5677" t="s">
        <v>224</v>
      </c>
      <c r="G5677" t="s">
        <v>12657</v>
      </c>
      <c r="H5677" t="s">
        <v>36</v>
      </c>
      <c r="I5677" t="s">
        <v>19</v>
      </c>
      <c r="J5677" s="3">
        <v>5511986537000</v>
      </c>
      <c r="K5677" t="s">
        <v>12658</v>
      </c>
      <c r="L5677" t="s">
        <v>328</v>
      </c>
      <c r="M5677" t="s">
        <v>224</v>
      </c>
    </row>
    <row r="5678" spans="1:13" x14ac:dyDescent="0.25">
      <c r="A5678" t="s">
        <v>12291</v>
      </c>
      <c r="B5678" t="s">
        <v>13</v>
      </c>
      <c r="C5678" t="s">
        <v>8815</v>
      </c>
      <c r="D5678" t="s">
        <v>12292</v>
      </c>
      <c r="E5678" t="s">
        <v>12293</v>
      </c>
      <c r="F5678" t="s">
        <v>32147</v>
      </c>
      <c r="G5678" t="s">
        <v>12294</v>
      </c>
      <c r="H5678" t="s">
        <v>36</v>
      </c>
      <c r="I5678" t="s">
        <v>19</v>
      </c>
      <c r="J5678" s="3">
        <v>11956598928</v>
      </c>
      <c r="K5678" t="s">
        <v>12295</v>
      </c>
      <c r="L5678" t="s">
        <v>12296</v>
      </c>
      <c r="M5678" t="s">
        <v>32147</v>
      </c>
    </row>
    <row r="5679" spans="1:13" x14ac:dyDescent="0.25">
      <c r="A5679" t="s">
        <v>16708</v>
      </c>
      <c r="B5679" t="s">
        <v>13</v>
      </c>
      <c r="C5679" t="s">
        <v>16675</v>
      </c>
      <c r="D5679" t="s">
        <v>16709</v>
      </c>
      <c r="E5679" t="s">
        <v>2690</v>
      </c>
      <c r="F5679" t="s">
        <v>2036</v>
      </c>
      <c r="G5679" t="s">
        <v>16710</v>
      </c>
      <c r="H5679" t="s">
        <v>114</v>
      </c>
      <c r="I5679" t="s">
        <v>19</v>
      </c>
      <c r="J5679" s="3">
        <f>55-83-91110716</f>
        <v>-91110744</v>
      </c>
      <c r="K5679" t="s">
        <v>16711</v>
      </c>
      <c r="L5679" t="s">
        <v>82</v>
      </c>
      <c r="M5679" t="s">
        <v>57</v>
      </c>
    </row>
    <row r="5680" spans="1:13" x14ac:dyDescent="0.25">
      <c r="A5680" t="s">
        <v>13521</v>
      </c>
      <c r="B5680" t="s">
        <v>13</v>
      </c>
      <c r="C5680" t="s">
        <v>6103</v>
      </c>
      <c r="D5680" t="s">
        <v>13522</v>
      </c>
      <c r="E5680" t="s">
        <v>2690</v>
      </c>
      <c r="F5680" t="s">
        <v>2036</v>
      </c>
      <c r="G5680" t="s">
        <v>13523</v>
      </c>
      <c r="H5680" t="s">
        <v>428</v>
      </c>
      <c r="I5680" t="s">
        <v>19</v>
      </c>
      <c r="J5680" s="3">
        <v>5551981415203</v>
      </c>
      <c r="K5680" t="s">
        <v>13524</v>
      </c>
      <c r="L5680" t="s">
        <v>1295</v>
      </c>
      <c r="M5680" t="s">
        <v>57</v>
      </c>
    </row>
    <row r="5681" spans="1:13" x14ac:dyDescent="0.25">
      <c r="A5681" t="s">
        <v>4397</v>
      </c>
      <c r="B5681" t="s">
        <v>13</v>
      </c>
      <c r="C5681" s="1">
        <v>44837</v>
      </c>
      <c r="D5681" t="s">
        <v>32135</v>
      </c>
      <c r="E5681" t="s">
        <v>2690</v>
      </c>
      <c r="F5681" t="s">
        <v>1327</v>
      </c>
      <c r="G5681" t="s">
        <v>4398</v>
      </c>
      <c r="H5681" t="s">
        <v>4092</v>
      </c>
      <c r="I5681" t="s">
        <v>19</v>
      </c>
      <c r="J5681" s="3" t="s">
        <v>4399</v>
      </c>
      <c r="K5681" t="s">
        <v>4400</v>
      </c>
      <c r="L5681" t="s">
        <v>4094</v>
      </c>
      <c r="M5681" t="s">
        <v>57</v>
      </c>
    </row>
    <row r="5682" spans="1:13" x14ac:dyDescent="0.25">
      <c r="A5682" t="s">
        <v>6012</v>
      </c>
      <c r="B5682" t="s">
        <v>13</v>
      </c>
      <c r="C5682" s="1">
        <v>44510</v>
      </c>
      <c r="D5682" t="s">
        <v>32135</v>
      </c>
      <c r="E5682" s="2" t="s">
        <v>30870</v>
      </c>
      <c r="F5682" t="s">
        <v>2968</v>
      </c>
      <c r="G5682" t="s">
        <v>4091</v>
      </c>
      <c r="H5682" t="s">
        <v>4092</v>
      </c>
      <c r="I5682" t="s">
        <v>19</v>
      </c>
      <c r="J5682" s="3" t="s">
        <v>6013</v>
      </c>
      <c r="K5682" t="s">
        <v>4093</v>
      </c>
      <c r="L5682" t="s">
        <v>32135</v>
      </c>
      <c r="M5682" t="s">
        <v>57</v>
      </c>
    </row>
    <row r="5683" spans="1:13" x14ac:dyDescent="0.25">
      <c r="A5683" t="s">
        <v>18049</v>
      </c>
      <c r="B5683" t="s">
        <v>13</v>
      </c>
      <c r="C5683" t="s">
        <v>14236</v>
      </c>
      <c r="D5683" t="s">
        <v>18050</v>
      </c>
      <c r="E5683" s="2" t="s">
        <v>32699</v>
      </c>
      <c r="F5683" t="s">
        <v>1349</v>
      </c>
      <c r="G5683" t="s">
        <v>18051</v>
      </c>
      <c r="H5683" t="s">
        <v>428</v>
      </c>
      <c r="I5683" t="s">
        <v>19</v>
      </c>
      <c r="J5683" s="3">
        <f>55-5133038700</f>
        <v>-5133038645</v>
      </c>
      <c r="K5683" t="s">
        <v>18052</v>
      </c>
      <c r="L5683" t="s">
        <v>1113</v>
      </c>
      <c r="M5683" t="s">
        <v>1349</v>
      </c>
    </row>
    <row r="5684" spans="1:13" x14ac:dyDescent="0.25">
      <c r="A5684" t="s">
        <v>28354</v>
      </c>
      <c r="B5684" t="s">
        <v>13</v>
      </c>
      <c r="C5684" s="1">
        <v>42189</v>
      </c>
      <c r="D5684" t="s">
        <v>28355</v>
      </c>
      <c r="E5684" t="s">
        <v>28356</v>
      </c>
      <c r="F5684" t="s">
        <v>57</v>
      </c>
      <c r="G5684" t="s">
        <v>28357</v>
      </c>
      <c r="H5684" t="s">
        <v>36</v>
      </c>
      <c r="I5684" t="s">
        <v>19</v>
      </c>
      <c r="J5684" s="3" t="s">
        <v>28358</v>
      </c>
      <c r="K5684" t="s">
        <v>28359</v>
      </c>
      <c r="L5684" t="s">
        <v>2712</v>
      </c>
      <c r="M5684" t="s">
        <v>57</v>
      </c>
    </row>
    <row r="5685" spans="1:13" x14ac:dyDescent="0.25">
      <c r="A5685" t="s">
        <v>21493</v>
      </c>
      <c r="B5685" t="s">
        <v>13</v>
      </c>
      <c r="C5685" t="s">
        <v>21479</v>
      </c>
      <c r="D5685" t="s">
        <v>21494</v>
      </c>
      <c r="E5685" t="s">
        <v>11501</v>
      </c>
      <c r="F5685" t="s">
        <v>57</v>
      </c>
      <c r="G5685" t="s">
        <v>18096</v>
      </c>
      <c r="H5685" t="s">
        <v>4092</v>
      </c>
      <c r="I5685" t="s">
        <v>19</v>
      </c>
      <c r="J5685" s="3">
        <v>5501434021300</v>
      </c>
      <c r="K5685" t="s">
        <v>11503</v>
      </c>
      <c r="L5685" t="s">
        <v>11504</v>
      </c>
      <c r="M5685" t="s">
        <v>57</v>
      </c>
    </row>
    <row r="5686" spans="1:13" x14ac:dyDescent="0.25">
      <c r="A5686" t="s">
        <v>11499</v>
      </c>
      <c r="B5686" t="s">
        <v>13</v>
      </c>
      <c r="C5686" t="s">
        <v>2534</v>
      </c>
      <c r="D5686" t="s">
        <v>11500</v>
      </c>
      <c r="E5686" t="s">
        <v>11501</v>
      </c>
      <c r="F5686" t="s">
        <v>57</v>
      </c>
      <c r="G5686" t="s">
        <v>11502</v>
      </c>
      <c r="H5686" t="s">
        <v>4092</v>
      </c>
      <c r="I5686" t="s">
        <v>19</v>
      </c>
      <c r="J5686" s="3">
        <v>5514991392112</v>
      </c>
      <c r="K5686" t="s">
        <v>11503</v>
      </c>
      <c r="L5686" t="s">
        <v>11504</v>
      </c>
      <c r="M5686" t="s">
        <v>57</v>
      </c>
    </row>
    <row r="5687" spans="1:13" x14ac:dyDescent="0.25">
      <c r="A5687" t="s">
        <v>7123</v>
      </c>
      <c r="B5687" t="s">
        <v>13</v>
      </c>
      <c r="C5687" s="1">
        <v>43989</v>
      </c>
      <c r="D5687" t="s">
        <v>7124</v>
      </c>
      <c r="E5687" t="s">
        <v>32700</v>
      </c>
      <c r="F5687" t="s">
        <v>2947</v>
      </c>
      <c r="G5687" t="s">
        <v>7125</v>
      </c>
      <c r="H5687" t="s">
        <v>428</v>
      </c>
      <c r="I5687" t="s">
        <v>19</v>
      </c>
      <c r="J5687" s="3">
        <f>55-51-996510255</f>
        <v>-996510251</v>
      </c>
      <c r="K5687" t="s">
        <v>7126</v>
      </c>
      <c r="L5687" t="s">
        <v>2412</v>
      </c>
      <c r="M5687" t="s">
        <v>771</v>
      </c>
    </row>
    <row r="5688" spans="1:13" x14ac:dyDescent="0.25">
      <c r="A5688" t="s">
        <v>3583</v>
      </c>
      <c r="B5688" t="s">
        <v>13</v>
      </c>
      <c r="C5688" t="s">
        <v>3575</v>
      </c>
      <c r="D5688" t="s">
        <v>3584</v>
      </c>
      <c r="E5688" t="s">
        <v>3585</v>
      </c>
      <c r="F5688" t="s">
        <v>3586</v>
      </c>
      <c r="G5688" t="s">
        <v>3587</v>
      </c>
      <c r="H5688" t="s">
        <v>489</v>
      </c>
      <c r="I5688" t="s">
        <v>19</v>
      </c>
      <c r="J5688" s="3">
        <f>55-41-99929-7700</f>
        <v>-107615</v>
      </c>
      <c r="K5688" t="s">
        <v>3588</v>
      </c>
      <c r="L5688" t="s">
        <v>625</v>
      </c>
      <c r="M5688" t="s">
        <v>32121</v>
      </c>
    </row>
    <row r="5689" spans="1:13" x14ac:dyDescent="0.25">
      <c r="A5689" t="s">
        <v>15058</v>
      </c>
      <c r="B5689" t="s">
        <v>13</v>
      </c>
      <c r="C5689" s="1">
        <v>43810</v>
      </c>
      <c r="D5689" t="s">
        <v>15059</v>
      </c>
      <c r="E5689" t="s">
        <v>15060</v>
      </c>
      <c r="F5689" t="s">
        <v>129</v>
      </c>
      <c r="G5689" t="s">
        <v>15061</v>
      </c>
      <c r="H5689" t="s">
        <v>265</v>
      </c>
      <c r="I5689" t="s">
        <v>19</v>
      </c>
      <c r="J5689" s="3">
        <f>+ 55-1636022583</f>
        <v>-1636022528</v>
      </c>
      <c r="K5689" t="s">
        <v>15062</v>
      </c>
      <c r="L5689" t="s">
        <v>15063</v>
      </c>
      <c r="M5689" t="s">
        <v>129</v>
      </c>
    </row>
    <row r="5690" spans="1:13" x14ac:dyDescent="0.25">
      <c r="A5690" t="s">
        <v>27232</v>
      </c>
      <c r="B5690" t="s">
        <v>101</v>
      </c>
      <c r="C5690" t="s">
        <v>27233</v>
      </c>
      <c r="D5690" t="s">
        <v>27234</v>
      </c>
      <c r="E5690" t="s">
        <v>2822</v>
      </c>
      <c r="F5690" t="s">
        <v>741</v>
      </c>
      <c r="G5690" t="s">
        <v>27235</v>
      </c>
      <c r="H5690" t="s">
        <v>1047</v>
      </c>
      <c r="I5690" t="s">
        <v>19</v>
      </c>
      <c r="J5690" s="3" t="s">
        <v>27236</v>
      </c>
      <c r="K5690" t="s">
        <v>27237</v>
      </c>
      <c r="L5690" t="s">
        <v>27238</v>
      </c>
      <c r="M5690" t="s">
        <v>741</v>
      </c>
    </row>
    <row r="5691" spans="1:13" x14ac:dyDescent="0.25">
      <c r="A5691" t="s">
        <v>2820</v>
      </c>
      <c r="B5691" t="s">
        <v>13</v>
      </c>
      <c r="C5691" t="s">
        <v>2821</v>
      </c>
      <c r="D5691" t="s">
        <v>32135</v>
      </c>
      <c r="E5691" t="s">
        <v>2822</v>
      </c>
      <c r="F5691" t="s">
        <v>2530</v>
      </c>
      <c r="G5691" t="s">
        <v>2823</v>
      </c>
      <c r="H5691" t="s">
        <v>1047</v>
      </c>
      <c r="I5691" t="s">
        <v>19</v>
      </c>
      <c r="J5691" s="3" t="s">
        <v>2824</v>
      </c>
      <c r="K5691" t="s">
        <v>2825</v>
      </c>
      <c r="L5691" t="s">
        <v>1050</v>
      </c>
      <c r="M5691" t="s">
        <v>741</v>
      </c>
    </row>
    <row r="5692" spans="1:13" x14ac:dyDescent="0.25">
      <c r="A5692" t="s">
        <v>24776</v>
      </c>
      <c r="B5692" t="s">
        <v>13</v>
      </c>
      <c r="C5692" s="1">
        <v>42979</v>
      </c>
      <c r="D5692" t="s">
        <v>24777</v>
      </c>
      <c r="E5692" t="s">
        <v>2822</v>
      </c>
      <c r="F5692" t="s">
        <v>1464</v>
      </c>
      <c r="G5692" t="s">
        <v>24778</v>
      </c>
      <c r="H5692" t="s">
        <v>936</v>
      </c>
      <c r="I5692" t="s">
        <v>19</v>
      </c>
      <c r="J5692" s="3">
        <v>557131762215</v>
      </c>
      <c r="K5692" t="s">
        <v>24779</v>
      </c>
      <c r="L5692" t="s">
        <v>24780</v>
      </c>
      <c r="M5692" t="s">
        <v>741</v>
      </c>
    </row>
    <row r="5693" spans="1:13" x14ac:dyDescent="0.25">
      <c r="A5693" t="s">
        <v>8453</v>
      </c>
      <c r="B5693" t="s">
        <v>13</v>
      </c>
      <c r="C5693" t="s">
        <v>3727</v>
      </c>
      <c r="D5693" t="s">
        <v>32135</v>
      </c>
      <c r="E5693" t="s">
        <v>8454</v>
      </c>
      <c r="F5693" t="s">
        <v>8455</v>
      </c>
      <c r="G5693" t="s">
        <v>8456</v>
      </c>
      <c r="H5693" t="s">
        <v>352</v>
      </c>
      <c r="I5693" t="s">
        <v>19</v>
      </c>
      <c r="J5693" s="3">
        <v>5521997948712</v>
      </c>
      <c r="K5693" t="s">
        <v>8457</v>
      </c>
      <c r="L5693" t="s">
        <v>32135</v>
      </c>
      <c r="M5693" t="s">
        <v>432</v>
      </c>
    </row>
    <row r="5694" spans="1:13" x14ac:dyDescent="0.25">
      <c r="A5694" t="s">
        <v>18644</v>
      </c>
      <c r="B5694" t="s">
        <v>13</v>
      </c>
      <c r="C5694" t="s">
        <v>8477</v>
      </c>
      <c r="D5694" t="s">
        <v>18645</v>
      </c>
      <c r="E5694" t="s">
        <v>18646</v>
      </c>
      <c r="F5694" t="s">
        <v>1464</v>
      </c>
      <c r="G5694" t="s">
        <v>18647</v>
      </c>
      <c r="H5694" t="s">
        <v>13456</v>
      </c>
      <c r="I5694" t="s">
        <v>19</v>
      </c>
      <c r="J5694" s="3">
        <f>55-27-33357013</f>
        <v>-33356985</v>
      </c>
      <c r="K5694" t="s">
        <v>18648</v>
      </c>
      <c r="L5694" t="s">
        <v>14440</v>
      </c>
      <c r="M5694" t="s">
        <v>741</v>
      </c>
    </row>
    <row r="5695" spans="1:13" x14ac:dyDescent="0.25">
      <c r="A5695" t="s">
        <v>27809</v>
      </c>
      <c r="B5695" t="s">
        <v>13</v>
      </c>
      <c r="C5695" t="s">
        <v>27810</v>
      </c>
      <c r="D5695" t="s">
        <v>27811</v>
      </c>
      <c r="E5695" t="s">
        <v>27812</v>
      </c>
      <c r="F5695" t="s">
        <v>1464</v>
      </c>
      <c r="G5695" t="s">
        <v>27813</v>
      </c>
      <c r="H5695" t="s">
        <v>472</v>
      </c>
      <c r="I5695" t="s">
        <v>19</v>
      </c>
      <c r="J5695" s="3" t="s">
        <v>27814</v>
      </c>
      <c r="K5695" t="s">
        <v>27815</v>
      </c>
      <c r="L5695" t="s">
        <v>27816</v>
      </c>
      <c r="M5695" t="s">
        <v>741</v>
      </c>
    </row>
    <row r="5696" spans="1:13" x14ac:dyDescent="0.25">
      <c r="A5696" t="s">
        <v>10069</v>
      </c>
      <c r="B5696" t="s">
        <v>13</v>
      </c>
      <c r="C5696" s="1">
        <v>43226</v>
      </c>
      <c r="D5696" t="s">
        <v>10070</v>
      </c>
      <c r="E5696" s="2" t="s">
        <v>30980</v>
      </c>
      <c r="F5696" t="s">
        <v>10034</v>
      </c>
      <c r="G5696" t="s">
        <v>10071</v>
      </c>
      <c r="H5696" t="s">
        <v>472</v>
      </c>
      <c r="I5696" t="s">
        <v>19</v>
      </c>
      <c r="J5696" s="3">
        <v>558121268527</v>
      </c>
      <c r="K5696" t="s">
        <v>10072</v>
      </c>
      <c r="L5696" t="s">
        <v>2101</v>
      </c>
      <c r="M5696" t="s">
        <v>741</v>
      </c>
    </row>
    <row r="5697" spans="1:13" x14ac:dyDescent="0.25">
      <c r="A5697" t="s">
        <v>8766</v>
      </c>
      <c r="B5697" t="s">
        <v>101</v>
      </c>
      <c r="C5697" t="s">
        <v>499</v>
      </c>
      <c r="D5697" t="s">
        <v>8767</v>
      </c>
      <c r="E5697" s="2" t="s">
        <v>31675</v>
      </c>
      <c r="F5697" t="s">
        <v>741</v>
      </c>
      <c r="G5697" t="s">
        <v>8765</v>
      </c>
      <c r="H5697" t="s">
        <v>352</v>
      </c>
      <c r="I5697" t="s">
        <v>19</v>
      </c>
      <c r="J5697" s="3">
        <f>55-21-39386708</f>
        <v>-39386674</v>
      </c>
      <c r="K5697" t="s">
        <v>8457</v>
      </c>
      <c r="L5697" t="s">
        <v>2456</v>
      </c>
      <c r="M5697" t="s">
        <v>741</v>
      </c>
    </row>
    <row r="5698" spans="1:13" x14ac:dyDescent="0.25">
      <c r="A5698" t="s">
        <v>8763</v>
      </c>
      <c r="B5698" t="s">
        <v>101</v>
      </c>
      <c r="C5698" s="1">
        <v>43931</v>
      </c>
      <c r="D5698" t="s">
        <v>8764</v>
      </c>
      <c r="E5698" s="2" t="s">
        <v>32031</v>
      </c>
      <c r="F5698" t="s">
        <v>741</v>
      </c>
      <c r="G5698" t="s">
        <v>8765</v>
      </c>
      <c r="H5698" t="s">
        <v>352</v>
      </c>
      <c r="I5698" t="s">
        <v>19</v>
      </c>
      <c r="J5698" s="3">
        <f>55-21-39386708</f>
        <v>-39386674</v>
      </c>
      <c r="K5698" t="s">
        <v>8457</v>
      </c>
      <c r="L5698" t="s">
        <v>2456</v>
      </c>
      <c r="M5698" t="s">
        <v>741</v>
      </c>
    </row>
    <row r="5699" spans="1:13" x14ac:dyDescent="0.25">
      <c r="A5699" t="s">
        <v>23592</v>
      </c>
      <c r="B5699" t="s">
        <v>13</v>
      </c>
      <c r="C5699" s="1">
        <v>42864</v>
      </c>
      <c r="D5699" t="s">
        <v>23593</v>
      </c>
      <c r="E5699" t="s">
        <v>23594</v>
      </c>
      <c r="F5699" t="s">
        <v>2947</v>
      </c>
      <c r="G5699" t="s">
        <v>23595</v>
      </c>
      <c r="H5699" t="s">
        <v>88</v>
      </c>
      <c r="I5699" t="s">
        <v>19</v>
      </c>
      <c r="J5699" s="3" t="s">
        <v>23596</v>
      </c>
      <c r="K5699" t="s">
        <v>23597</v>
      </c>
      <c r="L5699" t="s">
        <v>91</v>
      </c>
      <c r="M5699" t="s">
        <v>771</v>
      </c>
    </row>
    <row r="5700" spans="1:13" x14ac:dyDescent="0.25">
      <c r="A5700" t="s">
        <v>6978</v>
      </c>
      <c r="B5700" t="s">
        <v>13</v>
      </c>
      <c r="C5700" s="1">
        <v>44234</v>
      </c>
      <c r="D5700" t="s">
        <v>32135</v>
      </c>
      <c r="E5700" t="s">
        <v>32701</v>
      </c>
      <c r="F5700" t="s">
        <v>6979</v>
      </c>
      <c r="G5700" t="s">
        <v>6980</v>
      </c>
      <c r="H5700" t="s">
        <v>2626</v>
      </c>
      <c r="I5700" t="s">
        <v>19</v>
      </c>
      <c r="J5700" s="3">
        <v>5516981228017</v>
      </c>
      <c r="K5700" t="s">
        <v>6981</v>
      </c>
      <c r="L5700" t="s">
        <v>32135</v>
      </c>
      <c r="M5700" t="s">
        <v>1349</v>
      </c>
    </row>
    <row r="5701" spans="1:13" x14ac:dyDescent="0.25">
      <c r="A5701" t="s">
        <v>5047</v>
      </c>
      <c r="B5701" t="s">
        <v>13</v>
      </c>
      <c r="C5701" t="s">
        <v>5048</v>
      </c>
      <c r="D5701" t="s">
        <v>32135</v>
      </c>
      <c r="E5701" t="s">
        <v>5049</v>
      </c>
      <c r="F5701" t="s">
        <v>4308</v>
      </c>
      <c r="G5701" t="s">
        <v>5050</v>
      </c>
      <c r="H5701" t="s">
        <v>1802</v>
      </c>
      <c r="I5701" t="s">
        <v>19</v>
      </c>
      <c r="J5701" s="3" t="s">
        <v>5051</v>
      </c>
      <c r="K5701" t="s">
        <v>5052</v>
      </c>
      <c r="L5701" t="s">
        <v>32135</v>
      </c>
      <c r="M5701" t="s">
        <v>792</v>
      </c>
    </row>
    <row r="5702" spans="1:13" x14ac:dyDescent="0.25">
      <c r="A5702" t="s">
        <v>2399</v>
      </c>
      <c r="B5702" t="s">
        <v>13</v>
      </c>
      <c r="C5702" t="s">
        <v>2366</v>
      </c>
      <c r="D5702" t="s">
        <v>2400</v>
      </c>
      <c r="E5702" t="s">
        <v>2401</v>
      </c>
      <c r="F5702" t="s">
        <v>2402</v>
      </c>
      <c r="G5702" t="s">
        <v>1909</v>
      </c>
      <c r="H5702" t="s">
        <v>45</v>
      </c>
      <c r="I5702" t="s">
        <v>19</v>
      </c>
      <c r="J5702" s="3" t="s">
        <v>2403</v>
      </c>
      <c r="K5702" t="s">
        <v>2404</v>
      </c>
      <c r="L5702" t="s">
        <v>1909</v>
      </c>
      <c r="M5702" t="s">
        <v>32145</v>
      </c>
    </row>
    <row r="5703" spans="1:13" x14ac:dyDescent="0.25">
      <c r="A5703" t="s">
        <v>19891</v>
      </c>
      <c r="B5703" t="s">
        <v>13</v>
      </c>
      <c r="C5703" t="s">
        <v>12776</v>
      </c>
      <c r="D5703" t="s">
        <v>19892</v>
      </c>
      <c r="E5703" t="s">
        <v>2401</v>
      </c>
      <c r="F5703" t="s">
        <v>117</v>
      </c>
      <c r="G5703" t="s">
        <v>19893</v>
      </c>
      <c r="H5703" t="s">
        <v>428</v>
      </c>
      <c r="I5703" t="s">
        <v>19</v>
      </c>
      <c r="J5703" s="3">
        <v>555133627371</v>
      </c>
      <c r="K5703" t="s">
        <v>19894</v>
      </c>
      <c r="L5703" t="s">
        <v>19895</v>
      </c>
      <c r="M5703" t="s">
        <v>32145</v>
      </c>
    </row>
    <row r="5704" spans="1:13" x14ac:dyDescent="0.25">
      <c r="A5704" t="s">
        <v>21645</v>
      </c>
      <c r="B5704" t="s">
        <v>13</v>
      </c>
      <c r="C5704" s="1">
        <v>43195</v>
      </c>
      <c r="D5704" t="s">
        <v>21646</v>
      </c>
      <c r="E5704" t="s">
        <v>1455</v>
      </c>
      <c r="F5704" t="s">
        <v>117</v>
      </c>
      <c r="G5704" t="s">
        <v>14668</v>
      </c>
      <c r="H5704" t="s">
        <v>265</v>
      </c>
      <c r="I5704" t="s">
        <v>19</v>
      </c>
      <c r="J5704" s="3">
        <f>55-16-33153367</f>
        <v>-33153328</v>
      </c>
      <c r="K5704" t="s">
        <v>14670</v>
      </c>
      <c r="L5704" t="s">
        <v>3558</v>
      </c>
      <c r="M5704" t="s">
        <v>32145</v>
      </c>
    </row>
    <row r="5705" spans="1:13" x14ac:dyDescent="0.25">
      <c r="A5705" t="s">
        <v>22369</v>
      </c>
      <c r="B5705" t="s">
        <v>13</v>
      </c>
      <c r="C5705" t="s">
        <v>7092</v>
      </c>
      <c r="D5705" t="s">
        <v>22370</v>
      </c>
      <c r="E5705" t="s">
        <v>1500</v>
      </c>
      <c r="F5705" t="s">
        <v>306</v>
      </c>
      <c r="G5705" t="s">
        <v>22288</v>
      </c>
      <c r="H5705" t="s">
        <v>22289</v>
      </c>
      <c r="I5705" t="s">
        <v>19</v>
      </c>
      <c r="J5705" s="3" t="s">
        <v>22290</v>
      </c>
      <c r="K5705" t="s">
        <v>22291</v>
      </c>
      <c r="L5705" t="s">
        <v>22292</v>
      </c>
      <c r="M5705" t="s">
        <v>32145</v>
      </c>
    </row>
    <row r="5706" spans="1:13" x14ac:dyDescent="0.25">
      <c r="A5706" t="s">
        <v>22286</v>
      </c>
      <c r="B5706" t="s">
        <v>13</v>
      </c>
      <c r="C5706" s="1">
        <v>43253</v>
      </c>
      <c r="D5706" t="s">
        <v>22287</v>
      </c>
      <c r="E5706" t="s">
        <v>1500</v>
      </c>
      <c r="F5706" t="s">
        <v>306</v>
      </c>
      <c r="G5706" t="s">
        <v>22288</v>
      </c>
      <c r="H5706" t="s">
        <v>22289</v>
      </c>
      <c r="I5706" t="s">
        <v>19</v>
      </c>
      <c r="J5706" s="3" t="s">
        <v>22290</v>
      </c>
      <c r="K5706" t="s">
        <v>22291</v>
      </c>
      <c r="L5706" t="s">
        <v>22292</v>
      </c>
      <c r="M5706" t="s">
        <v>32145</v>
      </c>
    </row>
    <row r="5707" spans="1:13" x14ac:dyDescent="0.25">
      <c r="A5707" t="s">
        <v>25252</v>
      </c>
      <c r="B5707" t="s">
        <v>13</v>
      </c>
      <c r="C5707" t="s">
        <v>25253</v>
      </c>
      <c r="D5707" t="s">
        <v>25254</v>
      </c>
      <c r="E5707" t="s">
        <v>1500</v>
      </c>
      <c r="F5707" t="s">
        <v>1464</v>
      </c>
      <c r="G5707" t="s">
        <v>10007</v>
      </c>
      <c r="H5707" t="s">
        <v>428</v>
      </c>
      <c r="I5707" t="s">
        <v>19</v>
      </c>
      <c r="J5707" s="3" t="s">
        <v>10008</v>
      </c>
      <c r="K5707" t="s">
        <v>10009</v>
      </c>
      <c r="L5707" t="s">
        <v>1295</v>
      </c>
      <c r="M5707" t="s">
        <v>32145</v>
      </c>
    </row>
    <row r="5708" spans="1:13" x14ac:dyDescent="0.25">
      <c r="A5708" t="s">
        <v>5799</v>
      </c>
      <c r="B5708" t="s">
        <v>13</v>
      </c>
      <c r="C5708" s="1">
        <v>44266</v>
      </c>
      <c r="D5708" t="s">
        <v>32136</v>
      </c>
      <c r="E5708" s="2" t="s">
        <v>31984</v>
      </c>
      <c r="F5708" t="s">
        <v>263</v>
      </c>
      <c r="G5708" t="s">
        <v>5800</v>
      </c>
      <c r="H5708" t="s">
        <v>706</v>
      </c>
      <c r="I5708" t="s">
        <v>19</v>
      </c>
      <c r="J5708" s="3" t="s">
        <v>5801</v>
      </c>
      <c r="K5708" t="s">
        <v>5802</v>
      </c>
      <c r="L5708" t="s">
        <v>32135</v>
      </c>
      <c r="M5708" t="s">
        <v>32145</v>
      </c>
    </row>
    <row r="5709" spans="1:13" x14ac:dyDescent="0.25">
      <c r="A5709" t="s">
        <v>1498</v>
      </c>
      <c r="B5709" t="s">
        <v>13</v>
      </c>
      <c r="C5709" s="1">
        <v>44572</v>
      </c>
      <c r="D5709" t="s">
        <v>1499</v>
      </c>
      <c r="E5709" s="2" t="s">
        <v>30710</v>
      </c>
      <c r="F5709" t="s">
        <v>86</v>
      </c>
      <c r="G5709" t="s">
        <v>1502</v>
      </c>
      <c r="H5709" t="s">
        <v>1503</v>
      </c>
      <c r="I5709" t="s">
        <v>19</v>
      </c>
      <c r="J5709" s="3" t="s">
        <v>1504</v>
      </c>
      <c r="K5709" t="s">
        <v>1505</v>
      </c>
      <c r="L5709" t="s">
        <v>1506</v>
      </c>
      <c r="M5709" t="s">
        <v>32145</v>
      </c>
    </row>
    <row r="5710" spans="1:13" x14ac:dyDescent="0.25">
      <c r="A5710" t="s">
        <v>23273</v>
      </c>
      <c r="B5710" t="s">
        <v>13</v>
      </c>
      <c r="C5710" t="s">
        <v>23268</v>
      </c>
      <c r="D5710" t="s">
        <v>23274</v>
      </c>
      <c r="E5710" t="s">
        <v>17950</v>
      </c>
      <c r="F5710" t="s">
        <v>117</v>
      </c>
      <c r="G5710" t="s">
        <v>23275</v>
      </c>
      <c r="H5710" t="s">
        <v>23276</v>
      </c>
      <c r="I5710" t="s">
        <v>3017</v>
      </c>
      <c r="J5710" s="3">
        <v>966407159</v>
      </c>
      <c r="K5710" t="s">
        <v>23277</v>
      </c>
      <c r="L5710" t="s">
        <v>23278</v>
      </c>
      <c r="M5710" t="s">
        <v>32145</v>
      </c>
    </row>
    <row r="5711" spans="1:13" x14ac:dyDescent="0.25">
      <c r="A5711" t="s">
        <v>17948</v>
      </c>
      <c r="B5711" t="s">
        <v>13</v>
      </c>
      <c r="C5711" t="s">
        <v>16588</v>
      </c>
      <c r="D5711" t="s">
        <v>17949</v>
      </c>
      <c r="E5711" t="s">
        <v>17950</v>
      </c>
      <c r="F5711" t="s">
        <v>117</v>
      </c>
      <c r="G5711" t="s">
        <v>17951</v>
      </c>
      <c r="H5711" t="s">
        <v>2215</v>
      </c>
      <c r="I5711" t="s">
        <v>19</v>
      </c>
      <c r="J5711" s="3">
        <f>55-42991295759</f>
        <v>-42991295704</v>
      </c>
      <c r="K5711" t="s">
        <v>17952</v>
      </c>
      <c r="L5711" t="s">
        <v>2218</v>
      </c>
      <c r="M5711" t="s">
        <v>32145</v>
      </c>
    </row>
    <row r="5712" spans="1:13" x14ac:dyDescent="0.25">
      <c r="A5712" t="s">
        <v>25121</v>
      </c>
      <c r="B5712" t="s">
        <v>13</v>
      </c>
      <c r="C5712" t="s">
        <v>25122</v>
      </c>
      <c r="D5712" t="s">
        <v>25123</v>
      </c>
      <c r="E5712" t="s">
        <v>17950</v>
      </c>
      <c r="F5712" t="s">
        <v>306</v>
      </c>
      <c r="G5712" t="s">
        <v>12354</v>
      </c>
      <c r="H5712" t="s">
        <v>2186</v>
      </c>
      <c r="I5712" t="s">
        <v>19</v>
      </c>
      <c r="J5712" s="3" t="s">
        <v>12355</v>
      </c>
      <c r="K5712" t="s">
        <v>12356</v>
      </c>
      <c r="L5712" t="s">
        <v>12357</v>
      </c>
      <c r="M5712" t="s">
        <v>32145</v>
      </c>
    </row>
    <row r="5713" spans="1:13" x14ac:dyDescent="0.25">
      <c r="A5713" t="s">
        <v>6591</v>
      </c>
      <c r="B5713" t="s">
        <v>13</v>
      </c>
      <c r="C5713" t="s">
        <v>6592</v>
      </c>
      <c r="D5713" t="s">
        <v>32135</v>
      </c>
      <c r="E5713" t="s">
        <v>1501</v>
      </c>
      <c r="F5713" t="s">
        <v>592</v>
      </c>
      <c r="G5713" t="s">
        <v>6593</v>
      </c>
      <c r="H5713" t="s">
        <v>6594</v>
      </c>
      <c r="I5713" t="s">
        <v>19</v>
      </c>
      <c r="J5713" s="3" t="s">
        <v>6595</v>
      </c>
      <c r="K5713" t="s">
        <v>6596</v>
      </c>
      <c r="L5713" t="s">
        <v>32135</v>
      </c>
      <c r="M5713" t="s">
        <v>32145</v>
      </c>
    </row>
    <row r="5714" spans="1:13" x14ac:dyDescent="0.25">
      <c r="A5714" t="s">
        <v>29539</v>
      </c>
      <c r="B5714" t="s">
        <v>13</v>
      </c>
      <c r="C5714" t="s">
        <v>29540</v>
      </c>
      <c r="D5714" t="s">
        <v>29541</v>
      </c>
      <c r="E5714" t="s">
        <v>1501</v>
      </c>
      <c r="F5714" t="s">
        <v>9519</v>
      </c>
      <c r="G5714" t="s">
        <v>29542</v>
      </c>
      <c r="H5714" t="s">
        <v>45</v>
      </c>
      <c r="I5714" t="s">
        <v>19</v>
      </c>
      <c r="J5714" s="3" t="s">
        <v>29543</v>
      </c>
      <c r="K5714" t="s">
        <v>29544</v>
      </c>
      <c r="L5714" t="s">
        <v>29545</v>
      </c>
      <c r="M5714" t="s">
        <v>32145</v>
      </c>
    </row>
    <row r="5715" spans="1:13" x14ac:dyDescent="0.25">
      <c r="A5715" t="s">
        <v>28862</v>
      </c>
      <c r="B5715" t="s">
        <v>13</v>
      </c>
      <c r="C5715" s="1">
        <v>41861</v>
      </c>
      <c r="D5715" t="s">
        <v>28863</v>
      </c>
      <c r="E5715" t="s">
        <v>1456</v>
      </c>
      <c r="F5715" t="s">
        <v>9519</v>
      </c>
      <c r="G5715" t="s">
        <v>28864</v>
      </c>
      <c r="H5715" t="s">
        <v>88</v>
      </c>
      <c r="I5715" t="s">
        <v>19</v>
      </c>
      <c r="J5715" s="3" t="s">
        <v>28865</v>
      </c>
      <c r="K5715" t="s">
        <v>14887</v>
      </c>
      <c r="L5715" t="s">
        <v>91</v>
      </c>
      <c r="M5715" t="s">
        <v>32145</v>
      </c>
    </row>
    <row r="5716" spans="1:13" x14ac:dyDescent="0.25">
      <c r="A5716" t="s">
        <v>25436</v>
      </c>
      <c r="B5716" t="s">
        <v>13</v>
      </c>
      <c r="C5716" t="s">
        <v>25410</v>
      </c>
      <c r="D5716" t="s">
        <v>25437</v>
      </c>
      <c r="E5716" t="s">
        <v>1456</v>
      </c>
      <c r="F5716" t="s">
        <v>9519</v>
      </c>
      <c r="G5716" t="s">
        <v>25438</v>
      </c>
      <c r="H5716" t="s">
        <v>352</v>
      </c>
      <c r="I5716" t="s">
        <v>19</v>
      </c>
      <c r="J5716" s="3" t="s">
        <v>25439</v>
      </c>
      <c r="K5716" t="s">
        <v>25440</v>
      </c>
      <c r="L5716" t="s">
        <v>1232</v>
      </c>
      <c r="M5716" t="s">
        <v>32145</v>
      </c>
    </row>
    <row r="5717" spans="1:13" x14ac:dyDescent="0.25">
      <c r="A5717" t="s">
        <v>22546</v>
      </c>
      <c r="B5717" t="s">
        <v>13</v>
      </c>
      <c r="C5717" t="s">
        <v>22521</v>
      </c>
      <c r="D5717" t="s">
        <v>22547</v>
      </c>
      <c r="E5717" t="s">
        <v>1456</v>
      </c>
      <c r="F5717" t="s">
        <v>9519</v>
      </c>
      <c r="G5717" t="s">
        <v>22548</v>
      </c>
      <c r="H5717" t="s">
        <v>5815</v>
      </c>
      <c r="I5717" t="s">
        <v>19</v>
      </c>
      <c r="J5717" s="3" t="s">
        <v>22549</v>
      </c>
      <c r="K5717" t="s">
        <v>22550</v>
      </c>
      <c r="L5717" t="s">
        <v>285</v>
      </c>
      <c r="M5717" t="s">
        <v>32145</v>
      </c>
    </row>
    <row r="5718" spans="1:13" x14ac:dyDescent="0.25">
      <c r="A5718" t="s">
        <v>25603</v>
      </c>
      <c r="B5718" t="s">
        <v>13</v>
      </c>
      <c r="C5718" s="1">
        <v>42499</v>
      </c>
      <c r="D5718" t="s">
        <v>25604</v>
      </c>
      <c r="E5718" t="s">
        <v>1456</v>
      </c>
      <c r="F5718" t="s">
        <v>9519</v>
      </c>
      <c r="G5718" t="s">
        <v>25605</v>
      </c>
      <c r="H5718" t="s">
        <v>25606</v>
      </c>
      <c r="I5718" t="s">
        <v>19</v>
      </c>
      <c r="J5718" s="3" t="s">
        <v>25607</v>
      </c>
      <c r="K5718" t="s">
        <v>25608</v>
      </c>
      <c r="L5718" t="s">
        <v>904</v>
      </c>
      <c r="M5718" t="s">
        <v>32145</v>
      </c>
    </row>
    <row r="5719" spans="1:13" x14ac:dyDescent="0.25">
      <c r="A5719" t="s">
        <v>21340</v>
      </c>
      <c r="B5719" t="s">
        <v>13</v>
      </c>
      <c r="C5719" t="s">
        <v>7645</v>
      </c>
      <c r="D5719" t="s">
        <v>21341</v>
      </c>
      <c r="E5719" t="s">
        <v>9517</v>
      </c>
      <c r="F5719" t="s">
        <v>9519</v>
      </c>
      <c r="G5719" t="s">
        <v>21342</v>
      </c>
      <c r="H5719" t="s">
        <v>13725</v>
      </c>
      <c r="I5719" t="s">
        <v>19</v>
      </c>
      <c r="J5719" s="3">
        <f>55 -91-982157237</f>
        <v>-982157273</v>
      </c>
      <c r="K5719" t="s">
        <v>21343</v>
      </c>
      <c r="L5719" t="s">
        <v>8251</v>
      </c>
      <c r="M5719" t="s">
        <v>32145</v>
      </c>
    </row>
    <row r="5720" spans="1:13" x14ac:dyDescent="0.25">
      <c r="A5720" t="s">
        <v>15801</v>
      </c>
      <c r="B5720" t="s">
        <v>13</v>
      </c>
      <c r="C5720" s="1">
        <v>43506</v>
      </c>
      <c r="D5720" t="s">
        <v>15802</v>
      </c>
      <c r="E5720" t="s">
        <v>1456</v>
      </c>
      <c r="F5720" t="s">
        <v>9519</v>
      </c>
      <c r="G5720" t="s">
        <v>15803</v>
      </c>
      <c r="H5720" t="s">
        <v>45</v>
      </c>
      <c r="I5720" t="s">
        <v>19</v>
      </c>
      <c r="J5720" s="3" t="s">
        <v>15804</v>
      </c>
      <c r="K5720" t="s">
        <v>15805</v>
      </c>
      <c r="L5720" t="s">
        <v>1909</v>
      </c>
      <c r="M5720" t="s">
        <v>32145</v>
      </c>
    </row>
    <row r="5721" spans="1:13" x14ac:dyDescent="0.25">
      <c r="A5721" t="s">
        <v>16233</v>
      </c>
      <c r="B5721" t="s">
        <v>13</v>
      </c>
      <c r="C5721" s="1">
        <v>43778</v>
      </c>
      <c r="D5721" t="s">
        <v>16234</v>
      </c>
      <c r="E5721" t="s">
        <v>1456</v>
      </c>
      <c r="F5721" t="s">
        <v>9519</v>
      </c>
      <c r="G5721" t="s">
        <v>16235</v>
      </c>
      <c r="H5721" t="s">
        <v>1090</v>
      </c>
      <c r="I5721" t="s">
        <v>19</v>
      </c>
      <c r="J5721" s="3">
        <f>55-83-999798161</f>
        <v>-999798189</v>
      </c>
      <c r="K5721" t="s">
        <v>16236</v>
      </c>
      <c r="L5721" t="s">
        <v>1092</v>
      </c>
      <c r="M5721" t="s">
        <v>32145</v>
      </c>
    </row>
    <row r="5722" spans="1:13" x14ac:dyDescent="0.25">
      <c r="A5722" t="s">
        <v>15756</v>
      </c>
      <c r="B5722" t="s">
        <v>13</v>
      </c>
      <c r="C5722" t="s">
        <v>15757</v>
      </c>
      <c r="D5722" t="s">
        <v>15758</v>
      </c>
      <c r="E5722" t="s">
        <v>1456</v>
      </c>
      <c r="F5722" t="s">
        <v>117</v>
      </c>
      <c r="G5722" t="s">
        <v>15759</v>
      </c>
      <c r="H5722" t="s">
        <v>265</v>
      </c>
      <c r="I5722" t="s">
        <v>19</v>
      </c>
      <c r="J5722" s="3" t="s">
        <v>15760</v>
      </c>
      <c r="K5722" t="s">
        <v>15761</v>
      </c>
      <c r="L5722" t="s">
        <v>1569</v>
      </c>
      <c r="M5722" t="s">
        <v>32145</v>
      </c>
    </row>
    <row r="5723" spans="1:13" x14ac:dyDescent="0.25">
      <c r="A5723" t="s">
        <v>23354</v>
      </c>
      <c r="B5723" t="s">
        <v>13</v>
      </c>
      <c r="C5723" s="1">
        <v>43049</v>
      </c>
      <c r="D5723" t="s">
        <v>23355</v>
      </c>
      <c r="E5723" t="s">
        <v>1456</v>
      </c>
      <c r="F5723" t="s">
        <v>117</v>
      </c>
      <c r="G5723" t="s">
        <v>23356</v>
      </c>
      <c r="H5723" t="s">
        <v>18178</v>
      </c>
      <c r="I5723" t="s">
        <v>19</v>
      </c>
      <c r="J5723" s="3">
        <f>55-89-999291920</f>
        <v>-999291954</v>
      </c>
      <c r="K5723" t="s">
        <v>23357</v>
      </c>
      <c r="L5723" t="s">
        <v>21396</v>
      </c>
      <c r="M5723" t="s">
        <v>32145</v>
      </c>
    </row>
    <row r="5724" spans="1:13" x14ac:dyDescent="0.25">
      <c r="A5724" t="s">
        <v>10382</v>
      </c>
      <c r="B5724" t="s">
        <v>13</v>
      </c>
      <c r="C5724" t="s">
        <v>10383</v>
      </c>
      <c r="D5724" t="s">
        <v>10384</v>
      </c>
      <c r="E5724" t="s">
        <v>1456</v>
      </c>
      <c r="F5724" t="s">
        <v>117</v>
      </c>
      <c r="G5724" t="s">
        <v>10385</v>
      </c>
      <c r="H5724" t="s">
        <v>88</v>
      </c>
      <c r="I5724" t="s">
        <v>19</v>
      </c>
      <c r="J5724" s="3">
        <f>55-84-994197593</f>
        <v>-994197622</v>
      </c>
      <c r="K5724" t="s">
        <v>10386</v>
      </c>
      <c r="L5724" t="s">
        <v>91</v>
      </c>
      <c r="M5724" t="s">
        <v>32145</v>
      </c>
    </row>
    <row r="5725" spans="1:13" x14ac:dyDescent="0.25">
      <c r="A5725" t="s">
        <v>8471</v>
      </c>
      <c r="B5725" t="s">
        <v>13</v>
      </c>
      <c r="C5725" t="s">
        <v>8472</v>
      </c>
      <c r="D5725" t="s">
        <v>8473</v>
      </c>
      <c r="E5725" t="s">
        <v>1501</v>
      </c>
      <c r="F5725" t="s">
        <v>306</v>
      </c>
      <c r="G5725" t="s">
        <v>8474</v>
      </c>
      <c r="H5725" t="s">
        <v>4925</v>
      </c>
      <c r="I5725" t="s">
        <v>19</v>
      </c>
      <c r="J5725" s="3">
        <v>5531983911654</v>
      </c>
      <c r="K5725" t="s">
        <v>8475</v>
      </c>
      <c r="L5725" t="s">
        <v>2861</v>
      </c>
      <c r="M5725" t="s">
        <v>32145</v>
      </c>
    </row>
    <row r="5726" spans="1:13" x14ac:dyDescent="0.25">
      <c r="A5726" t="s">
        <v>12049</v>
      </c>
      <c r="B5726" t="s">
        <v>13</v>
      </c>
      <c r="C5726" s="1">
        <v>43926</v>
      </c>
      <c r="D5726" t="s">
        <v>12050</v>
      </c>
      <c r="E5726" t="s">
        <v>1456</v>
      </c>
      <c r="F5726" t="s">
        <v>306</v>
      </c>
      <c r="G5726" t="s">
        <v>12051</v>
      </c>
      <c r="H5726" t="s">
        <v>2513</v>
      </c>
      <c r="I5726" t="s">
        <v>19</v>
      </c>
      <c r="J5726" s="3">
        <f>55-86-998027449</f>
        <v>-998027480</v>
      </c>
      <c r="K5726" t="s">
        <v>10129</v>
      </c>
      <c r="L5726" t="s">
        <v>74</v>
      </c>
      <c r="M5726" t="s">
        <v>32145</v>
      </c>
    </row>
    <row r="5727" spans="1:13" x14ac:dyDescent="0.25">
      <c r="A5727" t="s">
        <v>17341</v>
      </c>
      <c r="B5727" t="s">
        <v>13</v>
      </c>
      <c r="C5727" s="1">
        <v>43561</v>
      </c>
      <c r="D5727" t="s">
        <v>17342</v>
      </c>
      <c r="E5727" t="s">
        <v>1456</v>
      </c>
      <c r="F5727" t="s">
        <v>306</v>
      </c>
      <c r="G5727" t="s">
        <v>17343</v>
      </c>
      <c r="H5727" t="s">
        <v>706</v>
      </c>
      <c r="I5727" t="s">
        <v>19</v>
      </c>
      <c r="J5727" s="3" t="s">
        <v>17344</v>
      </c>
      <c r="K5727" t="s">
        <v>17345</v>
      </c>
      <c r="L5727" t="s">
        <v>565</v>
      </c>
      <c r="M5727" t="s">
        <v>32145</v>
      </c>
    </row>
    <row r="5728" spans="1:13" x14ac:dyDescent="0.25">
      <c r="A5728" t="s">
        <v>15263</v>
      </c>
      <c r="B5728" t="s">
        <v>13</v>
      </c>
      <c r="C5728" t="s">
        <v>9910</v>
      </c>
      <c r="D5728" t="s">
        <v>15264</v>
      </c>
      <c r="E5728" t="s">
        <v>1501</v>
      </c>
      <c r="F5728" t="s">
        <v>306</v>
      </c>
      <c r="G5728" t="s">
        <v>15265</v>
      </c>
      <c r="H5728" t="s">
        <v>9597</v>
      </c>
      <c r="I5728" t="s">
        <v>19</v>
      </c>
      <c r="J5728" s="3">
        <f>55-67-35093744</f>
        <v>-35093756</v>
      </c>
      <c r="K5728" t="s">
        <v>15266</v>
      </c>
      <c r="L5728" t="s">
        <v>15267</v>
      </c>
      <c r="M5728" t="s">
        <v>32145</v>
      </c>
    </row>
    <row r="5729" spans="1:13" x14ac:dyDescent="0.25">
      <c r="A5729" t="s">
        <v>26800</v>
      </c>
      <c r="B5729" t="s">
        <v>13</v>
      </c>
      <c r="C5729" s="1">
        <v>42616</v>
      </c>
      <c r="D5729" t="s">
        <v>26801</v>
      </c>
      <c r="E5729" t="s">
        <v>1501</v>
      </c>
      <c r="F5729" t="s">
        <v>1464</v>
      </c>
      <c r="G5729" t="s">
        <v>26802</v>
      </c>
      <c r="H5729" t="s">
        <v>706</v>
      </c>
      <c r="I5729" t="s">
        <v>19</v>
      </c>
      <c r="J5729" s="3" t="s">
        <v>26803</v>
      </c>
      <c r="K5729" t="s">
        <v>15485</v>
      </c>
      <c r="L5729" t="s">
        <v>565</v>
      </c>
      <c r="M5729" t="s">
        <v>32145</v>
      </c>
    </row>
    <row r="5730" spans="1:13" x14ac:dyDescent="0.25">
      <c r="A5730" t="s">
        <v>15482</v>
      </c>
      <c r="B5730" t="s">
        <v>13</v>
      </c>
      <c r="C5730" t="s">
        <v>8873</v>
      </c>
      <c r="D5730" t="s">
        <v>15483</v>
      </c>
      <c r="E5730" t="s">
        <v>1501</v>
      </c>
      <c r="F5730" t="s">
        <v>1464</v>
      </c>
      <c r="G5730" t="s">
        <v>15484</v>
      </c>
      <c r="H5730" t="s">
        <v>706</v>
      </c>
      <c r="I5730" t="s">
        <v>19</v>
      </c>
      <c r="J5730" s="3">
        <v>5531984876355</v>
      </c>
      <c r="K5730" t="s">
        <v>15485</v>
      </c>
      <c r="L5730" t="s">
        <v>565</v>
      </c>
      <c r="M5730" t="s">
        <v>32145</v>
      </c>
    </row>
    <row r="5731" spans="1:13" x14ac:dyDescent="0.25">
      <c r="A5731" t="s">
        <v>25400</v>
      </c>
      <c r="B5731" t="s">
        <v>13</v>
      </c>
      <c r="C5731" t="s">
        <v>25401</v>
      </c>
      <c r="D5731" t="s">
        <v>25402</v>
      </c>
      <c r="E5731" t="s">
        <v>25403</v>
      </c>
      <c r="F5731" t="s">
        <v>9519</v>
      </c>
      <c r="G5731" t="s">
        <v>25404</v>
      </c>
      <c r="H5731" t="s">
        <v>6142</v>
      </c>
      <c r="I5731" t="s">
        <v>19</v>
      </c>
      <c r="J5731" s="3" t="s">
        <v>25405</v>
      </c>
      <c r="K5731" t="s">
        <v>9963</v>
      </c>
      <c r="L5731" t="s">
        <v>25406</v>
      </c>
      <c r="M5731" t="s">
        <v>32145</v>
      </c>
    </row>
    <row r="5732" spans="1:13" x14ac:dyDescent="0.25">
      <c r="A5732" t="s">
        <v>21987</v>
      </c>
      <c r="B5732" t="s">
        <v>13</v>
      </c>
      <c r="C5732" t="s">
        <v>11751</v>
      </c>
      <c r="D5732" t="s">
        <v>21988</v>
      </c>
      <c r="E5732" t="s">
        <v>21989</v>
      </c>
      <c r="F5732" t="s">
        <v>117</v>
      </c>
      <c r="G5732" t="s">
        <v>21990</v>
      </c>
      <c r="H5732" t="s">
        <v>352</v>
      </c>
      <c r="I5732" t="s">
        <v>19</v>
      </c>
      <c r="J5732" s="3" t="s">
        <v>21991</v>
      </c>
      <c r="K5732" t="s">
        <v>21992</v>
      </c>
      <c r="L5732" t="s">
        <v>21993</v>
      </c>
      <c r="M5732" t="s">
        <v>32145</v>
      </c>
    </row>
    <row r="5733" spans="1:13" x14ac:dyDescent="0.25">
      <c r="A5733" t="s">
        <v>11183</v>
      </c>
      <c r="B5733" t="s">
        <v>13</v>
      </c>
      <c r="C5733" s="1">
        <v>43989</v>
      </c>
      <c r="D5733" t="s">
        <v>11184</v>
      </c>
      <c r="E5733" s="2" t="s">
        <v>32107</v>
      </c>
      <c r="F5733" t="s">
        <v>1464</v>
      </c>
      <c r="G5733" t="s">
        <v>5958</v>
      </c>
      <c r="H5733" t="s">
        <v>11185</v>
      </c>
      <c r="I5733" t="s">
        <v>19</v>
      </c>
      <c r="J5733" s="3">
        <f>55-81-91600032</f>
        <v>-91600058</v>
      </c>
      <c r="K5733" t="s">
        <v>11186</v>
      </c>
      <c r="L5733" t="s">
        <v>11187</v>
      </c>
      <c r="M5733" t="s">
        <v>32145</v>
      </c>
    </row>
    <row r="5734" spans="1:13" x14ac:dyDescent="0.25">
      <c r="A5734" t="s">
        <v>5957</v>
      </c>
      <c r="B5734" t="s">
        <v>13</v>
      </c>
      <c r="C5734" t="s">
        <v>5931</v>
      </c>
      <c r="D5734" t="s">
        <v>32135</v>
      </c>
      <c r="E5734" s="2" t="s">
        <v>32105</v>
      </c>
      <c r="F5734" t="s">
        <v>1464</v>
      </c>
      <c r="G5734" t="s">
        <v>5958</v>
      </c>
      <c r="H5734" t="s">
        <v>472</v>
      </c>
      <c r="I5734" t="s">
        <v>19</v>
      </c>
      <c r="J5734" s="3">
        <f>55-81-91600032</f>
        <v>-91600058</v>
      </c>
      <c r="K5734" t="s">
        <v>5959</v>
      </c>
      <c r="L5734" t="s">
        <v>32135</v>
      </c>
      <c r="M5734" t="s">
        <v>32145</v>
      </c>
    </row>
    <row r="5735" spans="1:13" x14ac:dyDescent="0.25">
      <c r="A5735" t="s">
        <v>28566</v>
      </c>
      <c r="B5735" t="s">
        <v>13</v>
      </c>
      <c r="C5735" t="s">
        <v>28567</v>
      </c>
      <c r="D5735" t="s">
        <v>28568</v>
      </c>
      <c r="E5735" t="s">
        <v>28569</v>
      </c>
      <c r="F5735" t="s">
        <v>117</v>
      </c>
      <c r="G5735" t="s">
        <v>28570</v>
      </c>
      <c r="H5735" t="s">
        <v>352</v>
      </c>
      <c r="I5735" t="s">
        <v>19</v>
      </c>
      <c r="J5735" s="3" t="s">
        <v>28571</v>
      </c>
      <c r="K5735" t="s">
        <v>28572</v>
      </c>
      <c r="L5735" t="s">
        <v>10262</v>
      </c>
      <c r="M5735" t="s">
        <v>32145</v>
      </c>
    </row>
    <row r="5736" spans="1:13" x14ac:dyDescent="0.25">
      <c r="A5736" t="s">
        <v>14453</v>
      </c>
      <c r="B5736" t="s">
        <v>13</v>
      </c>
      <c r="C5736" t="s">
        <v>14435</v>
      </c>
      <c r="D5736" t="s">
        <v>14454</v>
      </c>
      <c r="E5736" s="2" t="s">
        <v>31094</v>
      </c>
      <c r="F5736" t="s">
        <v>9519</v>
      </c>
      <c r="G5736" t="s">
        <v>14455</v>
      </c>
      <c r="H5736" t="s">
        <v>36</v>
      </c>
      <c r="I5736" t="s">
        <v>19</v>
      </c>
      <c r="J5736" s="3">
        <f>55-11-35490399</f>
        <v>-35490355</v>
      </c>
      <c r="K5736" t="s">
        <v>14456</v>
      </c>
      <c r="L5736" t="s">
        <v>10410</v>
      </c>
      <c r="M5736" t="s">
        <v>32145</v>
      </c>
    </row>
    <row r="5737" spans="1:13" x14ac:dyDescent="0.25">
      <c r="A5737" t="s">
        <v>24685</v>
      </c>
      <c r="B5737" t="s">
        <v>13</v>
      </c>
      <c r="C5737" t="s">
        <v>24679</v>
      </c>
      <c r="D5737" t="s">
        <v>24686</v>
      </c>
      <c r="E5737" t="s">
        <v>24687</v>
      </c>
      <c r="F5737" t="s">
        <v>1464</v>
      </c>
      <c r="G5737" t="s">
        <v>6723</v>
      </c>
      <c r="H5737" t="s">
        <v>714</v>
      </c>
      <c r="I5737" t="s">
        <v>19</v>
      </c>
      <c r="J5737" s="3">
        <v>551836362859</v>
      </c>
      <c r="K5737" t="s">
        <v>24688</v>
      </c>
      <c r="L5737" t="s">
        <v>20132</v>
      </c>
      <c r="M5737" t="s">
        <v>32145</v>
      </c>
    </row>
    <row r="5738" spans="1:13" x14ac:dyDescent="0.25">
      <c r="A5738" t="s">
        <v>30282</v>
      </c>
      <c r="B5738" t="s">
        <v>101</v>
      </c>
      <c r="C5738" s="1">
        <v>40910</v>
      </c>
      <c r="D5738" t="s">
        <v>30283</v>
      </c>
      <c r="E5738" t="s">
        <v>32702</v>
      </c>
      <c r="F5738" t="s">
        <v>117</v>
      </c>
      <c r="G5738" t="s">
        <v>30284</v>
      </c>
      <c r="H5738" t="s">
        <v>30285</v>
      </c>
      <c r="I5738" t="s">
        <v>19</v>
      </c>
      <c r="J5738" s="3" t="s">
        <v>30286</v>
      </c>
      <c r="K5738" t="s">
        <v>30287</v>
      </c>
      <c r="L5738" t="s">
        <v>30288</v>
      </c>
      <c r="M5738" t="s">
        <v>32145</v>
      </c>
    </row>
    <row r="5739" spans="1:13" x14ac:dyDescent="0.25">
      <c r="A5739" t="s">
        <v>28815</v>
      </c>
      <c r="B5739" t="s">
        <v>13</v>
      </c>
      <c r="C5739" s="1">
        <v>41954</v>
      </c>
      <c r="D5739" t="s">
        <v>28816</v>
      </c>
      <c r="E5739" t="s">
        <v>28817</v>
      </c>
      <c r="F5739" t="s">
        <v>117</v>
      </c>
      <c r="G5739" t="s">
        <v>28818</v>
      </c>
      <c r="H5739" t="s">
        <v>18</v>
      </c>
      <c r="I5739" t="s">
        <v>19</v>
      </c>
      <c r="J5739" s="3" t="s">
        <v>28819</v>
      </c>
      <c r="K5739" t="s">
        <v>28820</v>
      </c>
      <c r="L5739" t="s">
        <v>285</v>
      </c>
      <c r="M5739" t="s">
        <v>32145</v>
      </c>
    </row>
    <row r="5740" spans="1:13" x14ac:dyDescent="0.25">
      <c r="A5740" t="s">
        <v>29792</v>
      </c>
      <c r="B5740" t="s">
        <v>13</v>
      </c>
      <c r="C5740" s="1">
        <v>41277</v>
      </c>
      <c r="D5740" t="s">
        <v>29793</v>
      </c>
      <c r="E5740" t="s">
        <v>29794</v>
      </c>
      <c r="F5740" t="s">
        <v>9519</v>
      </c>
      <c r="G5740" t="s">
        <v>29795</v>
      </c>
      <c r="H5740" t="s">
        <v>18</v>
      </c>
      <c r="I5740" t="s">
        <v>19</v>
      </c>
      <c r="J5740" s="3" t="s">
        <v>29796</v>
      </c>
      <c r="K5740" t="s">
        <v>29797</v>
      </c>
      <c r="L5740" t="s">
        <v>285</v>
      </c>
      <c r="M5740" t="s">
        <v>32145</v>
      </c>
    </row>
    <row r="5741" spans="1:13" x14ac:dyDescent="0.25">
      <c r="A5741" t="s">
        <v>9849</v>
      </c>
      <c r="B5741" t="s">
        <v>13</v>
      </c>
      <c r="C5741" s="1">
        <v>44013</v>
      </c>
      <c r="D5741" t="s">
        <v>9850</v>
      </c>
      <c r="E5741" t="s">
        <v>9851</v>
      </c>
      <c r="F5741" t="s">
        <v>117</v>
      </c>
      <c r="G5741" t="s">
        <v>9852</v>
      </c>
      <c r="H5741" t="s">
        <v>6121</v>
      </c>
      <c r="I5741" t="s">
        <v>19</v>
      </c>
      <c r="J5741" s="3">
        <v>5535997147338</v>
      </c>
      <c r="K5741" t="s">
        <v>9853</v>
      </c>
      <c r="L5741" t="s">
        <v>9854</v>
      </c>
      <c r="M5741" t="s">
        <v>32145</v>
      </c>
    </row>
    <row r="5742" spans="1:13" x14ac:dyDescent="0.25">
      <c r="A5742" t="s">
        <v>7197</v>
      </c>
      <c r="B5742" t="s">
        <v>13</v>
      </c>
      <c r="C5742" s="1">
        <v>44383</v>
      </c>
      <c r="D5742" t="s">
        <v>32135</v>
      </c>
      <c r="E5742" t="s">
        <v>7198</v>
      </c>
      <c r="F5742" t="s">
        <v>7199</v>
      </c>
      <c r="G5742" t="s">
        <v>7200</v>
      </c>
      <c r="H5742" t="s">
        <v>1090</v>
      </c>
      <c r="I5742" t="s">
        <v>19</v>
      </c>
      <c r="J5742" s="3">
        <v>558396122726</v>
      </c>
      <c r="K5742" t="s">
        <v>7201</v>
      </c>
      <c r="L5742" t="s">
        <v>32135</v>
      </c>
      <c r="M5742" t="s">
        <v>771</v>
      </c>
    </row>
    <row r="5743" spans="1:13" x14ac:dyDescent="0.25">
      <c r="A5743" t="s">
        <v>19887</v>
      </c>
      <c r="B5743" t="s">
        <v>13</v>
      </c>
      <c r="C5743" t="s">
        <v>12776</v>
      </c>
      <c r="D5743" t="s">
        <v>19888</v>
      </c>
      <c r="E5743" t="s">
        <v>19889</v>
      </c>
      <c r="F5743" t="s">
        <v>117</v>
      </c>
      <c r="G5743" t="s">
        <v>12762</v>
      </c>
      <c r="H5743" t="s">
        <v>195</v>
      </c>
      <c r="I5743" t="s">
        <v>19</v>
      </c>
      <c r="J5743" s="3" t="s">
        <v>19890</v>
      </c>
      <c r="K5743" t="s">
        <v>12763</v>
      </c>
      <c r="L5743" t="s">
        <v>197</v>
      </c>
      <c r="M5743" t="s">
        <v>32145</v>
      </c>
    </row>
    <row r="5744" spans="1:13" x14ac:dyDescent="0.25">
      <c r="A5744" t="s">
        <v>28597</v>
      </c>
      <c r="B5744" t="s">
        <v>13</v>
      </c>
      <c r="C5744" t="s">
        <v>28472</v>
      </c>
      <c r="D5744" t="s">
        <v>28598</v>
      </c>
      <c r="E5744" t="s">
        <v>28599</v>
      </c>
      <c r="F5744" t="s">
        <v>337</v>
      </c>
      <c r="G5744" t="s">
        <v>28600</v>
      </c>
      <c r="H5744" t="s">
        <v>36</v>
      </c>
      <c r="I5744" t="s">
        <v>19</v>
      </c>
      <c r="J5744" s="3" t="s">
        <v>28601</v>
      </c>
      <c r="K5744" t="s">
        <v>28602</v>
      </c>
      <c r="L5744" t="s">
        <v>28603</v>
      </c>
      <c r="M5744" t="s">
        <v>337</v>
      </c>
    </row>
    <row r="5745" spans="1:13" x14ac:dyDescent="0.25">
      <c r="A5745" t="s">
        <v>22684</v>
      </c>
      <c r="B5745" t="s">
        <v>13</v>
      </c>
      <c r="C5745" s="1">
        <v>43221</v>
      </c>
      <c r="D5745" t="s">
        <v>22685</v>
      </c>
      <c r="E5745" t="s">
        <v>22686</v>
      </c>
      <c r="F5745" t="s">
        <v>337</v>
      </c>
      <c r="G5745" t="s">
        <v>22687</v>
      </c>
      <c r="H5745" t="s">
        <v>255</v>
      </c>
      <c r="I5745" t="s">
        <v>19</v>
      </c>
      <c r="J5745" s="3">
        <v>5562982481525</v>
      </c>
      <c r="K5745" t="s">
        <v>22688</v>
      </c>
      <c r="L5745" t="s">
        <v>22689</v>
      </c>
      <c r="M5745" t="s">
        <v>337</v>
      </c>
    </row>
    <row r="5746" spans="1:13" x14ac:dyDescent="0.25">
      <c r="A5746" t="s">
        <v>6335</v>
      </c>
      <c r="B5746" t="s">
        <v>13</v>
      </c>
      <c r="C5746" t="s">
        <v>6331</v>
      </c>
      <c r="D5746" t="s">
        <v>32135</v>
      </c>
      <c r="E5746" t="s">
        <v>6336</v>
      </c>
      <c r="F5746" t="s">
        <v>6337</v>
      </c>
      <c r="G5746" t="s">
        <v>6338</v>
      </c>
      <c r="H5746" t="s">
        <v>71</v>
      </c>
      <c r="I5746" t="s">
        <v>19</v>
      </c>
      <c r="J5746" s="3">
        <v>558699860648</v>
      </c>
      <c r="K5746" t="s">
        <v>6339</v>
      </c>
      <c r="L5746" t="s">
        <v>32135</v>
      </c>
      <c r="M5746" t="s">
        <v>337</v>
      </c>
    </row>
    <row r="5747" spans="1:13" x14ac:dyDescent="0.25">
      <c r="A5747" t="s">
        <v>21994</v>
      </c>
      <c r="B5747" t="s">
        <v>13</v>
      </c>
      <c r="C5747" t="s">
        <v>11751</v>
      </c>
      <c r="D5747" t="s">
        <v>21995</v>
      </c>
      <c r="E5747" t="s">
        <v>21996</v>
      </c>
      <c r="F5747" t="s">
        <v>337</v>
      </c>
      <c r="G5747" t="s">
        <v>21997</v>
      </c>
      <c r="H5747" t="s">
        <v>428</v>
      </c>
      <c r="I5747" t="s">
        <v>19</v>
      </c>
      <c r="J5747" s="3">
        <v>5551999774962</v>
      </c>
      <c r="K5747" t="s">
        <v>21998</v>
      </c>
      <c r="L5747" t="s">
        <v>21999</v>
      </c>
      <c r="M5747" t="s">
        <v>337</v>
      </c>
    </row>
    <row r="5748" spans="1:13" x14ac:dyDescent="0.25">
      <c r="A5748" t="s">
        <v>6252</v>
      </c>
      <c r="B5748" t="s">
        <v>101</v>
      </c>
      <c r="C5748" t="s">
        <v>6253</v>
      </c>
      <c r="D5748" t="s">
        <v>32135</v>
      </c>
      <c r="E5748" s="2" t="s">
        <v>32098</v>
      </c>
      <c r="F5748" t="s">
        <v>6254</v>
      </c>
      <c r="G5748" t="s">
        <v>6255</v>
      </c>
      <c r="H5748" t="s">
        <v>352</v>
      </c>
      <c r="I5748" t="s">
        <v>19</v>
      </c>
      <c r="J5748" s="3" t="s">
        <v>6256</v>
      </c>
      <c r="K5748" t="s">
        <v>6257</v>
      </c>
      <c r="L5748" t="s">
        <v>32135</v>
      </c>
      <c r="M5748" t="s">
        <v>741</v>
      </c>
    </row>
    <row r="5749" spans="1:13" x14ac:dyDescent="0.25">
      <c r="A5749" t="s">
        <v>28909</v>
      </c>
      <c r="B5749" t="s">
        <v>13</v>
      </c>
      <c r="C5749" s="1">
        <v>41921</v>
      </c>
      <c r="D5749" t="s">
        <v>28910</v>
      </c>
      <c r="E5749" t="s">
        <v>28911</v>
      </c>
      <c r="F5749" t="s">
        <v>11031</v>
      </c>
      <c r="G5749" t="s">
        <v>28912</v>
      </c>
      <c r="H5749" t="s">
        <v>4498</v>
      </c>
      <c r="I5749" t="s">
        <v>19</v>
      </c>
      <c r="J5749" s="3" t="s">
        <v>28913</v>
      </c>
      <c r="K5749" t="s">
        <v>28914</v>
      </c>
      <c r="L5749" t="s">
        <v>28915</v>
      </c>
      <c r="M5749" t="s">
        <v>741</v>
      </c>
    </row>
    <row r="5750" spans="1:13" x14ac:dyDescent="0.25">
      <c r="A5750" t="s">
        <v>29556</v>
      </c>
      <c r="B5750" t="s">
        <v>101</v>
      </c>
      <c r="C5750" t="s">
        <v>15706</v>
      </c>
      <c r="D5750" t="s">
        <v>29557</v>
      </c>
      <c r="E5750" t="s">
        <v>29558</v>
      </c>
      <c r="F5750" t="s">
        <v>117</v>
      </c>
      <c r="G5750" t="s">
        <v>29559</v>
      </c>
      <c r="H5750" t="s">
        <v>36</v>
      </c>
      <c r="I5750" t="s">
        <v>19</v>
      </c>
      <c r="J5750" s="3" t="s">
        <v>29560</v>
      </c>
      <c r="K5750" t="s">
        <v>29561</v>
      </c>
      <c r="L5750" t="s">
        <v>3083</v>
      </c>
      <c r="M5750" t="s">
        <v>32145</v>
      </c>
    </row>
    <row r="5751" spans="1:13" x14ac:dyDescent="0.25">
      <c r="A5751" t="s">
        <v>28392</v>
      </c>
      <c r="B5751" t="s">
        <v>13</v>
      </c>
      <c r="C5751" t="s">
        <v>28389</v>
      </c>
      <c r="D5751" t="s">
        <v>28393</v>
      </c>
      <c r="E5751" t="s">
        <v>32703</v>
      </c>
      <c r="F5751" t="s">
        <v>129</v>
      </c>
      <c r="G5751" t="s">
        <v>28394</v>
      </c>
      <c r="H5751" t="s">
        <v>20776</v>
      </c>
      <c r="I5751" t="s">
        <v>19</v>
      </c>
      <c r="J5751" s="3" t="s">
        <v>28395</v>
      </c>
      <c r="K5751" t="s">
        <v>28396</v>
      </c>
      <c r="L5751" t="s">
        <v>28394</v>
      </c>
      <c r="M5751" t="s">
        <v>129</v>
      </c>
    </row>
    <row r="5752" spans="1:13" x14ac:dyDescent="0.25">
      <c r="A5752" t="s">
        <v>956</v>
      </c>
      <c r="B5752" t="s">
        <v>13</v>
      </c>
      <c r="C5752" s="1">
        <v>44816</v>
      </c>
      <c r="D5752" t="s">
        <v>957</v>
      </c>
      <c r="E5752" s="2" t="s">
        <v>32131</v>
      </c>
      <c r="F5752" t="s">
        <v>958</v>
      </c>
      <c r="G5752" t="s">
        <v>307</v>
      </c>
      <c r="H5752" t="s">
        <v>308</v>
      </c>
      <c r="I5752" t="s">
        <v>309</v>
      </c>
      <c r="J5752" s="3" t="s">
        <v>310</v>
      </c>
      <c r="K5752" t="s">
        <v>311</v>
      </c>
      <c r="L5752" t="s">
        <v>312</v>
      </c>
      <c r="M5752" t="s">
        <v>1775</v>
      </c>
    </row>
    <row r="5753" spans="1:13" x14ac:dyDescent="0.25">
      <c r="A5753" t="s">
        <v>24037</v>
      </c>
      <c r="B5753" t="s">
        <v>13</v>
      </c>
      <c r="C5753" s="1">
        <v>42893</v>
      </c>
      <c r="D5753" t="s">
        <v>24038</v>
      </c>
      <c r="E5753" t="s">
        <v>24039</v>
      </c>
      <c r="F5753" t="s">
        <v>1464</v>
      </c>
      <c r="G5753" t="s">
        <v>24040</v>
      </c>
      <c r="H5753" t="s">
        <v>1802</v>
      </c>
      <c r="I5753" t="s">
        <v>19</v>
      </c>
      <c r="J5753" s="3">
        <v>551432358332</v>
      </c>
      <c r="K5753" t="s">
        <v>24041</v>
      </c>
      <c r="L5753" t="s">
        <v>1805</v>
      </c>
      <c r="M5753" t="s">
        <v>792</v>
      </c>
    </row>
    <row r="5754" spans="1:13" x14ac:dyDescent="0.25">
      <c r="A5754" t="s">
        <v>22175</v>
      </c>
      <c r="B5754" t="s">
        <v>13</v>
      </c>
      <c r="C5754" t="s">
        <v>22153</v>
      </c>
      <c r="D5754" t="s">
        <v>22176</v>
      </c>
      <c r="E5754" t="s">
        <v>22177</v>
      </c>
      <c r="F5754" t="s">
        <v>1464</v>
      </c>
      <c r="G5754" t="s">
        <v>11459</v>
      </c>
      <c r="H5754" t="s">
        <v>1802</v>
      </c>
      <c r="I5754" t="s">
        <v>19</v>
      </c>
      <c r="J5754" s="3">
        <v>551432358332</v>
      </c>
      <c r="K5754" t="s">
        <v>11460</v>
      </c>
      <c r="L5754" t="s">
        <v>1805</v>
      </c>
      <c r="M5754" t="s">
        <v>792</v>
      </c>
    </row>
    <row r="5755" spans="1:13" x14ac:dyDescent="0.25">
      <c r="A5755" t="s">
        <v>14961</v>
      </c>
      <c r="B5755" t="s">
        <v>13</v>
      </c>
      <c r="C5755" t="s">
        <v>11826</v>
      </c>
      <c r="D5755" t="s">
        <v>14962</v>
      </c>
      <c r="E5755" t="s">
        <v>14963</v>
      </c>
      <c r="F5755" t="s">
        <v>2036</v>
      </c>
      <c r="G5755" t="s">
        <v>14964</v>
      </c>
      <c r="H5755" t="s">
        <v>798</v>
      </c>
      <c r="I5755" t="s">
        <v>19</v>
      </c>
      <c r="J5755" s="3">
        <v>5561996794277</v>
      </c>
      <c r="K5755" t="s">
        <v>14965</v>
      </c>
      <c r="L5755" t="s">
        <v>3770</v>
      </c>
      <c r="M5755" t="s">
        <v>57</v>
      </c>
    </row>
    <row r="5756" spans="1:13" x14ac:dyDescent="0.25">
      <c r="A5756" t="s">
        <v>23300</v>
      </c>
      <c r="B5756" t="s">
        <v>13</v>
      </c>
      <c r="C5756" t="s">
        <v>23294</v>
      </c>
      <c r="D5756" t="s">
        <v>23301</v>
      </c>
      <c r="E5756" s="2" t="s">
        <v>31487</v>
      </c>
      <c r="F5756" t="s">
        <v>1464</v>
      </c>
      <c r="G5756" t="s">
        <v>23302</v>
      </c>
      <c r="H5756" t="s">
        <v>409</v>
      </c>
      <c r="I5756" t="s">
        <v>19</v>
      </c>
      <c r="J5756" s="3" t="s">
        <v>23303</v>
      </c>
      <c r="K5756" t="s">
        <v>23304</v>
      </c>
      <c r="L5756" t="s">
        <v>412</v>
      </c>
      <c r="M5756" t="s">
        <v>1775</v>
      </c>
    </row>
    <row r="5757" spans="1:13" x14ac:dyDescent="0.25">
      <c r="A5757" t="s">
        <v>11720</v>
      </c>
      <c r="B5757" t="s">
        <v>13</v>
      </c>
      <c r="C5757" t="s">
        <v>11721</v>
      </c>
      <c r="D5757" t="s">
        <v>11722</v>
      </c>
      <c r="E5757" s="2" t="s">
        <v>31022</v>
      </c>
      <c r="F5757" t="s">
        <v>1464</v>
      </c>
      <c r="G5757" t="s">
        <v>11723</v>
      </c>
      <c r="H5757" t="s">
        <v>2842</v>
      </c>
      <c r="I5757" t="s">
        <v>19</v>
      </c>
      <c r="J5757" s="3">
        <v>4933217050</v>
      </c>
      <c r="K5757" t="s">
        <v>11724</v>
      </c>
      <c r="L5757" t="s">
        <v>11725</v>
      </c>
      <c r="M5757" t="s">
        <v>57</v>
      </c>
    </row>
    <row r="5758" spans="1:13" x14ac:dyDescent="0.25">
      <c r="A5758" t="s">
        <v>21451</v>
      </c>
      <c r="B5758" t="s">
        <v>13</v>
      </c>
      <c r="C5758" t="s">
        <v>9807</v>
      </c>
      <c r="D5758" t="s">
        <v>21452</v>
      </c>
      <c r="E5758" t="s">
        <v>21453</v>
      </c>
      <c r="F5758" t="s">
        <v>1775</v>
      </c>
      <c r="G5758" t="s">
        <v>21454</v>
      </c>
      <c r="H5758" t="s">
        <v>18</v>
      </c>
      <c r="I5758" t="s">
        <v>19</v>
      </c>
      <c r="J5758" s="3">
        <v>551935319306</v>
      </c>
      <c r="K5758" t="s">
        <v>11005</v>
      </c>
      <c r="L5758" t="s">
        <v>285</v>
      </c>
      <c r="M5758" t="s">
        <v>1775</v>
      </c>
    </row>
    <row r="5759" spans="1:13" x14ac:dyDescent="0.25">
      <c r="A5759" t="s">
        <v>13706</v>
      </c>
      <c r="B5759" t="s">
        <v>13</v>
      </c>
      <c r="C5759" s="1">
        <v>43984</v>
      </c>
      <c r="D5759" t="s">
        <v>13707</v>
      </c>
      <c r="E5759" t="s">
        <v>13708</v>
      </c>
      <c r="F5759" t="s">
        <v>2036</v>
      </c>
      <c r="G5759" t="s">
        <v>13709</v>
      </c>
      <c r="H5759" t="s">
        <v>444</v>
      </c>
      <c r="I5759" t="s">
        <v>19</v>
      </c>
      <c r="J5759" s="3" t="s">
        <v>13710</v>
      </c>
      <c r="K5759" t="s">
        <v>4601</v>
      </c>
      <c r="L5759" t="s">
        <v>1193</v>
      </c>
      <c r="M5759" t="s">
        <v>57</v>
      </c>
    </row>
    <row r="5760" spans="1:13" x14ac:dyDescent="0.25">
      <c r="A5760" t="s">
        <v>13564</v>
      </c>
      <c r="B5760" t="s">
        <v>13</v>
      </c>
      <c r="C5760" t="s">
        <v>13550</v>
      </c>
      <c r="D5760" t="s">
        <v>13565</v>
      </c>
      <c r="E5760" t="s">
        <v>13566</v>
      </c>
      <c r="F5760" t="s">
        <v>1464</v>
      </c>
      <c r="G5760" t="s">
        <v>13567</v>
      </c>
      <c r="H5760" t="s">
        <v>578</v>
      </c>
      <c r="I5760" t="s">
        <v>19</v>
      </c>
      <c r="J5760" s="3">
        <v>5592981958899</v>
      </c>
      <c r="K5760" t="s">
        <v>13568</v>
      </c>
      <c r="L5760" t="s">
        <v>678</v>
      </c>
      <c r="M5760" t="s">
        <v>32144</v>
      </c>
    </row>
    <row r="5761" spans="1:13" x14ac:dyDescent="0.25">
      <c r="A5761" t="s">
        <v>4252</v>
      </c>
      <c r="B5761" t="s">
        <v>13</v>
      </c>
      <c r="C5761" t="s">
        <v>4240</v>
      </c>
      <c r="D5761" t="s">
        <v>32135</v>
      </c>
      <c r="E5761" s="2" t="s">
        <v>31889</v>
      </c>
      <c r="F5761" t="s">
        <v>4253</v>
      </c>
      <c r="G5761" t="s">
        <v>4254</v>
      </c>
      <c r="H5761" t="s">
        <v>428</v>
      </c>
      <c r="I5761" t="s">
        <v>19</v>
      </c>
      <c r="J5761" s="3" t="s">
        <v>4255</v>
      </c>
      <c r="K5761" t="s">
        <v>4256</v>
      </c>
      <c r="L5761" t="s">
        <v>4257</v>
      </c>
      <c r="M5761" t="s">
        <v>32162</v>
      </c>
    </row>
    <row r="5762" spans="1:13" x14ac:dyDescent="0.25">
      <c r="A5762" t="s">
        <v>28482</v>
      </c>
      <c r="B5762" t="s">
        <v>13</v>
      </c>
      <c r="C5762" s="1">
        <v>42097</v>
      </c>
      <c r="D5762" t="s">
        <v>28483</v>
      </c>
      <c r="E5762" t="s">
        <v>28484</v>
      </c>
      <c r="F5762" t="s">
        <v>432</v>
      </c>
      <c r="G5762" t="s">
        <v>28485</v>
      </c>
      <c r="H5762" t="s">
        <v>352</v>
      </c>
      <c r="I5762" t="s">
        <v>19</v>
      </c>
      <c r="J5762" s="3" t="s">
        <v>28486</v>
      </c>
      <c r="K5762" t="s">
        <v>28487</v>
      </c>
      <c r="L5762" t="s">
        <v>28488</v>
      </c>
      <c r="M5762" t="s">
        <v>432</v>
      </c>
    </row>
    <row r="5763" spans="1:13" x14ac:dyDescent="0.25">
      <c r="A5763" t="s">
        <v>8773</v>
      </c>
      <c r="B5763" t="s">
        <v>13</v>
      </c>
      <c r="C5763" t="s">
        <v>8769</v>
      </c>
      <c r="D5763" t="s">
        <v>8774</v>
      </c>
      <c r="E5763" s="2" t="s">
        <v>32704</v>
      </c>
      <c r="G5763" t="s">
        <v>2632</v>
      </c>
      <c r="H5763" t="s">
        <v>28</v>
      </c>
      <c r="I5763" t="s">
        <v>19</v>
      </c>
      <c r="J5763" s="3">
        <f>55-32-21023117</f>
        <v>-21023094</v>
      </c>
      <c r="K5763" t="s">
        <v>8775</v>
      </c>
      <c r="L5763" t="s">
        <v>923</v>
      </c>
      <c r="M5763" t="s">
        <v>32144</v>
      </c>
    </row>
    <row r="5764" spans="1:13" x14ac:dyDescent="0.25">
      <c r="A5764" t="s">
        <v>18746</v>
      </c>
      <c r="B5764" t="s">
        <v>13</v>
      </c>
      <c r="C5764" t="s">
        <v>11801</v>
      </c>
      <c r="D5764" t="s">
        <v>18747</v>
      </c>
      <c r="E5764" t="s">
        <v>18748</v>
      </c>
      <c r="F5764" t="s">
        <v>1129</v>
      </c>
      <c r="G5764" t="s">
        <v>5391</v>
      </c>
      <c r="H5764" t="s">
        <v>36</v>
      </c>
      <c r="I5764" t="s">
        <v>19</v>
      </c>
      <c r="J5764" s="3" t="s">
        <v>18749</v>
      </c>
      <c r="K5764" t="s">
        <v>5393</v>
      </c>
      <c r="L5764" t="s">
        <v>223</v>
      </c>
      <c r="M5764" t="s">
        <v>224</v>
      </c>
    </row>
    <row r="5765" spans="1:13" x14ac:dyDescent="0.25">
      <c r="A5765" t="s">
        <v>6642</v>
      </c>
      <c r="B5765" t="s">
        <v>13</v>
      </c>
      <c r="C5765" t="s">
        <v>6625</v>
      </c>
      <c r="D5765" t="s">
        <v>6643</v>
      </c>
      <c r="E5765" s="2" t="s">
        <v>30902</v>
      </c>
      <c r="F5765" t="s">
        <v>224</v>
      </c>
      <c r="G5765" t="s">
        <v>6644</v>
      </c>
      <c r="H5765" t="s">
        <v>352</v>
      </c>
      <c r="I5765" t="s">
        <v>19</v>
      </c>
      <c r="J5765" s="3">
        <f>55-21-971876657</f>
        <v>-971876623</v>
      </c>
      <c r="K5765" t="s">
        <v>6645</v>
      </c>
      <c r="L5765" t="s">
        <v>32135</v>
      </c>
      <c r="M5765" t="s">
        <v>224</v>
      </c>
    </row>
    <row r="5766" spans="1:13" x14ac:dyDescent="0.25">
      <c r="A5766" t="s">
        <v>3861</v>
      </c>
      <c r="B5766" t="s">
        <v>13</v>
      </c>
      <c r="C5766" t="s">
        <v>3862</v>
      </c>
      <c r="D5766" t="s">
        <v>32135</v>
      </c>
      <c r="E5766" t="s">
        <v>3863</v>
      </c>
      <c r="F5766" t="s">
        <v>1373</v>
      </c>
      <c r="G5766" t="s">
        <v>3864</v>
      </c>
      <c r="H5766" t="s">
        <v>3865</v>
      </c>
      <c r="I5766" t="s">
        <v>19</v>
      </c>
      <c r="J5766" s="3">
        <v>5511993541608</v>
      </c>
      <c r="K5766" t="s">
        <v>3866</v>
      </c>
      <c r="L5766" t="s">
        <v>3867</v>
      </c>
      <c r="M5766" t="s">
        <v>32145</v>
      </c>
    </row>
    <row r="5767" spans="1:13" x14ac:dyDescent="0.25">
      <c r="A5767" t="s">
        <v>3131</v>
      </c>
      <c r="B5767" t="s">
        <v>13</v>
      </c>
      <c r="C5767" s="1">
        <v>44688</v>
      </c>
      <c r="D5767" t="s">
        <v>3132</v>
      </c>
      <c r="E5767" s="2" t="s">
        <v>30769</v>
      </c>
      <c r="F5767" t="s">
        <v>396</v>
      </c>
      <c r="G5767" t="s">
        <v>3133</v>
      </c>
      <c r="H5767" t="s">
        <v>893</v>
      </c>
      <c r="I5767" t="s">
        <v>19</v>
      </c>
      <c r="J5767" s="3" t="s">
        <v>3134</v>
      </c>
      <c r="K5767" t="s">
        <v>3135</v>
      </c>
      <c r="L5767" t="s">
        <v>896</v>
      </c>
      <c r="M5767" t="s">
        <v>32145</v>
      </c>
    </row>
    <row r="5768" spans="1:13" x14ac:dyDescent="0.25">
      <c r="A5768" t="s">
        <v>27597</v>
      </c>
      <c r="B5768" t="s">
        <v>13</v>
      </c>
      <c r="C5768" t="s">
        <v>27591</v>
      </c>
      <c r="D5768" t="s">
        <v>27598</v>
      </c>
      <c r="E5768" t="s">
        <v>22305</v>
      </c>
      <c r="F5768" t="s">
        <v>1464</v>
      </c>
      <c r="G5768" t="s">
        <v>10106</v>
      </c>
      <c r="H5768" t="s">
        <v>114</v>
      </c>
      <c r="I5768" t="s">
        <v>19</v>
      </c>
      <c r="J5768" s="3" t="s">
        <v>24902</v>
      </c>
      <c r="K5768" t="s">
        <v>24903</v>
      </c>
      <c r="L5768" t="s">
        <v>82</v>
      </c>
      <c r="M5768" t="s">
        <v>32147</v>
      </c>
    </row>
    <row r="5769" spans="1:13" x14ac:dyDescent="0.25">
      <c r="A5769" t="s">
        <v>22319</v>
      </c>
      <c r="B5769" t="s">
        <v>13</v>
      </c>
      <c r="C5769" s="1">
        <v>43133</v>
      </c>
      <c r="D5769" t="s">
        <v>22320</v>
      </c>
      <c r="E5769" t="s">
        <v>22305</v>
      </c>
      <c r="F5769" t="s">
        <v>1464</v>
      </c>
      <c r="G5769" t="s">
        <v>22306</v>
      </c>
      <c r="H5769" t="s">
        <v>114</v>
      </c>
      <c r="I5769" t="s">
        <v>19</v>
      </c>
      <c r="J5769" s="3">
        <v>5579988335320</v>
      </c>
      <c r="K5769" t="s">
        <v>22307</v>
      </c>
      <c r="L5769" t="s">
        <v>82</v>
      </c>
      <c r="M5769" t="s">
        <v>32147</v>
      </c>
    </row>
    <row r="5770" spans="1:13" x14ac:dyDescent="0.25">
      <c r="A5770" t="s">
        <v>22303</v>
      </c>
      <c r="B5770" t="s">
        <v>13</v>
      </c>
      <c r="C5770" s="1">
        <v>43222</v>
      </c>
      <c r="D5770" t="s">
        <v>22304</v>
      </c>
      <c r="E5770" t="s">
        <v>22305</v>
      </c>
      <c r="F5770" t="s">
        <v>1464</v>
      </c>
      <c r="G5770" t="s">
        <v>22306</v>
      </c>
      <c r="H5770" t="s">
        <v>114</v>
      </c>
      <c r="I5770" t="s">
        <v>19</v>
      </c>
      <c r="J5770" s="3">
        <v>5579988335320</v>
      </c>
      <c r="K5770" t="s">
        <v>22307</v>
      </c>
      <c r="L5770" t="s">
        <v>82</v>
      </c>
      <c r="M5770" t="s">
        <v>32147</v>
      </c>
    </row>
    <row r="5771" spans="1:13" x14ac:dyDescent="0.25">
      <c r="A5771" t="s">
        <v>8959</v>
      </c>
      <c r="B5771" t="s">
        <v>101</v>
      </c>
      <c r="C5771" s="1">
        <v>43873</v>
      </c>
      <c r="D5771" t="s">
        <v>8960</v>
      </c>
      <c r="E5771" s="2" t="s">
        <v>30964</v>
      </c>
      <c r="F5771" t="s">
        <v>1464</v>
      </c>
      <c r="G5771" t="s">
        <v>8961</v>
      </c>
      <c r="H5771" t="s">
        <v>36</v>
      </c>
      <c r="I5771" t="s">
        <v>19</v>
      </c>
      <c r="J5771" s="3" t="s">
        <v>8962</v>
      </c>
      <c r="K5771" t="s">
        <v>8963</v>
      </c>
      <c r="L5771" t="s">
        <v>8964</v>
      </c>
      <c r="M5771" t="s">
        <v>32147</v>
      </c>
    </row>
    <row r="5772" spans="1:13" x14ac:dyDescent="0.25">
      <c r="A5772" t="s">
        <v>21409</v>
      </c>
      <c r="B5772" t="s">
        <v>101</v>
      </c>
      <c r="C5772" t="s">
        <v>16294</v>
      </c>
      <c r="D5772" t="s">
        <v>21410</v>
      </c>
      <c r="E5772" t="s">
        <v>21411</v>
      </c>
      <c r="F5772" t="s">
        <v>57</v>
      </c>
      <c r="G5772" t="s">
        <v>21412</v>
      </c>
      <c r="H5772" t="s">
        <v>798</v>
      </c>
      <c r="I5772" t="s">
        <v>19</v>
      </c>
      <c r="J5772" s="3">
        <f>55-61-20285000</f>
        <v>-20285006</v>
      </c>
      <c r="K5772" t="s">
        <v>21413</v>
      </c>
      <c r="L5772" t="s">
        <v>21414</v>
      </c>
      <c r="M5772" t="s">
        <v>57</v>
      </c>
    </row>
    <row r="5773" spans="1:13" x14ac:dyDescent="0.25">
      <c r="A5773" t="s">
        <v>11517</v>
      </c>
      <c r="B5773" t="s">
        <v>13</v>
      </c>
      <c r="C5773" s="1">
        <v>43927</v>
      </c>
      <c r="D5773" t="s">
        <v>11518</v>
      </c>
      <c r="E5773" s="2" t="s">
        <v>31016</v>
      </c>
      <c r="F5773" t="s">
        <v>1432</v>
      </c>
      <c r="G5773" t="s">
        <v>11519</v>
      </c>
      <c r="H5773" t="s">
        <v>141</v>
      </c>
      <c r="I5773" t="s">
        <v>19</v>
      </c>
      <c r="J5773" s="3">
        <v>558232232478</v>
      </c>
      <c r="K5773" t="s">
        <v>1985</v>
      </c>
      <c r="L5773" t="s">
        <v>11519</v>
      </c>
      <c r="M5773" t="s">
        <v>1432</v>
      </c>
    </row>
    <row r="5774" spans="1:13" x14ac:dyDescent="0.25">
      <c r="A5774" t="s">
        <v>5444</v>
      </c>
      <c r="B5774" t="s">
        <v>13</v>
      </c>
      <c r="C5774" s="1">
        <v>44359</v>
      </c>
      <c r="D5774" t="s">
        <v>5445</v>
      </c>
      <c r="E5774" t="s">
        <v>5446</v>
      </c>
      <c r="F5774" t="s">
        <v>5447</v>
      </c>
      <c r="G5774" t="s">
        <v>5448</v>
      </c>
      <c r="H5774" t="s">
        <v>265</v>
      </c>
      <c r="I5774" t="s">
        <v>19</v>
      </c>
      <c r="J5774" s="3">
        <f>55-16-981178784</f>
        <v>-981178745</v>
      </c>
      <c r="K5774" t="s">
        <v>5449</v>
      </c>
      <c r="L5774" t="s">
        <v>32135</v>
      </c>
      <c r="M5774" t="s">
        <v>741</v>
      </c>
    </row>
    <row r="5775" spans="1:13" x14ac:dyDescent="0.25">
      <c r="A5775" t="s">
        <v>9195</v>
      </c>
      <c r="B5775" t="s">
        <v>101</v>
      </c>
      <c r="C5775" t="s">
        <v>3351</v>
      </c>
      <c r="D5775" t="s">
        <v>9196</v>
      </c>
      <c r="E5775" t="s">
        <v>9197</v>
      </c>
      <c r="F5775" t="s">
        <v>1190</v>
      </c>
      <c r="G5775" t="s">
        <v>9198</v>
      </c>
      <c r="H5775" t="s">
        <v>352</v>
      </c>
      <c r="I5775" t="s">
        <v>19</v>
      </c>
      <c r="J5775" s="3" t="s">
        <v>9199</v>
      </c>
      <c r="K5775" t="s">
        <v>9200</v>
      </c>
      <c r="L5775" t="s">
        <v>9201</v>
      </c>
      <c r="M5775" t="s">
        <v>432</v>
      </c>
    </row>
    <row r="5776" spans="1:13" x14ac:dyDescent="0.25">
      <c r="A5776" t="s">
        <v>7806</v>
      </c>
      <c r="B5776" t="s">
        <v>13</v>
      </c>
      <c r="C5776" s="1">
        <v>43227</v>
      </c>
      <c r="D5776" t="s">
        <v>7807</v>
      </c>
      <c r="E5776" t="s">
        <v>858</v>
      </c>
      <c r="F5776" t="s">
        <v>129</v>
      </c>
      <c r="G5776" t="s">
        <v>7808</v>
      </c>
      <c r="H5776" t="s">
        <v>36</v>
      </c>
      <c r="I5776" t="s">
        <v>19</v>
      </c>
      <c r="J5776" s="3">
        <v>551131710271</v>
      </c>
      <c r="K5776" t="s">
        <v>7809</v>
      </c>
      <c r="L5776" t="s">
        <v>3232</v>
      </c>
      <c r="M5776" t="s">
        <v>129</v>
      </c>
    </row>
    <row r="5777" spans="1:13" x14ac:dyDescent="0.25">
      <c r="A5777" t="s">
        <v>14321</v>
      </c>
      <c r="B5777" t="s">
        <v>13</v>
      </c>
      <c r="C5777" s="1">
        <v>44013</v>
      </c>
      <c r="D5777" t="s">
        <v>14322</v>
      </c>
      <c r="E5777" t="s">
        <v>14323</v>
      </c>
      <c r="F5777" t="s">
        <v>129</v>
      </c>
      <c r="G5777" t="s">
        <v>14324</v>
      </c>
      <c r="H5777" t="s">
        <v>36</v>
      </c>
      <c r="I5777" t="s">
        <v>19</v>
      </c>
      <c r="J5777" s="3" t="s">
        <v>14325</v>
      </c>
      <c r="K5777" t="s">
        <v>14326</v>
      </c>
      <c r="L5777" t="s">
        <v>14327</v>
      </c>
      <c r="M5777" t="s">
        <v>129</v>
      </c>
    </row>
    <row r="5778" spans="1:13" x14ac:dyDescent="0.25">
      <c r="A5778" t="s">
        <v>14473</v>
      </c>
      <c r="B5778" t="s">
        <v>13</v>
      </c>
      <c r="C5778" t="s">
        <v>14435</v>
      </c>
      <c r="D5778" t="s">
        <v>14474</v>
      </c>
      <c r="E5778" t="s">
        <v>858</v>
      </c>
      <c r="F5778" t="s">
        <v>8193</v>
      </c>
      <c r="G5778" t="s">
        <v>5319</v>
      </c>
      <c r="H5778" t="s">
        <v>195</v>
      </c>
      <c r="I5778" t="s">
        <v>19</v>
      </c>
      <c r="J5778" s="3" t="s">
        <v>14475</v>
      </c>
      <c r="K5778" t="s">
        <v>14476</v>
      </c>
      <c r="L5778" t="s">
        <v>197</v>
      </c>
      <c r="M5778" t="s">
        <v>129</v>
      </c>
    </row>
    <row r="5779" spans="1:13" x14ac:dyDescent="0.25">
      <c r="A5779" t="s">
        <v>856</v>
      </c>
      <c r="B5779" t="s">
        <v>13</v>
      </c>
      <c r="C5779" t="s">
        <v>849</v>
      </c>
      <c r="D5779" t="s">
        <v>857</v>
      </c>
      <c r="E5779" t="s">
        <v>858</v>
      </c>
      <c r="F5779" t="s">
        <v>859</v>
      </c>
      <c r="G5779" t="s">
        <v>860</v>
      </c>
      <c r="H5779" t="s">
        <v>615</v>
      </c>
      <c r="I5779" t="s">
        <v>19</v>
      </c>
      <c r="J5779" s="3" t="s">
        <v>861</v>
      </c>
      <c r="K5779" t="s">
        <v>862</v>
      </c>
      <c r="L5779" t="s">
        <v>618</v>
      </c>
      <c r="M5779" t="s">
        <v>57</v>
      </c>
    </row>
    <row r="5780" spans="1:13" x14ac:dyDescent="0.25">
      <c r="A5780" t="s">
        <v>11790</v>
      </c>
      <c r="B5780" t="s">
        <v>101</v>
      </c>
      <c r="C5780" t="s">
        <v>5698</v>
      </c>
      <c r="D5780" t="s">
        <v>11791</v>
      </c>
      <c r="E5780" s="2" t="s">
        <v>32082</v>
      </c>
      <c r="F5780" t="s">
        <v>1934</v>
      </c>
      <c r="G5780" t="s">
        <v>11792</v>
      </c>
      <c r="H5780" t="s">
        <v>36</v>
      </c>
      <c r="I5780" t="s">
        <v>19</v>
      </c>
      <c r="J5780" s="3">
        <f>55-11-5576-4848</f>
        <v>-10380</v>
      </c>
      <c r="K5780" t="s">
        <v>11793</v>
      </c>
      <c r="L5780" t="s">
        <v>439</v>
      </c>
      <c r="M5780" t="s">
        <v>129</v>
      </c>
    </row>
    <row r="5781" spans="1:13" x14ac:dyDescent="0.25">
      <c r="A5781" t="s">
        <v>27879</v>
      </c>
      <c r="B5781" t="s">
        <v>13</v>
      </c>
      <c r="C5781" s="1">
        <v>42070</v>
      </c>
      <c r="D5781" t="s">
        <v>27880</v>
      </c>
      <c r="E5781" t="s">
        <v>32705</v>
      </c>
      <c r="F5781" t="s">
        <v>8193</v>
      </c>
      <c r="G5781" t="s">
        <v>27881</v>
      </c>
      <c r="H5781" t="s">
        <v>18</v>
      </c>
      <c r="I5781" t="s">
        <v>19</v>
      </c>
      <c r="J5781" s="3" t="s">
        <v>27882</v>
      </c>
      <c r="K5781" t="s">
        <v>27883</v>
      </c>
      <c r="L5781" t="s">
        <v>27884</v>
      </c>
      <c r="M5781" t="s">
        <v>32159</v>
      </c>
    </row>
    <row r="5782" spans="1:13" x14ac:dyDescent="0.25">
      <c r="A5782" t="s">
        <v>1296</v>
      </c>
      <c r="B5782" t="s">
        <v>13</v>
      </c>
      <c r="C5782" t="s">
        <v>1278</v>
      </c>
      <c r="D5782" t="s">
        <v>1297</v>
      </c>
      <c r="E5782" t="s">
        <v>1298</v>
      </c>
      <c r="F5782" t="s">
        <v>1299</v>
      </c>
      <c r="G5782" t="s">
        <v>1300</v>
      </c>
      <c r="H5782" t="s">
        <v>1301</v>
      </c>
      <c r="I5782" t="s">
        <v>19</v>
      </c>
      <c r="J5782" s="3">
        <f>55-11-55760816</f>
        <v>-55760772</v>
      </c>
      <c r="K5782" t="s">
        <v>1302</v>
      </c>
      <c r="L5782" t="s">
        <v>1303</v>
      </c>
      <c r="M5782" t="s">
        <v>771</v>
      </c>
    </row>
    <row r="5783" spans="1:13" x14ac:dyDescent="0.25">
      <c r="A5783" t="s">
        <v>17730</v>
      </c>
      <c r="B5783" t="s">
        <v>13</v>
      </c>
      <c r="C5783" t="s">
        <v>17726</v>
      </c>
      <c r="D5783" t="s">
        <v>17731</v>
      </c>
      <c r="E5783" t="s">
        <v>17732</v>
      </c>
      <c r="F5783" t="s">
        <v>771</v>
      </c>
      <c r="G5783" t="s">
        <v>17733</v>
      </c>
      <c r="H5783" t="s">
        <v>36</v>
      </c>
      <c r="I5783" t="s">
        <v>19</v>
      </c>
      <c r="J5783" s="3" t="s">
        <v>17734</v>
      </c>
      <c r="K5783" t="s">
        <v>17735</v>
      </c>
      <c r="L5783" t="s">
        <v>2768</v>
      </c>
      <c r="M5783" t="s">
        <v>771</v>
      </c>
    </row>
    <row r="5784" spans="1:13" x14ac:dyDescent="0.25">
      <c r="A5784" t="s">
        <v>14400</v>
      </c>
      <c r="B5784" t="s">
        <v>13</v>
      </c>
      <c r="C5784" t="s">
        <v>14401</v>
      </c>
      <c r="D5784" t="s">
        <v>14402</v>
      </c>
      <c r="E5784" t="s">
        <v>14403</v>
      </c>
      <c r="F5784" t="s">
        <v>8193</v>
      </c>
      <c r="G5784" t="s">
        <v>14404</v>
      </c>
      <c r="H5784" t="s">
        <v>428</v>
      </c>
      <c r="I5784" t="s">
        <v>19</v>
      </c>
      <c r="J5784" s="3">
        <v>5133536031</v>
      </c>
      <c r="K5784" t="s">
        <v>14405</v>
      </c>
      <c r="L5784" t="s">
        <v>14406</v>
      </c>
      <c r="M5784" t="s">
        <v>129</v>
      </c>
    </row>
    <row r="5785" spans="1:13" x14ac:dyDescent="0.25">
      <c r="A5785" t="s">
        <v>30292</v>
      </c>
      <c r="B5785" t="s">
        <v>13</v>
      </c>
      <c r="C5785" s="1">
        <v>40910</v>
      </c>
      <c r="D5785" t="s">
        <v>30293</v>
      </c>
      <c r="E5785" t="s">
        <v>30294</v>
      </c>
      <c r="F5785" t="s">
        <v>129</v>
      </c>
      <c r="G5785" t="s">
        <v>30295</v>
      </c>
      <c r="H5785" t="s">
        <v>428</v>
      </c>
      <c r="I5785" t="s">
        <v>19</v>
      </c>
      <c r="J5785" s="3">
        <v>5133598000</v>
      </c>
      <c r="K5785" t="s">
        <v>30296</v>
      </c>
      <c r="L5785" t="s">
        <v>30297</v>
      </c>
      <c r="M5785" t="s">
        <v>129</v>
      </c>
    </row>
    <row r="5786" spans="1:13" x14ac:dyDescent="0.25">
      <c r="A5786" t="s">
        <v>8288</v>
      </c>
      <c r="B5786" t="s">
        <v>13</v>
      </c>
      <c r="C5786" s="1">
        <v>44318</v>
      </c>
      <c r="D5786" t="s">
        <v>8289</v>
      </c>
      <c r="E5786" t="s">
        <v>8290</v>
      </c>
      <c r="F5786" t="s">
        <v>8291</v>
      </c>
      <c r="G5786" t="s">
        <v>8292</v>
      </c>
      <c r="H5786" t="s">
        <v>36</v>
      </c>
      <c r="I5786" t="s">
        <v>19</v>
      </c>
      <c r="J5786" s="3" t="s">
        <v>8293</v>
      </c>
      <c r="K5786" t="s">
        <v>8294</v>
      </c>
      <c r="L5786" t="s">
        <v>8295</v>
      </c>
      <c r="M5786" t="s">
        <v>1349</v>
      </c>
    </row>
    <row r="5787" spans="1:13" x14ac:dyDescent="0.25">
      <c r="A5787" t="s">
        <v>7434</v>
      </c>
      <c r="B5787" t="s">
        <v>13</v>
      </c>
      <c r="C5787" t="s">
        <v>7041</v>
      </c>
      <c r="D5787" t="s">
        <v>32135</v>
      </c>
      <c r="E5787" t="s">
        <v>7435</v>
      </c>
      <c r="F5787" t="s">
        <v>7435</v>
      </c>
      <c r="G5787" t="s">
        <v>7436</v>
      </c>
      <c r="H5787" t="s">
        <v>753</v>
      </c>
      <c r="I5787" t="s">
        <v>19</v>
      </c>
      <c r="J5787" s="3">
        <v>55067992929345</v>
      </c>
      <c r="K5787" t="s">
        <v>7437</v>
      </c>
      <c r="L5787" t="s">
        <v>32135</v>
      </c>
      <c r="M5787" t="s">
        <v>129</v>
      </c>
    </row>
    <row r="5788" spans="1:13" x14ac:dyDescent="0.25">
      <c r="A5788" t="s">
        <v>4719</v>
      </c>
      <c r="B5788" t="s">
        <v>13</v>
      </c>
      <c r="C5788" t="s">
        <v>4709</v>
      </c>
      <c r="D5788" t="s">
        <v>4720</v>
      </c>
      <c r="E5788" t="s">
        <v>4721</v>
      </c>
      <c r="F5788" t="s">
        <v>129</v>
      </c>
      <c r="G5788" t="s">
        <v>4722</v>
      </c>
      <c r="H5788" t="s">
        <v>28</v>
      </c>
      <c r="I5788" t="s">
        <v>19</v>
      </c>
      <c r="J5788" s="3">
        <v>5532988016630</v>
      </c>
      <c r="K5788" t="s">
        <v>4723</v>
      </c>
      <c r="L5788" t="s">
        <v>2012</v>
      </c>
      <c r="M5788" t="s">
        <v>129</v>
      </c>
    </row>
    <row r="5789" spans="1:13" x14ac:dyDescent="0.25">
      <c r="A5789" t="s">
        <v>19110</v>
      </c>
      <c r="B5789" t="s">
        <v>13</v>
      </c>
      <c r="C5789" t="s">
        <v>19111</v>
      </c>
      <c r="D5789" t="s">
        <v>19112</v>
      </c>
      <c r="E5789" t="s">
        <v>19113</v>
      </c>
      <c r="F5789" t="s">
        <v>8193</v>
      </c>
      <c r="G5789" t="s">
        <v>19114</v>
      </c>
      <c r="H5789" t="s">
        <v>798</v>
      </c>
      <c r="I5789" t="s">
        <v>19</v>
      </c>
      <c r="J5789" s="3" t="s">
        <v>19115</v>
      </c>
      <c r="K5789" t="s">
        <v>19116</v>
      </c>
      <c r="L5789" t="s">
        <v>9743</v>
      </c>
      <c r="M5789" t="s">
        <v>129</v>
      </c>
    </row>
    <row r="5790" spans="1:13" x14ac:dyDescent="0.25">
      <c r="A5790" t="s">
        <v>10744</v>
      </c>
      <c r="B5790" t="s">
        <v>13</v>
      </c>
      <c r="C5790" t="s">
        <v>10729</v>
      </c>
      <c r="D5790" t="s">
        <v>10745</v>
      </c>
      <c r="E5790" t="s">
        <v>4721</v>
      </c>
      <c r="F5790" t="s">
        <v>8193</v>
      </c>
      <c r="G5790" t="s">
        <v>10746</v>
      </c>
      <c r="H5790" t="s">
        <v>706</v>
      </c>
      <c r="I5790" t="s">
        <v>19</v>
      </c>
      <c r="J5790" s="3" t="s">
        <v>10747</v>
      </c>
      <c r="K5790" t="s">
        <v>10748</v>
      </c>
      <c r="L5790" t="s">
        <v>10749</v>
      </c>
      <c r="M5790" t="s">
        <v>129</v>
      </c>
    </row>
    <row r="5791" spans="1:13" x14ac:dyDescent="0.25">
      <c r="A5791" t="s">
        <v>13181</v>
      </c>
      <c r="B5791" t="s">
        <v>13</v>
      </c>
      <c r="C5791" s="1">
        <v>43954</v>
      </c>
      <c r="D5791" t="s">
        <v>13182</v>
      </c>
      <c r="E5791" t="s">
        <v>1787</v>
      </c>
      <c r="F5791" t="s">
        <v>10034</v>
      </c>
      <c r="G5791" t="s">
        <v>13183</v>
      </c>
      <c r="H5791" t="s">
        <v>255</v>
      </c>
      <c r="I5791" t="s">
        <v>19</v>
      </c>
      <c r="J5791" s="3">
        <v>62998364562</v>
      </c>
      <c r="K5791" t="s">
        <v>13184</v>
      </c>
      <c r="L5791" t="s">
        <v>2467</v>
      </c>
      <c r="M5791" t="s">
        <v>741</v>
      </c>
    </row>
    <row r="5792" spans="1:13" x14ac:dyDescent="0.25">
      <c r="A5792" t="s">
        <v>15361</v>
      </c>
      <c r="B5792" t="s">
        <v>13</v>
      </c>
      <c r="C5792" t="s">
        <v>15332</v>
      </c>
      <c r="D5792" t="s">
        <v>15362</v>
      </c>
      <c r="E5792" t="s">
        <v>1787</v>
      </c>
      <c r="F5792" t="s">
        <v>129</v>
      </c>
      <c r="G5792" t="s">
        <v>4091</v>
      </c>
      <c r="H5792" t="s">
        <v>4092</v>
      </c>
      <c r="I5792" t="s">
        <v>19</v>
      </c>
      <c r="J5792" s="3">
        <f>55-14-34021300</f>
        <v>-34021259</v>
      </c>
      <c r="K5792" t="s">
        <v>4093</v>
      </c>
      <c r="L5792" t="s">
        <v>4094</v>
      </c>
      <c r="M5792" t="s">
        <v>129</v>
      </c>
    </row>
    <row r="5793" spans="1:13" x14ac:dyDescent="0.25">
      <c r="A5793" t="s">
        <v>198</v>
      </c>
      <c r="B5793" t="s">
        <v>13</v>
      </c>
      <c r="C5793" t="s">
        <v>199</v>
      </c>
      <c r="D5793" t="s">
        <v>200</v>
      </c>
      <c r="E5793" t="s">
        <v>201</v>
      </c>
      <c r="F5793" t="s">
        <v>202</v>
      </c>
      <c r="G5793" t="s">
        <v>203</v>
      </c>
      <c r="H5793" t="s">
        <v>36</v>
      </c>
      <c r="I5793" t="s">
        <v>19</v>
      </c>
      <c r="J5793" s="3" t="s">
        <v>204</v>
      </c>
      <c r="K5793" t="s">
        <v>205</v>
      </c>
      <c r="L5793" t="s">
        <v>206</v>
      </c>
      <c r="M5793" t="s">
        <v>129</v>
      </c>
    </row>
    <row r="5794" spans="1:13" x14ac:dyDescent="0.25">
      <c r="A5794" t="s">
        <v>22894</v>
      </c>
      <c r="B5794" t="s">
        <v>13</v>
      </c>
      <c r="C5794" t="s">
        <v>17176</v>
      </c>
      <c r="D5794" t="s">
        <v>22895</v>
      </c>
      <c r="E5794" t="s">
        <v>201</v>
      </c>
      <c r="F5794" t="s">
        <v>8193</v>
      </c>
      <c r="G5794" t="s">
        <v>22896</v>
      </c>
      <c r="H5794" t="s">
        <v>22897</v>
      </c>
      <c r="I5794" t="s">
        <v>19</v>
      </c>
      <c r="J5794" s="3" t="s">
        <v>22898</v>
      </c>
      <c r="K5794" t="s">
        <v>22899</v>
      </c>
      <c r="L5794" t="s">
        <v>16887</v>
      </c>
      <c r="M5794" t="s">
        <v>129</v>
      </c>
    </row>
    <row r="5795" spans="1:13" x14ac:dyDescent="0.25">
      <c r="A5795" t="s">
        <v>29510</v>
      </c>
      <c r="B5795" t="s">
        <v>13</v>
      </c>
      <c r="C5795" s="1">
        <v>41463</v>
      </c>
      <c r="D5795" t="s">
        <v>29511</v>
      </c>
      <c r="E5795" t="s">
        <v>1787</v>
      </c>
      <c r="F5795" t="s">
        <v>8193</v>
      </c>
      <c r="G5795" t="s">
        <v>13863</v>
      </c>
      <c r="H5795" t="s">
        <v>195</v>
      </c>
      <c r="I5795" t="s">
        <v>19</v>
      </c>
      <c r="J5795" s="3" t="s">
        <v>29512</v>
      </c>
      <c r="K5795" t="s">
        <v>13865</v>
      </c>
      <c r="L5795" t="s">
        <v>197</v>
      </c>
      <c r="M5795" t="s">
        <v>129</v>
      </c>
    </row>
    <row r="5796" spans="1:13" x14ac:dyDescent="0.25">
      <c r="A5796" t="s">
        <v>30483</v>
      </c>
      <c r="B5796" t="s">
        <v>13</v>
      </c>
      <c r="C5796" s="1">
        <v>40706</v>
      </c>
      <c r="D5796" t="s">
        <v>30484</v>
      </c>
      <c r="E5796" t="s">
        <v>201</v>
      </c>
      <c r="F5796" t="s">
        <v>8193</v>
      </c>
      <c r="G5796" t="s">
        <v>19815</v>
      </c>
      <c r="H5796" t="s">
        <v>428</v>
      </c>
      <c r="I5796" t="s">
        <v>19</v>
      </c>
      <c r="J5796" s="3" t="s">
        <v>30485</v>
      </c>
      <c r="K5796" t="s">
        <v>19817</v>
      </c>
      <c r="L5796" t="s">
        <v>19818</v>
      </c>
      <c r="M5796" t="s">
        <v>129</v>
      </c>
    </row>
    <row r="5797" spans="1:13" x14ac:dyDescent="0.25">
      <c r="A5797" t="s">
        <v>30436</v>
      </c>
      <c r="B5797" t="s">
        <v>13</v>
      </c>
      <c r="C5797" s="1">
        <v>41000</v>
      </c>
      <c r="D5797" t="s">
        <v>30437</v>
      </c>
      <c r="E5797" t="s">
        <v>201</v>
      </c>
      <c r="F5797" t="s">
        <v>8193</v>
      </c>
      <c r="G5797" t="s">
        <v>30438</v>
      </c>
      <c r="H5797" t="s">
        <v>195</v>
      </c>
      <c r="I5797" t="s">
        <v>19</v>
      </c>
      <c r="J5797" s="3" t="s">
        <v>30439</v>
      </c>
      <c r="K5797" t="s">
        <v>30440</v>
      </c>
      <c r="L5797" t="s">
        <v>1606</v>
      </c>
      <c r="M5797" t="s">
        <v>129</v>
      </c>
    </row>
    <row r="5798" spans="1:13" x14ac:dyDescent="0.25">
      <c r="A5798" t="s">
        <v>21076</v>
      </c>
      <c r="B5798" t="s">
        <v>13</v>
      </c>
      <c r="C5798" t="s">
        <v>16610</v>
      </c>
      <c r="D5798" t="s">
        <v>21077</v>
      </c>
      <c r="E5798" t="s">
        <v>201</v>
      </c>
      <c r="F5798" t="s">
        <v>8193</v>
      </c>
      <c r="G5798" t="s">
        <v>21078</v>
      </c>
      <c r="H5798" t="s">
        <v>503</v>
      </c>
      <c r="I5798" t="s">
        <v>19</v>
      </c>
      <c r="J5798" s="3">
        <v>5548984147815</v>
      </c>
      <c r="K5798" t="s">
        <v>21079</v>
      </c>
      <c r="L5798" t="s">
        <v>412</v>
      </c>
      <c r="M5798" t="s">
        <v>129</v>
      </c>
    </row>
    <row r="5799" spans="1:13" x14ac:dyDescent="0.25">
      <c r="A5799" t="s">
        <v>22817</v>
      </c>
      <c r="B5799" t="s">
        <v>13</v>
      </c>
      <c r="C5799" t="s">
        <v>22753</v>
      </c>
      <c r="D5799" t="s">
        <v>22818</v>
      </c>
      <c r="E5799" t="s">
        <v>20451</v>
      </c>
      <c r="F5799" t="s">
        <v>8193</v>
      </c>
      <c r="G5799" t="s">
        <v>22819</v>
      </c>
      <c r="H5799" t="s">
        <v>8003</v>
      </c>
      <c r="I5799" t="s">
        <v>19</v>
      </c>
      <c r="J5799" s="3">
        <f>55-51-32893000</f>
        <v>-32892996</v>
      </c>
      <c r="K5799" t="s">
        <v>22820</v>
      </c>
      <c r="L5799" t="s">
        <v>22821</v>
      </c>
      <c r="M5799" t="s">
        <v>129</v>
      </c>
    </row>
    <row r="5800" spans="1:13" x14ac:dyDescent="0.25">
      <c r="A5800" t="s">
        <v>13213</v>
      </c>
      <c r="B5800" t="s">
        <v>13</v>
      </c>
      <c r="C5800" s="1">
        <v>43924</v>
      </c>
      <c r="D5800" t="s">
        <v>13214</v>
      </c>
      <c r="E5800" t="s">
        <v>1787</v>
      </c>
      <c r="F5800" t="s">
        <v>8193</v>
      </c>
      <c r="G5800" t="s">
        <v>13215</v>
      </c>
      <c r="H5800" t="s">
        <v>428</v>
      </c>
      <c r="I5800" t="s">
        <v>19</v>
      </c>
      <c r="J5800" s="3">
        <f>55-53-981250478</f>
        <v>-981250476</v>
      </c>
      <c r="K5800" t="s">
        <v>13216</v>
      </c>
      <c r="L5800" t="s">
        <v>5709</v>
      </c>
      <c r="M5800" t="s">
        <v>129</v>
      </c>
    </row>
    <row r="5801" spans="1:13" x14ac:dyDescent="0.25">
      <c r="A5801" t="s">
        <v>16566</v>
      </c>
      <c r="B5801" t="s">
        <v>13</v>
      </c>
      <c r="C5801" s="1">
        <v>43654</v>
      </c>
      <c r="D5801" t="s">
        <v>16567</v>
      </c>
      <c r="E5801" t="s">
        <v>1787</v>
      </c>
      <c r="F5801" t="s">
        <v>1464</v>
      </c>
      <c r="G5801" t="s">
        <v>16568</v>
      </c>
      <c r="H5801" t="s">
        <v>352</v>
      </c>
      <c r="I5801" t="s">
        <v>19</v>
      </c>
      <c r="J5801" s="3" t="s">
        <v>16569</v>
      </c>
      <c r="K5801" t="s">
        <v>16570</v>
      </c>
      <c r="L5801" t="s">
        <v>16571</v>
      </c>
      <c r="M5801" t="s">
        <v>129</v>
      </c>
    </row>
    <row r="5802" spans="1:13" x14ac:dyDescent="0.25">
      <c r="A5802" t="s">
        <v>25472</v>
      </c>
      <c r="B5802" t="s">
        <v>13</v>
      </c>
      <c r="C5802" t="s">
        <v>25473</v>
      </c>
      <c r="D5802" t="s">
        <v>25474</v>
      </c>
      <c r="E5802" t="s">
        <v>201</v>
      </c>
      <c r="F5802" t="s">
        <v>1464</v>
      </c>
      <c r="G5802" t="s">
        <v>25475</v>
      </c>
      <c r="H5802" t="s">
        <v>428</v>
      </c>
      <c r="I5802" t="s">
        <v>19</v>
      </c>
      <c r="J5802" s="3" t="s">
        <v>25476</v>
      </c>
      <c r="K5802" t="s">
        <v>25477</v>
      </c>
      <c r="L5802" t="s">
        <v>5709</v>
      </c>
      <c r="M5802" t="s">
        <v>129</v>
      </c>
    </row>
    <row r="5803" spans="1:13" x14ac:dyDescent="0.25">
      <c r="A5803" t="s">
        <v>17193</v>
      </c>
      <c r="B5803" t="s">
        <v>13</v>
      </c>
      <c r="C5803" s="1">
        <v>43652</v>
      </c>
      <c r="D5803" t="s">
        <v>17194</v>
      </c>
      <c r="E5803" t="s">
        <v>1787</v>
      </c>
      <c r="F5803" t="s">
        <v>1464</v>
      </c>
      <c r="G5803" t="s">
        <v>17195</v>
      </c>
      <c r="H5803" t="s">
        <v>1072</v>
      </c>
      <c r="I5803" t="s">
        <v>19</v>
      </c>
      <c r="J5803" s="3" t="s">
        <v>17196</v>
      </c>
      <c r="K5803" t="s">
        <v>17197</v>
      </c>
      <c r="L5803" t="s">
        <v>91</v>
      </c>
      <c r="M5803" t="s">
        <v>129</v>
      </c>
    </row>
    <row r="5804" spans="1:13" x14ac:dyDescent="0.25">
      <c r="A5804" t="s">
        <v>1785</v>
      </c>
      <c r="B5804" t="s">
        <v>13</v>
      </c>
      <c r="C5804" s="1">
        <v>44844</v>
      </c>
      <c r="D5804" t="s">
        <v>1786</v>
      </c>
      <c r="E5804" t="s">
        <v>1787</v>
      </c>
      <c r="F5804" t="s">
        <v>1788</v>
      </c>
      <c r="G5804" t="s">
        <v>1789</v>
      </c>
      <c r="H5804" t="s">
        <v>615</v>
      </c>
      <c r="I5804" t="s">
        <v>19</v>
      </c>
      <c r="J5804" s="3" t="s">
        <v>1790</v>
      </c>
      <c r="K5804" t="s">
        <v>1791</v>
      </c>
      <c r="L5804" t="s">
        <v>618</v>
      </c>
      <c r="M5804" t="s">
        <v>129</v>
      </c>
    </row>
    <row r="5805" spans="1:13" x14ac:dyDescent="0.25">
      <c r="A5805" t="s">
        <v>13989</v>
      </c>
      <c r="B5805" t="s">
        <v>13</v>
      </c>
      <c r="C5805" t="s">
        <v>6128</v>
      </c>
      <c r="D5805" t="s">
        <v>13990</v>
      </c>
      <c r="E5805" t="s">
        <v>13991</v>
      </c>
      <c r="F5805" t="s">
        <v>10546</v>
      </c>
      <c r="G5805" t="s">
        <v>13992</v>
      </c>
      <c r="H5805" t="s">
        <v>428</v>
      </c>
      <c r="I5805" t="s">
        <v>19</v>
      </c>
      <c r="J5805" s="3">
        <v>5551998840673</v>
      </c>
      <c r="K5805" t="s">
        <v>13993</v>
      </c>
      <c r="L5805" t="s">
        <v>1113</v>
      </c>
      <c r="M5805" t="s">
        <v>129</v>
      </c>
    </row>
    <row r="5806" spans="1:13" x14ac:dyDescent="0.25">
      <c r="A5806" t="s">
        <v>26963</v>
      </c>
      <c r="B5806" t="s">
        <v>13</v>
      </c>
      <c r="C5806" t="s">
        <v>26964</v>
      </c>
      <c r="D5806" t="s">
        <v>26965</v>
      </c>
      <c r="E5806" t="s">
        <v>32706</v>
      </c>
      <c r="F5806" t="s">
        <v>8193</v>
      </c>
      <c r="G5806" t="s">
        <v>26966</v>
      </c>
      <c r="H5806" t="s">
        <v>26967</v>
      </c>
      <c r="I5806" t="s">
        <v>19</v>
      </c>
      <c r="J5806" s="3" t="s">
        <v>26968</v>
      </c>
      <c r="K5806" t="s">
        <v>26969</v>
      </c>
      <c r="L5806" t="s">
        <v>26970</v>
      </c>
      <c r="M5806" t="s">
        <v>129</v>
      </c>
    </row>
    <row r="5807" spans="1:13" x14ac:dyDescent="0.25">
      <c r="A5807" t="s">
        <v>28573</v>
      </c>
      <c r="B5807" t="s">
        <v>13</v>
      </c>
      <c r="C5807" t="s">
        <v>28567</v>
      </c>
      <c r="D5807" t="s">
        <v>28574</v>
      </c>
      <c r="E5807" t="s">
        <v>28575</v>
      </c>
      <c r="F5807" t="s">
        <v>1464</v>
      </c>
      <c r="G5807" t="s">
        <v>28576</v>
      </c>
      <c r="H5807" t="s">
        <v>36</v>
      </c>
      <c r="I5807" t="s">
        <v>19</v>
      </c>
      <c r="J5807" s="3" t="s">
        <v>28577</v>
      </c>
      <c r="K5807" t="s">
        <v>28578</v>
      </c>
      <c r="L5807" t="s">
        <v>9723</v>
      </c>
      <c r="M5807" t="s">
        <v>32121</v>
      </c>
    </row>
    <row r="5808" spans="1:13" x14ac:dyDescent="0.25">
      <c r="A5808" t="s">
        <v>21064</v>
      </c>
      <c r="B5808" t="s">
        <v>101</v>
      </c>
      <c r="C5808" t="s">
        <v>16610</v>
      </c>
      <c r="D5808" t="s">
        <v>21065</v>
      </c>
      <c r="E5808" s="2" t="s">
        <v>31967</v>
      </c>
      <c r="F5808" t="s">
        <v>129</v>
      </c>
      <c r="G5808" t="s">
        <v>16218</v>
      </c>
      <c r="H5808" t="s">
        <v>17405</v>
      </c>
      <c r="I5808" t="s">
        <v>19</v>
      </c>
      <c r="J5808" s="3">
        <f>55-11-991924774</f>
        <v>-991924730</v>
      </c>
      <c r="K5808" t="s">
        <v>16220</v>
      </c>
      <c r="L5808" t="s">
        <v>1851</v>
      </c>
      <c r="M5808" t="s">
        <v>129</v>
      </c>
    </row>
    <row r="5809" spans="1:13" x14ac:dyDescent="0.25">
      <c r="A5809" t="s">
        <v>25091</v>
      </c>
      <c r="B5809" t="s">
        <v>13</v>
      </c>
      <c r="C5809" t="s">
        <v>25089</v>
      </c>
      <c r="D5809" t="s">
        <v>25092</v>
      </c>
      <c r="E5809" t="s">
        <v>25093</v>
      </c>
      <c r="F5809" t="s">
        <v>8193</v>
      </c>
      <c r="G5809" t="s">
        <v>19815</v>
      </c>
      <c r="H5809" t="s">
        <v>428</v>
      </c>
      <c r="I5809" t="s">
        <v>19</v>
      </c>
      <c r="J5809" s="3" t="s">
        <v>19816</v>
      </c>
      <c r="K5809" t="s">
        <v>19817</v>
      </c>
      <c r="L5809" t="s">
        <v>19818</v>
      </c>
      <c r="M5809" t="s">
        <v>32145</v>
      </c>
    </row>
    <row r="5810" spans="1:13" x14ac:dyDescent="0.25">
      <c r="A5810" t="s">
        <v>22121</v>
      </c>
      <c r="B5810" t="s">
        <v>13</v>
      </c>
      <c r="C5810" s="1">
        <v>43103</v>
      </c>
      <c r="D5810" t="s">
        <v>22122</v>
      </c>
      <c r="E5810" t="s">
        <v>22123</v>
      </c>
      <c r="F5810" t="s">
        <v>8193</v>
      </c>
      <c r="G5810" t="s">
        <v>22124</v>
      </c>
      <c r="H5810" t="s">
        <v>409</v>
      </c>
      <c r="I5810" t="s">
        <v>19</v>
      </c>
      <c r="J5810" s="3" t="s">
        <v>22125</v>
      </c>
      <c r="K5810" t="s">
        <v>22126</v>
      </c>
      <c r="L5810" t="s">
        <v>1823</v>
      </c>
      <c r="M5810" t="s">
        <v>129</v>
      </c>
    </row>
    <row r="5811" spans="1:13" x14ac:dyDescent="0.25">
      <c r="A5811" t="s">
        <v>3990</v>
      </c>
      <c r="B5811" t="s">
        <v>13</v>
      </c>
      <c r="C5811" s="1">
        <v>44869</v>
      </c>
      <c r="D5811" t="s">
        <v>3991</v>
      </c>
      <c r="E5811" s="2" t="s">
        <v>30797</v>
      </c>
      <c r="F5811" t="s">
        <v>1787</v>
      </c>
      <c r="G5811" t="s">
        <v>3992</v>
      </c>
      <c r="H5811" t="s">
        <v>3993</v>
      </c>
      <c r="I5811" t="s">
        <v>19</v>
      </c>
      <c r="J5811" s="3">
        <f>55-13-3202-7100</f>
        <v>-10260</v>
      </c>
      <c r="K5811" t="s">
        <v>3994</v>
      </c>
      <c r="L5811" t="s">
        <v>3995</v>
      </c>
      <c r="M5811" t="s">
        <v>129</v>
      </c>
    </row>
    <row r="5812" spans="1:13" x14ac:dyDescent="0.25">
      <c r="A5812" t="s">
        <v>5343</v>
      </c>
      <c r="B5812" t="s">
        <v>13</v>
      </c>
      <c r="C5812" t="s">
        <v>4935</v>
      </c>
      <c r="D5812" t="s">
        <v>32135</v>
      </c>
      <c r="E5812" s="2" t="s">
        <v>30842</v>
      </c>
      <c r="F5812" t="s">
        <v>1349</v>
      </c>
      <c r="G5812" t="s">
        <v>4961</v>
      </c>
      <c r="H5812" t="s">
        <v>642</v>
      </c>
      <c r="I5812" t="s">
        <v>19</v>
      </c>
      <c r="J5812" s="3" t="s">
        <v>4962</v>
      </c>
      <c r="K5812" t="s">
        <v>4963</v>
      </c>
      <c r="L5812" t="s">
        <v>32135</v>
      </c>
      <c r="M5812" t="s">
        <v>1349</v>
      </c>
    </row>
    <row r="5813" spans="1:13" x14ac:dyDescent="0.25">
      <c r="A5813" t="s">
        <v>2027</v>
      </c>
      <c r="B5813" t="s">
        <v>13</v>
      </c>
      <c r="C5813" t="s">
        <v>2028</v>
      </c>
      <c r="D5813" t="s">
        <v>2029</v>
      </c>
      <c r="E5813" s="2" t="s">
        <v>30722</v>
      </c>
      <c r="F5813" t="s">
        <v>2030</v>
      </c>
      <c r="G5813" t="s">
        <v>321</v>
      </c>
      <c r="H5813" t="s">
        <v>265</v>
      </c>
      <c r="I5813" t="s">
        <v>19</v>
      </c>
      <c r="J5813" s="3">
        <f>55-16-36331416</f>
        <v>-36331377</v>
      </c>
      <c r="K5813" t="s">
        <v>2031</v>
      </c>
      <c r="L5813" t="s">
        <v>321</v>
      </c>
      <c r="M5813" t="s">
        <v>129</v>
      </c>
    </row>
    <row r="5814" spans="1:13" x14ac:dyDescent="0.25">
      <c r="A5814" t="s">
        <v>18276</v>
      </c>
      <c r="B5814" t="s">
        <v>13</v>
      </c>
      <c r="C5814" t="s">
        <v>14151</v>
      </c>
      <c r="D5814" t="s">
        <v>18277</v>
      </c>
      <c r="E5814" t="s">
        <v>18278</v>
      </c>
      <c r="F5814" t="s">
        <v>8193</v>
      </c>
      <c r="G5814" t="s">
        <v>18279</v>
      </c>
      <c r="H5814" t="s">
        <v>18280</v>
      </c>
      <c r="I5814" t="s">
        <v>19</v>
      </c>
      <c r="J5814" s="3">
        <f>55-16-981842996</f>
        <v>-981842957</v>
      </c>
      <c r="K5814" t="s">
        <v>18281</v>
      </c>
      <c r="L5814" t="s">
        <v>197</v>
      </c>
      <c r="M5814" t="s">
        <v>129</v>
      </c>
    </row>
    <row r="5815" spans="1:13" x14ac:dyDescent="0.25">
      <c r="A5815" t="s">
        <v>24128</v>
      </c>
      <c r="B5815" t="s">
        <v>13</v>
      </c>
      <c r="C5815" t="s">
        <v>24129</v>
      </c>
      <c r="D5815" t="s">
        <v>24130</v>
      </c>
      <c r="E5815" t="s">
        <v>24131</v>
      </c>
      <c r="F5815" t="s">
        <v>8193</v>
      </c>
      <c r="G5815" t="s">
        <v>24132</v>
      </c>
      <c r="H5815" t="s">
        <v>88</v>
      </c>
      <c r="I5815" t="s">
        <v>19</v>
      </c>
      <c r="J5815" s="3" t="s">
        <v>24133</v>
      </c>
      <c r="K5815" t="s">
        <v>24134</v>
      </c>
      <c r="L5815" t="s">
        <v>91</v>
      </c>
      <c r="M5815" t="s">
        <v>32145</v>
      </c>
    </row>
    <row r="5816" spans="1:13" x14ac:dyDescent="0.25">
      <c r="A5816" t="s">
        <v>21471</v>
      </c>
      <c r="B5816" t="s">
        <v>13</v>
      </c>
      <c r="C5816" t="s">
        <v>9807</v>
      </c>
      <c r="D5816" t="s">
        <v>21472</v>
      </c>
      <c r="E5816" s="2" t="s">
        <v>31289</v>
      </c>
      <c r="F5816" t="s">
        <v>8193</v>
      </c>
      <c r="G5816" t="s">
        <v>14950</v>
      </c>
      <c r="H5816" t="s">
        <v>540</v>
      </c>
      <c r="I5816" t="s">
        <v>19</v>
      </c>
      <c r="J5816" s="3">
        <f>55-91-982073336</f>
        <v>-982073372</v>
      </c>
      <c r="K5816" t="s">
        <v>14951</v>
      </c>
      <c r="L5816" t="s">
        <v>8251</v>
      </c>
      <c r="M5816" t="s">
        <v>129</v>
      </c>
    </row>
    <row r="5817" spans="1:13" x14ac:dyDescent="0.25">
      <c r="A5817" t="s">
        <v>4958</v>
      </c>
      <c r="B5817" t="s">
        <v>13</v>
      </c>
      <c r="C5817" t="s">
        <v>4959</v>
      </c>
      <c r="D5817" t="s">
        <v>32135</v>
      </c>
      <c r="E5817" s="2" t="s">
        <v>30830</v>
      </c>
      <c r="F5817" t="s">
        <v>1349</v>
      </c>
      <c r="G5817" t="s">
        <v>4961</v>
      </c>
      <c r="H5817" t="s">
        <v>642</v>
      </c>
      <c r="I5817" t="s">
        <v>19</v>
      </c>
      <c r="J5817" s="3" t="s">
        <v>4962</v>
      </c>
      <c r="K5817" t="s">
        <v>4963</v>
      </c>
      <c r="L5817" t="s">
        <v>32135</v>
      </c>
      <c r="M5817" t="s">
        <v>1349</v>
      </c>
    </row>
    <row r="5818" spans="1:13" x14ac:dyDescent="0.25">
      <c r="A5818" t="s">
        <v>12388</v>
      </c>
      <c r="B5818" t="s">
        <v>13</v>
      </c>
      <c r="C5818" s="1">
        <v>44078</v>
      </c>
      <c r="D5818" t="s">
        <v>12389</v>
      </c>
      <c r="E5818" s="2" t="s">
        <v>31039</v>
      </c>
      <c r="F5818" t="s">
        <v>8193</v>
      </c>
      <c r="G5818" t="s">
        <v>12390</v>
      </c>
      <c r="H5818" t="s">
        <v>409</v>
      </c>
      <c r="I5818" t="s">
        <v>19</v>
      </c>
      <c r="J5818" s="3" t="s">
        <v>12391</v>
      </c>
      <c r="K5818" t="s">
        <v>12392</v>
      </c>
      <c r="L5818" t="s">
        <v>1823</v>
      </c>
      <c r="M5818" t="s">
        <v>129</v>
      </c>
    </row>
    <row r="5819" spans="1:13" x14ac:dyDescent="0.25">
      <c r="A5819" t="s">
        <v>8742</v>
      </c>
      <c r="B5819" t="s">
        <v>13</v>
      </c>
      <c r="C5819" s="1">
        <v>43441</v>
      </c>
      <c r="D5819" t="s">
        <v>8743</v>
      </c>
      <c r="E5819" s="2" t="s">
        <v>31493</v>
      </c>
      <c r="F5819" t="s">
        <v>1464</v>
      </c>
      <c r="G5819" t="s">
        <v>8744</v>
      </c>
      <c r="H5819" t="s">
        <v>45</v>
      </c>
      <c r="I5819" t="s">
        <v>19</v>
      </c>
      <c r="J5819" s="3">
        <f>55-85-987160736</f>
        <v>-987160766</v>
      </c>
      <c r="K5819" t="s">
        <v>8745</v>
      </c>
      <c r="L5819" t="s">
        <v>8746</v>
      </c>
      <c r="M5819" t="s">
        <v>129</v>
      </c>
    </row>
    <row r="5820" spans="1:13" x14ac:dyDescent="0.25">
      <c r="A5820" t="s">
        <v>23440</v>
      </c>
      <c r="B5820" t="s">
        <v>13</v>
      </c>
      <c r="C5820" t="s">
        <v>8668</v>
      </c>
      <c r="D5820" t="s">
        <v>23441</v>
      </c>
      <c r="E5820" t="s">
        <v>23442</v>
      </c>
      <c r="F5820" t="s">
        <v>1464</v>
      </c>
      <c r="G5820" t="s">
        <v>23443</v>
      </c>
      <c r="H5820" t="s">
        <v>409</v>
      </c>
      <c r="I5820" t="s">
        <v>19</v>
      </c>
      <c r="J5820" s="3" t="s">
        <v>23444</v>
      </c>
      <c r="K5820" t="s">
        <v>23445</v>
      </c>
      <c r="L5820" t="s">
        <v>23446</v>
      </c>
      <c r="M5820" t="s">
        <v>129</v>
      </c>
    </row>
    <row r="5821" spans="1:13" x14ac:dyDescent="0.25">
      <c r="A5821" t="s">
        <v>21027</v>
      </c>
      <c r="B5821" t="s">
        <v>101</v>
      </c>
      <c r="C5821" t="s">
        <v>21028</v>
      </c>
      <c r="D5821" t="s">
        <v>21029</v>
      </c>
      <c r="E5821" s="2" t="s">
        <v>31271</v>
      </c>
      <c r="F5821" t="s">
        <v>8193</v>
      </c>
      <c r="G5821" t="s">
        <v>14950</v>
      </c>
      <c r="H5821" t="s">
        <v>540</v>
      </c>
      <c r="I5821" t="s">
        <v>19</v>
      </c>
      <c r="J5821" s="3">
        <f>55-91-31311708</f>
        <v>-31311744</v>
      </c>
      <c r="K5821" t="s">
        <v>14951</v>
      </c>
      <c r="L5821" t="s">
        <v>8251</v>
      </c>
      <c r="M5821" t="s">
        <v>129</v>
      </c>
    </row>
    <row r="5822" spans="1:13" x14ac:dyDescent="0.25">
      <c r="A5822" t="s">
        <v>10819</v>
      </c>
      <c r="B5822" t="s">
        <v>13</v>
      </c>
      <c r="C5822" t="s">
        <v>7057</v>
      </c>
      <c r="D5822" t="s">
        <v>10820</v>
      </c>
      <c r="E5822" s="2" t="s">
        <v>32038</v>
      </c>
      <c r="F5822" t="s">
        <v>129</v>
      </c>
      <c r="G5822" t="s">
        <v>10821</v>
      </c>
      <c r="H5822" t="s">
        <v>150</v>
      </c>
      <c r="I5822" t="s">
        <v>19</v>
      </c>
      <c r="J5822" s="3">
        <f>55-(11)-55764517</f>
        <v>-55764473</v>
      </c>
      <c r="K5822" t="s">
        <v>10822</v>
      </c>
      <c r="L5822" t="s">
        <v>439</v>
      </c>
      <c r="M5822" t="s">
        <v>129</v>
      </c>
    </row>
    <row r="5823" spans="1:13" x14ac:dyDescent="0.25">
      <c r="A5823" t="s">
        <v>20862</v>
      </c>
      <c r="B5823" t="s">
        <v>13</v>
      </c>
      <c r="C5823" t="s">
        <v>20848</v>
      </c>
      <c r="D5823" t="s">
        <v>20863</v>
      </c>
      <c r="E5823" t="s">
        <v>20864</v>
      </c>
      <c r="F5823" t="s">
        <v>129</v>
      </c>
      <c r="G5823" t="s">
        <v>20865</v>
      </c>
      <c r="H5823" t="s">
        <v>1047</v>
      </c>
      <c r="I5823" t="s">
        <v>19</v>
      </c>
      <c r="J5823" s="3" t="s">
        <v>20866</v>
      </c>
      <c r="K5823" t="s">
        <v>20867</v>
      </c>
      <c r="L5823" t="s">
        <v>439</v>
      </c>
      <c r="M5823" t="s">
        <v>129</v>
      </c>
    </row>
    <row r="5824" spans="1:13" x14ac:dyDescent="0.25">
      <c r="A5824" t="s">
        <v>21383</v>
      </c>
      <c r="B5824" t="s">
        <v>13</v>
      </c>
      <c r="C5824" t="s">
        <v>7645</v>
      </c>
      <c r="D5824" t="s">
        <v>21384</v>
      </c>
      <c r="E5824" s="2" t="s">
        <v>31287</v>
      </c>
      <c r="F5824" t="s">
        <v>8193</v>
      </c>
      <c r="G5824" t="s">
        <v>21385</v>
      </c>
      <c r="H5824" t="s">
        <v>489</v>
      </c>
      <c r="I5824" t="s">
        <v>19</v>
      </c>
      <c r="J5824" s="3">
        <f>55-41-999180049</f>
        <v>-999180035</v>
      </c>
      <c r="K5824" t="s">
        <v>21386</v>
      </c>
      <c r="L5824" t="s">
        <v>21387</v>
      </c>
      <c r="M5824" t="s">
        <v>129</v>
      </c>
    </row>
    <row r="5825" spans="1:13" x14ac:dyDescent="0.25">
      <c r="A5825" t="s">
        <v>10872</v>
      </c>
      <c r="B5825" t="s">
        <v>13</v>
      </c>
      <c r="C5825" t="s">
        <v>10027</v>
      </c>
      <c r="D5825" t="s">
        <v>10873</v>
      </c>
      <c r="E5825" s="2" t="s">
        <v>31800</v>
      </c>
      <c r="F5825" t="s">
        <v>10546</v>
      </c>
      <c r="G5825" t="s">
        <v>10874</v>
      </c>
      <c r="H5825" t="s">
        <v>706</v>
      </c>
      <c r="I5825" t="s">
        <v>19</v>
      </c>
      <c r="J5825" s="3">
        <v>553134094592</v>
      </c>
      <c r="K5825" t="s">
        <v>5802</v>
      </c>
      <c r="L5825" t="s">
        <v>565</v>
      </c>
      <c r="M5825" t="s">
        <v>1349</v>
      </c>
    </row>
    <row r="5826" spans="1:13" x14ac:dyDescent="0.25">
      <c r="A5826" t="s">
        <v>7827</v>
      </c>
      <c r="B5826" t="s">
        <v>13</v>
      </c>
      <c r="C5826" s="1">
        <v>44320</v>
      </c>
      <c r="D5826" t="s">
        <v>32135</v>
      </c>
      <c r="E5826" s="2" t="s">
        <v>31637</v>
      </c>
      <c r="F5826" t="s">
        <v>7828</v>
      </c>
      <c r="G5826" t="s">
        <v>7829</v>
      </c>
      <c r="H5826" t="s">
        <v>472</v>
      </c>
      <c r="I5826" t="s">
        <v>19</v>
      </c>
      <c r="J5826" s="3" t="s">
        <v>7830</v>
      </c>
      <c r="K5826" t="s">
        <v>7831</v>
      </c>
      <c r="L5826" t="s">
        <v>32135</v>
      </c>
      <c r="M5826" t="s">
        <v>32144</v>
      </c>
    </row>
    <row r="5827" spans="1:13" x14ac:dyDescent="0.25">
      <c r="A5827" t="s">
        <v>30089</v>
      </c>
      <c r="B5827" t="s">
        <v>13</v>
      </c>
      <c r="C5827" t="s">
        <v>14184</v>
      </c>
      <c r="D5827" t="s">
        <v>30090</v>
      </c>
      <c r="E5827" t="s">
        <v>30091</v>
      </c>
      <c r="F5827" t="s">
        <v>1464</v>
      </c>
      <c r="G5827" t="s">
        <v>23758</v>
      </c>
      <c r="H5827" t="s">
        <v>30092</v>
      </c>
      <c r="I5827" t="s">
        <v>19</v>
      </c>
      <c r="J5827" s="3" t="s">
        <v>23759</v>
      </c>
      <c r="K5827" t="s">
        <v>23760</v>
      </c>
      <c r="L5827" t="s">
        <v>23761</v>
      </c>
      <c r="M5827" t="s">
        <v>129</v>
      </c>
    </row>
    <row r="5828" spans="1:13" x14ac:dyDescent="0.25">
      <c r="A5828" t="s">
        <v>28886</v>
      </c>
      <c r="B5828" t="s">
        <v>13</v>
      </c>
      <c r="C5828" t="s">
        <v>28887</v>
      </c>
      <c r="D5828" t="s">
        <v>28888</v>
      </c>
      <c r="E5828" t="s">
        <v>28889</v>
      </c>
      <c r="F5828" t="s">
        <v>32121</v>
      </c>
      <c r="G5828" t="s">
        <v>28890</v>
      </c>
      <c r="H5828" t="s">
        <v>3391</v>
      </c>
      <c r="I5828" t="s">
        <v>19</v>
      </c>
      <c r="J5828" s="3" t="s">
        <v>28891</v>
      </c>
      <c r="K5828" t="s">
        <v>28892</v>
      </c>
      <c r="L5828" t="s">
        <v>12159</v>
      </c>
      <c r="M5828" t="s">
        <v>32121</v>
      </c>
    </row>
    <row r="5829" spans="1:13" x14ac:dyDescent="0.25">
      <c r="A5829" t="s">
        <v>13773</v>
      </c>
      <c r="B5829" t="s">
        <v>13</v>
      </c>
      <c r="C5829" s="1">
        <v>43892</v>
      </c>
      <c r="D5829">
        <v>111112346753</v>
      </c>
      <c r="E5829" t="s">
        <v>13774</v>
      </c>
      <c r="F5829" t="s">
        <v>1464</v>
      </c>
      <c r="G5829" t="s">
        <v>13775</v>
      </c>
      <c r="H5829" t="s">
        <v>13776</v>
      </c>
      <c r="I5829" t="s">
        <v>19</v>
      </c>
      <c r="J5829" s="3">
        <v>5509691202640</v>
      </c>
      <c r="K5829" t="s">
        <v>13777</v>
      </c>
      <c r="L5829" t="s">
        <v>9430</v>
      </c>
      <c r="M5829" t="s">
        <v>129</v>
      </c>
    </row>
    <row r="5830" spans="1:13" x14ac:dyDescent="0.25">
      <c r="A5830" t="s">
        <v>13135</v>
      </c>
      <c r="B5830" t="s">
        <v>13</v>
      </c>
      <c r="C5830" s="1">
        <v>44046</v>
      </c>
      <c r="D5830" t="s">
        <v>13136</v>
      </c>
      <c r="E5830" s="2" t="s">
        <v>32707</v>
      </c>
      <c r="F5830" t="s">
        <v>1464</v>
      </c>
      <c r="G5830" t="s">
        <v>13137</v>
      </c>
      <c r="H5830" t="s">
        <v>428</v>
      </c>
      <c r="I5830" t="s">
        <v>19</v>
      </c>
      <c r="J5830" s="3" t="s">
        <v>13138</v>
      </c>
      <c r="K5830" t="s">
        <v>13139</v>
      </c>
      <c r="L5830" t="s">
        <v>9145</v>
      </c>
      <c r="M5830" t="s">
        <v>129</v>
      </c>
    </row>
    <row r="5831" spans="1:13" x14ac:dyDescent="0.25">
      <c r="A5831" t="s">
        <v>29127</v>
      </c>
      <c r="B5831" t="s">
        <v>13</v>
      </c>
      <c r="C5831" s="1">
        <v>41825</v>
      </c>
      <c r="D5831" t="s">
        <v>29128</v>
      </c>
      <c r="E5831" t="s">
        <v>29129</v>
      </c>
      <c r="F5831" t="s">
        <v>1464</v>
      </c>
      <c r="G5831" t="s">
        <v>29130</v>
      </c>
      <c r="H5831" t="s">
        <v>18</v>
      </c>
      <c r="I5831" t="s">
        <v>19</v>
      </c>
      <c r="J5831" s="3" t="s">
        <v>29131</v>
      </c>
      <c r="K5831" t="s">
        <v>29132</v>
      </c>
      <c r="L5831" t="s">
        <v>12159</v>
      </c>
      <c r="M5831" t="s">
        <v>129</v>
      </c>
    </row>
    <row r="5832" spans="1:13" x14ac:dyDescent="0.25">
      <c r="A5832" t="s">
        <v>29243</v>
      </c>
      <c r="B5832" t="s">
        <v>13</v>
      </c>
      <c r="C5832" t="s">
        <v>29244</v>
      </c>
      <c r="D5832" t="s">
        <v>29245</v>
      </c>
      <c r="E5832" t="s">
        <v>29246</v>
      </c>
      <c r="F5832" t="s">
        <v>1349</v>
      </c>
      <c r="G5832" t="s">
        <v>29247</v>
      </c>
      <c r="H5832" t="s">
        <v>36</v>
      </c>
      <c r="I5832" t="s">
        <v>19</v>
      </c>
      <c r="J5832" s="3" t="s">
        <v>29248</v>
      </c>
      <c r="K5832" t="s">
        <v>29249</v>
      </c>
      <c r="L5832" t="s">
        <v>29250</v>
      </c>
      <c r="M5832" t="s">
        <v>1349</v>
      </c>
    </row>
    <row r="5833" spans="1:13" x14ac:dyDescent="0.25">
      <c r="A5833" t="s">
        <v>18500</v>
      </c>
      <c r="B5833" t="s">
        <v>13</v>
      </c>
      <c r="C5833" t="s">
        <v>11132</v>
      </c>
      <c r="D5833" t="s">
        <v>18501</v>
      </c>
      <c r="E5833" t="s">
        <v>6494</v>
      </c>
      <c r="F5833" t="s">
        <v>1349</v>
      </c>
      <c r="G5833" t="s">
        <v>18502</v>
      </c>
      <c r="H5833" t="s">
        <v>45</v>
      </c>
      <c r="I5833" t="s">
        <v>19</v>
      </c>
      <c r="J5833" s="3">
        <v>5585997814356</v>
      </c>
      <c r="K5833" t="s">
        <v>18503</v>
      </c>
      <c r="L5833" t="s">
        <v>1909</v>
      </c>
      <c r="M5833" t="s">
        <v>1349</v>
      </c>
    </row>
    <row r="5834" spans="1:13" x14ac:dyDescent="0.25">
      <c r="A5834" t="s">
        <v>6492</v>
      </c>
      <c r="B5834" t="s">
        <v>13</v>
      </c>
      <c r="C5834" s="1">
        <v>44417</v>
      </c>
      <c r="D5834" t="s">
        <v>6493</v>
      </c>
      <c r="E5834" t="s">
        <v>6494</v>
      </c>
      <c r="F5834" t="s">
        <v>1349</v>
      </c>
      <c r="G5834" t="s">
        <v>6495</v>
      </c>
      <c r="H5834" t="s">
        <v>489</v>
      </c>
      <c r="I5834" t="s">
        <v>19</v>
      </c>
      <c r="J5834" s="3">
        <f>55-41-998481258</f>
        <v>-998481244</v>
      </c>
      <c r="K5834" t="s">
        <v>6496</v>
      </c>
      <c r="L5834" t="s">
        <v>32135</v>
      </c>
      <c r="M5834" t="s">
        <v>1349</v>
      </c>
    </row>
    <row r="5835" spans="1:13" x14ac:dyDescent="0.25">
      <c r="A5835" t="s">
        <v>11196</v>
      </c>
      <c r="B5835" t="s">
        <v>13</v>
      </c>
      <c r="C5835" s="1">
        <v>43897</v>
      </c>
      <c r="D5835" t="s">
        <v>11197</v>
      </c>
      <c r="E5835" t="s">
        <v>11198</v>
      </c>
      <c r="F5835" t="s">
        <v>1464</v>
      </c>
      <c r="G5835" t="s">
        <v>11199</v>
      </c>
      <c r="H5835" t="s">
        <v>71</v>
      </c>
      <c r="I5835" t="s">
        <v>19</v>
      </c>
      <c r="J5835" s="3">
        <f>55-86-994478138</f>
        <v>-994478169</v>
      </c>
      <c r="K5835" t="s">
        <v>11200</v>
      </c>
      <c r="L5835" t="s">
        <v>11201</v>
      </c>
      <c r="M5835" t="s">
        <v>32121</v>
      </c>
    </row>
    <row r="5836" spans="1:13" x14ac:dyDescent="0.25">
      <c r="A5836" t="s">
        <v>20361</v>
      </c>
      <c r="B5836" t="s">
        <v>13</v>
      </c>
      <c r="C5836" t="s">
        <v>12154</v>
      </c>
      <c r="D5836" t="s">
        <v>20362</v>
      </c>
      <c r="E5836" t="s">
        <v>20363</v>
      </c>
      <c r="F5836" t="s">
        <v>1349</v>
      </c>
      <c r="G5836" t="s">
        <v>20364</v>
      </c>
      <c r="H5836" t="s">
        <v>489</v>
      </c>
      <c r="I5836" t="s">
        <v>19</v>
      </c>
      <c r="J5836" s="3">
        <f>51-41-996491434</f>
        <v>-996491424</v>
      </c>
      <c r="K5836" t="s">
        <v>20365</v>
      </c>
      <c r="L5836" t="s">
        <v>625</v>
      </c>
      <c r="M5836" t="s">
        <v>1349</v>
      </c>
    </row>
    <row r="5837" spans="1:13" x14ac:dyDescent="0.25">
      <c r="A5837" t="s">
        <v>4297</v>
      </c>
      <c r="B5837" t="s">
        <v>13</v>
      </c>
      <c r="C5837" t="s">
        <v>4295</v>
      </c>
      <c r="D5837" t="s">
        <v>4298</v>
      </c>
      <c r="E5837" t="s">
        <v>4299</v>
      </c>
      <c r="F5837" t="s">
        <v>4300</v>
      </c>
      <c r="G5837" t="s">
        <v>4301</v>
      </c>
      <c r="H5837" t="s">
        <v>265</v>
      </c>
      <c r="I5837" t="s">
        <v>19</v>
      </c>
      <c r="J5837" s="3">
        <f>55-16-988370057</f>
        <v>-988370018</v>
      </c>
      <c r="K5837" t="s">
        <v>4302</v>
      </c>
      <c r="L5837" t="s">
        <v>4303</v>
      </c>
      <c r="M5837" t="s">
        <v>129</v>
      </c>
    </row>
    <row r="5838" spans="1:13" x14ac:dyDescent="0.25">
      <c r="A5838" t="s">
        <v>11000</v>
      </c>
      <c r="B5838" t="s">
        <v>13</v>
      </c>
      <c r="C5838" t="s">
        <v>11001</v>
      </c>
      <c r="D5838" t="s">
        <v>11002</v>
      </c>
      <c r="E5838" s="2" t="s">
        <v>31009</v>
      </c>
      <c r="F5838" t="s">
        <v>8193</v>
      </c>
      <c r="G5838" t="s">
        <v>11003</v>
      </c>
      <c r="H5838" t="s">
        <v>18</v>
      </c>
      <c r="I5838" t="s">
        <v>19</v>
      </c>
      <c r="J5838" s="3" t="s">
        <v>11004</v>
      </c>
      <c r="K5838" t="s">
        <v>11005</v>
      </c>
      <c r="L5838" t="s">
        <v>4211</v>
      </c>
      <c r="M5838" t="s">
        <v>129</v>
      </c>
    </row>
    <row r="5839" spans="1:13" x14ac:dyDescent="0.25">
      <c r="A5839" t="s">
        <v>14857</v>
      </c>
      <c r="B5839" t="s">
        <v>13</v>
      </c>
      <c r="C5839" s="1">
        <v>42586</v>
      </c>
      <c r="D5839" t="s">
        <v>14858</v>
      </c>
      <c r="E5839" t="s">
        <v>14859</v>
      </c>
      <c r="F5839" t="s">
        <v>8193</v>
      </c>
      <c r="G5839" t="s">
        <v>14860</v>
      </c>
      <c r="H5839" t="s">
        <v>18</v>
      </c>
      <c r="I5839" t="s">
        <v>19</v>
      </c>
      <c r="J5839" s="3" t="s">
        <v>14861</v>
      </c>
      <c r="K5839" t="s">
        <v>14862</v>
      </c>
      <c r="L5839" t="s">
        <v>841</v>
      </c>
      <c r="M5839" t="s">
        <v>129</v>
      </c>
    </row>
    <row r="5840" spans="1:13" x14ac:dyDescent="0.25">
      <c r="A5840" t="s">
        <v>27131</v>
      </c>
      <c r="B5840" t="s">
        <v>13</v>
      </c>
      <c r="C5840" s="1">
        <v>42552</v>
      </c>
      <c r="D5840" t="s">
        <v>27132</v>
      </c>
      <c r="E5840" t="s">
        <v>27133</v>
      </c>
      <c r="F5840" t="s">
        <v>129</v>
      </c>
      <c r="G5840" t="s">
        <v>27134</v>
      </c>
      <c r="H5840" t="s">
        <v>45</v>
      </c>
      <c r="I5840" t="s">
        <v>19</v>
      </c>
      <c r="J5840" s="3">
        <v>558533668455</v>
      </c>
      <c r="K5840" t="s">
        <v>27135</v>
      </c>
      <c r="L5840" t="s">
        <v>1909</v>
      </c>
      <c r="M5840" t="s">
        <v>1349</v>
      </c>
    </row>
    <row r="5841" spans="1:13" x14ac:dyDescent="0.25">
      <c r="A5841" t="s">
        <v>5369</v>
      </c>
      <c r="B5841" t="s">
        <v>13</v>
      </c>
      <c r="C5841" s="1">
        <v>44451</v>
      </c>
      <c r="D5841" t="s">
        <v>5370</v>
      </c>
      <c r="E5841" s="2" t="s">
        <v>32055</v>
      </c>
      <c r="F5841" t="s">
        <v>5371</v>
      </c>
      <c r="G5841" t="s">
        <v>5373</v>
      </c>
      <c r="H5841" t="s">
        <v>1037</v>
      </c>
      <c r="I5841" t="s">
        <v>19</v>
      </c>
      <c r="J5841" s="3" t="s">
        <v>5374</v>
      </c>
      <c r="K5841" t="s">
        <v>5375</v>
      </c>
      <c r="L5841" t="s">
        <v>32135</v>
      </c>
      <c r="M5841" t="s">
        <v>741</v>
      </c>
    </row>
    <row r="5842" spans="1:13" x14ac:dyDescent="0.25">
      <c r="A5842" t="s">
        <v>17183</v>
      </c>
      <c r="B5842" t="s">
        <v>13</v>
      </c>
      <c r="C5842" s="1">
        <v>43652</v>
      </c>
      <c r="D5842" t="s">
        <v>17184</v>
      </c>
      <c r="E5842" s="2" t="s">
        <v>31171</v>
      </c>
      <c r="F5842" t="s">
        <v>6485</v>
      </c>
      <c r="G5842" t="s">
        <v>17185</v>
      </c>
      <c r="H5842" t="s">
        <v>472</v>
      </c>
      <c r="I5842" t="s">
        <v>19</v>
      </c>
      <c r="J5842" s="3">
        <f>55-81996751748</f>
        <v>-81996751693</v>
      </c>
      <c r="K5842" t="s">
        <v>17186</v>
      </c>
      <c r="L5842" t="s">
        <v>2101</v>
      </c>
      <c r="M5842" t="s">
        <v>741</v>
      </c>
    </row>
    <row r="5843" spans="1:13" x14ac:dyDescent="0.25">
      <c r="A5843" t="s">
        <v>13174</v>
      </c>
      <c r="B5843" t="s">
        <v>101</v>
      </c>
      <c r="C5843" s="1">
        <v>43954</v>
      </c>
      <c r="D5843" t="s">
        <v>13175</v>
      </c>
      <c r="E5843" t="s">
        <v>13176</v>
      </c>
      <c r="F5843" t="s">
        <v>5940</v>
      </c>
      <c r="G5843" t="s">
        <v>13177</v>
      </c>
      <c r="H5843" t="s">
        <v>1047</v>
      </c>
      <c r="I5843" t="s">
        <v>19</v>
      </c>
      <c r="J5843" s="3" t="s">
        <v>13178</v>
      </c>
      <c r="K5843" t="s">
        <v>13179</v>
      </c>
      <c r="L5843" t="s">
        <v>13180</v>
      </c>
      <c r="M5843" t="s">
        <v>1304</v>
      </c>
    </row>
    <row r="5844" spans="1:13" x14ac:dyDescent="0.25">
      <c r="A5844" t="s">
        <v>2040</v>
      </c>
      <c r="B5844" t="s">
        <v>13</v>
      </c>
      <c r="C5844" t="s">
        <v>2038</v>
      </c>
      <c r="D5844" t="s">
        <v>2041</v>
      </c>
      <c r="E5844" s="2" t="s">
        <v>30724</v>
      </c>
      <c r="F5844" t="s">
        <v>1419</v>
      </c>
      <c r="G5844" t="s">
        <v>2042</v>
      </c>
      <c r="H5844" t="s">
        <v>36</v>
      </c>
      <c r="I5844" t="s">
        <v>19</v>
      </c>
      <c r="J5844" s="3" t="s">
        <v>2043</v>
      </c>
      <c r="K5844" t="s">
        <v>2044</v>
      </c>
      <c r="L5844" t="s">
        <v>2045</v>
      </c>
      <c r="M5844" t="s">
        <v>741</v>
      </c>
    </row>
    <row r="5845" spans="1:13" x14ac:dyDescent="0.25">
      <c r="A5845" t="s">
        <v>1417</v>
      </c>
      <c r="B5845" t="s">
        <v>13</v>
      </c>
      <c r="C5845" s="1">
        <v>44662</v>
      </c>
      <c r="D5845" t="s">
        <v>1418</v>
      </c>
      <c r="E5845" s="2" t="s">
        <v>31834</v>
      </c>
      <c r="F5845" t="s">
        <v>26</v>
      </c>
      <c r="G5845" t="s">
        <v>1420</v>
      </c>
      <c r="H5845" t="s">
        <v>1421</v>
      </c>
      <c r="I5845" t="s">
        <v>19</v>
      </c>
      <c r="J5845" s="3" t="s">
        <v>1422</v>
      </c>
      <c r="K5845" t="s">
        <v>1423</v>
      </c>
      <c r="L5845" t="s">
        <v>74</v>
      </c>
      <c r="M5845" t="s">
        <v>32121</v>
      </c>
    </row>
    <row r="5846" spans="1:13" x14ac:dyDescent="0.25">
      <c r="A5846" t="s">
        <v>6929</v>
      </c>
      <c r="B5846" t="s">
        <v>13</v>
      </c>
      <c r="C5846" s="1">
        <v>44446</v>
      </c>
      <c r="D5846" t="s">
        <v>32135</v>
      </c>
      <c r="E5846" t="s">
        <v>6930</v>
      </c>
      <c r="F5846" t="s">
        <v>6931</v>
      </c>
      <c r="G5846" t="s">
        <v>6932</v>
      </c>
      <c r="H5846" t="s">
        <v>105</v>
      </c>
      <c r="I5846" t="s">
        <v>19</v>
      </c>
      <c r="J5846" s="3" t="s">
        <v>6933</v>
      </c>
      <c r="K5846" t="s">
        <v>6934</v>
      </c>
      <c r="L5846" t="s">
        <v>32135</v>
      </c>
      <c r="M5846" t="s">
        <v>771</v>
      </c>
    </row>
    <row r="5847" spans="1:13" x14ac:dyDescent="0.25">
      <c r="A5847" t="s">
        <v>10758</v>
      </c>
      <c r="B5847" t="s">
        <v>13</v>
      </c>
      <c r="C5847" t="s">
        <v>10729</v>
      </c>
      <c r="D5847" t="s">
        <v>10759</v>
      </c>
      <c r="E5847" t="s">
        <v>10760</v>
      </c>
      <c r="F5847" t="s">
        <v>8193</v>
      </c>
      <c r="G5847" t="s">
        <v>4262</v>
      </c>
      <c r="H5847" t="s">
        <v>428</v>
      </c>
      <c r="I5847" t="s">
        <v>19</v>
      </c>
      <c r="J5847" s="3" t="s">
        <v>4263</v>
      </c>
      <c r="K5847" t="s">
        <v>4264</v>
      </c>
      <c r="L5847" t="s">
        <v>10761</v>
      </c>
      <c r="M5847" t="s">
        <v>129</v>
      </c>
    </row>
    <row r="5848" spans="1:13" x14ac:dyDescent="0.25">
      <c r="A5848" t="s">
        <v>8352</v>
      </c>
      <c r="B5848" t="s">
        <v>13</v>
      </c>
      <c r="C5848" s="1">
        <v>44257</v>
      </c>
      <c r="D5848" t="s">
        <v>8353</v>
      </c>
      <c r="E5848" s="2" t="s">
        <v>32103</v>
      </c>
      <c r="F5848" t="s">
        <v>8354</v>
      </c>
      <c r="G5848" t="s">
        <v>8355</v>
      </c>
      <c r="H5848" t="s">
        <v>489</v>
      </c>
      <c r="I5848" t="s">
        <v>19</v>
      </c>
      <c r="J5848" s="3">
        <f>55413271-1515</f>
        <v>55411756</v>
      </c>
      <c r="K5848" t="s">
        <v>8356</v>
      </c>
      <c r="L5848" t="s">
        <v>8357</v>
      </c>
      <c r="M5848" t="s">
        <v>1349</v>
      </c>
    </row>
    <row r="5849" spans="1:13" x14ac:dyDescent="0.25">
      <c r="A5849" t="s">
        <v>30395</v>
      </c>
      <c r="B5849" t="s">
        <v>13</v>
      </c>
      <c r="C5849" s="1">
        <v>41000</v>
      </c>
      <c r="D5849" t="s">
        <v>30396</v>
      </c>
      <c r="E5849" t="s">
        <v>30397</v>
      </c>
      <c r="F5849" t="s">
        <v>129</v>
      </c>
      <c r="G5849" t="s">
        <v>30398</v>
      </c>
      <c r="H5849" t="s">
        <v>7109</v>
      </c>
      <c r="I5849" t="s">
        <v>19</v>
      </c>
      <c r="J5849" s="3" t="s">
        <v>30399</v>
      </c>
      <c r="K5849" t="s">
        <v>30400</v>
      </c>
      <c r="L5849" t="s">
        <v>30401</v>
      </c>
      <c r="M5849" t="s">
        <v>129</v>
      </c>
    </row>
    <row r="5850" spans="1:13" x14ac:dyDescent="0.25">
      <c r="A5850" t="s">
        <v>17303</v>
      </c>
      <c r="B5850" t="s">
        <v>13</v>
      </c>
      <c r="C5850" s="1">
        <v>43591</v>
      </c>
      <c r="D5850" t="s">
        <v>17304</v>
      </c>
      <c r="E5850" t="s">
        <v>32708</v>
      </c>
      <c r="F5850" t="s">
        <v>129</v>
      </c>
      <c r="G5850" t="s">
        <v>1621</v>
      </c>
      <c r="H5850" t="s">
        <v>1622</v>
      </c>
      <c r="I5850" t="s">
        <v>19</v>
      </c>
      <c r="J5850" s="3" t="s">
        <v>1623</v>
      </c>
      <c r="K5850" t="s">
        <v>1624</v>
      </c>
      <c r="L5850" t="s">
        <v>10697</v>
      </c>
      <c r="M5850" t="s">
        <v>129</v>
      </c>
    </row>
    <row r="5851" spans="1:13" x14ac:dyDescent="0.25">
      <c r="A5851" t="s">
        <v>27922</v>
      </c>
      <c r="B5851" t="s">
        <v>13</v>
      </c>
      <c r="C5851" t="s">
        <v>27923</v>
      </c>
      <c r="D5851" t="s">
        <v>27924</v>
      </c>
      <c r="E5851" t="s">
        <v>26718</v>
      </c>
      <c r="F5851" t="s">
        <v>129</v>
      </c>
      <c r="G5851" t="s">
        <v>26719</v>
      </c>
      <c r="H5851" t="s">
        <v>265</v>
      </c>
      <c r="I5851" t="s">
        <v>19</v>
      </c>
      <c r="J5851" s="3" t="s">
        <v>26720</v>
      </c>
      <c r="K5851" t="s">
        <v>26721</v>
      </c>
      <c r="L5851" t="s">
        <v>1569</v>
      </c>
      <c r="M5851" t="s">
        <v>129</v>
      </c>
    </row>
    <row r="5852" spans="1:13" x14ac:dyDescent="0.25">
      <c r="A5852" t="s">
        <v>26716</v>
      </c>
      <c r="B5852" t="s">
        <v>101</v>
      </c>
      <c r="C5852" t="s">
        <v>14864</v>
      </c>
      <c r="D5852" t="s">
        <v>26717</v>
      </c>
      <c r="E5852" t="s">
        <v>26718</v>
      </c>
      <c r="F5852" t="s">
        <v>129</v>
      </c>
      <c r="G5852" t="s">
        <v>26719</v>
      </c>
      <c r="H5852" t="s">
        <v>265</v>
      </c>
      <c r="I5852" t="s">
        <v>19</v>
      </c>
      <c r="J5852" s="3" t="s">
        <v>26720</v>
      </c>
      <c r="K5852" t="s">
        <v>26721</v>
      </c>
      <c r="L5852" t="s">
        <v>1569</v>
      </c>
      <c r="M5852" t="s">
        <v>129</v>
      </c>
    </row>
    <row r="5853" spans="1:13" x14ac:dyDescent="0.25">
      <c r="A5853" t="s">
        <v>13668</v>
      </c>
      <c r="B5853" t="s">
        <v>13</v>
      </c>
      <c r="C5853" s="1">
        <v>44106</v>
      </c>
      <c r="D5853" t="s">
        <v>13669</v>
      </c>
      <c r="E5853" t="s">
        <v>13670</v>
      </c>
      <c r="F5853" t="s">
        <v>1464</v>
      </c>
      <c r="G5853" t="s">
        <v>13671</v>
      </c>
      <c r="H5853" t="s">
        <v>472</v>
      </c>
      <c r="I5853" t="s">
        <v>19</v>
      </c>
      <c r="J5853" s="3">
        <v>5581999540767</v>
      </c>
      <c r="K5853" t="s">
        <v>13672</v>
      </c>
      <c r="L5853" t="s">
        <v>3281</v>
      </c>
      <c r="M5853" t="s">
        <v>129</v>
      </c>
    </row>
    <row r="5854" spans="1:13" x14ac:dyDescent="0.25">
      <c r="A5854" t="s">
        <v>3046</v>
      </c>
      <c r="B5854" t="s">
        <v>13</v>
      </c>
      <c r="C5854" s="1">
        <v>44902</v>
      </c>
      <c r="D5854" t="s">
        <v>3047</v>
      </c>
      <c r="E5854" t="s">
        <v>3048</v>
      </c>
      <c r="F5854" t="s">
        <v>3049</v>
      </c>
      <c r="G5854" t="s">
        <v>3050</v>
      </c>
      <c r="H5854" t="s">
        <v>1090</v>
      </c>
      <c r="I5854" t="s">
        <v>19</v>
      </c>
      <c r="J5854" s="3" t="s">
        <v>3051</v>
      </c>
      <c r="K5854" t="s">
        <v>3052</v>
      </c>
      <c r="L5854" t="s">
        <v>1092</v>
      </c>
      <c r="M5854" t="s">
        <v>771</v>
      </c>
    </row>
    <row r="5855" spans="1:13" x14ac:dyDescent="0.25">
      <c r="A5855" t="s">
        <v>2601</v>
      </c>
      <c r="B5855" t="s">
        <v>13</v>
      </c>
      <c r="C5855" s="1">
        <v>44842</v>
      </c>
      <c r="D5855" t="s">
        <v>32135</v>
      </c>
      <c r="E5855" t="s">
        <v>2602</v>
      </c>
      <c r="F5855" t="s">
        <v>2603</v>
      </c>
      <c r="G5855" t="s">
        <v>2604</v>
      </c>
      <c r="H5855" t="s">
        <v>114</v>
      </c>
      <c r="I5855" t="s">
        <v>19</v>
      </c>
      <c r="J5855" s="3">
        <f>55-79-21051876</f>
        <v>-21051900</v>
      </c>
      <c r="K5855" t="s">
        <v>2605</v>
      </c>
      <c r="L5855" t="s">
        <v>2606</v>
      </c>
      <c r="M5855" t="s">
        <v>771</v>
      </c>
    </row>
    <row r="5856" spans="1:13" x14ac:dyDescent="0.25">
      <c r="A5856" t="s">
        <v>20575</v>
      </c>
      <c r="B5856" t="s">
        <v>13</v>
      </c>
      <c r="C5856" s="1">
        <v>43441</v>
      </c>
      <c r="D5856" t="s">
        <v>20576</v>
      </c>
      <c r="E5856" t="s">
        <v>3048</v>
      </c>
      <c r="F5856" t="s">
        <v>2758</v>
      </c>
      <c r="G5856" t="s">
        <v>20577</v>
      </c>
      <c r="H5856" t="s">
        <v>2440</v>
      </c>
      <c r="I5856" t="s">
        <v>19</v>
      </c>
      <c r="J5856" s="3">
        <f>55-62991464878</f>
        <v>-62991464823</v>
      </c>
      <c r="K5856" t="s">
        <v>20578</v>
      </c>
      <c r="L5856" t="s">
        <v>2467</v>
      </c>
      <c r="M5856" t="s">
        <v>32149</v>
      </c>
    </row>
    <row r="5857" spans="1:13" x14ac:dyDescent="0.25">
      <c r="A5857" t="s">
        <v>4708</v>
      </c>
      <c r="B5857" t="s">
        <v>13</v>
      </c>
      <c r="C5857" t="s">
        <v>4709</v>
      </c>
      <c r="D5857" t="s">
        <v>32135</v>
      </c>
      <c r="E5857" s="2" t="s">
        <v>31844</v>
      </c>
      <c r="F5857" t="s">
        <v>4710</v>
      </c>
      <c r="G5857" t="s">
        <v>4711</v>
      </c>
      <c r="H5857" t="s">
        <v>255</v>
      </c>
      <c r="I5857" t="s">
        <v>19</v>
      </c>
      <c r="J5857" s="3">
        <v>5562981125194</v>
      </c>
      <c r="K5857" t="s">
        <v>4712</v>
      </c>
      <c r="L5857" t="s">
        <v>4713</v>
      </c>
      <c r="M5857" t="s">
        <v>785</v>
      </c>
    </row>
    <row r="5858" spans="1:13" x14ac:dyDescent="0.25">
      <c r="A5858" t="s">
        <v>11556</v>
      </c>
      <c r="B5858" t="s">
        <v>13</v>
      </c>
      <c r="C5858" s="1">
        <v>43896</v>
      </c>
      <c r="D5858" t="s">
        <v>11557</v>
      </c>
      <c r="E5858" t="s">
        <v>11558</v>
      </c>
      <c r="F5858" t="s">
        <v>2758</v>
      </c>
      <c r="G5858" t="s">
        <v>11559</v>
      </c>
      <c r="H5858" t="s">
        <v>45</v>
      </c>
      <c r="I5858" t="s">
        <v>19</v>
      </c>
      <c r="J5858" s="3">
        <f>55-85-997199981</f>
        <v>-997200011</v>
      </c>
      <c r="K5858" t="s">
        <v>11560</v>
      </c>
      <c r="L5858" t="s">
        <v>1909</v>
      </c>
      <c r="M5858" t="s">
        <v>32149</v>
      </c>
    </row>
    <row r="5859" spans="1:13" x14ac:dyDescent="0.25">
      <c r="A5859" t="s">
        <v>25462</v>
      </c>
      <c r="B5859" t="s">
        <v>13</v>
      </c>
      <c r="C5859" t="s">
        <v>25122</v>
      </c>
      <c r="D5859" t="s">
        <v>25463</v>
      </c>
      <c r="E5859" t="s">
        <v>25464</v>
      </c>
      <c r="F5859" t="s">
        <v>785</v>
      </c>
      <c r="G5859" t="s">
        <v>8729</v>
      </c>
      <c r="H5859" t="s">
        <v>299</v>
      </c>
      <c r="I5859" t="s">
        <v>19</v>
      </c>
      <c r="J5859" s="3" t="s">
        <v>25465</v>
      </c>
      <c r="K5859" t="s">
        <v>8731</v>
      </c>
      <c r="L5859" t="s">
        <v>8732</v>
      </c>
      <c r="M5859" t="s">
        <v>785</v>
      </c>
    </row>
    <row r="5860" spans="1:13" x14ac:dyDescent="0.25">
      <c r="A5860" t="s">
        <v>20868</v>
      </c>
      <c r="B5860" t="s">
        <v>13</v>
      </c>
      <c r="C5860" t="s">
        <v>5288</v>
      </c>
      <c r="D5860" t="s">
        <v>20869</v>
      </c>
      <c r="E5860" t="s">
        <v>20870</v>
      </c>
      <c r="F5860" t="s">
        <v>771</v>
      </c>
      <c r="G5860" t="s">
        <v>17343</v>
      </c>
      <c r="H5860" t="s">
        <v>706</v>
      </c>
      <c r="I5860" t="s">
        <v>19</v>
      </c>
      <c r="J5860" s="3">
        <f>55 -31-34094592</f>
        <v>-34094568</v>
      </c>
      <c r="K5860" t="s">
        <v>17345</v>
      </c>
      <c r="L5860" t="s">
        <v>565</v>
      </c>
      <c r="M5860" t="s">
        <v>771</v>
      </c>
    </row>
    <row r="5861" spans="1:13" x14ac:dyDescent="0.25">
      <c r="A5861" t="s">
        <v>16192</v>
      </c>
      <c r="B5861" t="s">
        <v>13</v>
      </c>
      <c r="C5861" t="s">
        <v>16155</v>
      </c>
      <c r="D5861" t="s">
        <v>16193</v>
      </c>
      <c r="E5861" t="s">
        <v>16194</v>
      </c>
      <c r="F5861" t="s">
        <v>2947</v>
      </c>
      <c r="G5861" t="s">
        <v>3050</v>
      </c>
      <c r="H5861" t="s">
        <v>88</v>
      </c>
      <c r="I5861" t="s">
        <v>19</v>
      </c>
      <c r="J5861" s="3" t="s">
        <v>16195</v>
      </c>
      <c r="K5861" t="s">
        <v>3052</v>
      </c>
      <c r="L5861" t="s">
        <v>91</v>
      </c>
      <c r="M5861" t="s">
        <v>771</v>
      </c>
    </row>
    <row r="5862" spans="1:13" x14ac:dyDescent="0.25">
      <c r="A5862" t="s">
        <v>14477</v>
      </c>
      <c r="B5862" t="s">
        <v>13</v>
      </c>
      <c r="C5862" t="s">
        <v>14435</v>
      </c>
      <c r="D5862" t="s">
        <v>14478</v>
      </c>
      <c r="E5862" t="s">
        <v>14479</v>
      </c>
      <c r="F5862" t="s">
        <v>771</v>
      </c>
      <c r="G5862" t="s">
        <v>14480</v>
      </c>
      <c r="H5862" t="s">
        <v>265</v>
      </c>
      <c r="I5862" t="s">
        <v>19</v>
      </c>
      <c r="J5862" s="3" t="s">
        <v>14481</v>
      </c>
      <c r="K5862" t="s">
        <v>14482</v>
      </c>
      <c r="L5862" t="s">
        <v>13011</v>
      </c>
      <c r="M5862" t="s">
        <v>771</v>
      </c>
    </row>
    <row r="5863" spans="1:13" x14ac:dyDescent="0.25">
      <c r="A5863" t="s">
        <v>8662</v>
      </c>
      <c r="B5863" t="s">
        <v>13</v>
      </c>
      <c r="C5863" t="s">
        <v>8633</v>
      </c>
      <c r="D5863" t="s">
        <v>8663</v>
      </c>
      <c r="E5863" t="s">
        <v>32179</v>
      </c>
      <c r="F5863" t="s">
        <v>8664</v>
      </c>
      <c r="G5863" t="s">
        <v>8665</v>
      </c>
      <c r="H5863" t="s">
        <v>798</v>
      </c>
      <c r="I5863" t="s">
        <v>19</v>
      </c>
      <c r="J5863" s="3">
        <v>5561999850405</v>
      </c>
      <c r="K5863" t="s">
        <v>8666</v>
      </c>
      <c r="L5863" t="s">
        <v>32135</v>
      </c>
      <c r="M5863" t="s">
        <v>785</v>
      </c>
    </row>
    <row r="5864" spans="1:13" x14ac:dyDescent="0.25">
      <c r="A5864" t="s">
        <v>24442</v>
      </c>
      <c r="B5864" t="s">
        <v>13</v>
      </c>
      <c r="C5864" s="1">
        <v>42798</v>
      </c>
      <c r="D5864" t="s">
        <v>24443</v>
      </c>
      <c r="E5864" t="s">
        <v>24444</v>
      </c>
      <c r="F5864" t="s">
        <v>2947</v>
      </c>
      <c r="G5864" t="s">
        <v>10870</v>
      </c>
      <c r="H5864" t="s">
        <v>299</v>
      </c>
      <c r="I5864" t="s">
        <v>19</v>
      </c>
      <c r="J5864" s="3" t="s">
        <v>24445</v>
      </c>
      <c r="K5864" t="s">
        <v>24446</v>
      </c>
      <c r="L5864" t="s">
        <v>24447</v>
      </c>
      <c r="M5864" t="s">
        <v>771</v>
      </c>
    </row>
    <row r="5865" spans="1:13" x14ac:dyDescent="0.25">
      <c r="A5865" t="s">
        <v>30473</v>
      </c>
      <c r="B5865" t="s">
        <v>13</v>
      </c>
      <c r="C5865" s="1">
        <v>41000</v>
      </c>
      <c r="D5865" t="s">
        <v>30474</v>
      </c>
      <c r="E5865" t="s">
        <v>30475</v>
      </c>
      <c r="F5865" t="s">
        <v>9519</v>
      </c>
      <c r="G5865" t="s">
        <v>30476</v>
      </c>
      <c r="H5865" t="s">
        <v>18</v>
      </c>
      <c r="I5865" t="s">
        <v>19</v>
      </c>
      <c r="J5865" s="3" t="s">
        <v>30477</v>
      </c>
      <c r="K5865" t="s">
        <v>25325</v>
      </c>
      <c r="L5865" t="s">
        <v>29999</v>
      </c>
      <c r="M5865" t="s">
        <v>32145</v>
      </c>
    </row>
    <row r="5866" spans="1:13" x14ac:dyDescent="0.25">
      <c r="A5866" t="s">
        <v>10530</v>
      </c>
      <c r="B5866" t="s">
        <v>13</v>
      </c>
      <c r="C5866" s="1">
        <v>44020</v>
      </c>
      <c r="D5866" t="s">
        <v>10531</v>
      </c>
      <c r="E5866" t="s">
        <v>10532</v>
      </c>
      <c r="F5866" t="s">
        <v>3084</v>
      </c>
      <c r="G5866" t="s">
        <v>10533</v>
      </c>
      <c r="H5866" t="s">
        <v>265</v>
      </c>
      <c r="I5866" t="s">
        <v>19</v>
      </c>
      <c r="J5866" s="3">
        <v>551633154699</v>
      </c>
      <c r="K5866" t="s">
        <v>10534</v>
      </c>
      <c r="L5866" t="s">
        <v>10535</v>
      </c>
      <c r="M5866" t="s">
        <v>32144</v>
      </c>
    </row>
    <row r="5867" spans="1:13" x14ac:dyDescent="0.25">
      <c r="A5867" t="s">
        <v>14523</v>
      </c>
      <c r="B5867" t="s">
        <v>13</v>
      </c>
      <c r="C5867" t="s">
        <v>7069</v>
      </c>
      <c r="D5867" t="s">
        <v>14524</v>
      </c>
      <c r="E5867" s="2" t="s">
        <v>31097</v>
      </c>
      <c r="F5867" t="s">
        <v>771</v>
      </c>
      <c r="G5867" t="s">
        <v>14525</v>
      </c>
      <c r="H5867" t="s">
        <v>18</v>
      </c>
      <c r="I5867" t="s">
        <v>19</v>
      </c>
      <c r="J5867" s="3">
        <v>551935218755</v>
      </c>
      <c r="K5867" t="s">
        <v>14526</v>
      </c>
      <c r="L5867" t="s">
        <v>285</v>
      </c>
      <c r="M5867" t="s">
        <v>771</v>
      </c>
    </row>
    <row r="5868" spans="1:13" x14ac:dyDescent="0.25">
      <c r="A5868" t="s">
        <v>21121</v>
      </c>
      <c r="B5868" t="s">
        <v>13</v>
      </c>
      <c r="C5868" s="1">
        <v>43257</v>
      </c>
      <c r="D5868" t="s">
        <v>21122</v>
      </c>
      <c r="E5868" t="s">
        <v>21123</v>
      </c>
      <c r="F5868" t="s">
        <v>2947</v>
      </c>
      <c r="G5868" t="s">
        <v>21124</v>
      </c>
      <c r="H5868" t="s">
        <v>352</v>
      </c>
      <c r="I5868" t="s">
        <v>19</v>
      </c>
      <c r="J5868" s="3">
        <f>55-21-988632099</f>
        <v>-988632065</v>
      </c>
      <c r="K5868" t="s">
        <v>21125</v>
      </c>
      <c r="L5868" t="s">
        <v>1232</v>
      </c>
      <c r="M5868" t="s">
        <v>771</v>
      </c>
    </row>
    <row r="5869" spans="1:13" x14ac:dyDescent="0.25">
      <c r="A5869" t="s">
        <v>25761</v>
      </c>
      <c r="B5869" t="s">
        <v>13</v>
      </c>
      <c r="C5869" s="1">
        <v>42437</v>
      </c>
      <c r="D5869" t="s">
        <v>25762</v>
      </c>
      <c r="E5869" t="s">
        <v>25763</v>
      </c>
      <c r="F5869" t="s">
        <v>771</v>
      </c>
      <c r="G5869" t="s">
        <v>25764</v>
      </c>
      <c r="H5869" t="s">
        <v>114</v>
      </c>
      <c r="I5869" t="s">
        <v>19</v>
      </c>
      <c r="J5869" s="3" t="s">
        <v>25765</v>
      </c>
      <c r="K5869" t="s">
        <v>25766</v>
      </c>
      <c r="L5869" t="s">
        <v>82</v>
      </c>
      <c r="M5869" t="s">
        <v>771</v>
      </c>
    </row>
    <row r="5870" spans="1:13" x14ac:dyDescent="0.25">
      <c r="A5870" t="s">
        <v>29988</v>
      </c>
      <c r="B5870" t="s">
        <v>13</v>
      </c>
      <c r="C5870" t="s">
        <v>14184</v>
      </c>
      <c r="D5870" t="s">
        <v>29989</v>
      </c>
      <c r="E5870" t="s">
        <v>29990</v>
      </c>
      <c r="F5870" t="s">
        <v>771</v>
      </c>
      <c r="G5870" t="s">
        <v>29991</v>
      </c>
      <c r="H5870" t="s">
        <v>88</v>
      </c>
      <c r="I5870" t="s">
        <v>19</v>
      </c>
      <c r="J5870" s="3" t="s">
        <v>29992</v>
      </c>
      <c r="K5870" t="s">
        <v>29993</v>
      </c>
      <c r="L5870" t="s">
        <v>91</v>
      </c>
      <c r="M5870" t="s">
        <v>771</v>
      </c>
    </row>
    <row r="5871" spans="1:13" x14ac:dyDescent="0.25">
      <c r="A5871" t="s">
        <v>25484</v>
      </c>
      <c r="B5871" t="s">
        <v>13</v>
      </c>
      <c r="C5871" t="s">
        <v>25473</v>
      </c>
      <c r="D5871" t="s">
        <v>25485</v>
      </c>
      <c r="E5871" t="s">
        <v>8728</v>
      </c>
      <c r="F5871" t="s">
        <v>2947</v>
      </c>
      <c r="G5871" t="s">
        <v>8729</v>
      </c>
      <c r="H5871" t="s">
        <v>299</v>
      </c>
      <c r="I5871" t="s">
        <v>19</v>
      </c>
      <c r="J5871" s="3" t="s">
        <v>8730</v>
      </c>
      <c r="K5871" t="s">
        <v>8731</v>
      </c>
      <c r="L5871" t="s">
        <v>8732</v>
      </c>
      <c r="M5871" t="s">
        <v>771</v>
      </c>
    </row>
    <row r="5872" spans="1:13" x14ac:dyDescent="0.25">
      <c r="A5872" t="s">
        <v>8725</v>
      </c>
      <c r="B5872" t="s">
        <v>13</v>
      </c>
      <c r="C5872" t="s">
        <v>8726</v>
      </c>
      <c r="D5872" t="s">
        <v>8727</v>
      </c>
      <c r="E5872" t="s">
        <v>8728</v>
      </c>
      <c r="F5872" t="s">
        <v>2947</v>
      </c>
      <c r="G5872" t="s">
        <v>8729</v>
      </c>
      <c r="H5872" t="s">
        <v>299</v>
      </c>
      <c r="I5872" t="s">
        <v>19</v>
      </c>
      <c r="J5872" s="3" t="s">
        <v>8730</v>
      </c>
      <c r="K5872" t="s">
        <v>8731</v>
      </c>
      <c r="L5872" t="s">
        <v>8732</v>
      </c>
      <c r="M5872" t="s">
        <v>771</v>
      </c>
    </row>
    <row r="5873" spans="1:13" x14ac:dyDescent="0.25">
      <c r="A5873" t="s">
        <v>8301</v>
      </c>
      <c r="B5873" t="s">
        <v>13</v>
      </c>
      <c r="C5873" s="1">
        <v>44318</v>
      </c>
      <c r="D5873" t="s">
        <v>8302</v>
      </c>
      <c r="E5873" s="2" t="s">
        <v>30951</v>
      </c>
      <c r="F5873" t="s">
        <v>8303</v>
      </c>
      <c r="G5873" t="s">
        <v>8304</v>
      </c>
      <c r="H5873" t="s">
        <v>195</v>
      </c>
      <c r="I5873" t="s">
        <v>19</v>
      </c>
      <c r="J5873" s="3" t="s">
        <v>8305</v>
      </c>
      <c r="K5873" t="s">
        <v>8300</v>
      </c>
      <c r="L5873" t="s">
        <v>197</v>
      </c>
      <c r="M5873" t="s">
        <v>432</v>
      </c>
    </row>
    <row r="5874" spans="1:13" x14ac:dyDescent="0.25">
      <c r="A5874" t="s">
        <v>3931</v>
      </c>
      <c r="B5874" t="s">
        <v>13</v>
      </c>
      <c r="C5874" t="s">
        <v>559</v>
      </c>
      <c r="D5874" t="s">
        <v>3932</v>
      </c>
      <c r="E5874" t="s">
        <v>3933</v>
      </c>
      <c r="F5874" t="s">
        <v>727</v>
      </c>
      <c r="G5874" t="s">
        <v>3934</v>
      </c>
      <c r="H5874" t="s">
        <v>1466</v>
      </c>
      <c r="I5874" t="s">
        <v>19</v>
      </c>
      <c r="J5874" s="3">
        <f>55-11-945556133</f>
        <v>-945556089</v>
      </c>
      <c r="K5874" t="s">
        <v>3935</v>
      </c>
      <c r="L5874" t="s">
        <v>3936</v>
      </c>
      <c r="M5874" t="s">
        <v>432</v>
      </c>
    </row>
    <row r="5875" spans="1:13" x14ac:dyDescent="0.25">
      <c r="A5875" t="s">
        <v>25064</v>
      </c>
      <c r="B5875" t="s">
        <v>13</v>
      </c>
      <c r="C5875" s="1">
        <v>42502</v>
      </c>
      <c r="D5875" t="s">
        <v>25065</v>
      </c>
      <c r="E5875" t="s">
        <v>25066</v>
      </c>
      <c r="F5875" t="s">
        <v>1190</v>
      </c>
      <c r="G5875" t="s">
        <v>25067</v>
      </c>
      <c r="H5875" t="s">
        <v>472</v>
      </c>
      <c r="I5875" t="s">
        <v>19</v>
      </c>
      <c r="J5875" s="3">
        <v>558130403939</v>
      </c>
      <c r="K5875" t="s">
        <v>25068</v>
      </c>
      <c r="L5875" t="s">
        <v>2101</v>
      </c>
      <c r="M5875" t="s">
        <v>32162</v>
      </c>
    </row>
    <row r="5876" spans="1:13" x14ac:dyDescent="0.25">
      <c r="A5876" t="s">
        <v>26084</v>
      </c>
      <c r="B5876" t="s">
        <v>13</v>
      </c>
      <c r="C5876" s="1">
        <v>42588</v>
      </c>
      <c r="D5876" t="s">
        <v>26085</v>
      </c>
      <c r="E5876" t="s">
        <v>26086</v>
      </c>
      <c r="F5876" t="s">
        <v>10034</v>
      </c>
      <c r="G5876" t="s">
        <v>26087</v>
      </c>
      <c r="H5876" t="s">
        <v>36</v>
      </c>
      <c r="I5876" t="s">
        <v>19</v>
      </c>
      <c r="J5876" s="3">
        <v>551133859241</v>
      </c>
      <c r="K5876" t="s">
        <v>26088</v>
      </c>
      <c r="L5876" t="s">
        <v>223</v>
      </c>
      <c r="M5876" t="s">
        <v>32162</v>
      </c>
    </row>
    <row r="5877" spans="1:13" x14ac:dyDescent="0.25">
      <c r="A5877" t="s">
        <v>22219</v>
      </c>
      <c r="B5877" t="s">
        <v>13</v>
      </c>
      <c r="C5877" t="s">
        <v>9003</v>
      </c>
      <c r="D5877" t="s">
        <v>22220</v>
      </c>
      <c r="E5877" t="s">
        <v>22221</v>
      </c>
      <c r="F5877" t="s">
        <v>1190</v>
      </c>
      <c r="G5877" t="s">
        <v>2883</v>
      </c>
      <c r="H5877" t="s">
        <v>1486</v>
      </c>
      <c r="I5877" t="s">
        <v>19</v>
      </c>
      <c r="J5877" s="3" t="s">
        <v>22222</v>
      </c>
      <c r="K5877" t="s">
        <v>22223</v>
      </c>
      <c r="L5877" t="s">
        <v>1489</v>
      </c>
      <c r="M5877" t="s">
        <v>32162</v>
      </c>
    </row>
    <row r="5878" spans="1:13" x14ac:dyDescent="0.25">
      <c r="A5878" t="s">
        <v>28801</v>
      </c>
      <c r="B5878" t="s">
        <v>13</v>
      </c>
      <c r="C5878" t="s">
        <v>28794</v>
      </c>
      <c r="D5878" t="s">
        <v>28802</v>
      </c>
      <c r="E5878" s="2" t="s">
        <v>31358</v>
      </c>
      <c r="F5878" t="s">
        <v>1190</v>
      </c>
      <c r="G5878" t="s">
        <v>28803</v>
      </c>
      <c r="H5878" t="s">
        <v>706</v>
      </c>
      <c r="I5878" t="s">
        <v>19</v>
      </c>
      <c r="J5878" s="3" t="s">
        <v>28804</v>
      </c>
      <c r="K5878" t="s">
        <v>28805</v>
      </c>
      <c r="L5878" t="s">
        <v>28806</v>
      </c>
      <c r="M5878" t="s">
        <v>32162</v>
      </c>
    </row>
    <row r="5879" spans="1:13" x14ac:dyDescent="0.25">
      <c r="A5879" t="s">
        <v>15664</v>
      </c>
      <c r="B5879" t="s">
        <v>13</v>
      </c>
      <c r="C5879" s="1">
        <v>43687</v>
      </c>
      <c r="D5879" t="s">
        <v>15665</v>
      </c>
      <c r="E5879" s="2" t="s">
        <v>32054</v>
      </c>
      <c r="F5879" t="s">
        <v>1190</v>
      </c>
      <c r="G5879" t="s">
        <v>15666</v>
      </c>
      <c r="H5879" t="s">
        <v>615</v>
      </c>
      <c r="I5879" t="s">
        <v>19</v>
      </c>
      <c r="J5879" s="3">
        <f>55-34-32182111</f>
        <v>-32182090</v>
      </c>
      <c r="K5879" t="s">
        <v>15667</v>
      </c>
      <c r="L5879" t="s">
        <v>618</v>
      </c>
      <c r="M5879" t="s">
        <v>32162</v>
      </c>
    </row>
    <row r="5880" spans="1:13" x14ac:dyDescent="0.25">
      <c r="A5880" t="s">
        <v>22586</v>
      </c>
      <c r="B5880" t="s">
        <v>13</v>
      </c>
      <c r="C5880" t="s">
        <v>9618</v>
      </c>
      <c r="D5880" t="s">
        <v>22587</v>
      </c>
      <c r="E5880" t="s">
        <v>22588</v>
      </c>
      <c r="F5880" t="s">
        <v>1190</v>
      </c>
      <c r="G5880" t="s">
        <v>2883</v>
      </c>
      <c r="H5880" t="s">
        <v>1486</v>
      </c>
      <c r="I5880" t="s">
        <v>19</v>
      </c>
      <c r="J5880" s="3" t="s">
        <v>22222</v>
      </c>
      <c r="K5880" t="s">
        <v>22223</v>
      </c>
      <c r="L5880" t="s">
        <v>1489</v>
      </c>
      <c r="M5880" t="s">
        <v>32162</v>
      </c>
    </row>
    <row r="5881" spans="1:13" x14ac:dyDescent="0.25">
      <c r="A5881" t="s">
        <v>2190</v>
      </c>
      <c r="B5881" t="s">
        <v>101</v>
      </c>
      <c r="C5881" s="1">
        <v>44782</v>
      </c>
      <c r="D5881" t="s">
        <v>2191</v>
      </c>
      <c r="E5881" t="s">
        <v>2192</v>
      </c>
      <c r="F5881" t="s">
        <v>147</v>
      </c>
      <c r="G5881" t="s">
        <v>2193</v>
      </c>
      <c r="H5881" t="s">
        <v>352</v>
      </c>
      <c r="I5881" t="s">
        <v>19</v>
      </c>
      <c r="J5881" s="3" t="s">
        <v>2194</v>
      </c>
      <c r="K5881" t="s">
        <v>2195</v>
      </c>
      <c r="L5881" t="s">
        <v>2196</v>
      </c>
      <c r="M5881" t="s">
        <v>741</v>
      </c>
    </row>
    <row r="5882" spans="1:13" x14ac:dyDescent="0.25">
      <c r="A5882" t="s">
        <v>29237</v>
      </c>
      <c r="B5882" t="s">
        <v>13</v>
      </c>
      <c r="C5882" t="s">
        <v>29238</v>
      </c>
      <c r="D5882" t="s">
        <v>29239</v>
      </c>
      <c r="E5882" t="s">
        <v>32709</v>
      </c>
      <c r="F5882" t="s">
        <v>2947</v>
      </c>
      <c r="G5882" t="s">
        <v>29240</v>
      </c>
      <c r="H5882" t="s">
        <v>299</v>
      </c>
      <c r="I5882" t="s">
        <v>19</v>
      </c>
      <c r="J5882" s="3">
        <v>551438116547</v>
      </c>
      <c r="K5882" t="s">
        <v>29241</v>
      </c>
      <c r="L5882" t="s">
        <v>29242</v>
      </c>
      <c r="M5882" t="s">
        <v>771</v>
      </c>
    </row>
    <row r="5883" spans="1:13" x14ac:dyDescent="0.25">
      <c r="A5883" t="s">
        <v>16333</v>
      </c>
      <c r="B5883" t="s">
        <v>13</v>
      </c>
      <c r="C5883" t="s">
        <v>8213</v>
      </c>
      <c r="D5883" t="s">
        <v>16334</v>
      </c>
      <c r="E5883" s="2" t="s">
        <v>31154</v>
      </c>
      <c r="F5883" t="s">
        <v>2947</v>
      </c>
      <c r="G5883" t="s">
        <v>16335</v>
      </c>
      <c r="H5883" t="s">
        <v>16336</v>
      </c>
      <c r="I5883" t="s">
        <v>19</v>
      </c>
      <c r="J5883" s="3">
        <v>558821012777</v>
      </c>
      <c r="K5883" t="s">
        <v>16337</v>
      </c>
      <c r="L5883" t="s">
        <v>14245</v>
      </c>
      <c r="M5883" t="s">
        <v>771</v>
      </c>
    </row>
    <row r="5884" spans="1:13" x14ac:dyDescent="0.25">
      <c r="A5884" t="s">
        <v>23918</v>
      </c>
      <c r="B5884" t="s">
        <v>101</v>
      </c>
      <c r="C5884" t="s">
        <v>23902</v>
      </c>
      <c r="D5884" t="s">
        <v>23919</v>
      </c>
      <c r="E5884" t="s">
        <v>32710</v>
      </c>
      <c r="F5884" t="s">
        <v>741</v>
      </c>
      <c r="G5884" t="s">
        <v>23920</v>
      </c>
      <c r="H5884" t="s">
        <v>352</v>
      </c>
      <c r="I5884" t="s">
        <v>19</v>
      </c>
      <c r="J5884" s="3">
        <v>552125541918</v>
      </c>
      <c r="K5884" t="s">
        <v>23921</v>
      </c>
      <c r="L5884" t="s">
        <v>4617</v>
      </c>
      <c r="M5884" t="s">
        <v>32163</v>
      </c>
    </row>
    <row r="5885" spans="1:13" x14ac:dyDescent="0.25">
      <c r="A5885" t="s">
        <v>21429</v>
      </c>
      <c r="B5885" t="s">
        <v>13</v>
      </c>
      <c r="C5885" t="s">
        <v>21416</v>
      </c>
      <c r="D5885" t="s">
        <v>21430</v>
      </c>
      <c r="E5885" s="2" t="s">
        <v>31502</v>
      </c>
      <c r="F5885" t="s">
        <v>6308</v>
      </c>
      <c r="G5885" t="s">
        <v>21431</v>
      </c>
      <c r="H5885" t="s">
        <v>21432</v>
      </c>
      <c r="I5885" t="s">
        <v>19</v>
      </c>
      <c r="J5885" s="3">
        <f>55-61-985216804</f>
        <v>-985216810</v>
      </c>
      <c r="K5885" t="s">
        <v>21433</v>
      </c>
      <c r="L5885" t="s">
        <v>19411</v>
      </c>
      <c r="M5885" t="s">
        <v>792</v>
      </c>
    </row>
    <row r="5886" spans="1:13" x14ac:dyDescent="0.25">
      <c r="A5886" t="s">
        <v>28405</v>
      </c>
      <c r="B5886" t="s">
        <v>13</v>
      </c>
      <c r="C5886" s="1">
        <v>42280</v>
      </c>
      <c r="D5886" t="s">
        <v>28406</v>
      </c>
      <c r="E5886" s="2" t="s">
        <v>31356</v>
      </c>
      <c r="F5886" t="s">
        <v>6308</v>
      </c>
      <c r="G5886" t="s">
        <v>28407</v>
      </c>
      <c r="H5886" t="s">
        <v>36</v>
      </c>
      <c r="I5886" t="s">
        <v>19</v>
      </c>
      <c r="J5886" s="3" t="s">
        <v>28408</v>
      </c>
      <c r="K5886" t="s">
        <v>28409</v>
      </c>
      <c r="L5886" t="s">
        <v>28410</v>
      </c>
      <c r="M5886" t="s">
        <v>792</v>
      </c>
    </row>
    <row r="5887" spans="1:13" x14ac:dyDescent="0.25">
      <c r="A5887" t="s">
        <v>28720</v>
      </c>
      <c r="B5887" t="s">
        <v>13</v>
      </c>
      <c r="C5887" s="1">
        <v>42217</v>
      </c>
      <c r="D5887" t="s">
        <v>28721</v>
      </c>
      <c r="E5887" t="s">
        <v>28722</v>
      </c>
      <c r="F5887" t="s">
        <v>792</v>
      </c>
      <c r="G5887" t="s">
        <v>28723</v>
      </c>
      <c r="H5887" t="s">
        <v>36</v>
      </c>
      <c r="I5887" t="s">
        <v>19</v>
      </c>
      <c r="J5887" s="3">
        <v>551130696442</v>
      </c>
      <c r="K5887" t="s">
        <v>28724</v>
      </c>
      <c r="L5887" t="s">
        <v>28725</v>
      </c>
      <c r="M5887" t="s">
        <v>792</v>
      </c>
    </row>
    <row r="5888" spans="1:13" x14ac:dyDescent="0.25">
      <c r="A5888" t="s">
        <v>25860</v>
      </c>
      <c r="B5888" t="s">
        <v>13</v>
      </c>
      <c r="C5888" t="s">
        <v>25855</v>
      </c>
      <c r="D5888" t="s">
        <v>25861</v>
      </c>
      <c r="E5888" t="s">
        <v>25862</v>
      </c>
      <c r="F5888" t="s">
        <v>6308</v>
      </c>
      <c r="G5888" t="s">
        <v>25863</v>
      </c>
      <c r="H5888" t="s">
        <v>472</v>
      </c>
      <c r="I5888" t="s">
        <v>19</v>
      </c>
      <c r="J5888" s="3" t="s">
        <v>25864</v>
      </c>
      <c r="K5888" t="s">
        <v>25865</v>
      </c>
      <c r="L5888" t="s">
        <v>2101</v>
      </c>
      <c r="M5888" t="s">
        <v>792</v>
      </c>
    </row>
    <row r="5889" spans="1:13" x14ac:dyDescent="0.25">
      <c r="A5889" t="s">
        <v>28707</v>
      </c>
      <c r="B5889" t="s">
        <v>13</v>
      </c>
      <c r="C5889" s="1">
        <v>42339</v>
      </c>
      <c r="D5889" t="s">
        <v>28708</v>
      </c>
      <c r="E5889" t="s">
        <v>28709</v>
      </c>
      <c r="F5889" t="s">
        <v>6308</v>
      </c>
      <c r="G5889" t="s">
        <v>28710</v>
      </c>
      <c r="H5889" t="s">
        <v>1335</v>
      </c>
      <c r="I5889" t="s">
        <v>19</v>
      </c>
      <c r="J5889" s="3" t="s">
        <v>28711</v>
      </c>
      <c r="K5889" t="s">
        <v>28712</v>
      </c>
      <c r="L5889" t="s">
        <v>15589</v>
      </c>
      <c r="M5889" t="s">
        <v>792</v>
      </c>
    </row>
    <row r="5890" spans="1:13" x14ac:dyDescent="0.25">
      <c r="A5890" t="s">
        <v>12039</v>
      </c>
      <c r="B5890" t="s">
        <v>13</v>
      </c>
      <c r="C5890" s="1">
        <v>43926</v>
      </c>
      <c r="D5890" t="s">
        <v>12040</v>
      </c>
      <c r="E5890" t="s">
        <v>12041</v>
      </c>
      <c r="F5890" t="s">
        <v>1464</v>
      </c>
      <c r="G5890" t="s">
        <v>12042</v>
      </c>
      <c r="H5890" t="s">
        <v>489</v>
      </c>
      <c r="I5890" t="s">
        <v>19</v>
      </c>
      <c r="J5890" s="3">
        <f>55-41-3350-5723</f>
        <v>-9059</v>
      </c>
      <c r="K5890" t="s">
        <v>12043</v>
      </c>
      <c r="L5890" t="s">
        <v>625</v>
      </c>
      <c r="M5890" t="s">
        <v>32147</v>
      </c>
    </row>
    <row r="5891" spans="1:13" x14ac:dyDescent="0.25">
      <c r="A5891" t="s">
        <v>26866</v>
      </c>
      <c r="B5891" t="s">
        <v>13</v>
      </c>
      <c r="C5891" s="1">
        <v>42372</v>
      </c>
      <c r="D5891" t="s">
        <v>26867</v>
      </c>
      <c r="E5891" t="s">
        <v>32711</v>
      </c>
      <c r="F5891" t="s">
        <v>21543</v>
      </c>
      <c r="G5891" t="s">
        <v>26868</v>
      </c>
      <c r="H5891" t="s">
        <v>265</v>
      </c>
      <c r="I5891" t="s">
        <v>19</v>
      </c>
      <c r="J5891" s="3" t="s">
        <v>26869</v>
      </c>
      <c r="K5891" t="s">
        <v>26870</v>
      </c>
      <c r="L5891" t="s">
        <v>2943</v>
      </c>
      <c r="M5891" t="s">
        <v>1775</v>
      </c>
    </row>
    <row r="5892" spans="1:13" x14ac:dyDescent="0.25">
      <c r="A5892" t="s">
        <v>8965</v>
      </c>
      <c r="B5892" t="s">
        <v>13</v>
      </c>
      <c r="C5892" s="1">
        <v>43842</v>
      </c>
      <c r="D5892" t="s">
        <v>8966</v>
      </c>
      <c r="E5892" s="2" t="s">
        <v>30965</v>
      </c>
      <c r="F5892" t="s">
        <v>148</v>
      </c>
      <c r="G5892" t="s">
        <v>1801</v>
      </c>
      <c r="H5892" t="s">
        <v>1802</v>
      </c>
      <c r="I5892" t="s">
        <v>19</v>
      </c>
      <c r="J5892" s="3">
        <f>55-14-996700921</f>
        <v>-996700880</v>
      </c>
      <c r="K5892" t="s">
        <v>1804</v>
      </c>
      <c r="L5892" t="s">
        <v>321</v>
      </c>
      <c r="M5892" t="s">
        <v>741</v>
      </c>
    </row>
    <row r="5893" spans="1:13" x14ac:dyDescent="0.25">
      <c r="A5893" t="s">
        <v>9211</v>
      </c>
      <c r="B5893" t="s">
        <v>13</v>
      </c>
      <c r="C5893" t="s">
        <v>9212</v>
      </c>
      <c r="D5893" t="s">
        <v>9213</v>
      </c>
      <c r="E5893" s="2" t="s">
        <v>30965</v>
      </c>
      <c r="F5893" t="s">
        <v>1464</v>
      </c>
      <c r="G5893" t="s">
        <v>9214</v>
      </c>
      <c r="H5893" t="s">
        <v>1802</v>
      </c>
      <c r="I5893" t="s">
        <v>19</v>
      </c>
      <c r="J5893" s="3">
        <v>5553984480776</v>
      </c>
      <c r="K5893" t="s">
        <v>9215</v>
      </c>
      <c r="L5893" t="s">
        <v>321</v>
      </c>
      <c r="M5893" t="s">
        <v>741</v>
      </c>
    </row>
    <row r="5894" spans="1:13" x14ac:dyDescent="0.25">
      <c r="A5894" t="s">
        <v>9064</v>
      </c>
      <c r="B5894" t="s">
        <v>13</v>
      </c>
      <c r="C5894" t="s">
        <v>9065</v>
      </c>
      <c r="D5894" t="s">
        <v>9066</v>
      </c>
      <c r="E5894" s="2" t="s">
        <v>30968</v>
      </c>
      <c r="F5894" t="s">
        <v>9067</v>
      </c>
      <c r="G5894" t="s">
        <v>9068</v>
      </c>
      <c r="H5894" t="s">
        <v>1741</v>
      </c>
      <c r="I5894" t="s">
        <v>19</v>
      </c>
      <c r="J5894" s="3">
        <f>55-35-991478959</f>
        <v>-991478939</v>
      </c>
      <c r="K5894" t="s">
        <v>9069</v>
      </c>
      <c r="L5894" t="s">
        <v>9070</v>
      </c>
      <c r="M5894" t="s">
        <v>741</v>
      </c>
    </row>
    <row r="5895" spans="1:13" x14ac:dyDescent="0.25">
      <c r="A5895" t="s">
        <v>7374</v>
      </c>
      <c r="B5895" t="s">
        <v>13</v>
      </c>
      <c r="C5895" t="s">
        <v>7363</v>
      </c>
      <c r="D5895" t="s">
        <v>7375</v>
      </c>
      <c r="E5895" t="s">
        <v>7376</v>
      </c>
      <c r="F5895" t="s">
        <v>6485</v>
      </c>
      <c r="G5895" t="s">
        <v>7377</v>
      </c>
      <c r="H5895" t="s">
        <v>255</v>
      </c>
      <c r="I5895" t="s">
        <v>19</v>
      </c>
      <c r="J5895" s="3">
        <f>55-62-985721-377</f>
        <v>-986105</v>
      </c>
      <c r="K5895" t="s">
        <v>7378</v>
      </c>
      <c r="L5895" t="s">
        <v>2467</v>
      </c>
      <c r="M5895" t="s">
        <v>741</v>
      </c>
    </row>
    <row r="5896" spans="1:13" x14ac:dyDescent="0.25">
      <c r="A5896" t="s">
        <v>20004</v>
      </c>
      <c r="B5896" t="s">
        <v>13</v>
      </c>
      <c r="C5896" t="s">
        <v>20005</v>
      </c>
      <c r="D5896" t="s">
        <v>20006</v>
      </c>
      <c r="E5896" s="2" t="s">
        <v>31239</v>
      </c>
      <c r="F5896" t="s">
        <v>11031</v>
      </c>
      <c r="G5896" t="s">
        <v>20007</v>
      </c>
      <c r="H5896" t="s">
        <v>71</v>
      </c>
      <c r="I5896" t="s">
        <v>19</v>
      </c>
      <c r="J5896" s="3" t="s">
        <v>20008</v>
      </c>
      <c r="K5896" t="s">
        <v>20009</v>
      </c>
      <c r="L5896" t="s">
        <v>74</v>
      </c>
      <c r="M5896" t="s">
        <v>741</v>
      </c>
    </row>
    <row r="5897" spans="1:13" x14ac:dyDescent="0.25">
      <c r="A5897" t="s">
        <v>20209</v>
      </c>
      <c r="B5897" t="s">
        <v>13</v>
      </c>
      <c r="C5897" s="1">
        <v>43108</v>
      </c>
      <c r="D5897" t="s">
        <v>20210</v>
      </c>
      <c r="E5897" t="s">
        <v>20211</v>
      </c>
      <c r="F5897" t="s">
        <v>1464</v>
      </c>
      <c r="G5897" t="s">
        <v>20212</v>
      </c>
      <c r="H5897" t="s">
        <v>36</v>
      </c>
      <c r="I5897" t="s">
        <v>19</v>
      </c>
      <c r="J5897" s="3">
        <f>55-11-983290565</f>
        <v>-983290521</v>
      </c>
      <c r="K5897" t="s">
        <v>20213</v>
      </c>
      <c r="L5897" t="s">
        <v>15072</v>
      </c>
      <c r="M5897" t="s">
        <v>771</v>
      </c>
    </row>
    <row r="5898" spans="1:13" x14ac:dyDescent="0.25">
      <c r="A5898" t="s">
        <v>17841</v>
      </c>
      <c r="B5898" t="s">
        <v>13</v>
      </c>
      <c r="C5898" s="1">
        <v>43742</v>
      </c>
      <c r="D5898" t="s">
        <v>17842</v>
      </c>
      <c r="E5898" t="s">
        <v>17843</v>
      </c>
      <c r="F5898" t="s">
        <v>4338</v>
      </c>
      <c r="G5898" t="s">
        <v>17844</v>
      </c>
      <c r="H5898" t="s">
        <v>3660</v>
      </c>
      <c r="I5898" t="s">
        <v>19</v>
      </c>
      <c r="J5898" s="3" t="s">
        <v>17845</v>
      </c>
      <c r="K5898" t="s">
        <v>17846</v>
      </c>
      <c r="L5898" t="s">
        <v>17847</v>
      </c>
      <c r="M5898" t="s">
        <v>1432</v>
      </c>
    </row>
    <row r="5899" spans="1:13" x14ac:dyDescent="0.25">
      <c r="A5899" t="s">
        <v>22634</v>
      </c>
      <c r="B5899" t="s">
        <v>13</v>
      </c>
      <c r="C5899" s="1">
        <v>43313</v>
      </c>
      <c r="D5899" t="s">
        <v>22635</v>
      </c>
      <c r="E5899" t="s">
        <v>22636</v>
      </c>
      <c r="F5899" t="s">
        <v>4338</v>
      </c>
      <c r="G5899" t="s">
        <v>22226</v>
      </c>
      <c r="H5899" t="s">
        <v>71</v>
      </c>
      <c r="I5899" t="s">
        <v>19</v>
      </c>
      <c r="J5899" s="3">
        <v>55086998658877</v>
      </c>
      <c r="K5899" t="s">
        <v>22227</v>
      </c>
      <c r="L5899" t="s">
        <v>22228</v>
      </c>
      <c r="M5899" t="s">
        <v>1432</v>
      </c>
    </row>
    <row r="5900" spans="1:13" x14ac:dyDescent="0.25">
      <c r="A5900" t="s">
        <v>5008</v>
      </c>
      <c r="B5900" t="s">
        <v>13</v>
      </c>
      <c r="C5900" t="s">
        <v>5009</v>
      </c>
      <c r="D5900" t="s">
        <v>32135</v>
      </c>
      <c r="E5900" t="s">
        <v>5010</v>
      </c>
      <c r="F5900" t="s">
        <v>537</v>
      </c>
      <c r="G5900" t="s">
        <v>5011</v>
      </c>
      <c r="H5900" t="s">
        <v>1382</v>
      </c>
      <c r="I5900" t="s">
        <v>19</v>
      </c>
      <c r="J5900" s="3" t="s">
        <v>5012</v>
      </c>
      <c r="K5900" t="s">
        <v>5013</v>
      </c>
      <c r="L5900" t="s">
        <v>32135</v>
      </c>
      <c r="M5900" t="s">
        <v>1432</v>
      </c>
    </row>
    <row r="5901" spans="1:13" x14ac:dyDescent="0.25">
      <c r="A5901" t="s">
        <v>18723</v>
      </c>
      <c r="B5901" t="s">
        <v>13</v>
      </c>
      <c r="C5901" t="s">
        <v>8504</v>
      </c>
      <c r="D5901" t="s">
        <v>18724</v>
      </c>
      <c r="E5901" s="2" t="s">
        <v>32052</v>
      </c>
      <c r="F5901" t="s">
        <v>4338</v>
      </c>
      <c r="G5901" t="s">
        <v>18725</v>
      </c>
      <c r="H5901" t="s">
        <v>1486</v>
      </c>
      <c r="I5901" t="s">
        <v>19</v>
      </c>
      <c r="J5901" s="3">
        <v>5534999992148</v>
      </c>
      <c r="K5901" t="s">
        <v>18726</v>
      </c>
      <c r="L5901" t="s">
        <v>1489</v>
      </c>
      <c r="M5901" t="s">
        <v>1432</v>
      </c>
    </row>
    <row r="5902" spans="1:13" x14ac:dyDescent="0.25">
      <c r="A5902" t="s">
        <v>18545</v>
      </c>
      <c r="B5902" t="s">
        <v>13</v>
      </c>
      <c r="C5902" s="1">
        <v>43739</v>
      </c>
      <c r="D5902" t="s">
        <v>18546</v>
      </c>
      <c r="E5902" s="2" t="s">
        <v>31205</v>
      </c>
      <c r="F5902" t="s">
        <v>1432</v>
      </c>
      <c r="G5902" t="s">
        <v>18547</v>
      </c>
      <c r="H5902" t="s">
        <v>1486</v>
      </c>
      <c r="I5902" t="s">
        <v>19</v>
      </c>
      <c r="J5902" s="3">
        <f>55-343700-6816</f>
        <v>-350461</v>
      </c>
      <c r="K5902" t="s">
        <v>18548</v>
      </c>
      <c r="L5902" t="s">
        <v>1489</v>
      </c>
      <c r="M5902" t="s">
        <v>1432</v>
      </c>
    </row>
    <row r="5903" spans="1:13" x14ac:dyDescent="0.25">
      <c r="A5903" t="s">
        <v>23737</v>
      </c>
      <c r="B5903" t="s">
        <v>13</v>
      </c>
      <c r="C5903" t="s">
        <v>8676</v>
      </c>
      <c r="D5903" t="s">
        <v>23738</v>
      </c>
      <c r="E5903" t="s">
        <v>16894</v>
      </c>
      <c r="F5903" t="s">
        <v>306</v>
      </c>
      <c r="G5903" t="s">
        <v>23739</v>
      </c>
      <c r="H5903" t="s">
        <v>88</v>
      </c>
      <c r="I5903" t="s">
        <v>19</v>
      </c>
      <c r="J5903" s="3" t="s">
        <v>23740</v>
      </c>
      <c r="K5903" t="s">
        <v>23741</v>
      </c>
      <c r="L5903" t="s">
        <v>764</v>
      </c>
      <c r="M5903" t="s">
        <v>32145</v>
      </c>
    </row>
    <row r="5904" spans="1:13" x14ac:dyDescent="0.25">
      <c r="A5904" t="s">
        <v>16892</v>
      </c>
      <c r="B5904" t="s">
        <v>13</v>
      </c>
      <c r="C5904" s="1">
        <v>43503</v>
      </c>
      <c r="D5904" t="s">
        <v>16893</v>
      </c>
      <c r="E5904" t="s">
        <v>16894</v>
      </c>
      <c r="F5904" t="s">
        <v>306</v>
      </c>
      <c r="G5904" t="s">
        <v>16895</v>
      </c>
      <c r="H5904" t="s">
        <v>1072</v>
      </c>
      <c r="I5904" t="s">
        <v>19</v>
      </c>
      <c r="J5904" s="3" t="s">
        <v>16896</v>
      </c>
      <c r="K5904" t="s">
        <v>16897</v>
      </c>
      <c r="L5904" t="s">
        <v>91</v>
      </c>
      <c r="M5904" t="s">
        <v>32145</v>
      </c>
    </row>
    <row r="5905" spans="1:13" x14ac:dyDescent="0.25">
      <c r="A5905" t="s">
        <v>6473</v>
      </c>
      <c r="B5905" t="s">
        <v>13</v>
      </c>
      <c r="C5905" s="1">
        <v>44417</v>
      </c>
      <c r="D5905" t="s">
        <v>32135</v>
      </c>
      <c r="E5905" t="s">
        <v>3059</v>
      </c>
      <c r="F5905" t="s">
        <v>6474</v>
      </c>
      <c r="G5905" t="s">
        <v>6475</v>
      </c>
      <c r="H5905" t="s">
        <v>1090</v>
      </c>
      <c r="I5905" t="s">
        <v>19</v>
      </c>
      <c r="J5905" s="3" t="s">
        <v>6476</v>
      </c>
      <c r="K5905" t="s">
        <v>6477</v>
      </c>
      <c r="L5905" t="s">
        <v>32135</v>
      </c>
      <c r="M5905" t="s">
        <v>432</v>
      </c>
    </row>
    <row r="5906" spans="1:13" x14ac:dyDescent="0.25">
      <c r="A5906" t="s">
        <v>27631</v>
      </c>
      <c r="B5906" t="s">
        <v>13</v>
      </c>
      <c r="C5906" t="s">
        <v>27632</v>
      </c>
      <c r="D5906" t="s">
        <v>27633</v>
      </c>
      <c r="E5906" t="s">
        <v>3059</v>
      </c>
      <c r="F5906" t="s">
        <v>117</v>
      </c>
      <c r="G5906" t="s">
        <v>18060</v>
      </c>
      <c r="H5906" t="s">
        <v>352</v>
      </c>
      <c r="I5906" t="s">
        <v>19</v>
      </c>
      <c r="J5906" s="3">
        <v>552138659128</v>
      </c>
      <c r="K5906" t="s">
        <v>18061</v>
      </c>
      <c r="L5906" t="s">
        <v>18062</v>
      </c>
      <c r="M5906" t="s">
        <v>32145</v>
      </c>
    </row>
    <row r="5907" spans="1:13" x14ac:dyDescent="0.25">
      <c r="A5907" t="s">
        <v>30352</v>
      </c>
      <c r="B5907" t="s">
        <v>13</v>
      </c>
      <c r="C5907" t="s">
        <v>30353</v>
      </c>
      <c r="D5907" t="s">
        <v>30354</v>
      </c>
      <c r="E5907" t="s">
        <v>30355</v>
      </c>
      <c r="F5907" t="s">
        <v>117</v>
      </c>
      <c r="G5907" t="s">
        <v>30356</v>
      </c>
      <c r="H5907" t="s">
        <v>36</v>
      </c>
      <c r="I5907" t="s">
        <v>19</v>
      </c>
      <c r="J5907" s="3" t="s">
        <v>30357</v>
      </c>
      <c r="K5907" t="s">
        <v>28217</v>
      </c>
      <c r="L5907" t="s">
        <v>8569</v>
      </c>
      <c r="M5907" t="s">
        <v>32145</v>
      </c>
    </row>
    <row r="5908" spans="1:13" x14ac:dyDescent="0.25">
      <c r="A5908" t="s">
        <v>20714</v>
      </c>
      <c r="B5908" t="s">
        <v>13</v>
      </c>
      <c r="C5908" s="1">
        <v>43258</v>
      </c>
      <c r="D5908" t="s">
        <v>20715</v>
      </c>
      <c r="E5908" s="2" t="s">
        <v>31845</v>
      </c>
      <c r="F5908" t="s">
        <v>306</v>
      </c>
      <c r="G5908" t="s">
        <v>20716</v>
      </c>
      <c r="H5908" t="s">
        <v>255</v>
      </c>
      <c r="I5908" t="s">
        <v>19</v>
      </c>
      <c r="J5908" s="3">
        <f>55-62-35211256</f>
        <v>-35211263</v>
      </c>
      <c r="K5908" t="s">
        <v>20717</v>
      </c>
      <c r="L5908" t="s">
        <v>2467</v>
      </c>
      <c r="M5908" t="s">
        <v>32145</v>
      </c>
    </row>
    <row r="5909" spans="1:13" x14ac:dyDescent="0.25">
      <c r="A5909" t="s">
        <v>12052</v>
      </c>
      <c r="B5909" t="s">
        <v>13</v>
      </c>
      <c r="C5909" t="s">
        <v>12053</v>
      </c>
      <c r="D5909" t="s">
        <v>12054</v>
      </c>
      <c r="E5909" s="2" t="s">
        <v>31446</v>
      </c>
      <c r="F5909" t="s">
        <v>1464</v>
      </c>
      <c r="G5909" t="s">
        <v>12055</v>
      </c>
      <c r="H5909" t="s">
        <v>11789</v>
      </c>
      <c r="I5909" t="s">
        <v>19</v>
      </c>
      <c r="J5909" s="3">
        <v>552199964771</v>
      </c>
      <c r="K5909" t="s">
        <v>12056</v>
      </c>
      <c r="L5909" t="s">
        <v>1232</v>
      </c>
      <c r="M5909" t="s">
        <v>32145</v>
      </c>
    </row>
    <row r="5910" spans="1:13" x14ac:dyDescent="0.25">
      <c r="A5910" t="s">
        <v>16649</v>
      </c>
      <c r="B5910" t="s">
        <v>13</v>
      </c>
      <c r="C5910" t="s">
        <v>16644</v>
      </c>
      <c r="D5910" t="s">
        <v>16650</v>
      </c>
      <c r="E5910" s="2" t="s">
        <v>31447</v>
      </c>
      <c r="F5910" t="s">
        <v>1464</v>
      </c>
      <c r="G5910" t="s">
        <v>12055</v>
      </c>
      <c r="H5910" t="s">
        <v>11789</v>
      </c>
      <c r="I5910" t="s">
        <v>19</v>
      </c>
      <c r="J5910" s="3">
        <v>5521999964771</v>
      </c>
      <c r="K5910" t="s">
        <v>12056</v>
      </c>
      <c r="L5910" t="s">
        <v>1232</v>
      </c>
      <c r="M5910" t="s">
        <v>32121</v>
      </c>
    </row>
    <row r="5911" spans="1:13" x14ac:dyDescent="0.25">
      <c r="A5911" t="s">
        <v>19121</v>
      </c>
      <c r="B5911" t="s">
        <v>101</v>
      </c>
      <c r="C5911" s="1">
        <v>43231</v>
      </c>
      <c r="D5911" t="s">
        <v>19122</v>
      </c>
      <c r="E5911" t="s">
        <v>19123</v>
      </c>
      <c r="F5911" t="s">
        <v>117</v>
      </c>
      <c r="G5911" t="s">
        <v>16109</v>
      </c>
      <c r="H5911" t="s">
        <v>927</v>
      </c>
      <c r="I5911" t="s">
        <v>19</v>
      </c>
      <c r="J5911" s="3" t="s">
        <v>19124</v>
      </c>
      <c r="K5911" t="s">
        <v>16111</v>
      </c>
      <c r="L5911" t="s">
        <v>4230</v>
      </c>
      <c r="M5911" t="s">
        <v>32145</v>
      </c>
    </row>
    <row r="5912" spans="1:13" x14ac:dyDescent="0.25">
      <c r="A5912" t="s">
        <v>28397</v>
      </c>
      <c r="B5912" t="s">
        <v>13</v>
      </c>
      <c r="C5912" t="s">
        <v>28398</v>
      </c>
      <c r="D5912" t="s">
        <v>28399</v>
      </c>
      <c r="E5912" t="s">
        <v>27296</v>
      </c>
      <c r="F5912" t="s">
        <v>306</v>
      </c>
      <c r="G5912" t="s">
        <v>23739</v>
      </c>
      <c r="H5912" t="s">
        <v>88</v>
      </c>
      <c r="I5912" t="s">
        <v>19</v>
      </c>
      <c r="J5912" s="3">
        <v>558432153416</v>
      </c>
      <c r="K5912" t="s">
        <v>23741</v>
      </c>
      <c r="L5912" t="s">
        <v>91</v>
      </c>
      <c r="M5912" t="s">
        <v>32145</v>
      </c>
    </row>
    <row r="5913" spans="1:13" x14ac:dyDescent="0.25">
      <c r="A5913" t="s">
        <v>27293</v>
      </c>
      <c r="B5913" t="s">
        <v>13</v>
      </c>
      <c r="C5913" t="s">
        <v>27294</v>
      </c>
      <c r="D5913" t="s">
        <v>27295</v>
      </c>
      <c r="E5913" t="s">
        <v>27296</v>
      </c>
      <c r="F5913" t="s">
        <v>306</v>
      </c>
      <c r="G5913" t="s">
        <v>23739</v>
      </c>
      <c r="H5913" t="s">
        <v>88</v>
      </c>
      <c r="I5913" t="s">
        <v>19</v>
      </c>
      <c r="J5913" s="3">
        <v>558432153416</v>
      </c>
      <c r="K5913" t="s">
        <v>23741</v>
      </c>
      <c r="L5913" t="s">
        <v>91</v>
      </c>
      <c r="M5913" t="s">
        <v>32145</v>
      </c>
    </row>
    <row r="5914" spans="1:13" x14ac:dyDescent="0.25">
      <c r="A5914" t="s">
        <v>28184</v>
      </c>
      <c r="B5914" t="s">
        <v>13</v>
      </c>
      <c r="C5914" t="s">
        <v>28160</v>
      </c>
      <c r="D5914" t="s">
        <v>28185</v>
      </c>
      <c r="E5914" t="s">
        <v>32712</v>
      </c>
      <c r="F5914" t="s">
        <v>306</v>
      </c>
      <c r="G5914" t="s">
        <v>23739</v>
      </c>
      <c r="H5914" t="s">
        <v>88</v>
      </c>
      <c r="I5914" t="s">
        <v>19</v>
      </c>
      <c r="J5914" s="3">
        <v>558432153416</v>
      </c>
      <c r="K5914" t="s">
        <v>23741</v>
      </c>
      <c r="L5914" t="s">
        <v>91</v>
      </c>
      <c r="M5914" t="s">
        <v>32145</v>
      </c>
    </row>
    <row r="5915" spans="1:13" x14ac:dyDescent="0.25">
      <c r="A5915" t="s">
        <v>20372</v>
      </c>
      <c r="B5915" t="s">
        <v>13</v>
      </c>
      <c r="C5915" t="s">
        <v>12154</v>
      </c>
      <c r="D5915" t="s">
        <v>20373</v>
      </c>
      <c r="E5915" s="2" t="s">
        <v>31576</v>
      </c>
      <c r="F5915" t="s">
        <v>306</v>
      </c>
      <c r="G5915" t="s">
        <v>20374</v>
      </c>
      <c r="H5915" t="s">
        <v>88</v>
      </c>
      <c r="I5915" t="s">
        <v>19</v>
      </c>
      <c r="J5915" s="3">
        <f>55-84-996714494</f>
        <v>-996714523</v>
      </c>
      <c r="K5915" t="s">
        <v>20375</v>
      </c>
      <c r="L5915" t="s">
        <v>91</v>
      </c>
      <c r="M5915" t="s">
        <v>32145</v>
      </c>
    </row>
    <row r="5916" spans="1:13" x14ac:dyDescent="0.25">
      <c r="A5916" t="s">
        <v>20293</v>
      </c>
      <c r="B5916" t="s">
        <v>13</v>
      </c>
      <c r="C5916" t="s">
        <v>20288</v>
      </c>
      <c r="D5916" t="s">
        <v>20294</v>
      </c>
      <c r="E5916" t="s">
        <v>20295</v>
      </c>
      <c r="F5916" t="s">
        <v>1464</v>
      </c>
      <c r="G5916" t="s">
        <v>20296</v>
      </c>
      <c r="H5916" t="s">
        <v>114</v>
      </c>
      <c r="I5916" t="s">
        <v>19</v>
      </c>
      <c r="J5916" s="3" t="s">
        <v>20297</v>
      </c>
      <c r="K5916" t="s">
        <v>20298</v>
      </c>
      <c r="L5916" t="s">
        <v>20299</v>
      </c>
      <c r="M5916" t="s">
        <v>785</v>
      </c>
    </row>
    <row r="5917" spans="1:13" x14ac:dyDescent="0.25">
      <c r="A5917" t="s">
        <v>7167</v>
      </c>
      <c r="B5917" t="s">
        <v>13</v>
      </c>
      <c r="C5917" s="1">
        <v>44445</v>
      </c>
      <c r="D5917" t="s">
        <v>32135</v>
      </c>
      <c r="E5917" t="s">
        <v>7168</v>
      </c>
      <c r="F5917" t="s">
        <v>7169</v>
      </c>
      <c r="G5917" t="s">
        <v>7170</v>
      </c>
      <c r="H5917" t="s">
        <v>352</v>
      </c>
      <c r="I5917" t="s">
        <v>19</v>
      </c>
      <c r="J5917" s="3" t="s">
        <v>7171</v>
      </c>
      <c r="K5917" t="s">
        <v>7172</v>
      </c>
      <c r="L5917" t="s">
        <v>32135</v>
      </c>
      <c r="M5917" t="s">
        <v>741</v>
      </c>
    </row>
    <row r="5918" spans="1:13" x14ac:dyDescent="0.25">
      <c r="A5918" t="s">
        <v>11653</v>
      </c>
      <c r="B5918" t="s">
        <v>13</v>
      </c>
      <c r="C5918" t="s">
        <v>11065</v>
      </c>
      <c r="D5918" t="s">
        <v>11654</v>
      </c>
      <c r="E5918" t="s">
        <v>11655</v>
      </c>
      <c r="F5918" t="s">
        <v>2530</v>
      </c>
      <c r="G5918" t="s">
        <v>7170</v>
      </c>
      <c r="H5918" t="s">
        <v>352</v>
      </c>
      <c r="I5918" t="s">
        <v>19</v>
      </c>
      <c r="J5918" s="3" t="s">
        <v>11652</v>
      </c>
      <c r="K5918" t="s">
        <v>7172</v>
      </c>
      <c r="L5918" t="s">
        <v>4617</v>
      </c>
      <c r="M5918" t="s">
        <v>741</v>
      </c>
    </row>
    <row r="5919" spans="1:13" x14ac:dyDescent="0.25">
      <c r="A5919" t="s">
        <v>19785</v>
      </c>
      <c r="B5919" t="s">
        <v>13</v>
      </c>
      <c r="C5919" s="1">
        <v>43229</v>
      </c>
      <c r="D5919" t="s">
        <v>19786</v>
      </c>
      <c r="E5919" t="s">
        <v>19787</v>
      </c>
      <c r="F5919" t="s">
        <v>1190</v>
      </c>
      <c r="G5919" t="s">
        <v>19788</v>
      </c>
      <c r="H5919" t="s">
        <v>265</v>
      </c>
      <c r="I5919" t="s">
        <v>19</v>
      </c>
      <c r="J5919" s="3" t="s">
        <v>19789</v>
      </c>
      <c r="K5919" t="s">
        <v>19790</v>
      </c>
      <c r="L5919" t="s">
        <v>391</v>
      </c>
      <c r="M5919" t="s">
        <v>432</v>
      </c>
    </row>
    <row r="5920" spans="1:13" x14ac:dyDescent="0.25">
      <c r="A5920" t="s">
        <v>8599</v>
      </c>
      <c r="B5920" t="s">
        <v>101</v>
      </c>
      <c r="C5920" s="1">
        <v>44317</v>
      </c>
      <c r="D5920" t="s">
        <v>32135</v>
      </c>
      <c r="E5920" t="s">
        <v>8600</v>
      </c>
      <c r="F5920" t="s">
        <v>6809</v>
      </c>
      <c r="G5920" t="s">
        <v>8601</v>
      </c>
      <c r="H5920" t="s">
        <v>36</v>
      </c>
      <c r="I5920" t="s">
        <v>19</v>
      </c>
      <c r="K5920" t="s">
        <v>8602</v>
      </c>
      <c r="L5920" t="s">
        <v>32135</v>
      </c>
      <c r="M5920" t="s">
        <v>1775</v>
      </c>
    </row>
    <row r="5921" spans="1:13" x14ac:dyDescent="0.25">
      <c r="A5921" t="s">
        <v>26195</v>
      </c>
      <c r="B5921" t="s">
        <v>13</v>
      </c>
      <c r="C5921" t="s">
        <v>9515</v>
      </c>
      <c r="D5921" t="s">
        <v>26196</v>
      </c>
      <c r="E5921" t="s">
        <v>26197</v>
      </c>
      <c r="F5921" t="s">
        <v>2036</v>
      </c>
      <c r="G5921" t="s">
        <v>26198</v>
      </c>
      <c r="H5921" t="s">
        <v>428</v>
      </c>
      <c r="I5921" t="s">
        <v>19</v>
      </c>
      <c r="J5921" s="3" t="s">
        <v>26199</v>
      </c>
      <c r="K5921" t="s">
        <v>26200</v>
      </c>
      <c r="L5921" t="s">
        <v>1113</v>
      </c>
      <c r="M5921" t="s">
        <v>57</v>
      </c>
    </row>
    <row r="5922" spans="1:13" x14ac:dyDescent="0.25">
      <c r="A5922" t="s">
        <v>15417</v>
      </c>
      <c r="B5922" t="s">
        <v>13</v>
      </c>
      <c r="C5922" t="s">
        <v>15406</v>
      </c>
      <c r="D5922" t="s">
        <v>15418</v>
      </c>
      <c r="E5922" t="s">
        <v>15419</v>
      </c>
      <c r="F5922" t="s">
        <v>117</v>
      </c>
      <c r="G5922" t="s">
        <v>9074</v>
      </c>
      <c r="H5922" t="s">
        <v>1466</v>
      </c>
      <c r="I5922" t="s">
        <v>19</v>
      </c>
      <c r="J5922" s="3">
        <f>55-35-37011805</f>
        <v>-37011785</v>
      </c>
      <c r="K5922" t="s">
        <v>9075</v>
      </c>
      <c r="L5922" t="s">
        <v>1469</v>
      </c>
      <c r="M5922" t="s">
        <v>32145</v>
      </c>
    </row>
    <row r="5923" spans="1:13" x14ac:dyDescent="0.25">
      <c r="A5923" t="s">
        <v>9071</v>
      </c>
      <c r="B5923" t="s">
        <v>13</v>
      </c>
      <c r="C5923" t="s">
        <v>9065</v>
      </c>
      <c r="D5923" t="s">
        <v>9072</v>
      </c>
      <c r="E5923" t="s">
        <v>9073</v>
      </c>
      <c r="F5923" t="s">
        <v>117</v>
      </c>
      <c r="G5923" t="s">
        <v>9074</v>
      </c>
      <c r="H5923" t="s">
        <v>1466</v>
      </c>
      <c r="I5923" t="s">
        <v>19</v>
      </c>
      <c r="J5923" s="3">
        <f>55-35-37011805</f>
        <v>-37011785</v>
      </c>
      <c r="K5923" t="s">
        <v>9075</v>
      </c>
      <c r="L5923" t="s">
        <v>1469</v>
      </c>
      <c r="M5923" t="s">
        <v>32145</v>
      </c>
    </row>
    <row r="5924" spans="1:13" x14ac:dyDescent="0.25">
      <c r="A5924" t="s">
        <v>29646</v>
      </c>
      <c r="B5924" t="s">
        <v>13</v>
      </c>
      <c r="C5924" s="1">
        <v>41553</v>
      </c>
      <c r="D5924" t="s">
        <v>29647</v>
      </c>
      <c r="E5924" t="s">
        <v>32713</v>
      </c>
      <c r="F5924" t="s">
        <v>306</v>
      </c>
      <c r="G5924" t="s">
        <v>10102</v>
      </c>
      <c r="H5924" t="s">
        <v>372</v>
      </c>
      <c r="I5924" t="s">
        <v>19</v>
      </c>
      <c r="J5924" s="3" t="s">
        <v>27283</v>
      </c>
      <c r="K5924" t="s">
        <v>10103</v>
      </c>
      <c r="L5924" t="s">
        <v>28431</v>
      </c>
      <c r="M5924" t="s">
        <v>32145</v>
      </c>
    </row>
    <row r="5925" spans="1:13" x14ac:dyDescent="0.25">
      <c r="A5925" t="s">
        <v>8101</v>
      </c>
      <c r="B5925" t="s">
        <v>13</v>
      </c>
      <c r="C5925" s="1">
        <v>44532</v>
      </c>
      <c r="D5925" t="s">
        <v>8102</v>
      </c>
      <c r="E5925" t="s">
        <v>8103</v>
      </c>
      <c r="F5925" t="s">
        <v>6809</v>
      </c>
      <c r="G5925" t="s">
        <v>8104</v>
      </c>
      <c r="H5925" t="s">
        <v>5609</v>
      </c>
      <c r="I5925" t="s">
        <v>19</v>
      </c>
      <c r="J5925" s="3" t="s">
        <v>8105</v>
      </c>
      <c r="K5925" t="s">
        <v>5611</v>
      </c>
      <c r="L5925" t="s">
        <v>32135</v>
      </c>
      <c r="M5925" t="s">
        <v>771</v>
      </c>
    </row>
    <row r="5926" spans="1:13" x14ac:dyDescent="0.25">
      <c r="A5926" t="s">
        <v>12411</v>
      </c>
      <c r="B5926" t="s">
        <v>101</v>
      </c>
      <c r="C5926" s="1">
        <v>44078</v>
      </c>
      <c r="D5926" t="s">
        <v>12412</v>
      </c>
      <c r="E5926" s="2" t="s">
        <v>32714</v>
      </c>
      <c r="F5926" t="s">
        <v>1464</v>
      </c>
      <c r="G5926" t="s">
        <v>12413</v>
      </c>
      <c r="H5926" t="s">
        <v>540</v>
      </c>
      <c r="I5926" t="s">
        <v>19</v>
      </c>
      <c r="J5926" s="3">
        <v>5591982893370</v>
      </c>
      <c r="K5926" t="s">
        <v>8443</v>
      </c>
      <c r="L5926" t="s">
        <v>1531</v>
      </c>
      <c r="M5926" t="s">
        <v>32144</v>
      </c>
    </row>
    <row r="5927" spans="1:13" x14ac:dyDescent="0.25">
      <c r="A5927" t="s">
        <v>5271</v>
      </c>
      <c r="B5927" t="s">
        <v>13</v>
      </c>
      <c r="C5927" t="s">
        <v>5261</v>
      </c>
      <c r="D5927" t="s">
        <v>32135</v>
      </c>
      <c r="E5927" s="2" t="s">
        <v>30839</v>
      </c>
      <c r="F5927" t="s">
        <v>5272</v>
      </c>
      <c r="G5927" t="s">
        <v>5273</v>
      </c>
      <c r="H5927" t="s">
        <v>88</v>
      </c>
      <c r="I5927" t="s">
        <v>19</v>
      </c>
      <c r="J5927" s="3">
        <f>55-84-40095595</f>
        <v>-40095624</v>
      </c>
      <c r="K5927" t="s">
        <v>5274</v>
      </c>
      <c r="L5927" t="s">
        <v>32135</v>
      </c>
      <c r="M5927" t="s">
        <v>337</v>
      </c>
    </row>
    <row r="5928" spans="1:13" x14ac:dyDescent="0.25">
      <c r="A5928" t="s">
        <v>22424</v>
      </c>
      <c r="B5928" t="s">
        <v>13</v>
      </c>
      <c r="C5928" t="s">
        <v>20045</v>
      </c>
      <c r="D5928" t="s">
        <v>22425</v>
      </c>
      <c r="E5928" s="2" t="s">
        <v>31909</v>
      </c>
      <c r="F5928" t="s">
        <v>332</v>
      </c>
      <c r="G5928" t="s">
        <v>22426</v>
      </c>
      <c r="H5928" t="s">
        <v>265</v>
      </c>
      <c r="I5928" t="s">
        <v>19</v>
      </c>
      <c r="J5928" s="3">
        <v>5516991481137</v>
      </c>
      <c r="K5928" t="s">
        <v>12496</v>
      </c>
      <c r="L5928" t="s">
        <v>22427</v>
      </c>
      <c r="M5928" t="s">
        <v>337</v>
      </c>
    </row>
    <row r="5929" spans="1:13" x14ac:dyDescent="0.25">
      <c r="A5929" t="s">
        <v>13767</v>
      </c>
      <c r="B5929" t="s">
        <v>13</v>
      </c>
      <c r="C5929" s="1">
        <v>43892</v>
      </c>
      <c r="D5929" t="s">
        <v>13768</v>
      </c>
      <c r="E5929" s="2" t="s">
        <v>31797</v>
      </c>
      <c r="F5929" t="s">
        <v>129</v>
      </c>
      <c r="G5929" t="s">
        <v>12441</v>
      </c>
      <c r="H5929" t="s">
        <v>706</v>
      </c>
      <c r="I5929" t="s">
        <v>19</v>
      </c>
      <c r="J5929" s="3">
        <v>553133094697</v>
      </c>
      <c r="K5929" t="s">
        <v>12442</v>
      </c>
      <c r="L5929" t="s">
        <v>12443</v>
      </c>
      <c r="M5929" t="s">
        <v>129</v>
      </c>
    </row>
    <row r="5930" spans="1:13" x14ac:dyDescent="0.25">
      <c r="A5930" t="s">
        <v>7749</v>
      </c>
      <c r="B5930" t="s">
        <v>13</v>
      </c>
      <c r="C5930" s="1">
        <v>44321</v>
      </c>
      <c r="D5930" t="s">
        <v>7750</v>
      </c>
      <c r="E5930" t="s">
        <v>7751</v>
      </c>
      <c r="F5930" t="s">
        <v>129</v>
      </c>
      <c r="G5930" t="s">
        <v>7752</v>
      </c>
      <c r="H5930" t="s">
        <v>7753</v>
      </c>
      <c r="I5930" t="s">
        <v>19</v>
      </c>
      <c r="J5930" s="3">
        <f>55-54-999292842</f>
        <v>-999292841</v>
      </c>
      <c r="K5930" t="s">
        <v>7754</v>
      </c>
      <c r="L5930" t="s">
        <v>1295</v>
      </c>
      <c r="M5930" t="s">
        <v>129</v>
      </c>
    </row>
    <row r="5931" spans="1:13" x14ac:dyDescent="0.25">
      <c r="A5931" t="s">
        <v>16118</v>
      </c>
      <c r="B5931" t="s">
        <v>13</v>
      </c>
      <c r="C5931" t="s">
        <v>15792</v>
      </c>
      <c r="D5931" t="s">
        <v>16119</v>
      </c>
      <c r="E5931" s="2" t="s">
        <v>31541</v>
      </c>
      <c r="F5931" t="s">
        <v>1464</v>
      </c>
      <c r="G5931" t="s">
        <v>16120</v>
      </c>
      <c r="H5931" t="s">
        <v>28</v>
      </c>
      <c r="I5931" t="s">
        <v>19</v>
      </c>
      <c r="J5931" s="3">
        <v>55032988883361</v>
      </c>
      <c r="K5931" t="s">
        <v>16121</v>
      </c>
      <c r="L5931" t="s">
        <v>16122</v>
      </c>
      <c r="M5931" t="s">
        <v>129</v>
      </c>
    </row>
    <row r="5932" spans="1:13" x14ac:dyDescent="0.25">
      <c r="A5932" t="s">
        <v>29937</v>
      </c>
      <c r="B5932" t="s">
        <v>13</v>
      </c>
      <c r="C5932" t="s">
        <v>14184</v>
      </c>
      <c r="D5932" t="s">
        <v>29938</v>
      </c>
      <c r="E5932" t="s">
        <v>29939</v>
      </c>
      <c r="F5932" t="s">
        <v>1464</v>
      </c>
      <c r="G5932" t="s">
        <v>29940</v>
      </c>
      <c r="H5932" t="s">
        <v>18</v>
      </c>
      <c r="I5932" t="s">
        <v>19</v>
      </c>
      <c r="J5932" s="3" t="s">
        <v>29941</v>
      </c>
      <c r="K5932" t="s">
        <v>29942</v>
      </c>
      <c r="L5932" t="s">
        <v>20017</v>
      </c>
      <c r="M5932" t="s">
        <v>129</v>
      </c>
    </row>
    <row r="5933" spans="1:13" x14ac:dyDescent="0.25">
      <c r="A5933" t="s">
        <v>10130</v>
      </c>
      <c r="B5933" t="s">
        <v>13</v>
      </c>
      <c r="C5933" t="s">
        <v>8861</v>
      </c>
      <c r="D5933" t="s">
        <v>10131</v>
      </c>
      <c r="E5933" t="s">
        <v>10132</v>
      </c>
      <c r="F5933" t="s">
        <v>2036</v>
      </c>
      <c r="G5933" t="s">
        <v>10133</v>
      </c>
      <c r="H5933" t="s">
        <v>1466</v>
      </c>
      <c r="I5933" t="s">
        <v>19</v>
      </c>
      <c r="J5933" s="3">
        <v>35991514573</v>
      </c>
      <c r="K5933" t="s">
        <v>10134</v>
      </c>
      <c r="L5933" t="s">
        <v>1469</v>
      </c>
      <c r="M5933" t="s">
        <v>57</v>
      </c>
    </row>
    <row r="5934" spans="1:13" x14ac:dyDescent="0.25">
      <c r="A5934" t="s">
        <v>18577</v>
      </c>
      <c r="B5934" t="s">
        <v>13</v>
      </c>
      <c r="C5934" s="1">
        <v>43647</v>
      </c>
      <c r="D5934" t="s">
        <v>18578</v>
      </c>
      <c r="E5934" t="s">
        <v>18579</v>
      </c>
      <c r="F5934" t="s">
        <v>306</v>
      </c>
      <c r="G5934" t="s">
        <v>18580</v>
      </c>
      <c r="H5934" t="s">
        <v>489</v>
      </c>
      <c r="I5934" t="s">
        <v>19</v>
      </c>
      <c r="J5934" s="3">
        <f>55-41-999217789</f>
        <v>-999217775</v>
      </c>
      <c r="K5934" t="s">
        <v>18581</v>
      </c>
      <c r="L5934" t="s">
        <v>18582</v>
      </c>
      <c r="M5934" t="s">
        <v>32145</v>
      </c>
    </row>
    <row r="5935" spans="1:13" x14ac:dyDescent="0.25">
      <c r="A5935" t="s">
        <v>30606</v>
      </c>
      <c r="B5935" t="s">
        <v>13</v>
      </c>
      <c r="C5935" s="1">
        <v>40854</v>
      </c>
      <c r="D5935" t="s">
        <v>30607</v>
      </c>
      <c r="E5935" t="s">
        <v>32715</v>
      </c>
      <c r="F5935" t="s">
        <v>1190</v>
      </c>
      <c r="G5935" t="s">
        <v>30608</v>
      </c>
      <c r="H5935" t="s">
        <v>150</v>
      </c>
      <c r="I5935" t="s">
        <v>19</v>
      </c>
      <c r="J5935" s="3">
        <v>551136659890</v>
      </c>
      <c r="K5935" t="s">
        <v>22217</v>
      </c>
      <c r="L5935" t="s">
        <v>1999</v>
      </c>
      <c r="M5935" t="s">
        <v>32145</v>
      </c>
    </row>
    <row r="5936" spans="1:13" x14ac:dyDescent="0.25">
      <c r="A5936" t="s">
        <v>20726</v>
      </c>
      <c r="B5936" t="s">
        <v>13</v>
      </c>
      <c r="C5936" s="1">
        <v>43227</v>
      </c>
      <c r="D5936" t="s">
        <v>20727</v>
      </c>
      <c r="E5936" t="s">
        <v>20728</v>
      </c>
      <c r="F5936" t="s">
        <v>2036</v>
      </c>
      <c r="G5936" t="s">
        <v>18426</v>
      </c>
      <c r="H5936" t="s">
        <v>503</v>
      </c>
      <c r="I5936" t="s">
        <v>19</v>
      </c>
      <c r="J5936" s="3" t="s">
        <v>9848</v>
      </c>
      <c r="K5936" t="s">
        <v>18428</v>
      </c>
      <c r="L5936" t="s">
        <v>412</v>
      </c>
      <c r="M5936" t="s">
        <v>57</v>
      </c>
    </row>
    <row r="5937" spans="1:13" x14ac:dyDescent="0.25">
      <c r="A5937" t="s">
        <v>21033</v>
      </c>
      <c r="B5937" t="s">
        <v>13</v>
      </c>
      <c r="C5937" t="s">
        <v>21028</v>
      </c>
      <c r="D5937" t="s">
        <v>21034</v>
      </c>
      <c r="E5937" t="s">
        <v>21035</v>
      </c>
      <c r="F5937" t="s">
        <v>1775</v>
      </c>
      <c r="G5937" t="s">
        <v>21036</v>
      </c>
      <c r="H5937" t="s">
        <v>472</v>
      </c>
      <c r="I5937" t="s">
        <v>19</v>
      </c>
      <c r="J5937" s="3" t="s">
        <v>21037</v>
      </c>
      <c r="K5937" t="s">
        <v>21038</v>
      </c>
      <c r="L5937" t="s">
        <v>2101</v>
      </c>
      <c r="M5937" t="s">
        <v>1775</v>
      </c>
    </row>
    <row r="5938" spans="1:13" x14ac:dyDescent="0.25">
      <c r="A5938" t="s">
        <v>4021</v>
      </c>
      <c r="B5938" t="s">
        <v>13</v>
      </c>
      <c r="C5938" s="1">
        <v>44716</v>
      </c>
      <c r="D5938" t="s">
        <v>4022</v>
      </c>
      <c r="E5938" t="s">
        <v>2220</v>
      </c>
      <c r="F5938" t="s">
        <v>2609</v>
      </c>
      <c r="G5938" t="s">
        <v>4023</v>
      </c>
      <c r="H5938" t="s">
        <v>71</v>
      </c>
      <c r="I5938" t="s">
        <v>19</v>
      </c>
      <c r="J5938" s="3" t="s">
        <v>4024</v>
      </c>
      <c r="K5938" t="s">
        <v>3909</v>
      </c>
      <c r="L5938" t="s">
        <v>74</v>
      </c>
      <c r="M5938" t="s">
        <v>1775</v>
      </c>
    </row>
    <row r="5939" spans="1:13" x14ac:dyDescent="0.25">
      <c r="A5939" t="s">
        <v>13596</v>
      </c>
      <c r="B5939" t="s">
        <v>13</v>
      </c>
      <c r="C5939" s="1">
        <v>44167</v>
      </c>
      <c r="D5939" t="s">
        <v>13597</v>
      </c>
      <c r="E5939" t="s">
        <v>7306</v>
      </c>
      <c r="F5939" t="s">
        <v>1464</v>
      </c>
      <c r="G5939" t="s">
        <v>13598</v>
      </c>
      <c r="H5939" t="s">
        <v>1090</v>
      </c>
      <c r="I5939" t="s">
        <v>19</v>
      </c>
      <c r="J5939" s="3">
        <f>55-83-988404842</f>
        <v>-988404870</v>
      </c>
      <c r="K5939" t="s">
        <v>13599</v>
      </c>
      <c r="L5939" t="s">
        <v>1092</v>
      </c>
      <c r="M5939" t="s">
        <v>1775</v>
      </c>
    </row>
    <row r="5940" spans="1:13" x14ac:dyDescent="0.25">
      <c r="A5940" t="s">
        <v>6258</v>
      </c>
      <c r="B5940" t="s">
        <v>13</v>
      </c>
      <c r="C5940" t="s">
        <v>6259</v>
      </c>
      <c r="D5940" t="s">
        <v>6260</v>
      </c>
      <c r="E5940" s="2" t="s">
        <v>30884</v>
      </c>
      <c r="F5940" t="s">
        <v>61</v>
      </c>
      <c r="G5940" t="s">
        <v>6261</v>
      </c>
      <c r="H5940" t="s">
        <v>265</v>
      </c>
      <c r="I5940" t="s">
        <v>19</v>
      </c>
      <c r="J5940" s="3">
        <f>55-16-991788003</f>
        <v>-991787964</v>
      </c>
      <c r="K5940" t="s">
        <v>6262</v>
      </c>
      <c r="L5940" t="s">
        <v>32135</v>
      </c>
      <c r="M5940" t="s">
        <v>32147</v>
      </c>
    </row>
    <row r="5941" spans="1:13" x14ac:dyDescent="0.25">
      <c r="A5941" t="s">
        <v>6639</v>
      </c>
      <c r="B5941" t="s">
        <v>13</v>
      </c>
      <c r="C5941" t="s">
        <v>6625</v>
      </c>
      <c r="D5941" t="s">
        <v>32135</v>
      </c>
      <c r="E5941" s="2" t="s">
        <v>30901</v>
      </c>
      <c r="F5941" t="s">
        <v>117</v>
      </c>
      <c r="G5941" t="s">
        <v>6640</v>
      </c>
      <c r="H5941" t="s">
        <v>36</v>
      </c>
      <c r="I5941" t="s">
        <v>19</v>
      </c>
      <c r="J5941" s="3">
        <f>55-11-26617516</f>
        <v>-26617472</v>
      </c>
      <c r="K5941" t="s">
        <v>6641</v>
      </c>
      <c r="L5941" t="s">
        <v>32135</v>
      </c>
      <c r="M5941" t="s">
        <v>32145</v>
      </c>
    </row>
    <row r="5942" spans="1:13" x14ac:dyDescent="0.25">
      <c r="A5942" t="s">
        <v>13611</v>
      </c>
      <c r="B5942" t="s">
        <v>13</v>
      </c>
      <c r="C5942" t="s">
        <v>13612</v>
      </c>
      <c r="D5942" t="s">
        <v>13613</v>
      </c>
      <c r="E5942" s="2" t="s">
        <v>32075</v>
      </c>
      <c r="F5942" t="s">
        <v>1464</v>
      </c>
      <c r="G5942" t="s">
        <v>13614</v>
      </c>
      <c r="H5942" t="s">
        <v>472</v>
      </c>
      <c r="I5942" t="s">
        <v>19</v>
      </c>
      <c r="J5942" s="3" t="s">
        <v>13615</v>
      </c>
      <c r="K5942" t="s">
        <v>13616</v>
      </c>
      <c r="L5942" t="s">
        <v>13617</v>
      </c>
      <c r="M5942" t="s">
        <v>1775</v>
      </c>
    </row>
    <row r="5943" spans="1:13" x14ac:dyDescent="0.25">
      <c r="A5943" t="s">
        <v>3605</v>
      </c>
      <c r="B5943" t="s">
        <v>13</v>
      </c>
      <c r="C5943" t="s">
        <v>3606</v>
      </c>
      <c r="D5943" t="s">
        <v>3607</v>
      </c>
      <c r="E5943" s="2" t="s">
        <v>31964</v>
      </c>
      <c r="F5943" t="s">
        <v>3609</v>
      </c>
      <c r="G5943" t="s">
        <v>3610</v>
      </c>
      <c r="H5943" t="s">
        <v>36</v>
      </c>
      <c r="I5943" t="s">
        <v>19</v>
      </c>
      <c r="J5943" s="3" t="s">
        <v>3611</v>
      </c>
      <c r="K5943" t="s">
        <v>3612</v>
      </c>
      <c r="L5943" t="s">
        <v>321</v>
      </c>
      <c r="M5943" t="s">
        <v>1349</v>
      </c>
    </row>
    <row r="5944" spans="1:13" x14ac:dyDescent="0.25">
      <c r="A5944" t="s">
        <v>29766</v>
      </c>
      <c r="B5944" t="s">
        <v>13</v>
      </c>
      <c r="C5944" s="1">
        <v>41309</v>
      </c>
      <c r="D5944" t="s">
        <v>29767</v>
      </c>
      <c r="E5944" t="s">
        <v>29768</v>
      </c>
      <c r="F5944" t="s">
        <v>1464</v>
      </c>
      <c r="G5944" t="s">
        <v>29769</v>
      </c>
      <c r="H5944" t="s">
        <v>1037</v>
      </c>
      <c r="I5944" t="s">
        <v>19</v>
      </c>
      <c r="J5944" s="3" t="s">
        <v>29770</v>
      </c>
      <c r="K5944" t="s">
        <v>29771</v>
      </c>
      <c r="L5944" t="s">
        <v>1040</v>
      </c>
      <c r="M5944" t="s">
        <v>57</v>
      </c>
    </row>
    <row r="5945" spans="1:13" x14ac:dyDescent="0.25">
      <c r="A5945" t="s">
        <v>5296</v>
      </c>
      <c r="B5945" t="s">
        <v>13</v>
      </c>
      <c r="C5945" t="s">
        <v>5220</v>
      </c>
      <c r="D5945" t="s">
        <v>5297</v>
      </c>
      <c r="E5945" t="s">
        <v>5298</v>
      </c>
      <c r="F5945" t="s">
        <v>5299</v>
      </c>
      <c r="G5945" t="s">
        <v>5300</v>
      </c>
      <c r="H5945" t="s">
        <v>5301</v>
      </c>
      <c r="I5945" t="s">
        <v>5302</v>
      </c>
      <c r="J5945" s="3" t="s">
        <v>2059</v>
      </c>
      <c r="K5945">
        <v>34617654121</v>
      </c>
      <c r="L5945" t="s">
        <v>5303</v>
      </c>
      <c r="M5945" t="s">
        <v>32149</v>
      </c>
    </row>
    <row r="5946" spans="1:13" x14ac:dyDescent="0.25">
      <c r="A5946" t="s">
        <v>11162</v>
      </c>
      <c r="B5946" t="s">
        <v>13</v>
      </c>
      <c r="C5946" s="1">
        <v>43989</v>
      </c>
      <c r="D5946" t="s">
        <v>11163</v>
      </c>
      <c r="E5946" s="2" t="s">
        <v>32716</v>
      </c>
      <c r="F5946" t="s">
        <v>1464</v>
      </c>
      <c r="G5946" t="s">
        <v>11165</v>
      </c>
      <c r="H5946" t="s">
        <v>983</v>
      </c>
      <c r="I5946" t="s">
        <v>19</v>
      </c>
      <c r="J5946" s="3" t="s">
        <v>11166</v>
      </c>
      <c r="K5946" t="s">
        <v>11167</v>
      </c>
      <c r="L5946" t="s">
        <v>11168</v>
      </c>
      <c r="M5946" t="s">
        <v>32185</v>
      </c>
    </row>
    <row r="5947" spans="1:13" x14ac:dyDescent="0.25">
      <c r="A5947" t="s">
        <v>29227</v>
      </c>
      <c r="B5947" t="s">
        <v>13</v>
      </c>
      <c r="C5947" s="1">
        <v>41700</v>
      </c>
      <c r="D5947" t="s">
        <v>29228</v>
      </c>
      <c r="E5947" t="s">
        <v>29229</v>
      </c>
      <c r="F5947" t="s">
        <v>2036</v>
      </c>
      <c r="G5947" t="s">
        <v>18096</v>
      </c>
      <c r="H5947" t="s">
        <v>4092</v>
      </c>
      <c r="I5947" t="s">
        <v>19</v>
      </c>
      <c r="J5947" s="3" t="s">
        <v>15525</v>
      </c>
      <c r="K5947" t="s">
        <v>18097</v>
      </c>
      <c r="L5947" t="s">
        <v>18098</v>
      </c>
      <c r="M5947" t="s">
        <v>57</v>
      </c>
    </row>
    <row r="5948" spans="1:13" x14ac:dyDescent="0.25">
      <c r="A5948" t="s">
        <v>24010</v>
      </c>
      <c r="B5948" t="s">
        <v>13</v>
      </c>
      <c r="C5948" s="1">
        <v>43046</v>
      </c>
      <c r="D5948" t="s">
        <v>24011</v>
      </c>
      <c r="E5948" t="s">
        <v>24012</v>
      </c>
      <c r="F5948" t="s">
        <v>129</v>
      </c>
      <c r="G5948" t="s">
        <v>1621</v>
      </c>
      <c r="H5948" t="s">
        <v>1622</v>
      </c>
      <c r="I5948" t="s">
        <v>19</v>
      </c>
      <c r="J5948" s="3" t="s">
        <v>18998</v>
      </c>
      <c r="K5948" t="s">
        <v>1624</v>
      </c>
      <c r="L5948" t="s">
        <v>10697</v>
      </c>
      <c r="M5948" t="s">
        <v>129</v>
      </c>
    </row>
    <row r="5949" spans="1:13" x14ac:dyDescent="0.25">
      <c r="A5949" t="s">
        <v>11935</v>
      </c>
      <c r="B5949" t="s">
        <v>13</v>
      </c>
      <c r="C5949" s="1">
        <v>44048</v>
      </c>
      <c r="D5949" t="s">
        <v>11936</v>
      </c>
      <c r="E5949" t="s">
        <v>32717</v>
      </c>
      <c r="F5949" t="s">
        <v>6308</v>
      </c>
      <c r="G5949" t="s">
        <v>11778</v>
      </c>
      <c r="H5949" t="s">
        <v>1802</v>
      </c>
      <c r="I5949" t="s">
        <v>19</v>
      </c>
      <c r="J5949" s="3" t="s">
        <v>11937</v>
      </c>
      <c r="K5949" t="s">
        <v>11938</v>
      </c>
      <c r="L5949" t="s">
        <v>1805</v>
      </c>
      <c r="M5949" t="s">
        <v>432</v>
      </c>
    </row>
    <row r="5950" spans="1:13" x14ac:dyDescent="0.25">
      <c r="A5950" t="s">
        <v>13632</v>
      </c>
      <c r="B5950" t="s">
        <v>13</v>
      </c>
      <c r="C5950" s="1">
        <v>44137</v>
      </c>
      <c r="D5950" t="s">
        <v>13633</v>
      </c>
      <c r="E5950" t="s">
        <v>13634</v>
      </c>
      <c r="F5950" t="s">
        <v>32121</v>
      </c>
      <c r="G5950" t="s">
        <v>13635</v>
      </c>
      <c r="H5950" t="s">
        <v>472</v>
      </c>
      <c r="I5950" t="s">
        <v>19</v>
      </c>
      <c r="J5950" s="3">
        <f>55-81-996184843</f>
        <v>-996184869</v>
      </c>
      <c r="K5950" t="s">
        <v>13636</v>
      </c>
      <c r="L5950" t="s">
        <v>13637</v>
      </c>
      <c r="M5950" t="s">
        <v>32121</v>
      </c>
    </row>
    <row r="5951" spans="1:13" x14ac:dyDescent="0.25">
      <c r="A5951" t="s">
        <v>12269</v>
      </c>
      <c r="B5951" t="s">
        <v>13</v>
      </c>
      <c r="C5951" t="s">
        <v>12259</v>
      </c>
      <c r="D5951" t="s">
        <v>12270</v>
      </c>
      <c r="E5951" s="2" t="s">
        <v>31451</v>
      </c>
      <c r="F5951" t="s">
        <v>32147</v>
      </c>
      <c r="G5951" t="s">
        <v>12271</v>
      </c>
      <c r="H5951" t="s">
        <v>2564</v>
      </c>
      <c r="I5951" t="s">
        <v>19</v>
      </c>
      <c r="J5951" s="3">
        <v>55065999814331</v>
      </c>
      <c r="K5951" t="s">
        <v>12272</v>
      </c>
      <c r="L5951" t="s">
        <v>12273</v>
      </c>
      <c r="M5951" t="s">
        <v>32147</v>
      </c>
    </row>
    <row r="5952" spans="1:13" x14ac:dyDescent="0.25">
      <c r="A5952" t="s">
        <v>24952</v>
      </c>
      <c r="B5952" t="s">
        <v>13</v>
      </c>
      <c r="C5952" t="s">
        <v>24953</v>
      </c>
      <c r="D5952" t="s">
        <v>24954</v>
      </c>
      <c r="E5952" t="s">
        <v>24955</v>
      </c>
      <c r="F5952" t="s">
        <v>129</v>
      </c>
      <c r="G5952" t="s">
        <v>24956</v>
      </c>
      <c r="H5952" t="s">
        <v>18</v>
      </c>
      <c r="I5952" t="s">
        <v>19</v>
      </c>
      <c r="J5952" s="3" t="s">
        <v>24957</v>
      </c>
      <c r="K5952" t="s">
        <v>24958</v>
      </c>
      <c r="L5952" t="s">
        <v>24959</v>
      </c>
      <c r="M5952" t="s">
        <v>129</v>
      </c>
    </row>
    <row r="5953" spans="1:13" x14ac:dyDescent="0.25">
      <c r="A5953" t="s">
        <v>22132</v>
      </c>
      <c r="B5953" t="s">
        <v>13</v>
      </c>
      <c r="C5953" s="1">
        <v>42767</v>
      </c>
      <c r="D5953" t="s">
        <v>22133</v>
      </c>
      <c r="E5953" t="s">
        <v>22134</v>
      </c>
      <c r="F5953" t="s">
        <v>306</v>
      </c>
      <c r="G5953" t="s">
        <v>22135</v>
      </c>
      <c r="H5953" t="s">
        <v>352</v>
      </c>
      <c r="I5953" t="s">
        <v>19</v>
      </c>
      <c r="J5953" s="3" t="s">
        <v>22136</v>
      </c>
      <c r="K5953" t="s">
        <v>22137</v>
      </c>
      <c r="L5953" t="s">
        <v>1232</v>
      </c>
      <c r="M5953" t="s">
        <v>32145</v>
      </c>
    </row>
    <row r="5954" spans="1:13" x14ac:dyDescent="0.25">
      <c r="A5954" t="s">
        <v>7669</v>
      </c>
      <c r="B5954" t="s">
        <v>13</v>
      </c>
      <c r="C5954" s="1">
        <v>43009</v>
      </c>
      <c r="D5954" t="s">
        <v>7670</v>
      </c>
      <c r="E5954" t="s">
        <v>7671</v>
      </c>
      <c r="F5954" t="s">
        <v>1464</v>
      </c>
      <c r="G5954" t="s">
        <v>7672</v>
      </c>
      <c r="H5954" t="s">
        <v>18</v>
      </c>
      <c r="I5954" t="s">
        <v>19</v>
      </c>
      <c r="J5954" s="3" t="s">
        <v>7673</v>
      </c>
      <c r="K5954" t="s">
        <v>7674</v>
      </c>
      <c r="L5954" t="s">
        <v>7675</v>
      </c>
      <c r="M5954" t="s">
        <v>1349</v>
      </c>
    </row>
    <row r="5955" spans="1:13" x14ac:dyDescent="0.25">
      <c r="A5955" t="s">
        <v>21641</v>
      </c>
      <c r="B5955" t="s">
        <v>13</v>
      </c>
      <c r="C5955" s="1">
        <v>43195</v>
      </c>
      <c r="D5955" t="s">
        <v>21642</v>
      </c>
      <c r="E5955" t="s">
        <v>32718</v>
      </c>
      <c r="F5955" t="s">
        <v>117</v>
      </c>
      <c r="G5955" t="s">
        <v>21643</v>
      </c>
      <c r="H5955" t="s">
        <v>893</v>
      </c>
      <c r="I5955" t="s">
        <v>19</v>
      </c>
      <c r="J5955" s="3">
        <v>55098981118910</v>
      </c>
      <c r="K5955" t="s">
        <v>21644</v>
      </c>
      <c r="L5955" t="s">
        <v>1727</v>
      </c>
      <c r="M5955" t="s">
        <v>32145</v>
      </c>
    </row>
    <row r="5956" spans="1:13" x14ac:dyDescent="0.25">
      <c r="A5956" t="s">
        <v>30180</v>
      </c>
      <c r="B5956" t="s">
        <v>13</v>
      </c>
      <c r="C5956" t="s">
        <v>14184</v>
      </c>
      <c r="D5956" t="s">
        <v>30181</v>
      </c>
      <c r="E5956" t="s">
        <v>30182</v>
      </c>
      <c r="F5956" t="s">
        <v>2947</v>
      </c>
      <c r="G5956" t="s">
        <v>30183</v>
      </c>
      <c r="H5956" t="s">
        <v>25850</v>
      </c>
      <c r="I5956" t="s">
        <v>19</v>
      </c>
      <c r="J5956" s="3" t="s">
        <v>30184</v>
      </c>
      <c r="K5956" t="s">
        <v>30185</v>
      </c>
      <c r="L5956" t="s">
        <v>12387</v>
      </c>
      <c r="M5956" t="s">
        <v>771</v>
      </c>
    </row>
    <row r="5957" spans="1:13" x14ac:dyDescent="0.25">
      <c r="A5957" t="s">
        <v>18354</v>
      </c>
      <c r="B5957" t="s">
        <v>13</v>
      </c>
      <c r="C5957" s="1">
        <v>43801</v>
      </c>
      <c r="D5957" t="s">
        <v>18355</v>
      </c>
      <c r="E5957" t="s">
        <v>18356</v>
      </c>
      <c r="F5957" t="s">
        <v>2036</v>
      </c>
      <c r="G5957" t="s">
        <v>18357</v>
      </c>
      <c r="H5957" t="s">
        <v>472</v>
      </c>
      <c r="I5957" t="s">
        <v>19</v>
      </c>
      <c r="J5957" s="3" t="s">
        <v>18358</v>
      </c>
      <c r="K5957" t="s">
        <v>18359</v>
      </c>
      <c r="L5957" t="s">
        <v>18360</v>
      </c>
      <c r="M5957" t="s">
        <v>57</v>
      </c>
    </row>
    <row r="5958" spans="1:13" x14ac:dyDescent="0.25">
      <c r="A5958" t="s">
        <v>13525</v>
      </c>
      <c r="B5958" t="s">
        <v>13</v>
      </c>
      <c r="C5958" t="s">
        <v>6103</v>
      </c>
      <c r="D5958" t="s">
        <v>13526</v>
      </c>
      <c r="E5958" t="s">
        <v>13527</v>
      </c>
      <c r="F5958" t="s">
        <v>2036</v>
      </c>
      <c r="G5958" t="s">
        <v>4091</v>
      </c>
      <c r="H5958" t="s">
        <v>4092</v>
      </c>
      <c r="I5958" t="s">
        <v>19</v>
      </c>
      <c r="J5958" s="3" t="s">
        <v>13528</v>
      </c>
      <c r="K5958" t="s">
        <v>4093</v>
      </c>
      <c r="L5958" t="s">
        <v>2548</v>
      </c>
      <c r="M5958" t="s">
        <v>57</v>
      </c>
    </row>
    <row r="5959" spans="1:13" x14ac:dyDescent="0.25">
      <c r="A5959" t="s">
        <v>13374</v>
      </c>
      <c r="B5959" t="s">
        <v>13</v>
      </c>
      <c r="C5959" t="s">
        <v>13375</v>
      </c>
      <c r="D5959" t="s">
        <v>13376</v>
      </c>
      <c r="E5959" t="s">
        <v>13377</v>
      </c>
      <c r="F5959" t="s">
        <v>1464</v>
      </c>
      <c r="G5959" t="s">
        <v>13378</v>
      </c>
      <c r="H5959" t="s">
        <v>13379</v>
      </c>
      <c r="I5959" t="s">
        <v>19</v>
      </c>
      <c r="J5959" s="3">
        <f>55-88-996016061</f>
        <v>-996016094</v>
      </c>
      <c r="K5959" t="s">
        <v>13380</v>
      </c>
      <c r="L5959" t="s">
        <v>13381</v>
      </c>
      <c r="M5959" t="s">
        <v>32144</v>
      </c>
    </row>
    <row r="5960" spans="1:13" x14ac:dyDescent="0.25">
      <c r="A5960" t="s">
        <v>19714</v>
      </c>
      <c r="B5960" t="s">
        <v>13</v>
      </c>
      <c r="C5960" t="s">
        <v>14133</v>
      </c>
      <c r="D5960" t="s">
        <v>19715</v>
      </c>
      <c r="E5960" t="s">
        <v>19716</v>
      </c>
      <c r="F5960" t="s">
        <v>1349</v>
      </c>
      <c r="G5960" t="s">
        <v>19717</v>
      </c>
      <c r="H5960" t="s">
        <v>45</v>
      </c>
      <c r="I5960" t="s">
        <v>19</v>
      </c>
      <c r="J5960" s="3" t="s">
        <v>19718</v>
      </c>
      <c r="K5960" t="s">
        <v>19719</v>
      </c>
      <c r="L5960" t="s">
        <v>48</v>
      </c>
      <c r="M5960" t="s">
        <v>1349</v>
      </c>
    </row>
    <row r="5961" spans="1:13" x14ac:dyDescent="0.25">
      <c r="A5961" t="s">
        <v>20324</v>
      </c>
      <c r="B5961" t="s">
        <v>13</v>
      </c>
      <c r="C5961" t="s">
        <v>20322</v>
      </c>
      <c r="D5961" t="s">
        <v>20325</v>
      </c>
      <c r="E5961" t="s">
        <v>20326</v>
      </c>
      <c r="F5961" t="s">
        <v>306</v>
      </c>
      <c r="G5961" t="s">
        <v>20327</v>
      </c>
      <c r="H5961" t="s">
        <v>105</v>
      </c>
      <c r="I5961" t="s">
        <v>19</v>
      </c>
      <c r="J5961" s="3">
        <f>55-21-983770755</f>
        <v>-983770721</v>
      </c>
      <c r="K5961" t="s">
        <v>20328</v>
      </c>
      <c r="L5961" t="s">
        <v>108</v>
      </c>
      <c r="M5961" t="s">
        <v>32145</v>
      </c>
    </row>
    <row r="5962" spans="1:13" x14ac:dyDescent="0.25">
      <c r="A5962" t="s">
        <v>21654</v>
      </c>
      <c r="B5962" t="s">
        <v>13</v>
      </c>
      <c r="C5962" s="1">
        <v>43195</v>
      </c>
      <c r="D5962" t="s">
        <v>21655</v>
      </c>
      <c r="E5962" t="s">
        <v>21656</v>
      </c>
      <c r="F5962" t="s">
        <v>32121</v>
      </c>
      <c r="G5962" t="s">
        <v>21657</v>
      </c>
      <c r="H5962" t="s">
        <v>36</v>
      </c>
      <c r="I5962" t="s">
        <v>19</v>
      </c>
      <c r="J5962" s="3" t="s">
        <v>21658</v>
      </c>
      <c r="K5962" t="s">
        <v>21659</v>
      </c>
      <c r="L5962" t="s">
        <v>15311</v>
      </c>
      <c r="M5962" t="s">
        <v>32121</v>
      </c>
    </row>
    <row r="5963" spans="1:13" x14ac:dyDescent="0.25">
      <c r="A5963" t="s">
        <v>8405</v>
      </c>
      <c r="B5963" t="s">
        <v>101</v>
      </c>
      <c r="C5963" s="1">
        <v>44198</v>
      </c>
      <c r="D5963" t="s">
        <v>32135</v>
      </c>
      <c r="E5963" s="2" t="s">
        <v>32112</v>
      </c>
      <c r="F5963" t="s">
        <v>8406</v>
      </c>
      <c r="G5963" t="s">
        <v>8407</v>
      </c>
      <c r="H5963" t="s">
        <v>88</v>
      </c>
      <c r="I5963" t="s">
        <v>19</v>
      </c>
      <c r="J5963" s="3" t="s">
        <v>8408</v>
      </c>
      <c r="K5963" t="s">
        <v>8409</v>
      </c>
      <c r="L5963" t="s">
        <v>32135</v>
      </c>
      <c r="M5963" t="s">
        <v>32145</v>
      </c>
    </row>
    <row r="5964" spans="1:13" x14ac:dyDescent="0.25">
      <c r="A5964" t="s">
        <v>4918</v>
      </c>
      <c r="B5964" t="s">
        <v>13</v>
      </c>
      <c r="C5964" t="s">
        <v>1387</v>
      </c>
      <c r="D5964" t="s">
        <v>4919</v>
      </c>
      <c r="E5964" s="2" t="s">
        <v>30827</v>
      </c>
      <c r="F5964" t="s">
        <v>1847</v>
      </c>
      <c r="G5964" t="s">
        <v>1193</v>
      </c>
      <c r="H5964" t="s">
        <v>472</v>
      </c>
      <c r="I5964" t="s">
        <v>19</v>
      </c>
      <c r="J5964" s="3">
        <f>55-81- 3183-3600</f>
        <v>-6809</v>
      </c>
      <c r="K5964" t="s">
        <v>4920</v>
      </c>
      <c r="L5964" t="s">
        <v>32135</v>
      </c>
      <c r="M5964" t="s">
        <v>32121</v>
      </c>
    </row>
    <row r="5965" spans="1:13" x14ac:dyDescent="0.25">
      <c r="A5965" t="s">
        <v>6218</v>
      </c>
      <c r="B5965" t="s">
        <v>13</v>
      </c>
      <c r="C5965" t="s">
        <v>6210</v>
      </c>
      <c r="D5965" t="s">
        <v>32135</v>
      </c>
      <c r="E5965" s="2" t="s">
        <v>30882</v>
      </c>
      <c r="F5965" t="s">
        <v>1753</v>
      </c>
      <c r="G5965" t="s">
        <v>6219</v>
      </c>
      <c r="H5965" t="s">
        <v>936</v>
      </c>
      <c r="I5965" t="s">
        <v>19</v>
      </c>
      <c r="J5965" s="3">
        <f>55-71-99718301</f>
        <v>-99718317</v>
      </c>
      <c r="K5965" t="s">
        <v>6220</v>
      </c>
      <c r="L5965" t="s">
        <v>32135</v>
      </c>
      <c r="M5965" t="s">
        <v>57</v>
      </c>
    </row>
    <row r="5966" spans="1:13" x14ac:dyDescent="0.25">
      <c r="A5966" t="s">
        <v>19073</v>
      </c>
      <c r="B5966" t="s">
        <v>13</v>
      </c>
      <c r="C5966" s="1">
        <v>43323</v>
      </c>
      <c r="D5966" t="s">
        <v>19074</v>
      </c>
      <c r="E5966" s="2" t="s">
        <v>31219</v>
      </c>
      <c r="F5966" t="s">
        <v>1464</v>
      </c>
      <c r="G5966" t="s">
        <v>19075</v>
      </c>
      <c r="H5966" t="s">
        <v>45</v>
      </c>
      <c r="I5966" t="s">
        <v>19</v>
      </c>
      <c r="J5966" s="3">
        <v>5508531019823</v>
      </c>
      <c r="K5966" t="s">
        <v>19076</v>
      </c>
      <c r="L5966" t="s">
        <v>2153</v>
      </c>
      <c r="M5966" t="s">
        <v>32144</v>
      </c>
    </row>
    <row r="5967" spans="1:13" x14ac:dyDescent="0.25">
      <c r="A5967" t="s">
        <v>23144</v>
      </c>
      <c r="B5967" t="s">
        <v>13</v>
      </c>
      <c r="C5967" t="s">
        <v>22833</v>
      </c>
      <c r="D5967" t="s">
        <v>23145</v>
      </c>
      <c r="E5967" t="s">
        <v>1509</v>
      </c>
      <c r="F5967" t="s">
        <v>1464</v>
      </c>
      <c r="G5967" t="s">
        <v>23146</v>
      </c>
      <c r="H5967" t="s">
        <v>114</v>
      </c>
      <c r="I5967" t="s">
        <v>19</v>
      </c>
      <c r="J5967" s="3">
        <v>557921051700</v>
      </c>
      <c r="K5967" t="s">
        <v>23147</v>
      </c>
      <c r="L5967" t="s">
        <v>82</v>
      </c>
      <c r="M5967" t="s">
        <v>32149</v>
      </c>
    </row>
    <row r="5968" spans="1:13" x14ac:dyDescent="0.25">
      <c r="A5968" t="s">
        <v>1507</v>
      </c>
      <c r="B5968" t="s">
        <v>13</v>
      </c>
      <c r="C5968" s="1">
        <v>44572</v>
      </c>
      <c r="D5968" t="s">
        <v>1508</v>
      </c>
      <c r="E5968" t="s">
        <v>1509</v>
      </c>
      <c r="F5968" t="s">
        <v>253</v>
      </c>
      <c r="G5968" t="s">
        <v>1510</v>
      </c>
      <c r="H5968" t="s">
        <v>352</v>
      </c>
      <c r="I5968" t="s">
        <v>19</v>
      </c>
      <c r="J5968" s="3">
        <v>5521998675154</v>
      </c>
      <c r="K5968" t="s">
        <v>1511</v>
      </c>
      <c r="L5968" t="s">
        <v>1232</v>
      </c>
      <c r="M5968" t="s">
        <v>32149</v>
      </c>
    </row>
    <row r="5969" spans="1:13" x14ac:dyDescent="0.25">
      <c r="A5969" t="s">
        <v>5943</v>
      </c>
      <c r="B5969" t="s">
        <v>13</v>
      </c>
      <c r="C5969" t="s">
        <v>5931</v>
      </c>
      <c r="D5969" t="s">
        <v>5944</v>
      </c>
      <c r="E5969" t="s">
        <v>32719</v>
      </c>
      <c r="F5969" t="s">
        <v>1509</v>
      </c>
      <c r="G5969" t="s">
        <v>1438</v>
      </c>
      <c r="H5969" t="s">
        <v>1090</v>
      </c>
      <c r="I5969" t="s">
        <v>19</v>
      </c>
      <c r="J5969" s="3" t="s">
        <v>5945</v>
      </c>
      <c r="K5969" t="s">
        <v>1440</v>
      </c>
      <c r="L5969" t="s">
        <v>32135</v>
      </c>
      <c r="M5969" t="s">
        <v>32149</v>
      </c>
    </row>
    <row r="5970" spans="1:13" x14ac:dyDescent="0.25">
      <c r="A5970" t="s">
        <v>19203</v>
      </c>
      <c r="B5970" t="s">
        <v>13</v>
      </c>
      <c r="C5970" t="s">
        <v>8497</v>
      </c>
      <c r="D5970" t="s">
        <v>19204</v>
      </c>
      <c r="E5970" t="s">
        <v>19205</v>
      </c>
      <c r="F5970" t="s">
        <v>4639</v>
      </c>
      <c r="G5970" t="s">
        <v>3483</v>
      </c>
      <c r="H5970" t="s">
        <v>1949</v>
      </c>
      <c r="I5970" t="s">
        <v>19</v>
      </c>
      <c r="J5970" s="3">
        <v>55999224402</v>
      </c>
      <c r="K5970" t="s">
        <v>3484</v>
      </c>
      <c r="L5970" t="s">
        <v>3485</v>
      </c>
      <c r="M5970" t="s">
        <v>785</v>
      </c>
    </row>
    <row r="5971" spans="1:13" x14ac:dyDescent="0.25">
      <c r="A5971" t="s">
        <v>12522</v>
      </c>
      <c r="B5971" t="s">
        <v>13</v>
      </c>
      <c r="C5971" s="1">
        <v>43894</v>
      </c>
      <c r="D5971" t="s">
        <v>12523</v>
      </c>
      <c r="E5971" t="s">
        <v>32720</v>
      </c>
      <c r="F5971" t="s">
        <v>1464</v>
      </c>
      <c r="G5971" t="s">
        <v>307</v>
      </c>
      <c r="H5971" t="s">
        <v>308</v>
      </c>
      <c r="I5971" t="s">
        <v>309</v>
      </c>
      <c r="J5971" s="3" t="s">
        <v>310</v>
      </c>
      <c r="K5971" t="s">
        <v>311</v>
      </c>
      <c r="L5971" t="s">
        <v>312</v>
      </c>
      <c r="M5971" t="s">
        <v>32149</v>
      </c>
    </row>
    <row r="5972" spans="1:13" x14ac:dyDescent="0.25">
      <c r="A5972" t="s">
        <v>9705</v>
      </c>
      <c r="B5972" t="s">
        <v>13</v>
      </c>
      <c r="C5972" t="s">
        <v>5087</v>
      </c>
      <c r="D5972" t="s">
        <v>9706</v>
      </c>
      <c r="E5972" t="s">
        <v>32721</v>
      </c>
      <c r="F5972" t="s">
        <v>1464</v>
      </c>
      <c r="G5972" t="s">
        <v>9596</v>
      </c>
      <c r="H5972" t="s">
        <v>9597</v>
      </c>
      <c r="I5972" t="s">
        <v>19</v>
      </c>
      <c r="J5972" s="3" t="s">
        <v>9598</v>
      </c>
      <c r="K5972" t="s">
        <v>9599</v>
      </c>
      <c r="L5972" t="s">
        <v>2762</v>
      </c>
      <c r="M5972" t="s">
        <v>32149</v>
      </c>
    </row>
    <row r="5973" spans="1:13" x14ac:dyDescent="0.25">
      <c r="A5973" t="s">
        <v>21268</v>
      </c>
      <c r="B5973" t="s">
        <v>13</v>
      </c>
      <c r="C5973" t="s">
        <v>21260</v>
      </c>
      <c r="D5973" t="s">
        <v>21269</v>
      </c>
      <c r="E5973" s="2" t="s">
        <v>32722</v>
      </c>
      <c r="F5973" t="s">
        <v>1775</v>
      </c>
      <c r="G5973" t="s">
        <v>18613</v>
      </c>
      <c r="H5973" t="s">
        <v>6322</v>
      </c>
      <c r="I5973" t="s">
        <v>19</v>
      </c>
      <c r="J5973" s="3">
        <f>55-11-4993-5400</f>
        <v>-10349</v>
      </c>
      <c r="K5973" t="s">
        <v>18614</v>
      </c>
      <c r="L5973" t="s">
        <v>13173</v>
      </c>
      <c r="M5973" t="s">
        <v>1775</v>
      </c>
    </row>
    <row r="5974" spans="1:13" x14ac:dyDescent="0.25">
      <c r="A5974" t="s">
        <v>15621</v>
      </c>
      <c r="B5974" t="s">
        <v>13</v>
      </c>
      <c r="C5974" s="1">
        <v>43748</v>
      </c>
      <c r="D5974" t="s">
        <v>15622</v>
      </c>
      <c r="E5974" s="2" t="s">
        <v>32723</v>
      </c>
      <c r="F5974" t="s">
        <v>2758</v>
      </c>
      <c r="G5974" t="s">
        <v>1621</v>
      </c>
      <c r="H5974" t="s">
        <v>1622</v>
      </c>
      <c r="I5974" t="s">
        <v>19</v>
      </c>
      <c r="J5974" s="3" t="s">
        <v>1623</v>
      </c>
      <c r="K5974" t="s">
        <v>1624</v>
      </c>
      <c r="L5974" t="s">
        <v>10697</v>
      </c>
      <c r="M5974" t="s">
        <v>32149</v>
      </c>
    </row>
    <row r="5975" spans="1:13" x14ac:dyDescent="0.25">
      <c r="A5975" t="s">
        <v>21359</v>
      </c>
      <c r="B5975" t="s">
        <v>13</v>
      </c>
      <c r="C5975" t="s">
        <v>7645</v>
      </c>
      <c r="D5975" t="s">
        <v>21360</v>
      </c>
      <c r="E5975" s="2" t="s">
        <v>32724</v>
      </c>
      <c r="F5975" t="s">
        <v>2758</v>
      </c>
      <c r="G5975" t="s">
        <v>21361</v>
      </c>
      <c r="H5975" t="s">
        <v>141</v>
      </c>
      <c r="I5975" t="s">
        <v>19</v>
      </c>
      <c r="J5975" s="3">
        <f>55-82-32141155</f>
        <v>-32141182</v>
      </c>
      <c r="K5975" t="s">
        <v>21362</v>
      </c>
      <c r="L5975" t="s">
        <v>1058</v>
      </c>
      <c r="M5975" t="s">
        <v>32149</v>
      </c>
    </row>
    <row r="5976" spans="1:13" x14ac:dyDescent="0.25">
      <c r="A5976" t="s">
        <v>21243</v>
      </c>
      <c r="B5976" t="s">
        <v>13</v>
      </c>
      <c r="C5976" t="s">
        <v>14151</v>
      </c>
      <c r="D5976" t="s">
        <v>21244</v>
      </c>
      <c r="E5976" s="2" t="s">
        <v>32725</v>
      </c>
      <c r="F5976" t="s">
        <v>2758</v>
      </c>
      <c r="G5976" t="s">
        <v>21245</v>
      </c>
      <c r="H5976" t="s">
        <v>18</v>
      </c>
      <c r="I5976" t="s">
        <v>19</v>
      </c>
      <c r="J5976" s="3">
        <f>55-19-998682554</f>
        <v>-998682518</v>
      </c>
      <c r="K5976" t="s">
        <v>21246</v>
      </c>
      <c r="L5976" t="s">
        <v>285</v>
      </c>
      <c r="M5976" t="s">
        <v>32149</v>
      </c>
    </row>
    <row r="5977" spans="1:13" x14ac:dyDescent="0.25">
      <c r="A5977" t="s">
        <v>17346</v>
      </c>
      <c r="B5977" t="s">
        <v>13</v>
      </c>
      <c r="C5977" s="1">
        <v>43561</v>
      </c>
      <c r="D5977" t="s">
        <v>17347</v>
      </c>
      <c r="E5977" t="s">
        <v>32726</v>
      </c>
      <c r="F5977" t="s">
        <v>2758</v>
      </c>
      <c r="G5977" t="s">
        <v>17348</v>
      </c>
      <c r="H5977" t="s">
        <v>936</v>
      </c>
      <c r="I5977" t="s">
        <v>19</v>
      </c>
      <c r="J5977" s="3" t="s">
        <v>17349</v>
      </c>
      <c r="K5977" t="s">
        <v>17350</v>
      </c>
      <c r="L5977" t="s">
        <v>14930</v>
      </c>
      <c r="M5977" t="s">
        <v>32149</v>
      </c>
    </row>
    <row r="5978" spans="1:13" x14ac:dyDescent="0.25">
      <c r="A5978" t="s">
        <v>16329</v>
      </c>
      <c r="B5978" t="s">
        <v>13</v>
      </c>
      <c r="C5978" t="s">
        <v>9393</v>
      </c>
      <c r="D5978" t="s">
        <v>16330</v>
      </c>
      <c r="E5978" t="s">
        <v>32727</v>
      </c>
      <c r="F5978" t="s">
        <v>2758</v>
      </c>
      <c r="G5978" t="s">
        <v>16331</v>
      </c>
      <c r="H5978" t="s">
        <v>489</v>
      </c>
      <c r="I5978" t="s">
        <v>19</v>
      </c>
      <c r="J5978" s="3">
        <f>55-41-991298595</f>
        <v>-991298581</v>
      </c>
      <c r="K5978" t="s">
        <v>16332</v>
      </c>
      <c r="L5978" t="s">
        <v>625</v>
      </c>
      <c r="M5978" t="s">
        <v>32149</v>
      </c>
    </row>
    <row r="5979" spans="1:13" x14ac:dyDescent="0.25">
      <c r="A5979" t="s">
        <v>7202</v>
      </c>
      <c r="B5979" t="s">
        <v>13</v>
      </c>
      <c r="C5979" s="1">
        <v>44383</v>
      </c>
      <c r="D5979" t="s">
        <v>32135</v>
      </c>
      <c r="E5979" s="2" t="s">
        <v>32728</v>
      </c>
      <c r="F5979" t="s">
        <v>7203</v>
      </c>
      <c r="G5979" t="s">
        <v>7204</v>
      </c>
      <c r="H5979" t="s">
        <v>36</v>
      </c>
      <c r="I5979" t="s">
        <v>19</v>
      </c>
      <c r="J5979" s="3" t="s">
        <v>7205</v>
      </c>
      <c r="K5979" t="s">
        <v>7206</v>
      </c>
      <c r="L5979" t="s">
        <v>32135</v>
      </c>
      <c r="M5979" t="s">
        <v>32149</v>
      </c>
    </row>
    <row r="5980" spans="1:13" x14ac:dyDescent="0.25">
      <c r="A5980" t="s">
        <v>13845</v>
      </c>
      <c r="B5980" t="s">
        <v>13</v>
      </c>
      <c r="C5980" t="s">
        <v>13838</v>
      </c>
      <c r="D5980" t="s">
        <v>13846</v>
      </c>
      <c r="E5980" s="2" t="s">
        <v>31082</v>
      </c>
      <c r="F5980" t="s">
        <v>2758</v>
      </c>
      <c r="G5980" t="s">
        <v>13847</v>
      </c>
      <c r="H5980" t="s">
        <v>18</v>
      </c>
      <c r="I5980" t="s">
        <v>19</v>
      </c>
      <c r="J5980" s="3" t="s">
        <v>13848</v>
      </c>
      <c r="K5980" t="s">
        <v>13849</v>
      </c>
      <c r="L5980" t="s">
        <v>4218</v>
      </c>
      <c r="M5980" t="s">
        <v>32149</v>
      </c>
    </row>
    <row r="5981" spans="1:13" x14ac:dyDescent="0.25">
      <c r="A5981" t="s">
        <v>18666</v>
      </c>
      <c r="B5981" t="s">
        <v>13</v>
      </c>
      <c r="C5981" t="s">
        <v>8477</v>
      </c>
      <c r="D5981" t="s">
        <v>18667</v>
      </c>
      <c r="E5981" t="s">
        <v>18668</v>
      </c>
      <c r="F5981" t="s">
        <v>332</v>
      </c>
      <c r="G5981" t="s">
        <v>18669</v>
      </c>
      <c r="H5981" t="s">
        <v>615</v>
      </c>
      <c r="I5981" t="s">
        <v>19</v>
      </c>
      <c r="J5981" s="3" t="s">
        <v>18670</v>
      </c>
      <c r="K5981" t="s">
        <v>18671</v>
      </c>
      <c r="L5981" t="s">
        <v>9463</v>
      </c>
      <c r="M5981" t="s">
        <v>337</v>
      </c>
    </row>
    <row r="5982" spans="1:13" x14ac:dyDescent="0.25">
      <c r="A5982" t="s">
        <v>7050</v>
      </c>
      <c r="B5982" t="s">
        <v>13</v>
      </c>
      <c r="C5982" t="s">
        <v>7051</v>
      </c>
      <c r="D5982" t="s">
        <v>7052</v>
      </c>
      <c r="E5982" s="2" t="s">
        <v>32729</v>
      </c>
      <c r="F5982" t="s">
        <v>7053</v>
      </c>
      <c r="G5982" t="s">
        <v>7054</v>
      </c>
      <c r="H5982" t="s">
        <v>1781</v>
      </c>
      <c r="I5982" t="s">
        <v>19</v>
      </c>
      <c r="J5982" s="3">
        <v>5547991300027</v>
      </c>
      <c r="K5982" t="s">
        <v>7055</v>
      </c>
      <c r="L5982" t="s">
        <v>32135</v>
      </c>
      <c r="M5982" t="s">
        <v>1432</v>
      </c>
    </row>
    <row r="5983" spans="1:13" x14ac:dyDescent="0.25">
      <c r="A5983" t="s">
        <v>7899</v>
      </c>
      <c r="B5983" t="s">
        <v>13</v>
      </c>
      <c r="C5983" t="s">
        <v>7900</v>
      </c>
      <c r="D5983" t="s">
        <v>7901</v>
      </c>
      <c r="E5983" t="s">
        <v>5691</v>
      </c>
      <c r="F5983" t="s">
        <v>7902</v>
      </c>
      <c r="G5983" t="s">
        <v>7903</v>
      </c>
      <c r="H5983" t="s">
        <v>7904</v>
      </c>
      <c r="I5983" t="s">
        <v>19</v>
      </c>
      <c r="J5983" s="3">
        <f>55-38-9-8831-3705</f>
        <v>-12528</v>
      </c>
      <c r="K5983" t="s">
        <v>7905</v>
      </c>
      <c r="L5983" t="s">
        <v>7906</v>
      </c>
      <c r="M5983" t="s">
        <v>1349</v>
      </c>
    </row>
    <row r="5984" spans="1:13" x14ac:dyDescent="0.25">
      <c r="A5984" t="s">
        <v>12044</v>
      </c>
      <c r="B5984" t="s">
        <v>13</v>
      </c>
      <c r="C5984" s="1">
        <v>43926</v>
      </c>
      <c r="D5984" t="s">
        <v>12045</v>
      </c>
      <c r="E5984" s="2" t="s">
        <v>32730</v>
      </c>
      <c r="F5984" t="s">
        <v>1464</v>
      </c>
      <c r="G5984" t="s">
        <v>12046</v>
      </c>
      <c r="H5984" t="s">
        <v>472</v>
      </c>
      <c r="I5984" t="s">
        <v>19</v>
      </c>
      <c r="J5984" s="3" t="s">
        <v>12047</v>
      </c>
      <c r="K5984" t="s">
        <v>12048</v>
      </c>
      <c r="L5984" t="s">
        <v>2101</v>
      </c>
      <c r="M5984" t="s">
        <v>1349</v>
      </c>
    </row>
    <row r="5985" spans="1:13" x14ac:dyDescent="0.25">
      <c r="A5985" t="s">
        <v>22725</v>
      </c>
      <c r="B5985" t="s">
        <v>13</v>
      </c>
      <c r="C5985" t="s">
        <v>22726</v>
      </c>
      <c r="D5985" t="s">
        <v>22727</v>
      </c>
      <c r="E5985" t="s">
        <v>22728</v>
      </c>
      <c r="F5985" t="s">
        <v>332</v>
      </c>
      <c r="G5985" t="s">
        <v>8395</v>
      </c>
      <c r="H5985" t="s">
        <v>7904</v>
      </c>
      <c r="I5985" t="s">
        <v>19</v>
      </c>
      <c r="J5985" s="3" t="s">
        <v>22729</v>
      </c>
      <c r="K5985" t="s">
        <v>7905</v>
      </c>
      <c r="L5985" t="s">
        <v>7906</v>
      </c>
      <c r="M5985" t="s">
        <v>337</v>
      </c>
    </row>
    <row r="5986" spans="1:13" x14ac:dyDescent="0.25">
      <c r="A5986" t="s">
        <v>21520</v>
      </c>
      <c r="B5986" t="s">
        <v>13</v>
      </c>
      <c r="C5986" t="s">
        <v>16205</v>
      </c>
      <c r="D5986" t="s">
        <v>21521</v>
      </c>
      <c r="E5986" t="s">
        <v>21522</v>
      </c>
      <c r="F5986" t="s">
        <v>6485</v>
      </c>
      <c r="G5986" t="s">
        <v>21523</v>
      </c>
      <c r="H5986" t="s">
        <v>36</v>
      </c>
      <c r="I5986" t="s">
        <v>19</v>
      </c>
      <c r="J5986" s="3">
        <f>55-11-983019837</f>
        <v>-983019793</v>
      </c>
      <c r="K5986" t="s">
        <v>21524</v>
      </c>
      <c r="L5986" t="s">
        <v>21525</v>
      </c>
      <c r="M5986" t="s">
        <v>741</v>
      </c>
    </row>
    <row r="5987" spans="1:13" x14ac:dyDescent="0.25">
      <c r="A5987" t="s">
        <v>5092</v>
      </c>
      <c r="B5987" t="s">
        <v>13</v>
      </c>
      <c r="C5987" t="s">
        <v>4119</v>
      </c>
      <c r="D5987" t="s">
        <v>32135</v>
      </c>
      <c r="E5987" t="s">
        <v>5093</v>
      </c>
      <c r="F5987" t="s">
        <v>5094</v>
      </c>
      <c r="G5987" t="s">
        <v>5095</v>
      </c>
      <c r="H5987" t="s">
        <v>36</v>
      </c>
      <c r="I5987" t="s">
        <v>19</v>
      </c>
      <c r="J5987" s="3">
        <f>55-11-30918792</f>
        <v>-30918748</v>
      </c>
      <c r="K5987" t="s">
        <v>5096</v>
      </c>
      <c r="L5987" t="s">
        <v>32135</v>
      </c>
      <c r="M5987" t="s">
        <v>771</v>
      </c>
    </row>
    <row r="5988" spans="1:13" x14ac:dyDescent="0.25">
      <c r="A5988" t="s">
        <v>512</v>
      </c>
      <c r="B5988" t="s">
        <v>13</v>
      </c>
      <c r="C5988" t="s">
        <v>484</v>
      </c>
      <c r="D5988" t="s">
        <v>513</v>
      </c>
      <c r="E5988" t="s">
        <v>514</v>
      </c>
      <c r="F5988" t="s">
        <v>515</v>
      </c>
      <c r="G5988" t="s">
        <v>516</v>
      </c>
      <c r="H5988" t="s">
        <v>517</v>
      </c>
      <c r="I5988" t="s">
        <v>19</v>
      </c>
      <c r="J5988" s="3">
        <v>552139386849</v>
      </c>
      <c r="K5988" t="s">
        <v>518</v>
      </c>
      <c r="L5988" t="s">
        <v>519</v>
      </c>
      <c r="M5988" t="s">
        <v>1775</v>
      </c>
    </row>
    <row r="5989" spans="1:13" x14ac:dyDescent="0.25">
      <c r="A5989" t="s">
        <v>20595</v>
      </c>
      <c r="B5989" t="s">
        <v>13</v>
      </c>
      <c r="C5989" s="1">
        <v>43411</v>
      </c>
      <c r="D5989" t="s">
        <v>20596</v>
      </c>
      <c r="E5989" s="2" t="s">
        <v>31259</v>
      </c>
      <c r="F5989" t="s">
        <v>1464</v>
      </c>
      <c r="G5989" t="s">
        <v>20597</v>
      </c>
      <c r="H5989" t="s">
        <v>409</v>
      </c>
      <c r="I5989" t="s">
        <v>19</v>
      </c>
      <c r="J5989" s="3">
        <f>55-48-36648641</f>
        <v>-36648634</v>
      </c>
      <c r="K5989" t="s">
        <v>20598</v>
      </c>
      <c r="L5989" t="s">
        <v>20599</v>
      </c>
      <c r="M5989" t="s">
        <v>1775</v>
      </c>
    </row>
    <row r="5990" spans="1:13" x14ac:dyDescent="0.25">
      <c r="A5990" t="s">
        <v>20350</v>
      </c>
      <c r="B5990" t="s">
        <v>13</v>
      </c>
      <c r="C5990" t="s">
        <v>5704</v>
      </c>
      <c r="D5990" t="s">
        <v>20351</v>
      </c>
      <c r="E5990" s="2" t="s">
        <v>32731</v>
      </c>
      <c r="F5990" t="s">
        <v>2758</v>
      </c>
      <c r="G5990" t="s">
        <v>18764</v>
      </c>
      <c r="H5990" t="s">
        <v>7504</v>
      </c>
      <c r="I5990" t="s">
        <v>19</v>
      </c>
      <c r="J5990" s="3" t="s">
        <v>20352</v>
      </c>
      <c r="K5990" t="s">
        <v>20353</v>
      </c>
      <c r="L5990" t="s">
        <v>20354</v>
      </c>
      <c r="M5990" t="s">
        <v>32149</v>
      </c>
    </row>
    <row r="5991" spans="1:13" x14ac:dyDescent="0.25">
      <c r="A5991" t="s">
        <v>2154</v>
      </c>
      <c r="B5991" t="s">
        <v>13</v>
      </c>
      <c r="C5991" t="s">
        <v>2139</v>
      </c>
      <c r="D5991" t="s">
        <v>2155</v>
      </c>
      <c r="E5991" s="2" t="s">
        <v>31707</v>
      </c>
      <c r="F5991" t="s">
        <v>2157</v>
      </c>
      <c r="G5991" t="s">
        <v>2158</v>
      </c>
      <c r="H5991" t="s">
        <v>195</v>
      </c>
      <c r="I5991" t="s">
        <v>19</v>
      </c>
      <c r="J5991" s="3" t="s">
        <v>2159</v>
      </c>
      <c r="K5991" t="s">
        <v>2160</v>
      </c>
      <c r="L5991" t="s">
        <v>197</v>
      </c>
      <c r="M5991" t="s">
        <v>57</v>
      </c>
    </row>
    <row r="5992" spans="1:13" x14ac:dyDescent="0.25">
      <c r="A5992" t="s">
        <v>20997</v>
      </c>
      <c r="B5992" t="s">
        <v>13</v>
      </c>
      <c r="C5992" t="s">
        <v>20991</v>
      </c>
      <c r="D5992" t="s">
        <v>20998</v>
      </c>
      <c r="E5992" s="2" t="s">
        <v>32732</v>
      </c>
      <c r="F5992" t="s">
        <v>2758</v>
      </c>
      <c r="G5992" t="s">
        <v>18764</v>
      </c>
      <c r="H5992" t="s">
        <v>7504</v>
      </c>
      <c r="I5992" t="s">
        <v>19</v>
      </c>
      <c r="J5992" s="3" t="s">
        <v>20999</v>
      </c>
      <c r="K5992" t="s">
        <v>20353</v>
      </c>
      <c r="L5992" t="s">
        <v>20354</v>
      </c>
      <c r="M5992" t="s">
        <v>32149</v>
      </c>
    </row>
    <row r="5993" spans="1:13" x14ac:dyDescent="0.25">
      <c r="A5993" t="s">
        <v>8737</v>
      </c>
      <c r="B5993" t="s">
        <v>13</v>
      </c>
      <c r="C5993" t="s">
        <v>8734</v>
      </c>
      <c r="D5993" t="s">
        <v>32135</v>
      </c>
      <c r="E5993" t="s">
        <v>8738</v>
      </c>
      <c r="F5993" t="s">
        <v>8739</v>
      </c>
      <c r="G5993" t="s">
        <v>8740</v>
      </c>
      <c r="H5993" t="s">
        <v>1486</v>
      </c>
      <c r="I5993" t="s">
        <v>19</v>
      </c>
      <c r="J5993" s="3" t="s">
        <v>3102</v>
      </c>
      <c r="K5993" t="s">
        <v>8741</v>
      </c>
      <c r="L5993" t="s">
        <v>1489</v>
      </c>
      <c r="M5993" t="s">
        <v>57</v>
      </c>
    </row>
    <row r="5994" spans="1:13" x14ac:dyDescent="0.25">
      <c r="A5994" t="s">
        <v>24464</v>
      </c>
      <c r="B5994" t="s">
        <v>13</v>
      </c>
      <c r="C5994" t="s">
        <v>24465</v>
      </c>
      <c r="D5994" t="s">
        <v>24466</v>
      </c>
      <c r="E5994" t="s">
        <v>24467</v>
      </c>
      <c r="F5994" t="s">
        <v>2036</v>
      </c>
      <c r="G5994" t="s">
        <v>24468</v>
      </c>
      <c r="H5994" t="s">
        <v>71</v>
      </c>
      <c r="I5994" t="s">
        <v>19</v>
      </c>
      <c r="J5994" s="3" t="s">
        <v>24469</v>
      </c>
      <c r="K5994" t="s">
        <v>24470</v>
      </c>
      <c r="L5994" t="s">
        <v>24471</v>
      </c>
      <c r="M5994" t="s">
        <v>57</v>
      </c>
    </row>
    <row r="5995" spans="1:13" x14ac:dyDescent="0.25">
      <c r="A5995" t="s">
        <v>14488</v>
      </c>
      <c r="B5995" t="s">
        <v>13</v>
      </c>
      <c r="C5995" t="s">
        <v>8484</v>
      </c>
      <c r="D5995" t="s">
        <v>14489</v>
      </c>
      <c r="E5995" t="s">
        <v>32733</v>
      </c>
      <c r="F5995" t="s">
        <v>2036</v>
      </c>
      <c r="G5995" t="s">
        <v>14490</v>
      </c>
      <c r="H5995" t="s">
        <v>14491</v>
      </c>
      <c r="I5995" t="s">
        <v>19</v>
      </c>
      <c r="J5995" s="3" t="s">
        <v>14492</v>
      </c>
      <c r="K5995" t="s">
        <v>14493</v>
      </c>
      <c r="L5995" t="s">
        <v>14494</v>
      </c>
      <c r="M5995" t="s">
        <v>57</v>
      </c>
    </row>
    <row r="5996" spans="1:13" x14ac:dyDescent="0.25">
      <c r="A5996" t="s">
        <v>10444</v>
      </c>
      <c r="B5996" t="s">
        <v>13</v>
      </c>
      <c r="C5996" s="1">
        <v>44173</v>
      </c>
      <c r="D5996" t="s">
        <v>10445</v>
      </c>
      <c r="E5996" t="s">
        <v>10446</v>
      </c>
      <c r="F5996" t="s">
        <v>2530</v>
      </c>
      <c r="G5996" t="s">
        <v>10447</v>
      </c>
      <c r="H5996" t="s">
        <v>1072</v>
      </c>
      <c r="I5996" t="s">
        <v>19</v>
      </c>
      <c r="J5996" s="3">
        <f>55-84-32912411</f>
        <v>-32912440</v>
      </c>
      <c r="K5996" t="s">
        <v>10448</v>
      </c>
      <c r="L5996" t="s">
        <v>10449</v>
      </c>
      <c r="M5996" t="s">
        <v>741</v>
      </c>
    </row>
    <row r="5997" spans="1:13" x14ac:dyDescent="0.25">
      <c r="A5997" t="s">
        <v>20387</v>
      </c>
      <c r="B5997" t="s">
        <v>101</v>
      </c>
      <c r="C5997" t="s">
        <v>8242</v>
      </c>
      <c r="D5997" t="s">
        <v>20388</v>
      </c>
      <c r="E5997" s="2" t="s">
        <v>31917</v>
      </c>
      <c r="F5997" t="s">
        <v>741</v>
      </c>
      <c r="G5997" t="s">
        <v>20389</v>
      </c>
      <c r="H5997" t="s">
        <v>352</v>
      </c>
      <c r="I5997" t="s">
        <v>19</v>
      </c>
      <c r="J5997" s="3" t="s">
        <v>20390</v>
      </c>
      <c r="K5997" t="s">
        <v>20391</v>
      </c>
      <c r="L5997" t="s">
        <v>20392</v>
      </c>
      <c r="M5997" t="s">
        <v>741</v>
      </c>
    </row>
    <row r="5998" spans="1:13" x14ac:dyDescent="0.25">
      <c r="A5998" t="s">
        <v>21000</v>
      </c>
      <c r="B5998" t="s">
        <v>101</v>
      </c>
      <c r="C5998" t="s">
        <v>20991</v>
      </c>
      <c r="D5998" t="s">
        <v>21001</v>
      </c>
      <c r="E5998" s="2" t="s">
        <v>31269</v>
      </c>
      <c r="F5998" t="s">
        <v>1464</v>
      </c>
      <c r="G5998" t="s">
        <v>21002</v>
      </c>
      <c r="H5998" t="s">
        <v>255</v>
      </c>
      <c r="I5998" t="s">
        <v>19</v>
      </c>
      <c r="J5998" s="3">
        <f>55-62-36263170</f>
        <v>-36263177</v>
      </c>
      <c r="K5998" t="s">
        <v>21003</v>
      </c>
      <c r="L5998" t="s">
        <v>21004</v>
      </c>
      <c r="M5998" t="s">
        <v>32163</v>
      </c>
    </row>
    <row r="5999" spans="1:13" x14ac:dyDescent="0.25">
      <c r="A5999" t="s">
        <v>22752</v>
      </c>
      <c r="B5999" t="s">
        <v>101</v>
      </c>
      <c r="C5999" t="s">
        <v>22753</v>
      </c>
      <c r="D5999" t="s">
        <v>22754</v>
      </c>
      <c r="E5999" t="s">
        <v>22755</v>
      </c>
      <c r="F5999" t="s">
        <v>6485</v>
      </c>
      <c r="G5999" t="s">
        <v>22756</v>
      </c>
      <c r="H5999" t="s">
        <v>472</v>
      </c>
      <c r="I5999" t="s">
        <v>19</v>
      </c>
      <c r="J5999" s="3" t="s">
        <v>22757</v>
      </c>
      <c r="K5999" t="s">
        <v>22758</v>
      </c>
      <c r="L5999" t="s">
        <v>4617</v>
      </c>
      <c r="M5999" t="s">
        <v>741</v>
      </c>
    </row>
  </sheetData>
  <autoFilter ref="A1:AF5999" xr:uid="{37704603-FF26-4C9D-AEC9-3F731739C9C7}">
    <sortState xmlns:xlrd2="http://schemas.microsoft.com/office/spreadsheetml/2017/richdata2" ref="A2:N5999">
      <sortCondition ref="E1:E5999"/>
    </sortState>
  </autoFilter>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Julia Greati</dc:creator>
  <cp:lastModifiedBy>Julia Greati</cp:lastModifiedBy>
  <dcterms:created xsi:type="dcterms:W3CDTF">2023-04-16T08:37:46Z</dcterms:created>
  <dcterms:modified xsi:type="dcterms:W3CDTF">2023-04-21T15:47:54Z</dcterms:modified>
</cp:coreProperties>
</file>