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/Desktop/"/>
    </mc:Choice>
  </mc:AlternateContent>
  <xr:revisionPtr revIDLastSave="0" documentId="13_ncr:1_{4CC81A38-5581-E14F-AC9A-9DA92CCCC1E0}" xr6:coauthVersionLast="34" xr6:coauthVersionMax="34" xr10:uidLastSave="{00000000-0000-0000-0000-000000000000}"/>
  <bookViews>
    <workbookView xWindow="560" yWindow="2980" windowWidth="27640" windowHeight="16540" xr2:uid="{260D9D3D-C892-4543-AE9C-B49D036DBD1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4" i="1" l="1"/>
  <c r="AF14" i="1"/>
  <c r="AD14" i="1"/>
  <c r="AE14" i="1"/>
  <c r="AC14" i="1"/>
  <c r="AB14" i="1"/>
  <c r="Z14" i="1"/>
  <c r="Y14" i="1"/>
  <c r="AG8" i="1"/>
  <c r="AF8" i="1"/>
  <c r="AE8" i="1"/>
  <c r="AD8" i="1"/>
  <c r="AC8" i="1"/>
  <c r="AB8" i="1"/>
  <c r="Z8" i="1"/>
  <c r="Y8" i="1"/>
  <c r="AG13" i="1"/>
  <c r="AF13" i="1"/>
  <c r="AE13" i="1"/>
  <c r="AD7" i="1"/>
  <c r="AD13" i="1"/>
  <c r="AC13" i="1"/>
  <c r="AB13" i="1"/>
  <c r="Z13" i="1"/>
  <c r="Y13" i="1"/>
  <c r="AG12" i="1"/>
  <c r="AF12" i="1"/>
  <c r="AE12" i="1"/>
  <c r="AB12" i="1"/>
  <c r="Z12" i="1"/>
  <c r="Y12" i="1"/>
  <c r="AG10" i="1"/>
  <c r="AF10" i="1"/>
  <c r="AE10" i="1"/>
  <c r="AC10" i="1"/>
  <c r="AB10" i="1"/>
  <c r="Z10" i="1"/>
  <c r="Y10" i="1"/>
  <c r="AG6" i="1"/>
  <c r="AF6" i="1"/>
  <c r="AE6" i="1"/>
  <c r="AC6" i="1"/>
  <c r="AB6" i="1"/>
  <c r="Z6" i="1"/>
  <c r="Y6" i="1"/>
  <c r="AC7" i="1"/>
  <c r="AB7" i="1"/>
  <c r="Z7" i="1"/>
  <c r="Y7" i="1"/>
  <c r="AG7" i="1"/>
  <c r="AF7" i="1"/>
  <c r="AE7" i="1"/>
  <c r="AF2" i="1"/>
  <c r="AE2" i="1"/>
  <c r="AG2" i="1"/>
  <c r="AB2" i="1"/>
  <c r="Z2" i="1"/>
  <c r="Y2" i="1"/>
</calcChain>
</file>

<file path=xl/sharedStrings.xml><?xml version="1.0" encoding="utf-8"?>
<sst xmlns="http://schemas.openxmlformats.org/spreadsheetml/2006/main" count="194" uniqueCount="73">
  <si>
    <t>flavescens</t>
  </si>
  <si>
    <t>Accession Number</t>
  </si>
  <si>
    <t>herbarium</t>
  </si>
  <si>
    <t>species.label</t>
  </si>
  <si>
    <t>modifier</t>
  </si>
  <si>
    <t>Authorship Ref Species author::Species Author</t>
  </si>
  <si>
    <t>province.state</t>
  </si>
  <si>
    <t>collector</t>
  </si>
  <si>
    <t>location</t>
  </si>
  <si>
    <t>habitat</t>
  </si>
  <si>
    <t>Geo_LatDegree</t>
  </si>
  <si>
    <t>Geo_LongDegree</t>
  </si>
  <si>
    <t>Geo_Source</t>
  </si>
  <si>
    <t>mapped</t>
  </si>
  <si>
    <t>certainty 0-3</t>
  </si>
  <si>
    <t>Altitude from sheet</t>
  </si>
  <si>
    <t>altitude.units</t>
  </si>
  <si>
    <t>max elevation</t>
  </si>
  <si>
    <t>altitude.corrected</t>
  </si>
  <si>
    <t>Date</t>
  </si>
  <si>
    <t>Entire plant</t>
  </si>
  <si>
    <t>corolla width</t>
  </si>
  <si>
    <t>spur length</t>
  </si>
  <si>
    <t>spur reflexion</t>
  </si>
  <si>
    <t>blade length</t>
  </si>
  <si>
    <t>blade width</t>
  </si>
  <si>
    <t>blade cleft</t>
  </si>
  <si>
    <t>sepal length</t>
  </si>
  <si>
    <t>sepal width</t>
  </si>
  <si>
    <t>anther exsertion</t>
  </si>
  <si>
    <t>sepal.color.0.4</t>
  </si>
  <si>
    <t>Fls/infl</t>
  </si>
  <si>
    <t>Petal midpoint diameter</t>
  </si>
  <si>
    <t>Height cm</t>
  </si>
  <si>
    <t>term lflt length cm</t>
  </si>
  <si>
    <t>term lflt width cm</t>
  </si>
  <si>
    <t>num bsl lvs</t>
  </si>
  <si>
    <t>comments</t>
  </si>
  <si>
    <t>changes</t>
  </si>
  <si>
    <t>var. minina</t>
  </si>
  <si>
    <t>Macbr. and Pays.</t>
  </si>
  <si>
    <t>Idaho</t>
  </si>
  <si>
    <t>Macbride and Payson</t>
  </si>
  <si>
    <t>Bonanza, Custer County</t>
  </si>
  <si>
    <t>rocky, protected hillside</t>
  </si>
  <si>
    <t>paratype</t>
  </si>
  <si>
    <t>var. miniana</t>
  </si>
  <si>
    <t>crevices of granite rock</t>
  </si>
  <si>
    <t>Smoky Mountains, Blaine County</t>
  </si>
  <si>
    <t>isotype</t>
  </si>
  <si>
    <t>Challis Creek, Custer County</t>
  </si>
  <si>
    <t>stream bank in shade</t>
  </si>
  <si>
    <t>sheet/Google</t>
  </si>
  <si>
    <t>ft</t>
  </si>
  <si>
    <t>Sawtooth Peaks, Blaine County</t>
  </si>
  <si>
    <t>along alpine brook</t>
  </si>
  <si>
    <t>Harvard</t>
  </si>
  <si>
    <t>type</t>
  </si>
  <si>
    <t>collection number</t>
  </si>
  <si>
    <t>annotated</t>
  </si>
  <si>
    <t>MO</t>
  </si>
  <si>
    <t>Whittemore</t>
  </si>
  <si>
    <t>US</t>
  </si>
  <si>
    <t>CM</t>
  </si>
  <si>
    <t>unknown</t>
  </si>
  <si>
    <t>CAS</t>
  </si>
  <si>
    <t>RM</t>
  </si>
  <si>
    <t>annotation</t>
  </si>
  <si>
    <t>A. flavescens S. Wats</t>
  </si>
  <si>
    <t>A. flavescens S. Wats.</t>
  </si>
  <si>
    <t>NYBG</t>
  </si>
  <si>
    <t>RBGE</t>
  </si>
  <si>
    <t>E00346548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</si>
</sst>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FBA5B-6E5F-2143-AF1E-4BF36B862F89}">
  <dimension ref="A1:AP14"/>
  <sheetViews>
    <sheetView tabSelected="1" topLeftCell="K1" zoomScale="75" workbookViewId="0">
      <selection activeCell="R21" sqref="R21"/>
    </sheetView>
  </sheetViews>
  <sheetFormatPr baseColWidth="10" defaultRowHeight="16" x14ac:dyDescent="0.2"/>
  <sheetData>
    <row r="1" spans="1:42" x14ac:dyDescent="0.2">
      <c r="A1" t="s">
        <v>1</v>
      </c>
      <c r="B1" t="s">
        <v>58</v>
      </c>
      <c r="C1" t="s">
        <v>2</v>
      </c>
      <c r="D1" t="s">
        <v>3</v>
      </c>
      <c r="E1" t="s">
        <v>4</v>
      </c>
      <c r="F1" t="s">
        <v>67</v>
      </c>
      <c r="G1" t="s">
        <v>59</v>
      </c>
      <c r="H1" t="s">
        <v>57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</row>
    <row r="2" spans="1:42" x14ac:dyDescent="0.2">
      <c r="A2">
        <v>86668</v>
      </c>
      <c r="B2">
        <v>3751</v>
      </c>
      <c r="C2" t="s">
        <v>66</v>
      </c>
      <c r="D2" t="s">
        <v>0</v>
      </c>
      <c r="E2" t="s">
        <v>46</v>
      </c>
      <c r="H2" t="s">
        <v>45</v>
      </c>
      <c r="I2" t="s">
        <v>40</v>
      </c>
      <c r="J2" t="s">
        <v>41</v>
      </c>
      <c r="K2" t="s">
        <v>42</v>
      </c>
      <c r="L2" t="s">
        <v>48</v>
      </c>
      <c r="M2" t="s">
        <v>47</v>
      </c>
      <c r="N2">
        <v>43.67</v>
      </c>
      <c r="O2">
        <v>-114.66</v>
      </c>
      <c r="P2" t="s">
        <v>52</v>
      </c>
      <c r="S2">
        <v>10000</v>
      </c>
      <c r="T2" t="s">
        <v>53</v>
      </c>
      <c r="V2">
        <v>3084</v>
      </c>
      <c r="W2" s="1">
        <v>6070</v>
      </c>
      <c r="Y2" s="2">
        <f xml:space="preserve"> AVERAGE(1.62, 1.59)</f>
        <v>1.605</v>
      </c>
      <c r="Z2" s="2">
        <f>AVERAGE(1.64, 1.39)</f>
        <v>1.5149999999999999</v>
      </c>
      <c r="AA2" s="2"/>
      <c r="AB2" s="2">
        <f>AVERAGE(0.44, 0.38)</f>
        <v>0.41000000000000003</v>
      </c>
      <c r="AC2" s="2">
        <v>0.55000000000000004</v>
      </c>
      <c r="AD2" s="2">
        <v>0</v>
      </c>
      <c r="AE2" s="2">
        <f>AVERAGE(1.66, 1.77)</f>
        <v>1.7149999999999999</v>
      </c>
      <c r="AF2" s="2">
        <f>AVERAGE(0.68, 0.59)</f>
        <v>0.63500000000000001</v>
      </c>
      <c r="AG2" s="2">
        <f>AVERAGE(0.86, 0.84)</f>
        <v>0.85</v>
      </c>
      <c r="AH2">
        <v>2</v>
      </c>
    </row>
    <row r="3" spans="1:42" x14ac:dyDescent="0.2">
      <c r="A3">
        <v>86669</v>
      </c>
      <c r="B3">
        <v>3487</v>
      </c>
      <c r="C3" t="s">
        <v>66</v>
      </c>
      <c r="D3" t="s">
        <v>0</v>
      </c>
      <c r="E3" t="s">
        <v>39</v>
      </c>
      <c r="H3" t="s">
        <v>45</v>
      </c>
      <c r="I3" t="s">
        <v>40</v>
      </c>
      <c r="J3" t="s">
        <v>41</v>
      </c>
      <c r="K3" t="s">
        <v>42</v>
      </c>
      <c r="L3" t="s">
        <v>43</v>
      </c>
      <c r="M3" t="s">
        <v>44</v>
      </c>
      <c r="N3">
        <v>44.778863000000001</v>
      </c>
      <c r="O3">
        <v>-115.29346099999999</v>
      </c>
      <c r="P3" t="s">
        <v>52</v>
      </c>
      <c r="S3">
        <v>6500</v>
      </c>
      <c r="T3" t="s">
        <v>53</v>
      </c>
      <c r="V3">
        <v>1981</v>
      </c>
      <c r="W3" s="1">
        <v>6054</v>
      </c>
      <c r="Y3" s="2">
        <v>1.69</v>
      </c>
      <c r="Z3" s="2">
        <v>1.79</v>
      </c>
      <c r="AA3" s="2"/>
      <c r="AB3" s="2">
        <v>0.55000000000000004</v>
      </c>
      <c r="AC3" s="2">
        <v>0.63</v>
      </c>
      <c r="AD3" s="2">
        <v>0</v>
      </c>
      <c r="AE3" s="2">
        <v>2.0699999999999998</v>
      </c>
      <c r="AF3" s="2">
        <v>0.72</v>
      </c>
      <c r="AG3" s="2">
        <v>0.88</v>
      </c>
      <c r="AH3">
        <v>4</v>
      </c>
    </row>
    <row r="4" spans="1:42" x14ac:dyDescent="0.2">
      <c r="A4">
        <v>86665</v>
      </c>
      <c r="B4">
        <v>3692</v>
      </c>
      <c r="C4" t="s">
        <v>66</v>
      </c>
      <c r="D4" t="s">
        <v>0</v>
      </c>
      <c r="E4" t="s">
        <v>46</v>
      </c>
      <c r="H4" t="s">
        <v>45</v>
      </c>
      <c r="I4" t="s">
        <v>40</v>
      </c>
      <c r="J4" t="s">
        <v>41</v>
      </c>
      <c r="K4" t="s">
        <v>42</v>
      </c>
      <c r="L4" t="s">
        <v>54</v>
      </c>
      <c r="M4" t="s">
        <v>55</v>
      </c>
      <c r="N4">
        <v>43.918999999999997</v>
      </c>
      <c r="O4">
        <v>-114.93899999999999</v>
      </c>
      <c r="P4" t="s">
        <v>52</v>
      </c>
      <c r="S4">
        <v>9000</v>
      </c>
      <c r="T4" t="s">
        <v>53</v>
      </c>
      <c r="V4">
        <v>2743</v>
      </c>
      <c r="W4" s="1">
        <v>6066</v>
      </c>
      <c r="Y4" s="2">
        <v>1.88</v>
      </c>
      <c r="Z4" s="2">
        <v>1.37</v>
      </c>
      <c r="AA4" s="2"/>
      <c r="AB4" s="2">
        <v>0.74</v>
      </c>
      <c r="AC4" s="2">
        <v>0.5</v>
      </c>
      <c r="AD4" s="2">
        <v>0</v>
      </c>
      <c r="AE4" s="2">
        <v>1.66</v>
      </c>
      <c r="AF4" s="2">
        <v>0.57999999999999996</v>
      </c>
      <c r="AG4" s="2">
        <v>0.79</v>
      </c>
      <c r="AH4">
        <v>1</v>
      </c>
    </row>
    <row r="5" spans="1:42" x14ac:dyDescent="0.2">
      <c r="A5">
        <v>579</v>
      </c>
      <c r="B5">
        <v>3692</v>
      </c>
      <c r="C5" t="s">
        <v>63</v>
      </c>
      <c r="D5" t="s">
        <v>0</v>
      </c>
      <c r="E5" t="s">
        <v>46</v>
      </c>
      <c r="F5" t="s">
        <v>68</v>
      </c>
      <c r="G5" t="s">
        <v>64</v>
      </c>
      <c r="H5" t="s">
        <v>45</v>
      </c>
      <c r="I5" t="s">
        <v>40</v>
      </c>
      <c r="J5" t="s">
        <v>41</v>
      </c>
      <c r="K5" t="s">
        <v>42</v>
      </c>
      <c r="L5" t="s">
        <v>54</v>
      </c>
      <c r="M5" t="s">
        <v>55</v>
      </c>
      <c r="N5">
        <v>43.918999999999997</v>
      </c>
      <c r="O5">
        <v>-114.93899999999999</v>
      </c>
      <c r="P5" t="s">
        <v>52</v>
      </c>
      <c r="S5">
        <v>9000</v>
      </c>
      <c r="T5" t="s">
        <v>53</v>
      </c>
      <c r="V5">
        <v>2743</v>
      </c>
      <c r="W5" s="1">
        <v>6066</v>
      </c>
      <c r="Y5" s="2">
        <v>1.91</v>
      </c>
      <c r="Z5" s="2">
        <v>1.45</v>
      </c>
      <c r="AA5" s="2"/>
      <c r="AB5" s="2">
        <v>0.67</v>
      </c>
      <c r="AC5" s="2">
        <v>0.61</v>
      </c>
      <c r="AD5" s="2">
        <v>0</v>
      </c>
      <c r="AE5" s="2">
        <v>1.83</v>
      </c>
      <c r="AF5" s="2">
        <v>0.7</v>
      </c>
      <c r="AG5" s="2">
        <v>0.65</v>
      </c>
      <c r="AH5">
        <v>0</v>
      </c>
    </row>
    <row r="6" spans="1:42" x14ac:dyDescent="0.2">
      <c r="A6">
        <v>38115</v>
      </c>
      <c r="B6">
        <v>3326</v>
      </c>
      <c r="C6" t="s">
        <v>56</v>
      </c>
      <c r="D6" t="s">
        <v>0</v>
      </c>
      <c r="E6" t="s">
        <v>46</v>
      </c>
      <c r="H6" t="s">
        <v>57</v>
      </c>
      <c r="I6" t="s">
        <v>40</v>
      </c>
      <c r="J6" t="s">
        <v>41</v>
      </c>
      <c r="K6" t="s">
        <v>42</v>
      </c>
      <c r="L6" t="s">
        <v>50</v>
      </c>
      <c r="M6" t="s">
        <v>51</v>
      </c>
      <c r="N6">
        <v>44.563000000000002</v>
      </c>
      <c r="O6">
        <v>-114.253</v>
      </c>
      <c r="P6" t="s">
        <v>52</v>
      </c>
      <c r="S6">
        <v>6000</v>
      </c>
      <c r="T6" t="s">
        <v>53</v>
      </c>
      <c r="V6">
        <v>1829</v>
      </c>
      <c r="W6" s="1">
        <v>6045</v>
      </c>
      <c r="Y6" s="2">
        <f>AVERAGE(2.05, 1.78)</f>
        <v>1.915</v>
      </c>
      <c r="Z6" s="2">
        <f>AVERAGE(1.87,1.78)</f>
        <v>1.8250000000000002</v>
      </c>
      <c r="AA6" s="2"/>
      <c r="AB6" s="2">
        <f>AVERAGE(0.56, 0.55)</f>
        <v>0.55500000000000005</v>
      </c>
      <c r="AC6" s="2">
        <f>AVERAGE(0.55, 0.64)</f>
        <v>0.59499999999999997</v>
      </c>
      <c r="AD6" s="2">
        <v>0</v>
      </c>
      <c r="AE6" s="2">
        <f>AVERAGE(1.98, 1.8)</f>
        <v>1.8900000000000001</v>
      </c>
      <c r="AF6" s="2">
        <f>AVERAGE(0.69, 0.55)</f>
        <v>0.62</v>
      </c>
      <c r="AG6" s="2">
        <f>AVERAGE(0.87, 1.14)</f>
        <v>1.0049999999999999</v>
      </c>
      <c r="AH6">
        <v>2</v>
      </c>
    </row>
    <row r="7" spans="1:42" x14ac:dyDescent="0.2">
      <c r="A7">
        <v>814818</v>
      </c>
      <c r="B7">
        <v>3326</v>
      </c>
      <c r="C7" t="s">
        <v>60</v>
      </c>
      <c r="D7" t="s">
        <v>0</v>
      </c>
      <c r="E7" t="s">
        <v>46</v>
      </c>
      <c r="F7" t="s">
        <v>68</v>
      </c>
      <c r="G7" t="s">
        <v>61</v>
      </c>
      <c r="H7" t="s">
        <v>49</v>
      </c>
      <c r="I7" t="s">
        <v>40</v>
      </c>
      <c r="J7" t="s">
        <v>41</v>
      </c>
      <c r="K7" t="s">
        <v>42</v>
      </c>
      <c r="L7" t="s">
        <v>50</v>
      </c>
      <c r="M7" t="s">
        <v>51</v>
      </c>
      <c r="N7">
        <v>44.563000000000002</v>
      </c>
      <c r="O7">
        <v>-114.253</v>
      </c>
      <c r="P7" t="s">
        <v>52</v>
      </c>
      <c r="S7">
        <v>6000</v>
      </c>
      <c r="T7" t="s">
        <v>53</v>
      </c>
      <c r="V7">
        <v>1829</v>
      </c>
      <c r="W7" s="1">
        <v>6045</v>
      </c>
      <c r="Y7" s="2">
        <f>AVERAGE(1.73, 2.1,1.93)</f>
        <v>1.92</v>
      </c>
      <c r="Z7" s="2">
        <f>AVERAGE(1.8, 1.91, 1.74)</f>
        <v>1.8166666666666667</v>
      </c>
      <c r="AA7" s="2"/>
      <c r="AB7" s="2">
        <f>AVERAGE(0.65,0.75,0.66)</f>
        <v>0.68666666666666665</v>
      </c>
      <c r="AC7" s="2">
        <f>AVERAGE(0.59,0.72, 0.58)</f>
        <v>0.63</v>
      </c>
      <c r="AD7" s="2">
        <f>AVERAGE(0,0,1)</f>
        <v>0.33333333333333331</v>
      </c>
      <c r="AE7" s="2">
        <f>AVERAGE(2.09,2.3)</f>
        <v>2.1949999999999998</v>
      </c>
      <c r="AF7" s="2">
        <f>AVERAGE(0.56,0.8)</f>
        <v>0.68</v>
      </c>
      <c r="AG7" s="2">
        <f>AVERAGE(1.07,0.66)</f>
        <v>0.86499999999999999</v>
      </c>
      <c r="AH7">
        <v>1</v>
      </c>
    </row>
    <row r="8" spans="1:42" x14ac:dyDescent="0.2">
      <c r="A8">
        <v>814820</v>
      </c>
      <c r="B8">
        <v>3326</v>
      </c>
      <c r="C8" t="s">
        <v>60</v>
      </c>
      <c r="D8" t="s">
        <v>0</v>
      </c>
      <c r="E8" t="s">
        <v>46</v>
      </c>
      <c r="F8" t="s">
        <v>69</v>
      </c>
      <c r="G8" t="s">
        <v>61</v>
      </c>
      <c r="H8" t="s">
        <v>49</v>
      </c>
      <c r="I8" t="s">
        <v>40</v>
      </c>
      <c r="J8" t="s">
        <v>41</v>
      </c>
      <c r="K8" t="s">
        <v>42</v>
      </c>
      <c r="L8" t="s">
        <v>50</v>
      </c>
      <c r="M8" t="s">
        <v>51</v>
      </c>
      <c r="N8">
        <v>44.563000000000002</v>
      </c>
      <c r="O8">
        <v>-114.253</v>
      </c>
      <c r="P8" t="s">
        <v>52</v>
      </c>
      <c r="S8">
        <v>6000</v>
      </c>
      <c r="T8" t="s">
        <v>53</v>
      </c>
      <c r="V8">
        <v>1829</v>
      </c>
      <c r="W8" s="1">
        <v>6045</v>
      </c>
      <c r="Y8" s="2">
        <f>AVERAGE(1.9, 2.2, 2.1)</f>
        <v>2.0666666666666664</v>
      </c>
      <c r="Z8" s="2">
        <f>AVERAGE(1.9, 1.881, 0.73)</f>
        <v>1.5036666666666665</v>
      </c>
      <c r="AA8" s="2"/>
      <c r="AB8" s="2">
        <f>AVERAGE(0.54, 0.56, 0.59)</f>
        <v>0.56333333333333335</v>
      </c>
      <c r="AC8" s="2">
        <f>AVERAGE(0.73, 0.75, 0.85)</f>
        <v>0.77666666666666673</v>
      </c>
      <c r="AD8" s="2">
        <f>AVERAGE(0,0,1)</f>
        <v>0.33333333333333331</v>
      </c>
      <c r="AE8" s="2">
        <f>AVERAGE(1.74, 1.97, 2.24)</f>
        <v>1.9833333333333334</v>
      </c>
      <c r="AF8" s="2">
        <f>AVERAGE(0.64, 0.9, 0.84)</f>
        <v>0.79333333333333333</v>
      </c>
      <c r="AG8" s="2">
        <f>AVERAGE(1.06, 0.93, 1.08)</f>
        <v>1.0233333333333334</v>
      </c>
      <c r="AH8">
        <v>0</v>
      </c>
    </row>
    <row r="9" spans="1:42" x14ac:dyDescent="0.2">
      <c r="A9">
        <v>871216</v>
      </c>
      <c r="B9">
        <v>3326</v>
      </c>
      <c r="C9" t="s">
        <v>62</v>
      </c>
      <c r="D9" t="s">
        <v>0</v>
      </c>
      <c r="E9" t="s">
        <v>46</v>
      </c>
      <c r="H9" t="s">
        <v>49</v>
      </c>
      <c r="I9" t="s">
        <v>40</v>
      </c>
      <c r="J9" t="s">
        <v>41</v>
      </c>
      <c r="K9" t="s">
        <v>42</v>
      </c>
      <c r="L9" t="s">
        <v>50</v>
      </c>
      <c r="M9" t="s">
        <v>51</v>
      </c>
      <c r="N9">
        <v>44.563000000000002</v>
      </c>
      <c r="O9">
        <v>-114.253</v>
      </c>
      <c r="P9" t="s">
        <v>52</v>
      </c>
      <c r="S9">
        <v>6000</v>
      </c>
      <c r="T9" t="s">
        <v>53</v>
      </c>
      <c r="V9">
        <v>1829</v>
      </c>
      <c r="W9" s="1">
        <v>6045</v>
      </c>
      <c r="Y9" s="2">
        <v>1.92</v>
      </c>
      <c r="Z9" s="2">
        <v>2.04</v>
      </c>
      <c r="AA9" s="2"/>
      <c r="AB9" s="2">
        <v>0.52</v>
      </c>
      <c r="AC9" s="2">
        <v>0.53</v>
      </c>
      <c r="AD9" s="2">
        <v>0</v>
      </c>
      <c r="AE9" s="2">
        <v>1.89</v>
      </c>
      <c r="AF9" s="2">
        <v>0.69</v>
      </c>
      <c r="AG9" s="2">
        <v>0.83</v>
      </c>
      <c r="AH9">
        <v>1</v>
      </c>
    </row>
    <row r="10" spans="1:42" x14ac:dyDescent="0.2">
      <c r="A10">
        <v>86670</v>
      </c>
      <c r="B10">
        <v>3326</v>
      </c>
      <c r="C10" t="s">
        <v>66</v>
      </c>
      <c r="D10" t="s">
        <v>0</v>
      </c>
      <c r="E10" t="s">
        <v>46</v>
      </c>
      <c r="H10" t="s">
        <v>49</v>
      </c>
      <c r="I10" t="s">
        <v>40</v>
      </c>
      <c r="J10" t="s">
        <v>41</v>
      </c>
      <c r="K10" t="s">
        <v>42</v>
      </c>
      <c r="L10" t="s">
        <v>50</v>
      </c>
      <c r="M10" t="s">
        <v>51</v>
      </c>
      <c r="N10">
        <v>44.563000000000002</v>
      </c>
      <c r="O10">
        <v>-114.253</v>
      </c>
      <c r="P10" t="s">
        <v>52</v>
      </c>
      <c r="S10">
        <v>6000</v>
      </c>
      <c r="T10" t="s">
        <v>53</v>
      </c>
      <c r="V10">
        <v>1829</v>
      </c>
      <c r="W10" s="1">
        <v>6045</v>
      </c>
      <c r="Y10" s="2">
        <f>AVERAGE(1.93, 1.56, 1.87)</f>
        <v>1.7866666666666668</v>
      </c>
      <c r="Z10" s="2">
        <f>AVERAGE(2.02, 1.55)</f>
        <v>1.7850000000000001</v>
      </c>
      <c r="AA10" s="2"/>
      <c r="AB10" s="2">
        <f>AVERAGE(0.63, 0.45)</f>
        <v>0.54</v>
      </c>
      <c r="AC10" s="2">
        <f>AVERAGE(0.64, 0.64)</f>
        <v>0.64</v>
      </c>
      <c r="AD10" s="2">
        <v>0</v>
      </c>
      <c r="AE10" s="2">
        <f>AVERAGE(1.99,2.05)</f>
        <v>2.02</v>
      </c>
      <c r="AF10" s="2">
        <f>AVERAGE(0.81,0.79)</f>
        <v>0.8</v>
      </c>
      <c r="AG10" s="2">
        <f>AVERAGE(0.64,0.74,0.92)</f>
        <v>0.76666666666666661</v>
      </c>
      <c r="AH10">
        <v>3</v>
      </c>
    </row>
    <row r="11" spans="1:42" x14ac:dyDescent="0.2">
      <c r="A11">
        <v>88311</v>
      </c>
      <c r="B11">
        <v>3326</v>
      </c>
      <c r="C11" t="s">
        <v>65</v>
      </c>
      <c r="D11" t="s">
        <v>0</v>
      </c>
      <c r="E11" t="s">
        <v>46</v>
      </c>
      <c r="H11" t="s">
        <v>49</v>
      </c>
      <c r="I11" t="s">
        <v>40</v>
      </c>
      <c r="J11" t="s">
        <v>41</v>
      </c>
      <c r="K11" t="s">
        <v>42</v>
      </c>
      <c r="L11" t="s">
        <v>50</v>
      </c>
      <c r="M11" t="s">
        <v>51</v>
      </c>
      <c r="N11">
        <v>44.563000000000002</v>
      </c>
      <c r="O11">
        <v>-114.253</v>
      </c>
      <c r="P11" t="s">
        <v>52</v>
      </c>
      <c r="S11">
        <v>6000</v>
      </c>
      <c r="T11" t="s">
        <v>53</v>
      </c>
      <c r="V11">
        <v>1829</v>
      </c>
      <c r="W11" s="1">
        <v>6045</v>
      </c>
      <c r="Y11" s="2">
        <v>2.02</v>
      </c>
      <c r="Z11" s="2">
        <v>1.87</v>
      </c>
      <c r="AA11" s="2"/>
      <c r="AB11" s="2">
        <v>0.53</v>
      </c>
      <c r="AC11" s="2">
        <v>0.74</v>
      </c>
      <c r="AD11" s="2">
        <v>0</v>
      </c>
      <c r="AE11" s="2">
        <v>1.96</v>
      </c>
      <c r="AF11" s="2">
        <v>0.85</v>
      </c>
      <c r="AG11" s="2">
        <v>0.95</v>
      </c>
      <c r="AH11">
        <v>1</v>
      </c>
    </row>
    <row r="12" spans="1:42" x14ac:dyDescent="0.2">
      <c r="A12">
        <v>678</v>
      </c>
      <c r="B12">
        <v>3326</v>
      </c>
      <c r="C12" t="s">
        <v>63</v>
      </c>
      <c r="D12" t="s">
        <v>0</v>
      </c>
      <c r="E12" t="s">
        <v>46</v>
      </c>
      <c r="F12" t="s">
        <v>69</v>
      </c>
      <c r="G12" t="s">
        <v>64</v>
      </c>
      <c r="H12" t="s">
        <v>49</v>
      </c>
      <c r="I12" t="s">
        <v>40</v>
      </c>
      <c r="J12" t="s">
        <v>41</v>
      </c>
      <c r="K12" t="s">
        <v>42</v>
      </c>
      <c r="L12" t="s">
        <v>50</v>
      </c>
      <c r="M12" t="s">
        <v>51</v>
      </c>
      <c r="N12">
        <v>44.563000000000002</v>
      </c>
      <c r="O12">
        <v>-114.253</v>
      </c>
      <c r="P12" t="s">
        <v>52</v>
      </c>
      <c r="S12">
        <v>6000</v>
      </c>
      <c r="T12" t="s">
        <v>53</v>
      </c>
      <c r="V12">
        <v>1829</v>
      </c>
      <c r="W12" s="1">
        <v>6045</v>
      </c>
      <c r="Y12" s="2">
        <f>AVERAGE(1.43, 1.64)</f>
        <v>1.5349999999999999</v>
      </c>
      <c r="Z12" s="2">
        <f>AVERAGE(1.76, 1.92)</f>
        <v>1.8399999999999999</v>
      </c>
      <c r="AA12" s="2"/>
      <c r="AB12" s="2">
        <f>AVERAGE(0.43, 0.49)</f>
        <v>0.45999999999999996</v>
      </c>
      <c r="AC12" s="2">
        <v>0.54</v>
      </c>
      <c r="AD12" s="2">
        <v>0</v>
      </c>
      <c r="AE12" s="2">
        <f>AVERAGE(1.96, 1.79)</f>
        <v>1.875</v>
      </c>
      <c r="AF12" s="2">
        <f>AVERAGE(0.49, 0.63)</f>
        <v>0.56000000000000005</v>
      </c>
      <c r="AG12" s="2">
        <f>AVERAGE(0.91, 0.88)</f>
        <v>0.89500000000000002</v>
      </c>
      <c r="AH12">
        <v>0</v>
      </c>
    </row>
    <row r="13" spans="1:42" x14ac:dyDescent="0.2">
      <c r="A13">
        <v>353237</v>
      </c>
      <c r="B13">
        <v>3326</v>
      </c>
      <c r="C13" t="s">
        <v>70</v>
      </c>
      <c r="D13" t="s">
        <v>0</v>
      </c>
      <c r="E13" t="s">
        <v>46</v>
      </c>
      <c r="H13" t="s">
        <v>49</v>
      </c>
      <c r="I13" t="s">
        <v>40</v>
      </c>
      <c r="J13" t="s">
        <v>41</v>
      </c>
      <c r="K13" t="s">
        <v>42</v>
      </c>
      <c r="L13" t="s">
        <v>50</v>
      </c>
      <c r="M13" t="s">
        <v>51</v>
      </c>
      <c r="N13">
        <v>44.563000000000002</v>
      </c>
      <c r="O13">
        <v>-114.253</v>
      </c>
      <c r="P13" t="s">
        <v>52</v>
      </c>
      <c r="S13">
        <v>6000</v>
      </c>
      <c r="T13" t="s">
        <v>53</v>
      </c>
      <c r="V13">
        <v>1829</v>
      </c>
      <c r="W13" s="1">
        <v>6045</v>
      </c>
      <c r="Y13" s="2">
        <f>AVERAGE(1.71, 1.74)</f>
        <v>1.7250000000000001</v>
      </c>
      <c r="Z13" s="2">
        <f>AVERAGE(1.79, 1.82)</f>
        <v>1.8050000000000002</v>
      </c>
      <c r="AA13" s="2"/>
      <c r="AB13" s="2">
        <f>AVERAGE(0.42, 0.49)</f>
        <v>0.45499999999999996</v>
      </c>
      <c r="AC13" s="2">
        <f>AVERAGE(0.58,0.58)</f>
        <v>0.57999999999999996</v>
      </c>
      <c r="AD13" s="2">
        <f>AVERAGE(1,0)</f>
        <v>0.5</v>
      </c>
      <c r="AE13" s="2">
        <f>AVERAGE(1.92, 2.37)</f>
        <v>2.145</v>
      </c>
      <c r="AF13" s="2">
        <f>AVERAGE(0.43, 0.71)</f>
        <v>0.56999999999999995</v>
      </c>
      <c r="AG13" s="2">
        <f>AVERAGE(0.81, 0.8)</f>
        <v>0.80500000000000005</v>
      </c>
      <c r="AH13">
        <v>1</v>
      </c>
    </row>
    <row r="14" spans="1:42" x14ac:dyDescent="0.2">
      <c r="A14" t="s">
        <v>72</v>
      </c>
      <c r="B14">
        <v>3326</v>
      </c>
      <c r="C14" t="s">
        <v>71</v>
      </c>
      <c r="D14" t="s">
        <v>0</v>
      </c>
      <c r="E14" t="s">
        <v>46</v>
      </c>
      <c r="H14" t="s">
        <v>49</v>
      </c>
      <c r="I14" t="s">
        <v>40</v>
      </c>
      <c r="J14" t="s">
        <v>41</v>
      </c>
      <c r="K14" t="s">
        <v>42</v>
      </c>
      <c r="L14" t="s">
        <v>50</v>
      </c>
      <c r="M14" t="s">
        <v>51</v>
      </c>
      <c r="N14">
        <v>44.563000000000002</v>
      </c>
      <c r="O14">
        <v>-114.253</v>
      </c>
      <c r="P14" t="s">
        <v>52</v>
      </c>
      <c r="S14">
        <v>6000</v>
      </c>
      <c r="T14" t="s">
        <v>53</v>
      </c>
      <c r="V14">
        <v>1829</v>
      </c>
      <c r="W14" s="1">
        <v>6045</v>
      </c>
      <c r="Y14">
        <f>AVERAGE(1.91, 1.86)</f>
        <v>1.885</v>
      </c>
      <c r="Z14">
        <f>AVERAGE(1.78, 1.65)</f>
        <v>1.7149999999999999</v>
      </c>
      <c r="AB14">
        <f>AVERAGE(0.64, 0.38)</f>
        <v>0.51</v>
      </c>
      <c r="AC14">
        <f>AVERAGE(0.77, 0.58)</f>
        <v>0.67500000000000004</v>
      </c>
      <c r="AD14">
        <f>AVERAGE(1,0)</f>
        <v>0.5</v>
      </c>
      <c r="AE14">
        <f>AVERAGE(2.45, 1.8)</f>
        <v>2.125</v>
      </c>
      <c r="AF14">
        <f>AVERAGE(0.58, 0.67)</f>
        <v>0.625</v>
      </c>
      <c r="AG14">
        <f>AVERAGE(0.97, 0.96)</f>
        <v>0.96499999999999997</v>
      </c>
      <c r="AH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Groh</dc:creator>
  <cp:lastModifiedBy>Jeff Groh</cp:lastModifiedBy>
  <dcterms:created xsi:type="dcterms:W3CDTF">2018-08-11T04:53:08Z</dcterms:created>
  <dcterms:modified xsi:type="dcterms:W3CDTF">2018-08-12T00:17:18Z</dcterms:modified>
</cp:coreProperties>
</file>