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grubb\Desktop\Class Folder\Mod1\"/>
    </mc:Choice>
  </mc:AlternateContent>
  <xr:revisionPtr revIDLastSave="0" documentId="13_ncr:1_{7C9EE2D0-DAB2-4F0F-8F42-3C6074D4110D}" xr6:coauthVersionLast="47" xr6:coauthVersionMax="47" xr10:uidLastSave="{00000000-0000-0000-0000-000000000000}"/>
  <bookViews>
    <workbookView xWindow="-120" yWindow="-120" windowWidth="29040" windowHeight="15720" tabRatio="649" activeTab="5" xr2:uid="{00000000-000D-0000-FFFF-FFFF00000000}"/>
  </bookViews>
  <sheets>
    <sheet name="Crowdfunding" sheetId="1" r:id="rId1"/>
    <sheet name="Cat vs Outcome" sheetId="3" r:id="rId2"/>
    <sheet name="Sub-Cat vs Outcome" sheetId="6" r:id="rId3"/>
    <sheet name="Date vs Outcome" sheetId="9" r:id="rId4"/>
    <sheet name="Goal Analysis" sheetId="10" r:id="rId5"/>
    <sheet name="Backers Analysis" sheetId="11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1" l="1" a="1"/>
  <c r="C33" i="11" s="1"/>
  <c r="C32" i="11" a="1"/>
  <c r="C32" i="11" s="1"/>
  <c r="C31" i="11" a="1"/>
  <c r="C31" i="11" s="1"/>
  <c r="C30" i="11" a="1"/>
  <c r="C30" i="11" s="1"/>
  <c r="B30" i="11" a="1"/>
  <c r="B30" i="11" s="1"/>
  <c r="C29" i="11" a="1"/>
  <c r="C29" i="11" s="1"/>
  <c r="B29" i="11" a="1"/>
  <c r="B29" i="11" s="1"/>
  <c r="C28" i="11" a="1"/>
  <c r="C28" i="11" s="1"/>
  <c r="C27" i="11"/>
  <c r="B32" i="11" a="1"/>
  <c r="B32" i="11" s="1"/>
  <c r="B33" i="11" a="1"/>
  <c r="B33" i="11" s="1"/>
  <c r="B31" i="11" a="1"/>
  <c r="B31" i="11" s="1"/>
  <c r="B28" i="11" a="1"/>
  <c r="B28" i="11" s="1"/>
  <c r="B27" i="11"/>
  <c r="B2" i="11"/>
  <c r="D7" i="11"/>
  <c r="D6" i="11"/>
  <c r="D5" i="11"/>
  <c r="D4" i="11"/>
  <c r="D3" i="11"/>
  <c r="D2" i="11"/>
  <c r="C7" i="11"/>
  <c r="C6" i="11"/>
  <c r="C5" i="11"/>
  <c r="C4" i="11"/>
  <c r="C3" i="11"/>
  <c r="C2" i="11"/>
  <c r="B6" i="11"/>
  <c r="B5" i="11"/>
  <c r="E5" i="11" s="1"/>
  <c r="H5" i="11" s="1"/>
  <c r="B4" i="11"/>
  <c r="B3" i="11"/>
  <c r="B7" i="11"/>
  <c r="D13" i="10"/>
  <c r="D12" i="10"/>
  <c r="D11" i="10"/>
  <c r="D10" i="10"/>
  <c r="D9" i="10"/>
  <c r="D8" i="10"/>
  <c r="D7" i="10"/>
  <c r="D6" i="10"/>
  <c r="D5" i="10"/>
  <c r="D4" i="10"/>
  <c r="D2" i="10"/>
  <c r="D3" i="10"/>
  <c r="C13" i="10"/>
  <c r="C12" i="10"/>
  <c r="C11" i="10"/>
  <c r="C10" i="10"/>
  <c r="C9" i="10"/>
  <c r="C8" i="10"/>
  <c r="C7" i="10"/>
  <c r="C6" i="10"/>
  <c r="C5" i="10"/>
  <c r="C4" i="10"/>
  <c r="C3" i="10"/>
  <c r="C2" i="10"/>
  <c r="B12" i="10"/>
  <c r="B11" i="10"/>
  <c r="B10" i="10"/>
  <c r="B9" i="10"/>
  <c r="B8" i="10"/>
  <c r="E8" i="10" s="1"/>
  <c r="F8" i="10" s="1"/>
  <c r="B7" i="10"/>
  <c r="E7" i="10" s="1"/>
  <c r="F7" i="10" s="1"/>
  <c r="B6" i="10"/>
  <c r="E6" i="10" s="1"/>
  <c r="F6" i="10" s="1"/>
  <c r="B5" i="10"/>
  <c r="E5" i="10" s="1"/>
  <c r="F5" i="10" s="1"/>
  <c r="B4" i="10"/>
  <c r="E4" i="10" s="1"/>
  <c r="F4" i="10" s="1"/>
  <c r="B13" i="10"/>
  <c r="E13" i="10" s="1"/>
  <c r="F13" i="10" s="1"/>
  <c r="B3" i="10"/>
  <c r="E3" i="10" s="1"/>
  <c r="F3" i="10" s="1"/>
  <c r="B2" i="10"/>
  <c r="E2" i="10" s="1"/>
  <c r="F2" i="10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7" i="11" l="1"/>
  <c r="H7" i="11" s="1"/>
  <c r="E3" i="11"/>
  <c r="F3" i="11" s="1"/>
  <c r="E4" i="11"/>
  <c r="F4" i="11" s="1"/>
  <c r="E6" i="11"/>
  <c r="G6" i="11" s="1"/>
  <c r="E2" i="11"/>
  <c r="F2" i="11" s="1"/>
  <c r="G3" i="11"/>
  <c r="F5" i="11"/>
  <c r="G5" i="11"/>
  <c r="G2" i="11"/>
  <c r="E12" i="10"/>
  <c r="F12" i="10" s="1"/>
  <c r="E10" i="10"/>
  <c r="F10" i="10" s="1"/>
  <c r="E9" i="10"/>
  <c r="F9" i="10" s="1"/>
  <c r="H12" i="10"/>
  <c r="E11" i="10"/>
  <c r="F11" i="10" s="1"/>
  <c r="H8" i="10"/>
  <c r="H7" i="10"/>
  <c r="H6" i="10"/>
  <c r="H13" i="10"/>
  <c r="H10" i="10"/>
  <c r="G13" i="10"/>
  <c r="H5" i="10"/>
  <c r="H4" i="10"/>
  <c r="G12" i="10"/>
  <c r="G4" i="10"/>
  <c r="H3" i="10"/>
  <c r="G3" i="10"/>
  <c r="H2" i="10"/>
  <c r="G10" i="10"/>
  <c r="G8" i="10"/>
  <c r="G7" i="10"/>
  <c r="G6" i="10"/>
  <c r="G5" i="10"/>
  <c r="G2" i="10"/>
  <c r="F6" i="11" l="1"/>
  <c r="H4" i="11"/>
  <c r="G7" i="11"/>
  <c r="F7" i="11"/>
  <c r="H2" i="11"/>
  <c r="H6" i="11"/>
  <c r="G4" i="11"/>
  <c r="H3" i="11"/>
  <c r="H9" i="10"/>
  <c r="G9" i="10"/>
  <c r="H11" i="10"/>
  <c r="G11" i="1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<sst xmlns="http://schemas.openxmlformats.org/spreadsheetml/2006/main" count="8146" uniqueCount="2122">
  <si>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</si>
  <si>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</si>
  <si>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</si>
  <si>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</si>
  <si>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</si>
  <si>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</si>
  <si>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</si>
  <si>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</si>
  <si>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</si>
  <si>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</si>
  <si>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</si>
  <si>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</si>
  <si>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</si>
  <si>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</si>
  <si>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</si>
  <si>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</si>
  <si>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</si>
  <si>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</si>
  <si>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</si>
  <si>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</si>
  <si>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</si>
  <si>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</si>
  <si>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</si>
  <si>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</si>
  <si>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</si>
  <si>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</si>
  <si>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</si>
  <si>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</si>
  <si>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</si>
  <si>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</si>
  <si>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</si>
  <si>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</si>
  <si>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</si>
  <si>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</si>
  <si>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</si>
  <si>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</si>
  <si>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</si>
  <si>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</si>
  <si>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</si>
  <si>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</si>
  <si>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</si>
  <si>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</si>
  <si>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</si>
  <si>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</si>
  <si>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</si>
  <si>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</si>
  <si>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</si>
  <si>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</si>
  <si>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</si>
  <si>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</si>
  <si>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</si>
  <si>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</si>
  <si>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</si>
  <si>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</si>
  <si>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</si>
  <si>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</si>
  <si>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</si>
  <si>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</si>
  <si>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</si>
  <si>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</si>
  <si>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</si>
  <si>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</si>
  <si>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</si>
  <si>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</si>
  <si>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</si>
  <si>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</si>
  <si>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</si>
  <si>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</si>
  <si>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</si>
  <si>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</si>
  <si>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</si>
  <si>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</si>
  <si>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</si>
  <si>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</si>
  <si>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</si>
  <si>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</si>
  <si>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</si>
  <si>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</si>
  <si>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</si>
  <si>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</si>
  <si>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</si>
  <si>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</si>
  <si>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</si>
  <si>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</si>
  <si>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</si>
  <si>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</si>
  <si>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</si>
  <si>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</si>
  <si>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</si>
  <si>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</si>
  <si>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</si>
  <si>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</si>
  <si>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</si>
  <si>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</si>
  <si>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</si>
  <si>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</si>
  <si>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</si>
  <si>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</si>
  <si>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</si>
  <si>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</si>
  <si>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</si>
  <si>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</si>
  <si>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</si>
  <si>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</si>
  <si>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</si>
  <si>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</si>
  <si>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</si>
  <si>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</si>
  <si>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</si>
  <si>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</si>
  <si>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</si>
  <si>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</si>
  <si>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</si>
  <si>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</si>
  <si>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</si>
  <si>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</si>
  <si>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</si>
  <si>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</si>
  <si>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</si>
  <si>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</si>
  <si>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</si>
  <si>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</si>
  <si>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</si>
  <si>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</si>
  <si>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</si>
  <si>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</si>
  <si>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</si>
  <si>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</si>
  <si>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</si>
  <si>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</si>
  <si>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</si>
  <si>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</si>
  <si>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</si>
  <si>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</si>
  <si>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</si>
  <si>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</si>
  <si>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</si>
  <si>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</si>
  <si>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</si>
  <si>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</si>
  <si>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</si>
  <si>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</si>
  <si>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</si>
  <si>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</si>
  <si>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</si>
  <si>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</si>
  <si>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</si>
  <si>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</si>
  <si>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</si>
  <si>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</si>
  <si>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</si>
  <si>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</si>
  <si>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</si>
  <si>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</si>
  <si>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</si>
  <si>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</si>
  <si>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</si>
  <si>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</si>
  <si>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</si>
  <si>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</si>
  <si>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</si>
  <si>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</si>
  <si>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</si>
  <si>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</si>
  <si>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</si>
  <si>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</si>
  <si>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</si>
  <si>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</si>
  <si>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</si>
  <si>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</si>
  <si>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</si>
  <si>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</si>
  <si>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</si>
  <si>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</si>
  <si>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</si>
  <si>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</si>
  <si>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</si>
  <si>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</si>
  <si>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</si>
  <si>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</si>
  <si>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</si>
  <si>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</si>
  <si>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</si>
  <si>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</si>
  <si>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</si>
  <si>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</si>
  <si>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</si>
  <si>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</si>
  <si>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</si>
  <si>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</si>
  <si>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</si>
  <si>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</si>
  <si>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</si>
  <si>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</si>
  <si>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</si>
  <si>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</si>
  <si>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</si>
  <si>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</si>
  <si>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</si>
  <si>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</si>
  <si>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</si>
  <si>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</si>
  <si>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</si>
  <si>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</si>
  <si>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</si>
  <si>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</si>
  <si>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</si>
  <si>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</si>
  <si>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</si>
  <si>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</si>
  <si>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</si>
  <si>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</si>
  <si>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</si>
  <si>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</si>
  <si>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</si>
  <si>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</si>
  <si>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</si>
  <si>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</si>
  <si>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</si>
  <si>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</si>
  <si>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</si>
  <si>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</si>
  <si>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</si>
  <si>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</si>
  <si>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</si>
  <si>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</si>
  <si>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</si>
  <si>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</si>
  <si>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</si>
  <si>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</si>
  <si>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</si>
  <si>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</si>
  <si>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</si>
  <si>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</si>
  <si>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</si>
  <si>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</si>
  <si>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</si>
  <si>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</si>
  <si>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</si>
  <si>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</si>
  <si>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</si>
  <si>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</si>
  <si>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</si>
  <si>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</si>
  <si>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</si>
  <si>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</si>
  <si>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</si>
  <si>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</si>
  <si>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</si>
  <si>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</si>
  <si>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</si>
  <si>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</si>
  <si>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</si>
  <si>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</si>
  <si>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</si>
  <si>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</si>
  <si>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</si>
  <si>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</si>
  <si>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</si>
  <si>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</si>
  <si>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</si>
  <si>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</si>
  <si>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</si>
  <si>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</si>
  <si>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</si>
  <si>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</si>
  <si>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</si>
  <si>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</si>
  <si>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</si>
  <si>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</si>
  <si>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</si>
  <si>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</si>
  <si>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</si>
  <si>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</si>
  <si>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</si>
  <si>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</si>
  <si>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</si>
  <si>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</si>
  <si>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</si>
  <si>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</si>
  <si>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</si>
  <si>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</si>
  <si>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</si>
  <si>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</si>
  <si>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</si>
  <si>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</si>
  <si>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</si>
  <si>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</si>
  <si>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</si>
  <si>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</si>
  <si>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</si>
  <si>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</si>
  <si>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</si>
  <si>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</si>
  <si>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</si>
  <si>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</si>
  <si>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</si>
  <si>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</si>
  <si>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</si>
  <si>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</si>
  <si>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</si>
  <si>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</si>
  <si>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</si>
  <si>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</si>
  <si>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</si>
  <si>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</si>
  <si>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</si>
  <si>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</si>
  <si>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</si>
  <si>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</si>
  <si>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</si>
  <si>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</si>
  <si>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</si>
  <si>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</si>
  <si>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</si>
  <si>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</si>
  <si>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</si>
  <si>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</si>
  <si>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</si>
  <si>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</si>
  <si>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</si>
  <si>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</si>
  <si>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</si>
  <si>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</si>
  <si>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</si>
  <si>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</si>
  <si>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</si>
  <si>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</si>
  <si>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</si>
  <si>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</si>
  <si>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</si>
  <si>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</si>
  <si>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</si>
  <si>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</si>
  <si>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</si>
  <si>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</si>
  <si>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</si>
  <si>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</si>
  <si>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</si>
  <si>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</si>
  <si>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</si>
  <si>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</si>
  <si>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</si>
  <si>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</si>
  <si>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</si>
  <si>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</si>
  <si>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</si>
  <si>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</si>
  <si>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</si>
  <si>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</si>
  <si>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</si>
  <si>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</si>
  <si>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</si>
  <si>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</si>
  <si>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</si>
  <si>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</si>
  <si>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</si>
  <si>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</si>
  <si>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</si>
  <si>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</si>
  <si>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</si>
  <si>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</si>
  <si>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</si>
  <si>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</si>
  <si>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</si>
  <si>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</si>
  <si>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</si>
  <si>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</si>
  <si>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</si>
  <si>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</si>
  <si>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</si>
  <si>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</si>
  <si>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</si>
  <si>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</si>
  <si>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</si>
  <si>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</si>
  <si>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</si>
  <si>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</si>
  <si>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</si>
  <si>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</si>
  <si>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</si>
  <si>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</si>
  <si>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</si>
  <si>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</si>
  <si>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</si>
  <si>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</si>
  <si>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</si>
  <si>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</si>
  <si>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</si>
  <si>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</si>
  <si>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</si>
  <si>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</si>
  <si>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</si>
  <si>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</si>
  <si>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</si>
  <si>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</si>
  <si>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</si>
  <si>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</si>
  <si>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</si>
  <si>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</si>
  <si>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</si>
  <si>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</si>
  <si>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</si>
  <si>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</si>
  <si>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</si>
  <si>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</si>
  <si>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</si>
  <si>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</si>
  <si>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</si>
  <si>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</si>
  <si>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</si>
  <si>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</si>
  <si>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</si>
  <si>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</si>
  <si>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</si>
  <si>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</si>
  <si>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</si>
  <si>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</si>
  <si>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</si>
  <si>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</si>
  <si>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</si>
  <si>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</si>
  <si>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</si>
  <si>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</si>
  <si>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</si>
  <si>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</si>
  <si>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</si>
  <si>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</si>
  <si>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</si>
  <si>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</si>
  <si>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</si>
  <si>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</si>
  <si>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</si>
  <si>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</si>
  <si>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</si>
  <si>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</si>
  <si>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</si>
  <si>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</si>
  <si>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</si>
  <si>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</si>
  <si>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</si>
  <si>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</si>
  <si>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</si>
  <si>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</si>
  <si>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</si>
  <si>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</si>
  <si>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</si>
  <si>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</si>
  <si>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</si>
  <si>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</si>
  <si>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</si>
  <si>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</si>
  <si>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</si>
  <si>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</si>
  <si>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</si>
  <si>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</si>
  <si>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</si>
  <si>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</si>
  <si>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</si>
  <si>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</si>
  <si>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</si>
  <si>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</si>
  <si>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</si>
  <si>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</si>
  <si>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</si>
  <si>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</si>
  <si>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</si>
  <si>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</si>
  <si>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</si>
  <si>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</si>
  <si>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</si>
  <si>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</si>
  <si>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</si>
  <si>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</si>
  <si>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</si>
  <si>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</si>
  <si>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</si>
  <si>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</si>
  <si>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</si>
  <si>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</si>
  <si>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</si>
  <si>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</si>
  <si>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</si>
  <si>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</si>
  <si>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</si>
  <si>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</si>
  <si>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</si>
  <si>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</si>
  <si>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</si>
  <si>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</si>
  <si>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</si>
  <si>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</si>
  <si>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</si>
  <si>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</si>
  <si>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</si>
  <si>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</si>
  <si>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</si>
  <si>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</si>
  <si>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</si>
  <si>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</si>
  <si>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</si>
  <si>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</si>
  <si>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</si>
  <si>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</si>
  <si>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</si>
  <si>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</si>
  <si>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</si>
  <si>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</si>
  <si>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</si>
  <si>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</si>
  <si>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</si>
  <si>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</si>
  <si>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</si>
  <si>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</si>
  <si>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</si>
  <si>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</si>
  <si>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</si>
  <si>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</si>
  <si>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</si>
  <si>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</si>
  <si>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</si>
  <si>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</si>
  <si>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</si>
  <si>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</si>
  <si>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</si>
  <si>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</si>
  <si>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</si>
  <si>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</si>
  <si>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</si>
  <si>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</si>
  <si>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</si>
  <si>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</si>
  <si>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</si>
  <si>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</si>
  <si>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</si>
  <si>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</si>
  <si>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</si>
  <si>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</si>
  <si>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</si>
  <si>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</si>
  <si>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</si>
  <si>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</si>
  <si>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</si>
  <si>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</si>
  <si>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</si>
  <si>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</si>
  <si>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</si>
  <si>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</si>
  <si>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</si>
  <si>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</si>
  <si>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</si>
  <si>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</si>
  <si>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</si>
  <si>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</si>
  <si>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</si>
  <si>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</si>
  <si>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</si>
  <si>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</si>
  <si>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</si>
  <si>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</si>
  <si>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</si>
  <si>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</si>
  <si>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</si>
  <si>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</si>
  <si>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</si>
  <si>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</si>
  <si>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</si>
  <si>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</si>
  <si>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</si>
  <si>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</si>
  <si>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</si>
  <si>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</si>
  <si>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</si>
  <si>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</si>
  <si>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</si>
  <si>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</si>
  <si>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</si>
  <si>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</si>
  <si>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</si>
  <si>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</si>
  <si>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</si>
  <si>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</si>
  <si>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</si>
  <si>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</si>
  <si>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</si>
  <si>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</si>
  <si>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</si>
  <si>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</si>
  <si>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</si>
  <si>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</si>
  <si>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</si>
  <si>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</si>
  <si>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</si>
  <si>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</si>
  <si>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</si>
  <si>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</si>
  <si>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</si>
  <si>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</si>
  <si>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</si>
  <si>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</si>
  <si>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</si>
  <si>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</si>
  <si>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</si>
  <si>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</si>
  <si>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</si>
  <si>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</si>
  <si>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</si>
  <si>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</si>
  <si>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</si>
  <si>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</si>
  <si>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</si>
  <si>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</si>
  <si>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</si>
  <si>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</si>
  <si>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</si>
  <si>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</si>
  <si>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</si>
  <si>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</si>
  <si>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</si>
  <si>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</si>
  <si>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</si>
  <si>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</si>
  <si>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</si>
  <si>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</si>
  <si>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</si>
  <si>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</si>
  <si>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</si>
  <si>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</si>
  <si>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</si>
  <si>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</si>
  <si>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</si>
  <si>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</si>
  <si>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</si>
  <si>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</si>
  <si>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</si>
  <si>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</si>
  <si>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</si>
  <si>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</si>
  <si>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</si>
  <si>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</si>
  <si>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</si>
  <si>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</si>
  <si>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</si>
  <si>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</si>
  <si>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</si>
  <si>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</si>
  <si>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</si>
  <si>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</si>
  <si>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</si>
  <si>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</si>
  <si>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</si>
  <si>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</si>
  <si>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</si>
  <si>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</si>
  <si>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</si>
  <si>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</si>
  <si>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</si>
  <si>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</si>
  <si>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</si>
  <si>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</si>
  <si>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</si>
  <si>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</si>
  <si>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</si>
  <si>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</si>
  <si>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</si>
  <si>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</si>
  <si>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</si>
  <si>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</si>
  <si>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</si>
  <si>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</si>
  <si>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</si>
  <si>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</si>
  <si>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</si>
  <si>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</si>
  <si>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</si>
  <si>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</si>
  <si>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</si>
  <si>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</si>
  <si>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</si>
  <si>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</si>
  <si>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</si>
  <si>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</si>
  <si>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</si>
  <si>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</si>
  <si>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</si>
  <si>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</si>
  <si>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</si>
  <si>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</si>
  <si>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</si>
  <si>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</si>
  <si>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</si>
  <si>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</si>
  <si>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</si>
  <si>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</si>
  <si>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</si>
  <si>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</si>
  <si>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</si>
  <si>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</si>
  <si>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</si>
  <si>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</si>
  <si>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</si>
  <si>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</si>
  <si>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</si>
  <si>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</si>
  <si>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</si>
  <si>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</si>
  <si>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</si>
  <si>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</si>
  <si>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</si>
  <si>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</si>
  <si>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</si>
  <si>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</si>
  <si>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</si>
  <si>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</si>
  <si>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</si>
  <si>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</si>
  <si>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</si>
  <si>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</si>
  <si>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</si>
  <si>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</si>
  <si>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</si>
  <si>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</si>
  <si>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</si>
  <si>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</si>
  <si>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</si>
  <si>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</si>
  <si>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</si>
  <si>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</si>
  <si>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</si>
  <si>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</si>
  <si>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</si>
  <si>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</si>
  <si>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</si>
  <si>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</si>
  <si>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</si>
  <si>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</si>
  <si>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</si>
  <si>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</si>
  <si>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</si>
  <si>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</si>
  <si>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</si>
  <si>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</si>
  <si>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</si>
  <si>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</si>
  <si>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</si>
  <si>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</si>
  <si>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</si>
  <si>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</si>
  <si>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</si>
  <si>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</si>
  <si>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</si>
  <si>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</si>
  <si>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</si>
  <si>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</si>
  <si>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</si>
  <si>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</si>
  <si>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</si>
  <si>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</si>
  <si>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</si>
  <si>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</si>
  <si>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</si>
  <si>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</si>
  <si>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</si>
  <si>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</si>
  <si>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</si>
  <si>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</si>
  <si>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</si>
  <si>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</si>
  <si>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</si>
  <si>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</si>
  <si>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</si>
  <si>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</si>
  <si>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</si>
  <si>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</si>
  <si>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</si>
  <si>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</si>
  <si>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</si>
  <si>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</si>
  <si>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</si>
  <si>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</si>
  <si>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</si>
  <si>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</si>
  <si>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</si>
  <si>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</si>
  <si>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</si>
  <si>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</si>
  <si>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</si>
  <si>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</si>
  <si>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</si>
  <si>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</si>
  <si>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</si>
  <si>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</si>
  <si>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</si>
  <si>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</si>
  <si>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</si>
  <si>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</si>
  <si>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</si>
  <si>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</si>
  <si>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</si>
  <si>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</si>
  <si>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</si>
  <si>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</si>
  <si>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</si>
  <si>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</si>
  <si>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</si>
  <si>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</si>
  <si>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</si>
  <si>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</si>
  <si>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</si>
  <si>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</si>
  <si>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</si>
  <si>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</si>
  <si>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</si>
  <si>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</si>
  <si>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</si>
  <si>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</si>
  <si>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</si>
  <si>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</si>
  <si>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</si>
  <si>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</si>
  <si>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</si>
  <si>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</si>
  <si>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</si>
  <si>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</si>
  <si>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</si>
  <si>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</si>
  <si>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</si>
  <si>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</si>
  <si>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</si>
  <si>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</si>
  <si>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</si>
  <si>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</si>
  <si>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</si>
  <si>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</si>
  <si>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</si>
  <si>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</si>
  <si>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</si>
  <si>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</si>
  <si>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</si>
  <si>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</si>
  <si>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</si>
  <si>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</si>
  <si>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</si>
  <si>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</si>
  <si>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</si>
  <si>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</si>
  <si>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</si>
  <si>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</si>
  <si>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</si>
  <si>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</si>
  <si>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</si>
  <si>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</si>
  <si>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</si>
  <si>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</si>
  <si>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</si>
  <si>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</si>
  <si>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</si>
  <si>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</si>
  <si>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</si>
  <si>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</si>
  <si>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</si>
  <si>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</si>
  <si>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</si>
  <si>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</si>
  <si>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</si>
  <si>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</si>
  <si>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</si>
  <si>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</si>
  <si>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</si>
  <si>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</si>
  <si>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</si>
  <si>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</si>
  <si>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</si>
  <si>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</si>
  <si>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</si>
  <si>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</si>
  <si>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</si>
  <si>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</si>
  <si>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</si>
  <si>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</si>
  <si>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</si>
  <si>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</si>
  <si>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</si>
  <si>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</si>
  <si>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</si>
  <si>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</si>
  <si>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</si>
  <si>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</si>
  <si>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</si>
  <si>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</si>
  <si>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</si>
  <si>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</si>
  <si>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</si>
  <si>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</si>
  <si>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</si>
  <si>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</si>
  <si>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</si>
  <si>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</si>
  <si>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</si>
  <si>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</si>
  <si>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</si>
  <si>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</si>
  <si>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</si>
  <si>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</si>
  <si>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</si>
  <si>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</si>
  <si>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</si>
  <si>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</si>
  <si>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</si>
  <si>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</si>
  <si>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</si>
  <si>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</si>
  <si>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</si>
  <si>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</si>
  <si>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</si>
  <si>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</si>
  <si>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</si>
  <si>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</si>
  <si>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</si>
  <si>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</si>
  <si>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</si>
  <si>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</si>
  <si>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</si>
  <si>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</si>
  <si>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</si>
  <si>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</si>
  <si>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</si>
  <si>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</si>
  <si>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</si>
  <si>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</si>
  <si>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</si>
  <si>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</si>
  <si>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</si>
  <si>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</si>
  <si>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</si>
  <si>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</si>
  <si>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</si>
  <si>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</si>
  <si>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</si>
  <si>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</si>
  <si>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</si>
  <si>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</si>
  <si>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</si>
  <si>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</si>
  <si>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</si>
  <si>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</si>
  <si>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</si>
  <si>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</si>
  <si>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</si>
  <si>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</si>
  <si>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</si>
  <si>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</si>
  <si>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</si>
  <si>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</si>
  <si>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</si>
  <si>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</si>
  <si>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</si>
  <si>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</si>
  <si>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</si>
  <si>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</si>
  <si>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</si>
  <si>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</si>
  <si>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</si>
  <si>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</si>
  <si>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</si>
  <si>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</si>
  <si>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</si>
  <si>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</si>
  <si>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</si>
  <si>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</si>
  <si>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</si>
  <si>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</si>
  <si>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</si>
  <si>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</si>
  <si>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</si>
  <si>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</si>
  <si>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</si>
  <si>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</si>
  <si>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</si>
  <si>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</si>
  <si>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</si>
  <si>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</si>
  <si>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</si>
  <si>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</si>
  <si>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</si>
  <si>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</si>
  <si>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</si>
  <si>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</si>
  <si>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</si>
  <si>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</si>
  <si>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</si>
  <si>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</si>
  <si>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</si>
  <si>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</si>
  <si>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</si>
  <si>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</si>
  <si>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</si>
  <si>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</si>
  <si>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</si>
  <si>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</si>
  <si>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</si>
  <si>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</si>
  <si>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</si>
  <si>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</si>
  <si>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</si>
  <si>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</si>
  <si>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</si>
  <si>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</si>
  <si>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</si>
  <si>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</si>
  <si>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</si>
  <si>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</si>
  <si>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</si>
  <si>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</si>
  <si>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</si>
  <si>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</si>
  <si>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</si>
  <si>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</si>
  <si>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</si>
  <si>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</si>
  <si>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</si>
  <si>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</si>
  <si>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</si>
  <si>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</si>
  <si>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</si>
  <si>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</si>
  <si>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</si>
  <si>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</si>
  <si>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</si>
  <si>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</si>
  <si>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</si>
  <si>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</si>
  <si>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</si>
  <si>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</si>
  <si>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</si>
  <si>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</si>
  <si>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</si>
  <si>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</si>
  <si>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</si>
  <si>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</si>
  <si>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</si>
  <si>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</si>
  <si>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</si>
  <si>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</si>
  <si>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</si>
  <si>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</si>
  <si>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</si>
  <si>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</si>
  <si>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</si>
  <si>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</si>
  <si>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</si>
  <si>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</si>
  <si>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</si>
  <si>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</si>
  <si>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</si>
  <si>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</si>
  <si>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</si>
  <si>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</si>
  <si>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</si>
  <si>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</si>
  <si>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</si>
  <si>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</si>
  <si>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</si>
  <si>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</si>
  <si>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</si>
  <si>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</si>
  <si>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</si>
  <si>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</si>
  <si>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</si>
  <si>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</si>
  <si>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</si>
  <si>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</si>
  <si>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</si>
  <si>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</si>
  <si>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</si>
  <si>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</si>
  <si>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</si>
  <si>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</si>
  <si>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</si>
  <si>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</si>
  <si>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</si>
  <si>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</si>
  <si>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</si>
  <si>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</si>
  <si>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</si>
  <si>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</si>
  <si>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</si>
  <si>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</si>
  <si>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</si>
  <si>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</si>
  <si>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</si>
  <si>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</si>
  <si>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</si>
  <si>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</si>
  <si>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</si>
  <si>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</si>
  <si>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</si>
  <si>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</si>
  <si>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</si>
  <si>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</si>
  <si>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</si>
  <si>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</si>
  <si>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</si>
  <si>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</si>
  <si>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</si>
  <si>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</si>
  <si>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</si>
  <si>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</si>
  <si>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</si>
  <si>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</si>
  <si>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</si>
  <si>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</si>
  <si>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</si>
  <si>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</si>
  <si>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</si>
  <si>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</si>
  <si>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</si>
  <si>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</si>
  <si>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</si>
  <si>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</si>
  <si>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</si>
  <si>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</si>
  <si>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</si>
  <si>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</si>
  <si>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</si>
  <si>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</si>
  <si>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</si>
  <si>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</si>
  <si>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</si>
  <si>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</si>
  <si>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</si>
  <si>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</si>
  <si>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</si>
  <si>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</si>
  <si>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</si>
  <si>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</si>
  <si>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</si>
  <si>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</si>
  <si>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</si>
  <si>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</si>
  <si>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</si>
  <si>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</si>
  <si>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</si>
  <si>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</si>
  <si>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</si>
  <si>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</si>
  <si>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</si>
  <si>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</si>
  <si>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</si>
  <si>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</si>
  <si>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</si>
  <si>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</si>
  <si>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</si>
  <si>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</si>
  <si>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</si>
  <si>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</si>
  <si>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</si>
  <si>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</si>
  <si>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</si>
  <si>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</si>
  <si>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</si>
  <si>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</si>
  <si>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</si>
  <si>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</si>
  <si>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</si>
  <si>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</si>
  <si>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</si>
  <si>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</si>
  <si>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</si>
  <si>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</si>
  <si>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</si>
  <si>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</si>
  <si>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</si>
  <si>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</si>
  <si>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</si>
  <si>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</si>
  <si>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</si>
  <si>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</si>
  <si>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</si>
  <si>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</si>
  <si>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</si>
  <si>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</si>
  <si>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</si>
  <si>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</si>
  <si>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</si>
  <si>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</si>
  <si>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</si>
  <si>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</si>
  <si>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</si>
  <si>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</si>
  <si>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</si>
  <si>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</si>
  <si>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</si>
  <si>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</si>
  <si>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</si>
  <si>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</si>
  <si>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</si>
  <si>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</si>
  <si>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</si>
  <si>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</si>
  <si>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</si>
  <si>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</si>
  <si>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</si>
  <si>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</si>
  <si>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</si>
  <si>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</si>
  <si>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</si>
  <si>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</si>
  <si>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</si>
  <si>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</si>
  <si>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</si>
  <si>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</si>
  <si>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</si>
  <si>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</si>
  <si>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</si>
  <si>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</si>
  <si>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</si>
  <si>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</si>
  <si>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</si>
  <si>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</si>
  <si>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</si>
  <si>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</si>
  <si>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</si>
  <si>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</si>
  <si>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</si>
  <si>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</si>
  <si>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</si>
  <si>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</si>
  <si>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</si>
  <si>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</si>
  <si>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</si>
  <si>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</si>
  <si>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</si>
  <si>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</si>
  <si>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</si>
  <si>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</si>
  <si>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</si>
  <si>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</si>
  <si>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</si>
  <si>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</si>
  <si>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</si>
  <si>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</si>
  <si>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</si>
  <si>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</si>
  <si>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</si>
  <si>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</si>
  <si>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</si>
  <si>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</si>
  <si>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</si>
  <si>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</si>
  <si>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</si>
  <si>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</si>
  <si>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</si>
  <si>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</si>
  <si>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</si>
  <si>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</si>
  <si>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</si>
  <si>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</si>
  <si>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</si>
  <si>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</si>
  <si>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</si>
  <si>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</si>
  <si>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</si>
  <si>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</si>
  <si>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</si>
  <si>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</si>
  <si>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</si>
  <si>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</si>
  <si>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</si>
  <si>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</si>
  <si>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</si>
  <si>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</si>
  <si>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</si>
  <si>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</si>
  <si>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</si>
  <si>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</si>
  <si>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</si>
  <si>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</si>
  <si>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</si>
  <si>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</si>
  <si>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</si>
  <si>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</si>
  <si>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</si>
  <si>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</si>
  <si>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</si>
  <si>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</si>
  <si>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</si>
  <si>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</si>
  <si>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</si>
  <si>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</si>
  <si>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</si>
  <si>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</si>
  <si>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</si>
  <si>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</si>
  <si>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</si>
  <si>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</si>
  <si>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</si>
  <si>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</si>
  <si>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</si>
  <si>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</si>
  <si>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</si>
  <si>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</si>
  <si>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</si>
  <si>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</si>
  <si>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</si>
  <si>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</si>
  <si>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</si>
  <si>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</si>
  <si>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</si>
  <si>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</si>
  <si>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</si>
  <si>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</si>
  <si>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</si>
  <si>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</si>
  <si>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</si>
  <si>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</si>
  <si>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</si>
  <si>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</si>
  <si>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</si>
  <si>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</si>
  <si>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</si>
  <si>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</si>
  <si>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</si>
  <si>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</si>
  <si>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</si>
  <si>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</si>
  <si>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</si>
  <si>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</si>
  <si>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</si>
  <si>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</si>
  <si>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</si>
  <si>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</si>
  <si>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</si>
  <si>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</si>
  <si>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</si>
  <si>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</si>
  <si>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</si>
  <si>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</si>
  <si>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</si>
  <si>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</si>
  <si>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</si>
  <si>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</si>
  <si>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</si>
  <si>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</si>
  <si>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</si>
  <si>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</si>
  <si>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</si>
  <si>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</si>
  <si>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</si>
  <si>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</si>
  <si>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</si>
  <si>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</si>
  <si>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</si>
  <si>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</si>
  <si>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</si>
  <si>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</si>
  <si>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</si>
  <si>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</si>
  <si>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</si>
  <si>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</si>
  <si>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</si>
  <si>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</si>
  <si>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</si>
  <si>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</si>
  <si>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</si>
  <si>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</si>
  <si>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</si>
  <si>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</si>
  <si>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</si>
  <si>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</si>
  <si>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</si>
  <si>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</si>
  <si>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</si>
  <si>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</si>
  <si>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</si>
  <si>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</si>
  <si>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</si>
  <si>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</si>
  <si>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</si>
  <si>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</si>
  <si>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</si>
  <si>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</si>
  <si>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</si>
  <si>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</si>
  <si>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</si>
  <si>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</si>
  <si>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</si>
  <si>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</si>
  <si>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</si>
  <si>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</si>
  <si>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</si>
  <si>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</si>
  <si>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</si>
  <si>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</si>
  <si>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</si>
  <si>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</si>
  <si>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</si>
  <si>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</si>
  <si>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</si>
  <si>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</si>
  <si>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</si>
  <si>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</si>
  <si>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</si>
  <si>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</si>
  <si>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</si>
  <si>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</si>
  <si>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</si>
  <si>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</si>
  <si>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</si>
  <si>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</si>
  <si>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</si>
  <si>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</si>
  <si>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</si>
  <si>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</si>
  <si>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</si>
  <si>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</si>
  <si>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</si>
  <si>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</si>
  <si>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</si>
  <si>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</si>
  <si>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</si>
  <si>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</si>
  <si>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</si>
  <si>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</si>
  <si>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</si>
  <si>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</si>
  <si>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</si>
  <si>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</si>
  <si>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</si>
  <si>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</si>
  <si>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</si>
  <si>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</si>
  <si>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</si>
  <si>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</si>
  <si>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</si>
  <si>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</si>
  <si>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</si>
  <si>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</si>
  <si>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</si>
  <si>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</si>
  <si>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</si>
  <si>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</si>
  <si>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</si>
  <si>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</si>
  <si>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</si>
  <si>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</si>
  <si>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</si>
  <si>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</si>
  <si>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</si>
  <si>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</si>
  <si>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</si>
  <si>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</si>
  <si>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</si>
  <si>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</si>
  <si>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</si>
  <si>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</si>
  <si>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</si>
  <si>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</si>
  <si>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</si>
  <si>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</si>
  <si>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</si>
  <si>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</si>
  <si>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</si>
  <si>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</si>
  <si>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</si>
  <si>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</si>
  <si>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</si>
  <si>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</si>
  <si>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</si>
  <si>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</si>
  <si>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</si>
  <si>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</si>
  <si>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</si>
  <si>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</si>
  <si>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</si>
  <si>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</si>
  <si>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</si>
  <si>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</si>
  <si>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</si>
  <si>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</si>
  <si>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</si>
  <si>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</si>
  <si>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</si>
  <si>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</si>
  <si>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</si>
  <si>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</si>
  <si>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</si>
  <si>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</si>
  <si>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</si>
  <si>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</si>
  <si>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</si>
  <si>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</si>
  <si>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</si>
  <si>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</si>
  <si>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</si>
  <si>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</si>
  <si>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</si>
  <si>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</si>
  <si>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</si>
  <si>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</si>
  <si>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</si>
  <si>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</si>
  <si>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</si>
  <si>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</si>
  <si>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</si>
  <si>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</si>
  <si>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</si>
  <si>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</si>
  <si>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</si>
  <si>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</si>
  <si>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</si>
  <si>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</si>
  <si>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</si>
  <si>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</si>
  <si>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</si>
  <si>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</si>
  <si>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</si>
  <si>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</si>
  <si>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</si>
  <si>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</si>
  <si>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</si>
  <si>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</si>
  <si>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</si>
  <si>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</si>
  <si>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</si>
  <si>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</si>
  <si>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</si>
  <si>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</si>
  <si>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</si>
  <si>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</si>
  <si>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</si>
  <si>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</si>
  <si>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</si>
  <si>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</si>
  <si>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</si>
  <si>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</si>
  <si>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</si>
  <si>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</si>
  <si>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</si>
  <si>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</si>
  <si>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</si>
  <si>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</si>
  <si>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</si>
  <si>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</si>
  <si>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</si>
  <si>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</si>
  <si>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</si>
  <si>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</si>
  <si>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</si>
  <si>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</si>
  <si>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</si>
  <si>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</si>
  <si>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</si>
  <si>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</si>
  <si>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</si>
  <si>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</si>
  <si>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</si>
  <si>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</si>
  <si>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</si>
  <si>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</si>
  <si>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</si>
  <si>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</si>
  <si>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</si>
  <si>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</si>
  <si>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</si>
  <si>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</si>
  <si>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</si>
  <si>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</si>
  <si>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</si>
  <si>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</si>
  <si>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</si>
  <si>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</si>
  <si>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</si>
  <si>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</si>
  <si>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</si>
  <si>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</si>
  <si>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</si>
  <si>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</si>
  <si>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</si>
  <si>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</si>
  <si>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</si>
  <si>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</si>
  <si>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</si>
  <si>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</si>
  <si>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</si>
  <si>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</si>
  <si>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</si>
  <si>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</si>
  <si>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</si>
  <si>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</si>
  <si>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</si>
  <si>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</si>
  <si>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</si>
  <si>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</si>
  <si>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</si>
  <si>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</si>
  <si>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</si>
  <si>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</si>
  <si>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</si>
  <si>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</si>
  <si>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</si>
  <si>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</si>
  <si>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</si>
  <si>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</si>
  <si>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</si>
  <si>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</si>
  <si>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</si>
  <si>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</si>
  <si>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</si>
  <si>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</si>
  <si>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</si>
  <si>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</si>
  <si>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</si>
  <si>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</si>
  <si>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</si>
  <si>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</si>
  <si>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</si>
  <si>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</si>
  <si>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</si>
  <si>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</si>
  <si>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</si>
  <si>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</si>
  <si>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</si>
  <si>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</si>
  <si>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</si>
  <si>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</si>
  <si>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</si>
  <si>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</si>
  <si>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</si>
  <si>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</si>
  <si>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</si>
  <si>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</si>
  <si>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</si>
  <si>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</si>
  <si>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</si>
  <si>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</si>
  <si>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</si>
  <si>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</si>
  <si>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</si>
  <si>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</si>
  <si>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</si>
  <si>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</si>
  <si>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</si>
  <si>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</si>
  <si>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</si>
  <si>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</si>
  <si>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</si>
  <si>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</si>
  <si>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</si>
  <si>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</si>
  <si>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</si>
  <si>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</si>
  <si>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</si>
  <si>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</si>
  <si>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</si>
  <si>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</si>
  <si>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</si>
  <si>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</si>
  <si>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</si>
  <si>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</si>
  <si>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</si>
  <si>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</si>
  <si>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</si>
  <si>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</si>
  <si>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</si>
  <si>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</si>
  <si>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</si>
  <si>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</si>
  <si>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</si>
  <si>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</si>
  <si>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</si>
  <si>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</si>
  <si>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</si>
  <si>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</si>
  <si>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</si>
  <si>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</si>
  <si>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</si>
  <si>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</si>
  <si>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</si>
  <si>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</si>
  <si>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</si>
  <si>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</si>
  <si>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</si>
  <si>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</si>
  <si>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</si>
  <si>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</si>
  <si>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</si>
  <si>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</si>
  <si>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</si>
  <si>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</si>
  <si>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</si>
  <si>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</si>
  <si>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</si>
  <si>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</si>
  <si>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</si>
  <si>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</si>
  <si>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</si>
  <si>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</si>
  <si>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</si>
  <si>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</si>
  <si>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</si>
  <si>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</si>
  <si>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</si>
  <si>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</si>
  <si>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</si>
  <si>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</si>
  <si>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</si>
  <si>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</si>
  <si>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</si>
  <si>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</si>
  <si>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</si>
  <si>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</si>
  <si>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</si>
  <si>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</si>
  <si>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</si>
  <si>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</si>
  <si>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</si>
  <si>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</si>
  <si>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</si>
  <si>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</si>
  <si>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</si>
  <si>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</si>
  <si>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</si>
  <si>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</si>
  <si>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</si>
  <si>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</si>
  <si>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</si>
  <si>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</si>
  <si>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</si>
  <si>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</si>
  <si>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</si>
  <si>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</si>
  <si>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</si>
  <si>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</si>
  <si>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</si>
  <si>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</si>
  <si>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</si>
  <si>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</si>
  <si>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</si>
  <si>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</si>
  <si>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</si>
  <si>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</si>
  <si>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</si>
  <si>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</si>
  <si>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</si>
  <si>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</si>
  <si>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</si>
  <si>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</si>
  <si>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</si>
  <si>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</si>
  <si>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</si>
  <si>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</si>
  <si>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</si>
  <si>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</si>
  <si>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</si>
  <si>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</si>
  <si>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</si>
  <si>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</si>
  <si>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</si>
  <si>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</si>
  <si>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</si>
  <si>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</si>
  <si>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</si>
  <si>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</si>
  <si>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</si>
  <si>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</si>
  <si>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</si>
  <si>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</si>
  <si>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</si>
  <si>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</si>
  <si>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</si>
  <si>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</si>
  <si>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</si>
  <si>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</si>
  <si>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</si>
  <si>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</si>
  <si>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</si>
  <si>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</si>
  <si>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</si>
  <si>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</si>
  <si>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</si>
  <si>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</si>
  <si>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</si>
  <si>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</si>
  <si>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</si>
  <si>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</si>
  <si>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</si>
  <si>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</si>
  <si>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</si>
  <si>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</si>
  <si>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</si>
  <si>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</si>
  <si>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</si>
  <si>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</si>
  <si>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</si>
  <si>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</si>
  <si>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</si>
  <si>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</si>
  <si>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</si>
  <si>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</si>
  <si>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</si>
  <si>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</si>
  <si>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</si>
  <si>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</si>
  <si>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</si>
  <si>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</si>
  <si>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</si>
  <si>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</si>
  <si>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</si>
  <si>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</si>
  <si>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</si>
  <si>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</si>
  <si>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</si>
  <si>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</si>
  <si>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</si>
  <si>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</si>
  <si>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</si>
  <si>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</si>
  <si>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</si>
  <si>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</si>
  <si>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</si>
  <si>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</si>
  <si>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</si>
  <si>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</si>
  <si>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</si>
  <si>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</si>
  <si>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</si>
  <si>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</si>
  <si>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</si>
  <si>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</si>
  <si>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</si>
  <si>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</si>
  <si>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</si>
  <si>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</si>
  <si>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</si>
  <si>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</si>
  <si>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</si>
  <si>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</si>
  <si>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</si>
  <si>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</si>
  <si>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</si>
  <si>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</si>
  <si>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</si>
  <si>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</si>
  <si>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</si>
  <si>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</si>
  <si>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</si>
  <si>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</si>
  <si>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</si>
  <si>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</si>
  <si>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</si>
  <si>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</si>
  <si>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</si>
  <si>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</si>
  <si>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</si>
  <si>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</si>
  <si>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</si>
  <si>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</si>
  <si>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</si>
  <si>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</si>
  <si>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</si>
  <si>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</si>
  <si>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</si>
  <si>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</si>
  <si>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</si>
  <si>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</si>
  <si>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</si>
  <si>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</si>
  <si>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</si>
  <si>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</si>
  <si>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</si>
  <si>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</si>
  <si>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</si>
  <si>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</si>
  <si>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</si>
  <si>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</si>
  <si>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</si>
  <si>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</si>
  <si>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</si>
  <si>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</si>
  <si>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</si>
  <si>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</si>
  <si>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</si>
  <si>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</si>
  <si>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</si>
  <si>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</si>
  <si>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</si>
  <si>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</si>
  <si>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</si>
  <si>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</si>
  <si>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</si>
  <si>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</si>
  <si>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</si>
  <si>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</si>
  <si>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</si>
  <si>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</si>
  <si>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</si>
  <si>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</si>
  <si>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</si>
  <si>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</si>
  <si>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</si>
  <si>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</si>
  <si>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</si>
  <si>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</si>
  <si>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</si>
  <si>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</si>
  <si>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</si>
  <si>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</si>
  <si>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</si>
  <si>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</si>
  <si>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</si>
  <si>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</si>
  <si>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</si>
  <si>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</si>
  <si>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</si>
  <si>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</si>
  <si>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</si>
  <si>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</si>
  <si>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</si>
  <si>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</si>
  <si>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</si>
  <si>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</si>
  <si>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</si>
  <si>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</si>
  <si>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</si>
  <si>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</si>
  <si>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</si>
  <si>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</si>
  <si>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</si>
  <si>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</si>
  <si>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</si>
  <si>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</si>
  <si>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</si>
  <si>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</si>
  <si>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</si>
  <si>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</si>
  <si>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</si>
  <si>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</si>
  <si>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</si>
  <si>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</si>
  <si>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</si>
  <si>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</si>
  <si>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</si>
  <si>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</si>
  <si>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</si>
  <si>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</si>
  <si>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</si>
  <si>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</si>
  <si>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</si>
  <si>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</si>
  <si>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</si>
  <si>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</si>
  <si>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</si>
  <si>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</si>
  <si>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</si>
  <si>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</si>
  <si>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</si>
  <si>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</si>
  <si>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</si>
  <si>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</si>
  <si>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</si>
  <si>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</si>
  <si>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</si>
  <si>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</si>
  <si>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</si>
  <si>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</si>
  <si>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</si>
  <si>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</si>
  <si>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</si>
  <si>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</si>
  <si>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</si>
  <si>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</si>
  <si>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</si>
  <si>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</si>
  <si>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</si>
  <si>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</si>
  <si>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</si>
  <si>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</si>
  <si>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</si>
  <si>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</si>
  <si>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</si>
  <si>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</si>
  <si>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</si>
  <si>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</si>
  <si>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</si>
  <si>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</si>
  <si>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</si>
  <si>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</si>
  <si>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</si>
  <si>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</si>
  <si>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</si>
  <si>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</si>
  <si>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</si>
  <si>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</si>
  <si>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</si>
  <si>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</si>
  <si>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</si>
  <si>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</si>
  <si>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</si>
  <si>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</si>
  <si>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</si>
  <si>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</si>
  <si>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</si>
  <si>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</si>
  <si>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</si>
  <si>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</si>
  <si>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</si>
  <si>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</si>
  <si>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</si>
  <si>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</si>
  <si>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</si>
  <si>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</si>
  <si>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</si>
  <si>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</si>
  <si>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</si>
  <si>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</si>
  <si>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</si>
  <si>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</si>
  <si>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</si>
  <si>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</si>
  <si>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</si>
  <si>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</si>
  <si>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</si>
  <si>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</si>
  <si>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</si>
  <si>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</si>
  <si>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</si>
  <si>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</si>
  <si>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</si>
  <si>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</si>
  <si>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</si>
  <si>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</si>
  <si>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</si>
  <si>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</si>
  <si>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</si>
  <si>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</si>
  <si>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</si>
  <si>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</si>
  <si>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</si>
  <si>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</si>
  <si>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</si>
  <si>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</si>
  <si>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</si>
  <si>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</si>
  <si>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</si>
  <si>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</si>
  <si>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</si>
  <si>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</si>
  <si>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</si>
  <si>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</si>
  <si>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</si>
  <si>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</si>
  <si>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</si>
  <si>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</si>
  <si>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</si>
  <si>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</si>
  <si>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</si>
  <si>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</si>
  <si>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</si>
  <si>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</si>
  <si>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</si>
  <si>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</si>
  <si>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</si>
  <si>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</si>
  <si>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</si>
  <si>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Sub-Cagetory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</si>
  <si>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</si>
  <si>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</si>
  <si>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</si>
  <si>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</si>
  <si>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</si>
  <si>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</si>
  <si>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</si>
  <si>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Year</t>
  </si>
  <si>
    <t>Feb</t>
  </si>
  <si>
    <t>Mar</t>
  </si>
  <si>
    <t>Jul</t>
  </si>
  <si>
    <t>Aug</t>
  </si>
  <si>
    <t>Sep</t>
  </si>
  <si>
    <t>Oct</t>
  </si>
  <si>
    <t>Dec</t>
  </si>
  <si>
    <t>Jan</t>
  </si>
  <si>
    <t>Apr</t>
  </si>
  <si>
    <t>May</t>
  </si>
  <si>
    <t>Nov</t>
  </si>
  <si>
    <t>Jun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</si>
  <si>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</si>
  <si>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</si>
  <si>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</si>
  <si>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</si>
  <si>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</si>
  <si>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</si>
  <si>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</si>
  <si>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</si>
  <si>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</si>
  <si>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</si>
  <si>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</si>
  <si>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</si>
  <si>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</si>
  <si>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</si>
  <si>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</si>
  <si>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</si>
  <si>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</si>
  <si>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</si>
  <si>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</si>
  <si>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</si>
  <si>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Backers</t>
  </si>
  <si>
    <t>Successful</t>
  </si>
  <si>
    <t>Failed</t>
  </si>
  <si>
    <t>Less than 500</t>
  </si>
  <si>
    <t>500 to 999</t>
  </si>
  <si>
    <t>1000 to 1999</t>
  </si>
  <si>
    <t>2000 to 2999</t>
  </si>
  <si>
    <t>3000 to 3999</t>
  </si>
  <si>
    <t>More than 4000</t>
  </si>
  <si>
    <t>Median</t>
  </si>
  <si>
    <t>Minimum</t>
  </si>
  <si>
    <t>Maximum</t>
  </si>
  <si>
    <t>Variance</t>
  </si>
  <si>
    <t>Standard Dev</t>
  </si>
  <si>
    <t>Mean (Average)</t>
  </si>
  <si>
    <t>Mode (Common)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</si>
</sst>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1">
    <xf numFmtId="0" fontId="0" fillId="0" borderId="0" xfId="0"/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17" fillId="0" borderId="0" xfId="0" applyNumberFormat="1" applyFont="1" applyAlignment="1">
      <alignment horizontal="center"/>
    </xf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7" fillId="0" borderId="0" xfId="0" applyNumberFormat="1" applyFont="1" applyAlignment="1">
      <alignment horizontal="center"/>
    </xf>
    <xf numFmtId="14" fontId="20" fillId="0" borderId="0" xfId="0" applyNumberFormat="1" applyFont="1"/>
    <xf numFmtId="14" fontId="0" fillId="0" borderId="0" xfId="0" applyNumberFormat="1"/>
    <xf numFmtId="2" fontId="17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9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numFmt numFmtId="13" formatCode="0%"/>
    </dxf>
    <dxf>
      <numFmt numFmtId="13" formatCode="0%"/>
    </dxf>
    <dxf>
      <numFmt numFmtId="13" formatCode="0%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</dxf>
    <dxf>
      <numFmt numFmtId="13" formatCode="0%"/>
    </dxf>
    <dxf>
      <numFmt numFmtId="13" formatCode="0%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9" formatCode="m/d/yyyy"/>
    </dxf>
    <dxf>
      <numFmt numFmtId="19" formatCode="m/d/yyyy"/>
    </dxf>
    <dxf>
      <numFmt numFmtId="2" formatCode="0.00"/>
    </dxf>
    <dxf>
      <numFmt numFmtId="14" formatCode="0.00%"/>
    </dxf>
    <dxf>
      <alignment horizontal="lef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 vs Outcome!PivotTable2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 vs Outcome'!$B$3:$B$4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 vs Outcome'!$B$5:$B$14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44-43D5-9D31-B79D1C33662F}"/>
            </c:ext>
          </c:extLst>
        </c:ser>
        <c:ser>
          <c:idx val="1"/>
          <c:order val="1"/>
          <c:tx>
            <c:strRef>
              <c:f>'Cat vs Outcome'!$C$3:$C$4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 vs Outcome'!$C$5:$C$14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44-43D5-9D31-B79D1C33662F}"/>
            </c:ext>
          </c:extLst>
        </c:ser>
        <c:ser>
          <c:idx val="2"/>
          <c:order val="2"/>
          <c:tx>
            <c:strRef>
              <c:f>'Cat vs Outcome'!$D$3:$D$4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 vs Outcome'!$D$5:$D$14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144-43D5-9D31-B79D1C33662F}"/>
            </c:ext>
          </c:extLst>
        </c:ser>
        <c:ser>
          <c:idx val="3"/>
          <c:order val="3"/>
          <c:tx>
            <c:strRef>
              <c:f>'Cat vs Outcome'!$E$3:$E$4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 vs Outcome'!$A$5:$A$14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 vs Outcome'!$E$5:$E$14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144-43D5-9D31-B79D1C336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70496752"/>
        <c:axId val="1770501072"/>
      </c:barChart>
      <c:catAx>
        <c:axId val="177049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501072"/>
        <c:crosses val="autoZero"/>
        <c:auto val="1"/>
        <c:lblAlgn val="ctr"/>
        <c:lblOffset val="100"/>
        <c:noMultiLvlLbl val="0"/>
      </c:catAx>
      <c:valAx>
        <c:axId val="177050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04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 vs Outcome!PivotTable3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 vs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vs Outcome'!$B$6:$B$30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F-4517-BA56-7F33C6948282}"/>
            </c:ext>
          </c:extLst>
        </c:ser>
        <c:ser>
          <c:idx val="1"/>
          <c:order val="1"/>
          <c:tx>
            <c:strRef>
              <c:f>'Sub-Cat vs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vs Outcome'!$C$6:$C$30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29F-4517-BA56-7F33C6948282}"/>
            </c:ext>
          </c:extLst>
        </c:ser>
        <c:ser>
          <c:idx val="2"/>
          <c:order val="2"/>
          <c:tx>
            <c:strRef>
              <c:f>'Sub-Cat vs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vs Outcome'!$D$6:$D$30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9F-4517-BA56-7F33C6948282}"/>
            </c:ext>
          </c:extLst>
        </c:ser>
        <c:ser>
          <c:idx val="3"/>
          <c:order val="3"/>
          <c:tx>
            <c:strRef>
              <c:f>'Sub-Cat vs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 vs Outcome'!$A$6:$A$30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 vs Outcome'!$E$6:$E$30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29F-4517-BA56-7F33C6948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57250384"/>
        <c:axId val="1857255664"/>
      </c:barChart>
      <c:catAx>
        <c:axId val="185725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255664"/>
        <c:crosses val="autoZero"/>
        <c:auto val="1"/>
        <c:lblAlgn val="ctr"/>
        <c:lblOffset val="100"/>
        <c:noMultiLvlLbl val="0"/>
      </c:catAx>
      <c:valAx>
        <c:axId val="185725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25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vs Outcome!PivotTable6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vs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'Date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vs Outcome'!$B$6:$B$18</c:f>
              <c:numCache>
                <c:formatCode>General</c:formatCode>
                <c:ptCount val="12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9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22-4DE6-9209-06D3945B5AD2}"/>
            </c:ext>
          </c:extLst>
        </c:ser>
        <c:ser>
          <c:idx val="1"/>
          <c:order val="1"/>
          <c:tx>
            <c:strRef>
              <c:f>'Date vs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'Date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vs Outcome'!$C$6:$C$18</c:f>
              <c:numCache>
                <c:formatCode>General</c:formatCode>
                <c:ptCount val="12"/>
                <c:pt idx="0">
                  <c:v>34</c:v>
                </c:pt>
                <c:pt idx="1">
                  <c:v>23</c:v>
                </c:pt>
                <c:pt idx="2">
                  <c:v>42</c:v>
                </c:pt>
                <c:pt idx="3">
                  <c:v>32</c:v>
                </c:pt>
                <c:pt idx="4">
                  <c:v>32</c:v>
                </c:pt>
                <c:pt idx="5">
                  <c:v>26</c:v>
                </c:pt>
                <c:pt idx="6">
                  <c:v>34</c:v>
                </c:pt>
                <c:pt idx="7">
                  <c:v>28</c:v>
                </c:pt>
                <c:pt idx="8">
                  <c:v>35</c:v>
                </c:pt>
                <c:pt idx="9">
                  <c:v>18</c:v>
                </c:pt>
                <c:pt idx="10">
                  <c:v>30</c:v>
                </c:pt>
                <c:pt idx="11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22-4DE6-9209-06D3945B5AD2}"/>
            </c:ext>
          </c:extLst>
        </c:ser>
        <c:ser>
          <c:idx val="2"/>
          <c:order val="2"/>
          <c:tx>
            <c:strRef>
              <c:f>'Date vs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'Date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vs Outcome'!$D$6:$D$18</c:f>
              <c:numCache>
                <c:formatCode>General</c:formatCode>
                <c:ptCount val="12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1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22-4DE6-9209-06D3945B5AD2}"/>
            </c:ext>
          </c:extLst>
        </c:ser>
        <c:ser>
          <c:idx val="3"/>
          <c:order val="3"/>
          <c:tx>
            <c:strRef>
              <c:f>'Date vs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'Date vs Outcome'!$A$6:$A$18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vs Outcome'!$E$6:$E$18</c:f>
              <c:numCache>
                <c:formatCode>General</c:formatCode>
                <c:ptCount val="12"/>
                <c:pt idx="0">
                  <c:v>44</c:v>
                </c:pt>
                <c:pt idx="1">
                  <c:v>37</c:v>
                </c:pt>
                <c:pt idx="2">
                  <c:v>59</c:v>
                </c:pt>
                <c:pt idx="3">
                  <c:v>41</c:v>
                </c:pt>
                <c:pt idx="4">
                  <c:v>52</c:v>
                </c:pt>
                <c:pt idx="5">
                  <c:v>44</c:v>
                </c:pt>
                <c:pt idx="6">
                  <c:v>58</c:v>
                </c:pt>
                <c:pt idx="7">
                  <c:v>49</c:v>
                </c:pt>
                <c:pt idx="8">
                  <c:v>52</c:v>
                </c:pt>
                <c:pt idx="9">
                  <c:v>39</c:v>
                </c:pt>
                <c:pt idx="10">
                  <c:v>33</c:v>
                </c:pt>
                <c:pt idx="11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22-4DE6-9209-06D3945B5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5710704"/>
        <c:axId val="1905724144"/>
      </c:lineChart>
      <c:catAx>
        <c:axId val="190571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724144"/>
        <c:crosses val="autoZero"/>
        <c:auto val="1"/>
        <c:lblAlgn val="ctr"/>
        <c:lblOffset val="100"/>
        <c:noMultiLvlLbl val="0"/>
      </c:catAx>
      <c:valAx>
        <c:axId val="190572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71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C-4359-BCD1-B201CCA9CD5C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C-4359-BCD1-B201CCA9CD5C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0C-4359-BCD1-B201CCA9C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294816"/>
        <c:axId val="636296736"/>
      </c:lineChart>
      <c:catAx>
        <c:axId val="63629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96736"/>
        <c:crosses val="autoZero"/>
        <c:auto val="1"/>
        <c:lblAlgn val="ctr"/>
        <c:lblOffset val="100"/>
        <c:noMultiLvlLbl val="0"/>
      </c:catAx>
      <c:valAx>
        <c:axId val="63629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9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by Backers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'Backers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'Backers Analysis'!$A$2:$A$7</c:f>
              <c:strCache>
                <c:ptCount val="6"/>
                <c:pt idx="0">
                  <c:v>Less than 500</c:v>
                </c:pt>
                <c:pt idx="1">
                  <c:v>500 to 999</c:v>
                </c:pt>
                <c:pt idx="2">
                  <c:v>1000 to 1999</c:v>
                </c:pt>
                <c:pt idx="3">
                  <c:v>2000 to 2999</c:v>
                </c:pt>
                <c:pt idx="4">
                  <c:v>3000 to 3999</c:v>
                </c:pt>
                <c:pt idx="5">
                  <c:v>More than 4000</c:v>
                </c:pt>
              </c:strCache>
            </c:strRef>
          </c:cat>
          <c:val>
            <c:numRef>
              <c:f>'Backers Analysis'!$F$2:$F$7</c:f>
              <c:numCache>
                <c:formatCode>0%</c:formatCode>
                <c:ptCount val="6"/>
                <c:pt idx="0">
                  <c:v>0.57973174366616986</c:v>
                </c:pt>
                <c:pt idx="1">
                  <c:v>0.24675324675324675</c:v>
                </c:pt>
                <c:pt idx="2">
                  <c:v>0.55752212389380529</c:v>
                </c:pt>
                <c:pt idx="3">
                  <c:v>0.74285714285714288</c:v>
                </c:pt>
                <c:pt idx="4">
                  <c:v>0.75862068965517238</c:v>
                </c:pt>
                <c:pt idx="5">
                  <c:v>0.76923076923076927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D7-47D3-96B5-316A9BD1AD7E}"/>
            </c:ext>
          </c:extLst>
        </c:ser>
        <c:ser>
          <c:idx val="1"/>
          <c:order val="1"/>
          <c:tx>
            <c:strRef>
              <c:f>'Backers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'Backers Analysis'!$A$2:$A$7</c:f>
              <c:strCache>
                <c:ptCount val="6"/>
                <c:pt idx="0">
                  <c:v>Less than 500</c:v>
                </c:pt>
                <c:pt idx="1">
                  <c:v>500 to 999</c:v>
                </c:pt>
                <c:pt idx="2">
                  <c:v>1000 to 1999</c:v>
                </c:pt>
                <c:pt idx="3">
                  <c:v>2000 to 2999</c:v>
                </c:pt>
                <c:pt idx="4">
                  <c:v>3000 to 3999</c:v>
                </c:pt>
                <c:pt idx="5">
                  <c:v>More than 4000</c:v>
                </c:pt>
              </c:strCache>
            </c:strRef>
          </c:cat>
          <c:val>
            <c:numRef>
              <c:f>'Backers Analysis'!$G$2:$G$7</c:f>
              <c:numCache>
                <c:formatCode>0%</c:formatCode>
                <c:ptCount val="6"/>
                <c:pt idx="0">
                  <c:v>0.36214605067064082</c:v>
                </c:pt>
                <c:pt idx="1">
                  <c:v>0.63636363636363635</c:v>
                </c:pt>
                <c:pt idx="2">
                  <c:v>0.38053097345132741</c:v>
                </c:pt>
                <c:pt idx="3">
                  <c:v>0.22857142857142856</c:v>
                </c:pt>
                <c:pt idx="4">
                  <c:v>0.2413793103448276</c:v>
                </c:pt>
                <c:pt idx="5">
                  <c:v>0.23076923076923078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D7-47D3-96B5-316A9BD1AD7E}"/>
            </c:ext>
          </c:extLst>
        </c:ser>
        <c:ser>
          <c:idx val="2"/>
          <c:order val="2"/>
          <c:tx>
            <c:strRef>
              <c:f>'Backers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'Backers Analysis'!$A$2:$A$7</c:f>
              <c:strCache>
                <c:ptCount val="6"/>
                <c:pt idx="0">
                  <c:v>Less than 500</c:v>
                </c:pt>
                <c:pt idx="1">
                  <c:v>500 to 999</c:v>
                </c:pt>
                <c:pt idx="2">
                  <c:v>1000 to 1999</c:v>
                </c:pt>
                <c:pt idx="3">
                  <c:v>2000 to 2999</c:v>
                </c:pt>
                <c:pt idx="4">
                  <c:v>3000 to 3999</c:v>
                </c:pt>
                <c:pt idx="5">
                  <c:v>More than 4000</c:v>
                </c:pt>
              </c:strCache>
            </c:strRef>
          </c:cat>
          <c:val>
            <c:numRef>
              <c:f>'Backers Analysis'!$H$2:$H$7</c:f>
              <c:numCache>
                <c:formatCode>0%</c:formatCode>
                <c:ptCount val="6"/>
                <c:pt idx="0">
                  <c:v>5.8122205663189271E-2</c:v>
                </c:pt>
                <c:pt idx="1">
                  <c:v>0.11688311688311688</c:v>
                </c:pt>
                <c:pt idx="2">
                  <c:v>6.1946902654867256E-2</c:v>
                </c:pt>
                <c:pt idx="3">
                  <c:v>2.8571428571428571E-2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D7-47D3-96B5-316A9BD1A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6300576"/>
        <c:axId val="636295296"/>
      </c:lineChart>
      <c:catAx>
        <c:axId val="636300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Backers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95296"/>
        <c:crosses val="autoZero"/>
        <c:auto val="1"/>
        <c:lblAlgn val="ctr"/>
        <c:lblOffset val="100"/>
        <c:noMultiLvlLbl val="0"/>
      </c:catAx>
      <c:valAx>
        <c:axId val="63629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300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828675</xdr:colOff>
      <xdr:row>1</xdr:row>
      <xdr:rowOff>200024</xdr:rowOff>
    </xdr:from>
    <xdr:to>
      <xdr:col>18</xdr:col>
      <xdr:colOff>352425</xdr:colOff>
      <xdr:row>29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49EBD5-0D07-F1DD-79B5-B156A4F78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190499</xdr:rowOff>
    </xdr:from>
    <xdr:to>
      <xdr:col>17</xdr:col>
      <xdr:colOff>638175</xdr:colOff>
      <xdr:row>30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506B8-2A90-9411-1917-217216267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190500</xdr:rowOff>
    </xdr:from>
    <xdr:to>
      <xdr:col>18</xdr:col>
      <xdr:colOff>0</xdr:colOff>
      <xdr:row>21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D9932B-CD67-FEA5-8672-AA2D160D2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14</xdr:row>
      <xdr:rowOff>0</xdr:rowOff>
    </xdr:from>
    <xdr:to>
      <xdr:col>7</xdr:col>
      <xdr:colOff>1238250</xdr:colOff>
      <xdr:row>34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66C19C-AF43-20CA-A239-CE79E41166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7</xdr:row>
      <xdr:rowOff>190500</xdr:rowOff>
    </xdr:from>
    <xdr:to>
      <xdr:col>5</xdr:col>
      <xdr:colOff>381000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D34A57-417A-96A2-E255-064EFD150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ifer Grubb" refreshedDate="45088.806340162038" createdVersion="8" refreshedVersion="8" minRefreshableVersion="3" recordCount="1097" xr:uid="{753B1A50-C131-48FA-879E-C7D0B8F00619}">
  <cacheSource type="worksheet">
    <worksheetSource name="Table1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0">
      <sharedItems containsMixedTypes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Average Donation" numFmtId="0">
      <sharedItems containsSemiMixedTypes="0" containsString="0" containsNumber="1" minValue="727.005" maxValue="727.005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14">
      <sharedItems containsSemiMixedTypes="0" containsNonDate="0" containsDate="1" containsString="0" minDate="1970-01-01T00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d v="1970-01-01T00:00:00"/>
      </sharedItems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14">
      <sharedItems containsSemiMixedTypes="0" containsNonDate="0" containsDate="1" containsString="0" minDate="1970-01-01T00:00:00" maxDate="2020-02-10T06:00:00" count="879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  <d v="1970-01-01T00:00:00"/>
      </sharedItems>
      <fieldGroup par="22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get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Ended Conversion)" numFmtId="0" databaseField="0">
      <fieldGroup base="14">
        <rangePr groupBy="months" startDate="1970-01-01T00:00:00" endDate="2020-02-10T06:00:00"/>
        <groupItems count="14">
          <s v="&lt;1/1/197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Quarters (Date Ended Conversion)" numFmtId="0" databaseField="0">
      <fieldGroup base="14">
        <rangePr groupBy="quarters" startDate="1970-01-01T00:00:00" endDate="2020-02-10T06:00:00"/>
        <groupItems count="6">
          <s v="&lt;1/1/1970"/>
          <s v="Qtr1"/>
          <s v="Qtr2"/>
          <s v="Qtr3"/>
          <s v="Qtr4"/>
          <s v="&gt;2/10/2020"/>
        </groupItems>
      </fieldGroup>
    </cacheField>
    <cacheField name="Years (Date Ended Conversion)" numFmtId="0" databaseField="0">
      <fieldGroup base="14">
        <rangePr groupBy="years" startDate="1970-01-01T00:00:00" endDate="2020-02-10T06:00:00"/>
        <groupItems count="53">
          <s v="&lt;1/1/1970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7">
  <r>
    <n v="0"/>
    <s v="Baldwin, Riley and Jackson"/>
    <s v="Pre-emptive tertiary standardization"/>
    <n v="100"/>
    <n v="0"/>
    <n v="0"/>
    <x v="0"/>
    <n v="0"/>
    <x v="0"/>
    <s v="CAD"/>
    <n v="727.005"/>
    <n v="1448690400"/>
    <x v="0"/>
    <n v="145015920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x v="1"/>
    <s v="USD"/>
    <n v="727.005"/>
    <n v="1408424400"/>
    <x v="1"/>
    <n v="14085972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x v="2"/>
    <s v="AUD"/>
    <n v="727.005"/>
    <n v="1384668000"/>
    <x v="2"/>
    <n v="13848408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x v="1"/>
    <s v="USD"/>
    <n v="727.005"/>
    <n v="1565499600"/>
    <x v="3"/>
    <n v="1568955600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x v="1"/>
    <s v="USD"/>
    <n v="727.005"/>
    <n v="1547964000"/>
    <x v="4"/>
    <n v="1548309600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x v="3"/>
    <s v="DKK"/>
    <n v="727.005"/>
    <n v="1346130000"/>
    <x v="5"/>
    <n v="1347080400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x v="4"/>
    <s v="GBP"/>
    <n v="727.005"/>
    <n v="1505278800"/>
    <x v="6"/>
    <n v="1505365200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x v="3"/>
    <s v="DKK"/>
    <n v="727.005"/>
    <n v="1439442000"/>
    <x v="7"/>
    <n v="1439614800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x v="3"/>
    <s v="DKK"/>
    <n v="727.005"/>
    <n v="1281330000"/>
    <x v="8"/>
    <n v="1281502800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x v="1"/>
    <s v="USD"/>
    <n v="727.005"/>
    <n v="1379566800"/>
    <x v="9"/>
    <n v="1383804000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x v="1"/>
    <s v="USD"/>
    <n v="727.005"/>
    <n v="1281762000"/>
    <x v="10"/>
    <n v="12859092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x v="1"/>
    <s v="USD"/>
    <n v="727.005"/>
    <n v="1285045200"/>
    <x v="11"/>
    <n v="1285563600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x v="1"/>
    <s v="USD"/>
    <n v="727.005"/>
    <n v="1571720400"/>
    <x v="12"/>
    <n v="15724116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x v="1"/>
    <s v="USD"/>
    <n v="727.005"/>
    <n v="1465621200"/>
    <x v="13"/>
    <n v="1466658000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x v="1"/>
    <s v="USD"/>
    <n v="727.005"/>
    <n v="1331013600"/>
    <x v="14"/>
    <n v="1333342800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x v="1"/>
    <s v="USD"/>
    <n v="727.005"/>
    <n v="1575957600"/>
    <x v="15"/>
    <n v="1576303200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x v="1"/>
    <s v="USD"/>
    <n v="727.005"/>
    <n v="1390370400"/>
    <x v="16"/>
    <n v="1392271200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x v="1"/>
    <s v="USD"/>
    <n v="727.005"/>
    <n v="1294812000"/>
    <x v="17"/>
    <n v="1294898400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x v="1"/>
    <s v="USD"/>
    <n v="727.005"/>
    <n v="1536382800"/>
    <x v="18"/>
    <n v="1537074000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x v="1"/>
    <s v="USD"/>
    <n v="727.005"/>
    <n v="1551679200"/>
    <x v="19"/>
    <n v="1553490000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x v="1"/>
    <s v="USD"/>
    <n v="727.005"/>
    <n v="1406523600"/>
    <x v="20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x v="1"/>
    <s v="USD"/>
    <n v="727.005"/>
    <n v="1313384400"/>
    <x v="21"/>
    <n v="1316322000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x v="1"/>
    <s v="USD"/>
    <n v="727.005"/>
    <n v="1522731600"/>
    <x v="22"/>
    <n v="1524027600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x v="4"/>
    <s v="GBP"/>
    <n v="727.005"/>
    <n v="1550124000"/>
    <x v="23"/>
    <n v="15546996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x v="1"/>
    <s v="USD"/>
    <n v="727.005"/>
    <n v="1403326800"/>
    <x v="24"/>
    <n v="1403499600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x v="1"/>
    <s v="USD"/>
    <n v="727.005"/>
    <n v="1305694800"/>
    <x v="25"/>
    <n v="1307422800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x v="1"/>
    <s v="USD"/>
    <n v="727.005"/>
    <n v="1533013200"/>
    <x v="26"/>
    <n v="1535346000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x v="1"/>
    <s v="USD"/>
    <n v="727.005"/>
    <n v="1443848400"/>
    <x v="27"/>
    <n v="1444539600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x v="1"/>
    <s v="USD"/>
    <n v="727.005"/>
    <n v="1265695200"/>
    <x v="28"/>
    <n v="1267682400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x v="5"/>
    <s v="CHF"/>
    <n v="727.005"/>
    <n v="1532062800"/>
    <x v="29"/>
    <n v="1535518800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x v="1"/>
    <s v="USD"/>
    <n v="727.005"/>
    <n v="1558674000"/>
    <x v="30"/>
    <n v="155910600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x v="4"/>
    <s v="GBP"/>
    <n v="727.005"/>
    <n v="1451973600"/>
    <x v="31"/>
    <n v="1454392800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x v="6"/>
    <s v="EUR"/>
    <n v="727.005"/>
    <n v="1515564000"/>
    <x v="32"/>
    <n v="15178968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x v="1"/>
    <s v="USD"/>
    <n v="727.005"/>
    <n v="1412485200"/>
    <x v="33"/>
    <n v="1415685600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x v="1"/>
    <s v="USD"/>
    <n v="727.005"/>
    <n v="1490245200"/>
    <x v="34"/>
    <n v="1490677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x v="3"/>
    <s v="DKK"/>
    <n v="727.005"/>
    <n v="1547877600"/>
    <x v="35"/>
    <n v="1551506400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x v="1"/>
    <s v="USD"/>
    <n v="727.005"/>
    <n v="1298700000"/>
    <x v="36"/>
    <n v="13008564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x v="1"/>
    <s v="USD"/>
    <n v="727.005"/>
    <n v="1570338000"/>
    <x v="37"/>
    <n v="1573192800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x v="1"/>
    <s v="USD"/>
    <n v="727.005"/>
    <n v="1287378000"/>
    <x v="38"/>
    <n v="1287810000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x v="3"/>
    <s v="DKK"/>
    <n v="727.005"/>
    <n v="1361772000"/>
    <x v="39"/>
    <n v="1362978000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x v="1"/>
    <s v="USD"/>
    <n v="727.005"/>
    <n v="1275714000"/>
    <x v="40"/>
    <n v="127735560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x v="6"/>
    <s v="EUR"/>
    <n v="727.005"/>
    <n v="1346734800"/>
    <x v="41"/>
    <n v="1348981200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x v="1"/>
    <s v="USD"/>
    <n v="727.005"/>
    <n v="1309755600"/>
    <x v="42"/>
    <n v="1310533200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x v="1"/>
    <s v="USD"/>
    <n v="727.005"/>
    <n v="1406178000"/>
    <x v="43"/>
    <n v="1407560400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x v="3"/>
    <s v="DKK"/>
    <n v="727.005"/>
    <n v="1552798800"/>
    <x v="44"/>
    <n v="1552885200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x v="1"/>
    <s v="USD"/>
    <n v="727.005"/>
    <n v="1478062800"/>
    <x v="45"/>
    <n v="1479362400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x v="1"/>
    <s v="USD"/>
    <n v="727.005"/>
    <n v="1278565200"/>
    <x v="46"/>
    <n v="1280552400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x v="1"/>
    <s v="USD"/>
    <n v="727.005"/>
    <n v="1396069200"/>
    <x v="47"/>
    <n v="1398661200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x v="1"/>
    <s v="USD"/>
    <n v="727.005"/>
    <n v="1435208400"/>
    <x v="48"/>
    <n v="1436245200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x v="1"/>
    <s v="USD"/>
    <n v="727.005"/>
    <n v="1571547600"/>
    <x v="49"/>
    <n v="1575439200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x v="6"/>
    <s v="EUR"/>
    <n v="727.005"/>
    <n v="1375333200"/>
    <x v="50"/>
    <n v="137775240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x v="4"/>
    <s v="GBP"/>
    <n v="727.005"/>
    <n v="1332824400"/>
    <x v="51"/>
    <n v="1334206800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x v="1"/>
    <s v="USD"/>
    <n v="727.005"/>
    <n v="1284526800"/>
    <x v="52"/>
    <n v="1284872400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x v="1"/>
    <s v="USD"/>
    <n v="727.005"/>
    <n v="1400562000"/>
    <x v="53"/>
    <n v="1403931600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x v="1"/>
    <s v="USD"/>
    <n v="727.005"/>
    <n v="1520748000"/>
    <x v="54"/>
    <n v="15212628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x v="1"/>
    <s v="USD"/>
    <n v="727.005"/>
    <n v="1532926800"/>
    <x v="55"/>
    <n v="1533358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x v="1"/>
    <s v="USD"/>
    <n v="727.005"/>
    <n v="1420869600"/>
    <x v="56"/>
    <n v="1421474400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x v="1"/>
    <s v="USD"/>
    <n v="727.005"/>
    <n v="1504242000"/>
    <x v="57"/>
    <n v="1505278800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x v="1"/>
    <s v="USD"/>
    <n v="727.005"/>
    <n v="1442811600"/>
    <x v="58"/>
    <n v="1443934800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x v="1"/>
    <s v="USD"/>
    <n v="727.005"/>
    <n v="1497243600"/>
    <x v="59"/>
    <n v="1498539600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x v="0"/>
    <s v="CAD"/>
    <n v="727.005"/>
    <n v="1342501200"/>
    <x v="60"/>
    <n v="134276040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x v="0"/>
    <s v="CAD"/>
    <n v="727.005"/>
    <n v="1298268000"/>
    <x v="61"/>
    <n v="1301720400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x v="1"/>
    <s v="USD"/>
    <n v="727.005"/>
    <n v="1433480400"/>
    <x v="62"/>
    <n v="1433566800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x v="1"/>
    <s v="USD"/>
    <n v="727.005"/>
    <n v="1493355600"/>
    <x v="63"/>
    <n v="1493874000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x v="1"/>
    <s v="USD"/>
    <n v="727.005"/>
    <n v="1530507600"/>
    <x v="64"/>
    <n v="1531803600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x v="1"/>
    <s v="USD"/>
    <n v="727.005"/>
    <n v="1296108000"/>
    <x v="65"/>
    <n v="1296712800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x v="1"/>
    <s v="USD"/>
    <n v="727.005"/>
    <n v="1428469200"/>
    <x v="66"/>
    <n v="1428901200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x v="4"/>
    <s v="GBP"/>
    <n v="727.005"/>
    <n v="1264399200"/>
    <x v="67"/>
    <n v="1264831200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x v="6"/>
    <s v="EUR"/>
    <n v="727.005"/>
    <n v="1501131600"/>
    <x v="68"/>
    <n v="1505192400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x v="1"/>
    <s v="USD"/>
    <n v="727.005"/>
    <n v="1292738400"/>
    <x v="69"/>
    <n v="1295676000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x v="6"/>
    <s v="EUR"/>
    <n v="727.005"/>
    <n v="1288674000"/>
    <x v="70"/>
    <n v="129291120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x v="1"/>
    <s v="USD"/>
    <n v="727.005"/>
    <n v="1575093600"/>
    <x v="71"/>
    <n v="1575439200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x v="1"/>
    <s v="USD"/>
    <n v="727.005"/>
    <n v="1435726800"/>
    <x v="72"/>
    <n v="1438837200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x v="1"/>
    <s v="USD"/>
    <n v="727.005"/>
    <n v="1480226400"/>
    <x v="73"/>
    <n v="1480485600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x v="4"/>
    <s v="GBP"/>
    <n v="727.005"/>
    <n v="1459054800"/>
    <x v="74"/>
    <n v="1459141200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x v="1"/>
    <s v="USD"/>
    <n v="727.005"/>
    <n v="1531630800"/>
    <x v="75"/>
    <n v="15323220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x v="1"/>
    <s v="USD"/>
    <n v="727.005"/>
    <n v="1421992800"/>
    <x v="76"/>
    <n v="1426222800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x v="1"/>
    <s v="USD"/>
    <n v="727.005"/>
    <n v="1285563600"/>
    <x v="77"/>
    <n v="12867732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x v="1"/>
    <s v="USD"/>
    <n v="727.005"/>
    <n v="1523854800"/>
    <x v="78"/>
    <n v="1523941200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x v="1"/>
    <s v="USD"/>
    <n v="727.005"/>
    <n v="1529125200"/>
    <x v="79"/>
    <n v="1529557200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x v="1"/>
    <s v="USD"/>
    <n v="727.005"/>
    <n v="1503982800"/>
    <x v="80"/>
    <n v="150657480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x v="1"/>
    <s v="USD"/>
    <n v="727.005"/>
    <n v="1511416800"/>
    <x v="81"/>
    <n v="1513576800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x v="4"/>
    <s v="GBP"/>
    <n v="727.005"/>
    <n v="1547704800"/>
    <x v="82"/>
    <n v="1548309600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x v="1"/>
    <s v="USD"/>
    <n v="727.005"/>
    <n v="1469682000"/>
    <x v="83"/>
    <n v="1471582800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x v="1"/>
    <s v="USD"/>
    <n v="727.005"/>
    <n v="1343451600"/>
    <x v="84"/>
    <n v="1344315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x v="2"/>
    <s v="AUD"/>
    <n v="727.005"/>
    <n v="1315717200"/>
    <x v="85"/>
    <n v="1316408400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x v="1"/>
    <s v="USD"/>
    <n v="727.005"/>
    <n v="1430715600"/>
    <x v="86"/>
    <n v="1431838800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x v="2"/>
    <s v="AUD"/>
    <n v="727.005"/>
    <n v="1299564000"/>
    <x v="87"/>
    <n v="1300510800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x v="1"/>
    <s v="USD"/>
    <n v="727.005"/>
    <n v="1429160400"/>
    <x v="88"/>
    <n v="14310612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x v="1"/>
    <s v="USD"/>
    <n v="727.005"/>
    <n v="1271307600"/>
    <x v="89"/>
    <n v="1271480400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x v="1"/>
    <s v="USD"/>
    <n v="727.005"/>
    <n v="1456380000"/>
    <x v="90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x v="6"/>
    <s v="EUR"/>
    <n v="727.005"/>
    <n v="1470459600"/>
    <x v="91"/>
    <n v="14728788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x v="5"/>
    <s v="CHF"/>
    <n v="727.005"/>
    <n v="1277269200"/>
    <x v="92"/>
    <n v="1277355600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x v="1"/>
    <s v="USD"/>
    <n v="727.005"/>
    <n v="1350709200"/>
    <x v="93"/>
    <n v="1351054800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x v="4"/>
    <s v="GBP"/>
    <n v="727.005"/>
    <n v="1554613200"/>
    <x v="94"/>
    <n v="1555563600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x v="1"/>
    <s v="USD"/>
    <n v="727.005"/>
    <n v="1571029200"/>
    <x v="95"/>
    <n v="1571634000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x v="1"/>
    <s v="USD"/>
    <n v="727.005"/>
    <n v="1299736800"/>
    <x v="96"/>
    <n v="1300856400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x v="1"/>
    <s v="USD"/>
    <n v="727.005"/>
    <n v="1435208400"/>
    <x v="48"/>
    <n v="1439874000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x v="2"/>
    <s v="AUD"/>
    <n v="727.005"/>
    <n v="1437973200"/>
    <x v="97"/>
    <n v="1438318800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x v="1"/>
    <s v="USD"/>
    <n v="727.005"/>
    <n v="1416895200"/>
    <x v="98"/>
    <n v="1419400800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x v="1"/>
    <s v="USD"/>
    <n v="727.005"/>
    <n v="1319000400"/>
    <x v="99"/>
    <n v="1320555600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x v="1"/>
    <s v="USD"/>
    <n v="727.005"/>
    <n v="1424498400"/>
    <x v="100"/>
    <n v="14251032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x v="1"/>
    <s v="USD"/>
    <n v="727.005"/>
    <n v="1526274000"/>
    <x v="101"/>
    <n v="1526878800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x v="6"/>
    <s v="EUR"/>
    <n v="727.005"/>
    <n v="1287896400"/>
    <x v="102"/>
    <n v="12886740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x v="1"/>
    <s v="USD"/>
    <n v="727.005"/>
    <n v="1495515600"/>
    <x v="103"/>
    <n v="1495602000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x v="1"/>
    <s v="USD"/>
    <n v="727.005"/>
    <n v="1364878800"/>
    <x v="104"/>
    <n v="1366434000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x v="1"/>
    <s v="USD"/>
    <n v="727.005"/>
    <n v="1567918800"/>
    <x v="105"/>
    <n v="1568350800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x v="1"/>
    <s v="USD"/>
    <n v="727.005"/>
    <n v="1524459600"/>
    <x v="106"/>
    <n v="1525928400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x v="1"/>
    <s v="USD"/>
    <n v="727.005"/>
    <n v="1333688400"/>
    <x v="107"/>
    <n v="13368852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x v="1"/>
    <s v="USD"/>
    <n v="727.005"/>
    <n v="1389506400"/>
    <x v="108"/>
    <n v="13896792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x v="1"/>
    <s v="USD"/>
    <n v="727.005"/>
    <n v="1536642000"/>
    <x v="109"/>
    <n v="1538283600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x v="1"/>
    <s v="USD"/>
    <n v="727.005"/>
    <n v="1348290000"/>
    <x v="110"/>
    <n v="134880840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x v="2"/>
    <s v="AUD"/>
    <n v="727.005"/>
    <n v="1408856400"/>
    <x v="111"/>
    <n v="1410152400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x v="1"/>
    <s v="USD"/>
    <n v="727.005"/>
    <n v="1505192400"/>
    <x v="112"/>
    <n v="1505797200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x v="1"/>
    <s v="USD"/>
    <n v="727.005"/>
    <n v="1554786000"/>
    <x v="113"/>
    <n v="1554872400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x v="6"/>
    <s v="EUR"/>
    <n v="727.005"/>
    <n v="1510898400"/>
    <x v="114"/>
    <n v="1513922400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x v="1"/>
    <s v="USD"/>
    <n v="727.005"/>
    <n v="1442552400"/>
    <x v="115"/>
    <n v="1442638800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x v="1"/>
    <s v="USD"/>
    <n v="727.005"/>
    <n v="1316667600"/>
    <x v="116"/>
    <n v="13171860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x v="1"/>
    <s v="USD"/>
    <n v="727.005"/>
    <n v="1390716000"/>
    <x v="117"/>
    <n v="13912344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x v="1"/>
    <s v="USD"/>
    <n v="727.005"/>
    <n v="1402894800"/>
    <x v="118"/>
    <n v="1404363600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x v="1"/>
    <s v="USD"/>
    <n v="727.005"/>
    <n v="1429246800"/>
    <x v="119"/>
    <n v="1429592400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x v="1"/>
    <s v="USD"/>
    <n v="727.005"/>
    <n v="1412485200"/>
    <x v="33"/>
    <n v="1413608400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x v="1"/>
    <s v="USD"/>
    <n v="727.005"/>
    <n v="1417068000"/>
    <x v="120"/>
    <n v="141940080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x v="0"/>
    <s v="CAD"/>
    <n v="727.005"/>
    <n v="1448344800"/>
    <x v="121"/>
    <n v="1448604000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x v="6"/>
    <s v="EUR"/>
    <n v="727.005"/>
    <n v="1557723600"/>
    <x v="122"/>
    <n v="1562302800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x v="1"/>
    <s v="USD"/>
    <n v="727.005"/>
    <n v="1537333200"/>
    <x v="123"/>
    <n v="1537678800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x v="1"/>
    <s v="USD"/>
    <n v="727.005"/>
    <n v="1471150800"/>
    <x v="124"/>
    <n v="1473570000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x v="0"/>
    <s v="CAD"/>
    <n v="727.005"/>
    <n v="1273640400"/>
    <x v="125"/>
    <n v="1273899600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x v="1"/>
    <s v="USD"/>
    <n v="727.005"/>
    <n v="1282885200"/>
    <x v="126"/>
    <n v="1284008400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x v="2"/>
    <s v="AUD"/>
    <n v="727.005"/>
    <n v="1422943200"/>
    <x v="127"/>
    <n v="1425103200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x v="3"/>
    <s v="DKK"/>
    <n v="727.005"/>
    <n v="1319605200"/>
    <x v="128"/>
    <n v="1320991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x v="4"/>
    <s v="GBP"/>
    <n v="727.005"/>
    <n v="1385704800"/>
    <x v="129"/>
    <n v="1386828000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x v="1"/>
    <s v="USD"/>
    <n v="727.005"/>
    <n v="1515736800"/>
    <x v="130"/>
    <n v="151711920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x v="1"/>
    <s v="USD"/>
    <n v="727.005"/>
    <n v="1313125200"/>
    <x v="131"/>
    <n v="1315026000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x v="5"/>
    <s v="CHF"/>
    <n v="727.005"/>
    <n v="1308459600"/>
    <x v="132"/>
    <n v="1312693200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x v="1"/>
    <s v="USD"/>
    <n v="727.005"/>
    <n v="1362636000"/>
    <x v="133"/>
    <n v="13630644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x v="1"/>
    <s v="USD"/>
    <n v="727.005"/>
    <n v="1402117200"/>
    <x v="134"/>
    <n v="1403154000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x v="1"/>
    <s v="USD"/>
    <n v="727.005"/>
    <n v="1286341200"/>
    <x v="135"/>
    <n v="1286859600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x v="1"/>
    <s v="USD"/>
    <n v="727.005"/>
    <n v="1348808400"/>
    <x v="136"/>
    <n v="1349326800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x v="1"/>
    <s v="USD"/>
    <n v="727.005"/>
    <n v="1429592400"/>
    <x v="137"/>
    <n v="14309748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x v="1"/>
    <s v="USD"/>
    <n v="727.005"/>
    <n v="1519538400"/>
    <x v="138"/>
    <n v="1519970400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x v="1"/>
    <s v="USD"/>
    <n v="727.005"/>
    <n v="1434085200"/>
    <x v="139"/>
    <n v="1434603600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x v="1"/>
    <s v="USD"/>
    <n v="727.005"/>
    <n v="1333688400"/>
    <x v="107"/>
    <n v="1337230800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x v="1"/>
    <s v="USD"/>
    <n v="727.005"/>
    <n v="1277701200"/>
    <x v="140"/>
    <n v="1279429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x v="1"/>
    <s v="USD"/>
    <n v="727.005"/>
    <n v="1560747600"/>
    <x v="141"/>
    <n v="1561438800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x v="5"/>
    <s v="CHF"/>
    <n v="727.005"/>
    <n v="1410066000"/>
    <x v="142"/>
    <n v="1410498000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x v="1"/>
    <s v="USD"/>
    <n v="727.005"/>
    <n v="1320732000"/>
    <x v="143"/>
    <n v="1322460000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x v="1"/>
    <s v="USD"/>
    <n v="727.005"/>
    <n v="1465794000"/>
    <x v="144"/>
    <n v="1466312400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x v="1"/>
    <s v="USD"/>
    <n v="727.005"/>
    <n v="1500958800"/>
    <x v="145"/>
    <n v="15017364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x v="1"/>
    <s v="USD"/>
    <n v="727.005"/>
    <n v="1357020000"/>
    <x v="146"/>
    <n v="1361512800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x v="1"/>
    <s v="USD"/>
    <n v="727.005"/>
    <n v="1544940000"/>
    <x v="147"/>
    <n v="1545026400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x v="1"/>
    <s v="USD"/>
    <n v="727.005"/>
    <n v="1402290000"/>
    <x v="148"/>
    <n v="14066964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x v="1"/>
    <s v="USD"/>
    <n v="727.005"/>
    <n v="1487311200"/>
    <x v="149"/>
    <n v="1487916000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x v="1"/>
    <s v="USD"/>
    <n v="727.005"/>
    <n v="1350622800"/>
    <x v="150"/>
    <n v="135114120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x v="1"/>
    <s v="USD"/>
    <n v="727.005"/>
    <n v="1463029200"/>
    <x v="151"/>
    <n v="1465016400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x v="1"/>
    <s v="USD"/>
    <n v="727.005"/>
    <n v="1269493200"/>
    <x v="152"/>
    <n v="1270789200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x v="2"/>
    <s v="AUD"/>
    <n v="727.005"/>
    <n v="1570251600"/>
    <x v="153"/>
    <n v="1572325200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x v="2"/>
    <s v="AUD"/>
    <n v="727.005"/>
    <n v="1388383200"/>
    <x v="154"/>
    <n v="13894200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x v="1"/>
    <s v="USD"/>
    <n v="727.005"/>
    <n v="1449554400"/>
    <x v="155"/>
    <n v="1449640800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x v="1"/>
    <s v="USD"/>
    <n v="727.005"/>
    <n v="1553662800"/>
    <x v="156"/>
    <n v="1555218000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x v="1"/>
    <s v="USD"/>
    <n v="727.005"/>
    <n v="1556341200"/>
    <x v="157"/>
    <n v="1557723600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x v="1"/>
    <s v="USD"/>
    <n v="727.005"/>
    <n v="1442984400"/>
    <x v="158"/>
    <n v="1443502800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x v="5"/>
    <s v="CHF"/>
    <n v="727.005"/>
    <n v="1544248800"/>
    <x v="159"/>
    <n v="1546840800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x v="1"/>
    <s v="USD"/>
    <n v="727.005"/>
    <n v="1508475600"/>
    <x v="160"/>
    <n v="15127128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x v="1"/>
    <s v="USD"/>
    <n v="727.005"/>
    <n v="1507438800"/>
    <x v="161"/>
    <n v="1507525200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x v="1"/>
    <s v="USD"/>
    <n v="727.005"/>
    <n v="1501563600"/>
    <x v="162"/>
    <n v="1504328400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x v="1"/>
    <s v="USD"/>
    <n v="727.005"/>
    <n v="1292997600"/>
    <x v="163"/>
    <n v="1293343200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x v="2"/>
    <s v="AUD"/>
    <n v="727.005"/>
    <n v="1370840400"/>
    <x v="164"/>
    <n v="1371704400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x v="3"/>
    <s v="DKK"/>
    <n v="727.005"/>
    <n v="1550815200"/>
    <x v="165"/>
    <n v="1552798800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x v="1"/>
    <s v="USD"/>
    <n v="727.005"/>
    <n v="1339909200"/>
    <x v="166"/>
    <n v="13423284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x v="1"/>
    <s v="USD"/>
    <n v="727.005"/>
    <n v="1501736400"/>
    <x v="167"/>
    <n v="1502341200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x v="1"/>
    <s v="USD"/>
    <n v="727.005"/>
    <n v="1395291600"/>
    <x v="168"/>
    <n v="1397192400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x v="1"/>
    <s v="USD"/>
    <n v="727.005"/>
    <n v="1405746000"/>
    <x v="169"/>
    <n v="1407042000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x v="1"/>
    <s v="USD"/>
    <n v="727.005"/>
    <n v="1368853200"/>
    <x v="170"/>
    <n v="136937160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x v="1"/>
    <s v="USD"/>
    <n v="727.005"/>
    <n v="1444021200"/>
    <x v="171"/>
    <n v="14441076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x v="1"/>
    <s v="USD"/>
    <n v="727.005"/>
    <n v="1472619600"/>
    <x v="172"/>
    <n v="1474261200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x v="1"/>
    <s v="USD"/>
    <n v="727.005"/>
    <n v="1472878800"/>
    <x v="173"/>
    <n v="1473656400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x v="1"/>
    <s v="USD"/>
    <n v="727.005"/>
    <n v="1289800800"/>
    <x v="174"/>
    <n v="1291960800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x v="1"/>
    <s v="USD"/>
    <n v="727.005"/>
    <n v="1505970000"/>
    <x v="175"/>
    <n v="1506747600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x v="0"/>
    <s v="CAD"/>
    <n v="727.005"/>
    <n v="1363496400"/>
    <x v="176"/>
    <n v="1363582800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x v="2"/>
    <s v="AUD"/>
    <n v="727.005"/>
    <n v="1269234000"/>
    <x v="177"/>
    <n v="1269666000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x v="1"/>
    <s v="USD"/>
    <n v="727.005"/>
    <n v="1507093200"/>
    <x v="178"/>
    <n v="15086484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x v="3"/>
    <s v="DKK"/>
    <n v="727.005"/>
    <n v="1560574800"/>
    <x v="179"/>
    <n v="15619572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x v="0"/>
    <s v="CAD"/>
    <n v="727.005"/>
    <n v="1284008400"/>
    <x v="180"/>
    <n v="128513160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x v="1"/>
    <s v="USD"/>
    <n v="727.005"/>
    <n v="1556859600"/>
    <x v="181"/>
    <n v="1556946000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x v="1"/>
    <s v="USD"/>
    <n v="727.005"/>
    <n v="1526187600"/>
    <x v="182"/>
    <n v="1527138000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x v="1"/>
    <s v="USD"/>
    <n v="727.005"/>
    <n v="1400821200"/>
    <x v="183"/>
    <n v="1402117200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x v="0"/>
    <s v="CAD"/>
    <n v="727.005"/>
    <n v="1361599200"/>
    <x v="184"/>
    <n v="13640148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x v="6"/>
    <s v="EUR"/>
    <n v="727.005"/>
    <n v="1417500000"/>
    <x v="185"/>
    <n v="1417586400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x v="1"/>
    <s v="USD"/>
    <n v="727.005"/>
    <n v="1457071200"/>
    <x v="186"/>
    <n v="1457071200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x v="1"/>
    <s v="USD"/>
    <n v="727.005"/>
    <n v="1370322000"/>
    <x v="187"/>
    <n v="1370408400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x v="6"/>
    <s v="EUR"/>
    <n v="727.005"/>
    <n v="1552366800"/>
    <x v="188"/>
    <n v="1552626000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x v="1"/>
    <s v="USD"/>
    <n v="727.005"/>
    <n v="1403845200"/>
    <x v="189"/>
    <n v="1404190800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x v="1"/>
    <s v="USD"/>
    <n v="727.005"/>
    <n v="1523163600"/>
    <x v="190"/>
    <n v="152350920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x v="1"/>
    <s v="USD"/>
    <n v="727.005"/>
    <n v="1442206800"/>
    <x v="191"/>
    <n v="1443589200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x v="1"/>
    <s v="USD"/>
    <n v="727.005"/>
    <n v="1532840400"/>
    <x v="192"/>
    <n v="1533445200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x v="3"/>
    <s v="DKK"/>
    <n v="727.005"/>
    <n v="1472878800"/>
    <x v="173"/>
    <n v="1474520400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x v="1"/>
    <s v="USD"/>
    <n v="727.005"/>
    <n v="1498194000"/>
    <x v="193"/>
    <n v="14994036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x v="1"/>
    <s v="USD"/>
    <n v="727.005"/>
    <n v="1281070800"/>
    <x v="194"/>
    <n v="1283576400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x v="1"/>
    <s v="USD"/>
    <n v="727.005"/>
    <n v="1436245200"/>
    <x v="195"/>
    <n v="1436590800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x v="0"/>
    <s v="CAD"/>
    <n v="727.005"/>
    <n v="1269493200"/>
    <x v="152"/>
    <n v="12704436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x v="1"/>
    <s v="USD"/>
    <n v="727.005"/>
    <n v="1406264400"/>
    <x v="196"/>
    <n v="1407819600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x v="1"/>
    <s v="USD"/>
    <n v="727.005"/>
    <n v="1317531600"/>
    <x v="197"/>
    <n v="13178772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x v="2"/>
    <s v="AUD"/>
    <n v="727.005"/>
    <n v="1484632800"/>
    <x v="198"/>
    <n v="1484805600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x v="1"/>
    <s v="USD"/>
    <n v="727.005"/>
    <n v="1301806800"/>
    <x v="199"/>
    <n v="1302670800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x v="1"/>
    <s v="USD"/>
    <n v="727.005"/>
    <n v="1539752400"/>
    <x v="200"/>
    <n v="15407892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x v="1"/>
    <s v="USD"/>
    <n v="727.005"/>
    <n v="1267250400"/>
    <x v="201"/>
    <n v="1268028000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x v="1"/>
    <s v="USD"/>
    <n v="727.005"/>
    <n v="1535432400"/>
    <x v="202"/>
    <n v="1537160400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x v="1"/>
    <s v="USD"/>
    <n v="727.005"/>
    <n v="1510207200"/>
    <x v="203"/>
    <n v="1512280800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x v="2"/>
    <s v="AUD"/>
    <n v="727.005"/>
    <n v="1462510800"/>
    <x v="204"/>
    <n v="1463115600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x v="3"/>
    <s v="DKK"/>
    <n v="727.005"/>
    <n v="1488520800"/>
    <x v="205"/>
    <n v="14908500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x v="1"/>
    <s v="USD"/>
    <n v="727.005"/>
    <n v="1377579600"/>
    <x v="206"/>
    <n v="1379653200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x v="1"/>
    <s v="USD"/>
    <n v="727.005"/>
    <n v="1576389600"/>
    <x v="207"/>
    <n v="1580364000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x v="1"/>
    <s v="USD"/>
    <n v="727.005"/>
    <n v="1289019600"/>
    <x v="208"/>
    <n v="1289714400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x v="1"/>
    <s v="USD"/>
    <n v="727.005"/>
    <n v="1282194000"/>
    <x v="209"/>
    <n v="12827124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x v="1"/>
    <s v="USD"/>
    <n v="727.005"/>
    <n v="1550037600"/>
    <x v="210"/>
    <n v="155021040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x v="1"/>
    <s v="USD"/>
    <n v="727.005"/>
    <n v="1321941600"/>
    <x v="211"/>
    <n v="1322114400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x v="1"/>
    <s v="USD"/>
    <n v="727.005"/>
    <n v="1556427600"/>
    <x v="212"/>
    <n v="15572052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x v="4"/>
    <s v="GBP"/>
    <n v="727.005"/>
    <n v="1320991200"/>
    <x v="213"/>
    <n v="1323928800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x v="1"/>
    <s v="USD"/>
    <n v="727.005"/>
    <n v="1345093200"/>
    <x v="214"/>
    <n v="1346130000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x v="1"/>
    <s v="USD"/>
    <n v="727.005"/>
    <n v="1309496400"/>
    <x v="215"/>
    <n v="1311051600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x v="1"/>
    <s v="USD"/>
    <n v="727.005"/>
    <n v="1340254800"/>
    <x v="216"/>
    <n v="1340427600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x v="1"/>
    <s v="USD"/>
    <n v="727.005"/>
    <n v="1412226000"/>
    <x v="217"/>
    <n v="14123124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x v="1"/>
    <s v="USD"/>
    <n v="727.005"/>
    <n v="1458104400"/>
    <x v="218"/>
    <n v="1459314000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x v="1"/>
    <s v="USD"/>
    <n v="727.005"/>
    <n v="1411534800"/>
    <x v="219"/>
    <n v="14154264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x v="1"/>
    <s v="USD"/>
    <n v="727.005"/>
    <n v="1399093200"/>
    <x v="220"/>
    <n v="139909320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x v="1"/>
    <s v="USD"/>
    <n v="727.005"/>
    <n v="1270702800"/>
    <x v="221"/>
    <n v="12738996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x v="1"/>
    <s v="USD"/>
    <n v="727.005"/>
    <n v="1431666000"/>
    <x v="222"/>
    <n v="1432184400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x v="1"/>
    <s v="USD"/>
    <n v="727.005"/>
    <n v="1472619600"/>
    <x v="172"/>
    <n v="147477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x v="1"/>
    <s v="USD"/>
    <n v="727.005"/>
    <n v="1496293200"/>
    <x v="223"/>
    <n v="1500440400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x v="1"/>
    <s v="USD"/>
    <n v="727.005"/>
    <n v="1575612000"/>
    <x v="224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x v="1"/>
    <s v="USD"/>
    <n v="727.005"/>
    <n v="1369112400"/>
    <x v="225"/>
    <n v="1374123600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x v="1"/>
    <s v="USD"/>
    <n v="727.005"/>
    <n v="1469422800"/>
    <x v="226"/>
    <n v="1469509200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x v="1"/>
    <s v="USD"/>
    <n v="727.005"/>
    <n v="1307854800"/>
    <x v="227"/>
    <n v="1309237200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x v="6"/>
    <s v="EUR"/>
    <n v="727.005"/>
    <n v="1503378000"/>
    <x v="228"/>
    <n v="15039828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x v="1"/>
    <s v="USD"/>
    <n v="727.005"/>
    <n v="1486965600"/>
    <x v="229"/>
    <n v="1487397600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x v="2"/>
    <s v="AUD"/>
    <n v="727.005"/>
    <n v="1561438800"/>
    <x v="230"/>
    <n v="156204360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x v="1"/>
    <s v="USD"/>
    <n v="727.005"/>
    <n v="1398402000"/>
    <x v="231"/>
    <n v="13985748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x v="3"/>
    <s v="DKK"/>
    <n v="727.005"/>
    <n v="1513231200"/>
    <x v="232"/>
    <n v="1515391200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x v="1"/>
    <s v="USD"/>
    <n v="727.005"/>
    <n v="1440824400"/>
    <x v="233"/>
    <n v="1441170000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x v="1"/>
    <s v="USD"/>
    <n v="727.005"/>
    <n v="1281070800"/>
    <x v="194"/>
    <n v="1281157200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x v="2"/>
    <s v="AUD"/>
    <n v="727.005"/>
    <n v="1397365200"/>
    <x v="234"/>
    <n v="1398229200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x v="1"/>
    <s v="USD"/>
    <n v="727.005"/>
    <n v="1494392400"/>
    <x v="235"/>
    <n v="1495256400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x v="1"/>
    <s v="USD"/>
    <n v="727.005"/>
    <n v="1520143200"/>
    <x v="236"/>
    <n v="1520402400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x v="1"/>
    <s v="USD"/>
    <n v="727.005"/>
    <n v="1405314000"/>
    <x v="237"/>
    <n v="1409806800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x v="1"/>
    <s v="USD"/>
    <n v="727.005"/>
    <n v="1396846800"/>
    <x v="238"/>
    <n v="1396933200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x v="1"/>
    <s v="USD"/>
    <n v="727.005"/>
    <n v="1375678800"/>
    <x v="239"/>
    <n v="13760244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x v="1"/>
    <s v="USD"/>
    <n v="727.005"/>
    <n v="1482386400"/>
    <x v="240"/>
    <n v="148368240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x v="2"/>
    <s v="AUD"/>
    <n v="727.005"/>
    <n v="1420005600"/>
    <x v="241"/>
    <n v="1420437600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x v="1"/>
    <s v="USD"/>
    <n v="727.005"/>
    <n v="1420178400"/>
    <x v="242"/>
    <n v="1420783200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x v="1"/>
    <s v="USD"/>
    <n v="727.005"/>
    <n v="1264399200"/>
    <x v="67"/>
    <n v="1267423200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x v="1"/>
    <s v="USD"/>
    <n v="727.005"/>
    <n v="1355032800"/>
    <x v="243"/>
    <n v="1355205600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x v="1"/>
    <s v="USD"/>
    <n v="727.005"/>
    <n v="1382677200"/>
    <x v="244"/>
    <n v="1383109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x v="0"/>
    <s v="CAD"/>
    <n v="727.005"/>
    <n v="1302238800"/>
    <x v="245"/>
    <n v="1303275600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x v="1"/>
    <s v="USD"/>
    <n v="727.005"/>
    <n v="1487656800"/>
    <x v="246"/>
    <n v="14878296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x v="1"/>
    <s v="USD"/>
    <n v="727.005"/>
    <n v="1297836000"/>
    <x v="247"/>
    <n v="1298268000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x v="4"/>
    <s v="GBP"/>
    <n v="727.005"/>
    <n v="1453615200"/>
    <x v="248"/>
    <n v="1456812000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x v="1"/>
    <s v="USD"/>
    <n v="727.005"/>
    <n v="1362463200"/>
    <x v="249"/>
    <n v="1363669200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x v="1"/>
    <s v="USD"/>
    <n v="727.005"/>
    <n v="1481176800"/>
    <x v="250"/>
    <n v="148290480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x v="1"/>
    <s v="USD"/>
    <n v="727.005"/>
    <n v="1354946400"/>
    <x v="251"/>
    <n v="1356588000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x v="1"/>
    <s v="USD"/>
    <n v="727.005"/>
    <n v="1348808400"/>
    <x v="136"/>
    <n v="1349845200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x v="1"/>
    <s v="USD"/>
    <n v="727.005"/>
    <n v="1282712400"/>
    <x v="252"/>
    <n v="1283058000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x v="1"/>
    <s v="USD"/>
    <n v="727.005"/>
    <n v="1301979600"/>
    <x v="253"/>
    <n v="1304226000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x v="1"/>
    <s v="USD"/>
    <n v="727.005"/>
    <n v="1263016800"/>
    <x v="254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x v="1"/>
    <s v="USD"/>
    <n v="727.005"/>
    <n v="1360648800"/>
    <x v="255"/>
    <n v="1362031200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x v="1"/>
    <s v="USD"/>
    <n v="727.005"/>
    <n v="1451800800"/>
    <x v="256"/>
    <n v="1455602400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x v="6"/>
    <s v="EUR"/>
    <n v="727.005"/>
    <n v="1415340000"/>
    <x v="257"/>
    <n v="1418191200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x v="2"/>
    <s v="AUD"/>
    <n v="727.005"/>
    <n v="1351054800"/>
    <x v="258"/>
    <n v="1352440800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x v="1"/>
    <s v="USD"/>
    <n v="727.005"/>
    <n v="1349326800"/>
    <x v="259"/>
    <n v="1353304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x v="1"/>
    <s v="USD"/>
    <n v="727.005"/>
    <n v="1548914400"/>
    <x v="260"/>
    <n v="15507288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x v="1"/>
    <s v="USD"/>
    <n v="727.005"/>
    <n v="1291269600"/>
    <x v="261"/>
    <n v="12914424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x v="1"/>
    <s v="USD"/>
    <n v="727.005"/>
    <n v="1449468000"/>
    <x v="262"/>
    <n v="14521464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x v="1"/>
    <s v="USD"/>
    <n v="727.005"/>
    <n v="1562734800"/>
    <x v="263"/>
    <n v="1564894800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x v="0"/>
    <s v="CAD"/>
    <n v="727.005"/>
    <n v="1505624400"/>
    <x v="264"/>
    <n v="1505883600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x v="1"/>
    <s v="USD"/>
    <n v="727.005"/>
    <n v="1509948000"/>
    <x v="265"/>
    <n v="1510380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x v="1"/>
    <s v="USD"/>
    <n v="727.005"/>
    <n v="1554526800"/>
    <x v="266"/>
    <n v="1555218000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x v="1"/>
    <s v="USD"/>
    <n v="727.005"/>
    <n v="1334811600"/>
    <x v="267"/>
    <n v="1335243600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x v="1"/>
    <s v="USD"/>
    <n v="727.005"/>
    <n v="1279515600"/>
    <x v="268"/>
    <n v="1279688400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x v="1"/>
    <s v="USD"/>
    <n v="727.005"/>
    <n v="1353909600"/>
    <x v="269"/>
    <n v="1356069600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x v="1"/>
    <s v="USD"/>
    <n v="727.005"/>
    <n v="1535950800"/>
    <x v="270"/>
    <n v="153621000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x v="1"/>
    <s v="USD"/>
    <n v="727.005"/>
    <n v="1511244000"/>
    <x v="271"/>
    <n v="1511762400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x v="1"/>
    <s v="USD"/>
    <n v="727.005"/>
    <n v="1331445600"/>
    <x v="272"/>
    <n v="1333256400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x v="1"/>
    <s v="USD"/>
    <n v="727.005"/>
    <n v="1480226400"/>
    <x v="73"/>
    <n v="14807448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x v="3"/>
    <s v="DKK"/>
    <n v="727.005"/>
    <n v="1464584400"/>
    <x v="273"/>
    <n v="1465016400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x v="1"/>
    <s v="USD"/>
    <n v="727.005"/>
    <n v="1335848400"/>
    <x v="274"/>
    <n v="1336280400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x v="1"/>
    <s v="USD"/>
    <n v="727.005"/>
    <n v="1473483600"/>
    <x v="275"/>
    <n v="1476766800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x v="1"/>
    <s v="USD"/>
    <n v="727.005"/>
    <n v="1479880800"/>
    <x v="276"/>
    <n v="1480485600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x v="1"/>
    <s v="USD"/>
    <n v="727.005"/>
    <n v="1430197200"/>
    <x v="277"/>
    <n v="1430197200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x v="3"/>
    <s v="DKK"/>
    <n v="727.005"/>
    <n v="1331701200"/>
    <x v="278"/>
    <n v="1331787600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x v="0"/>
    <s v="CAD"/>
    <n v="727.005"/>
    <n v="1438578000"/>
    <x v="279"/>
    <n v="1438837200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x v="1"/>
    <s v="USD"/>
    <n v="727.005"/>
    <n v="1368162000"/>
    <x v="280"/>
    <n v="13709268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x v="1"/>
    <s v="USD"/>
    <n v="727.005"/>
    <n v="1318654800"/>
    <x v="281"/>
    <n v="1319000400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x v="1"/>
    <s v="USD"/>
    <n v="727.005"/>
    <n v="1331874000"/>
    <x v="282"/>
    <n v="1333429200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x v="6"/>
    <s v="EUR"/>
    <n v="727.005"/>
    <n v="1286254800"/>
    <x v="283"/>
    <n v="1287032400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x v="1"/>
    <s v="USD"/>
    <n v="727.005"/>
    <n v="1540530000"/>
    <x v="284"/>
    <n v="15415704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x v="5"/>
    <s v="CHF"/>
    <n v="727.005"/>
    <n v="1381813200"/>
    <x v="285"/>
    <n v="1383976800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x v="2"/>
    <s v="AUD"/>
    <n v="727.005"/>
    <n v="1548655200"/>
    <x v="286"/>
    <n v="1550556000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x v="2"/>
    <s v="AUD"/>
    <n v="727.005"/>
    <n v="1389679200"/>
    <x v="287"/>
    <n v="1390456800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x v="1"/>
    <s v="USD"/>
    <n v="727.005"/>
    <n v="1456466400"/>
    <x v="288"/>
    <n v="1458018000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x v="1"/>
    <s v="USD"/>
    <n v="727.005"/>
    <n v="1456984800"/>
    <x v="289"/>
    <n v="1461819600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x v="3"/>
    <s v="DKK"/>
    <n v="727.005"/>
    <n v="1504069200"/>
    <x v="290"/>
    <n v="150415560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x v="1"/>
    <s v="USD"/>
    <n v="727.005"/>
    <n v="1424930400"/>
    <x v="291"/>
    <n v="14263956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x v="1"/>
    <s v="USD"/>
    <n v="727.005"/>
    <n v="1535864400"/>
    <x v="292"/>
    <n v="1537074000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x v="1"/>
    <s v="USD"/>
    <n v="727.005"/>
    <n v="1452146400"/>
    <x v="293"/>
    <n v="1452578400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x v="1"/>
    <s v="USD"/>
    <n v="727.005"/>
    <n v="1470546000"/>
    <x v="294"/>
    <n v="1474088400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x v="1"/>
    <s v="USD"/>
    <n v="727.005"/>
    <n v="1458363600"/>
    <x v="295"/>
    <n v="14619060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x v="1"/>
    <s v="USD"/>
    <n v="727.005"/>
    <n v="1500008400"/>
    <x v="296"/>
    <n v="1500267600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x v="3"/>
    <s v="DKK"/>
    <n v="727.005"/>
    <n v="1338958800"/>
    <x v="297"/>
    <n v="1340686800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x v="1"/>
    <s v="USD"/>
    <n v="727.005"/>
    <n v="1303102800"/>
    <x v="298"/>
    <n v="1303189200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x v="1"/>
    <s v="USD"/>
    <n v="727.005"/>
    <n v="1316581200"/>
    <x v="299"/>
    <n v="1318309200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x v="1"/>
    <s v="USD"/>
    <n v="727.005"/>
    <n v="1270789200"/>
    <x v="300"/>
    <n v="12721716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x v="1"/>
    <s v="USD"/>
    <n v="727.005"/>
    <n v="1297836000"/>
    <x v="247"/>
    <n v="1298872800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x v="1"/>
    <s v="USD"/>
    <n v="727.005"/>
    <n v="1382677200"/>
    <x v="244"/>
    <n v="1383282000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x v="1"/>
    <s v="USD"/>
    <n v="727.005"/>
    <n v="1330322400"/>
    <x v="301"/>
    <n v="1330495200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x v="1"/>
    <s v="USD"/>
    <n v="727.005"/>
    <n v="1552366800"/>
    <x v="188"/>
    <n v="1552798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x v="1"/>
    <s v="USD"/>
    <n v="727.005"/>
    <n v="1400907600"/>
    <x v="302"/>
    <n v="1403413200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x v="6"/>
    <s v="EUR"/>
    <n v="727.005"/>
    <n v="1574143200"/>
    <x v="303"/>
    <n v="1574229600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x v="1"/>
    <s v="USD"/>
    <n v="727.005"/>
    <n v="1494738000"/>
    <x v="304"/>
    <n v="1495861200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x v="1"/>
    <s v="USD"/>
    <n v="727.005"/>
    <n v="1392357600"/>
    <x v="305"/>
    <n v="1392530400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x v="1"/>
    <s v="USD"/>
    <n v="727.005"/>
    <n v="1281589200"/>
    <x v="306"/>
    <n v="1283662800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x v="1"/>
    <s v="USD"/>
    <n v="727.005"/>
    <n v="1305003600"/>
    <x v="307"/>
    <n v="13057812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x v="1"/>
    <s v="USD"/>
    <n v="727.005"/>
    <n v="1301634000"/>
    <x v="308"/>
    <n v="13023252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x v="1"/>
    <s v="USD"/>
    <n v="727.005"/>
    <n v="1290664800"/>
    <x v="309"/>
    <n v="1291788000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x v="4"/>
    <s v="GBP"/>
    <n v="727.005"/>
    <n v="1395896400"/>
    <x v="310"/>
    <n v="13960692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x v="1"/>
    <s v="USD"/>
    <n v="727.005"/>
    <n v="1434862800"/>
    <x v="311"/>
    <n v="1435899600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x v="1"/>
    <s v="USD"/>
    <n v="727.005"/>
    <n v="1529125200"/>
    <x v="79"/>
    <n v="1531112400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x v="1"/>
    <s v="USD"/>
    <n v="727.005"/>
    <n v="1451109600"/>
    <x v="312"/>
    <n v="14516280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x v="1"/>
    <s v="USD"/>
    <n v="727.005"/>
    <n v="1566968400"/>
    <x v="313"/>
    <n v="1567314000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x v="1"/>
    <s v="USD"/>
    <n v="727.005"/>
    <n v="1543557600"/>
    <x v="314"/>
    <n v="1544508000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x v="1"/>
    <s v="USD"/>
    <n v="727.005"/>
    <n v="1481522400"/>
    <x v="315"/>
    <n v="1482472800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x v="4"/>
    <s v="GBP"/>
    <n v="727.005"/>
    <n v="1512712800"/>
    <x v="316"/>
    <n v="1512799200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x v="1"/>
    <s v="USD"/>
    <n v="727.005"/>
    <n v="1324274400"/>
    <x v="317"/>
    <n v="13243608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x v="1"/>
    <s v="USD"/>
    <n v="727.005"/>
    <n v="1364446800"/>
    <x v="318"/>
    <n v="13645332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x v="1"/>
    <s v="USD"/>
    <n v="727.005"/>
    <n v="1542693600"/>
    <x v="319"/>
    <n v="1545112800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x v="1"/>
    <s v="USD"/>
    <n v="727.005"/>
    <n v="1515564000"/>
    <x v="32"/>
    <n v="1516168800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x v="1"/>
    <s v="USD"/>
    <n v="727.005"/>
    <n v="1573797600"/>
    <x v="320"/>
    <n v="157492080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x v="1"/>
    <s v="USD"/>
    <n v="727.005"/>
    <n v="1292392800"/>
    <x v="321"/>
    <n v="1292479200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x v="1"/>
    <s v="USD"/>
    <n v="727.005"/>
    <n v="1573452000"/>
    <x v="322"/>
    <n v="1573538400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x v="1"/>
    <s v="USD"/>
    <n v="727.005"/>
    <n v="1317790800"/>
    <x v="323"/>
    <n v="1320382800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x v="0"/>
    <s v="CAD"/>
    <n v="727.005"/>
    <n v="1501650000"/>
    <x v="324"/>
    <n v="1502859600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x v="1"/>
    <s v="USD"/>
    <n v="727.005"/>
    <n v="1323669600"/>
    <x v="325"/>
    <n v="13237560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x v="1"/>
    <s v="USD"/>
    <n v="727.005"/>
    <n v="1440738000"/>
    <x v="326"/>
    <n v="1441342800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x v="1"/>
    <s v="USD"/>
    <n v="727.005"/>
    <n v="1374296400"/>
    <x v="327"/>
    <n v="1375333200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x v="1"/>
    <s v="USD"/>
    <n v="727.005"/>
    <n v="1384840800"/>
    <x v="328"/>
    <n v="1389420000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x v="1"/>
    <s v="USD"/>
    <n v="727.005"/>
    <n v="1516600800"/>
    <x v="329"/>
    <n v="1520056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x v="4"/>
    <s v="GBP"/>
    <n v="727.005"/>
    <n v="1436418000"/>
    <x v="330"/>
    <n v="143650440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x v="1"/>
    <s v="USD"/>
    <n v="727.005"/>
    <n v="1503550800"/>
    <x v="331"/>
    <n v="1508302800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x v="1"/>
    <s v="USD"/>
    <n v="727.005"/>
    <n v="1423634400"/>
    <x v="332"/>
    <n v="1425708000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x v="1"/>
    <s v="USD"/>
    <n v="727.005"/>
    <n v="1487224800"/>
    <x v="333"/>
    <n v="1488348000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x v="1"/>
    <s v="USD"/>
    <n v="727.005"/>
    <n v="1500008400"/>
    <x v="296"/>
    <n v="1502600400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x v="1"/>
    <s v="USD"/>
    <n v="727.005"/>
    <n v="1432098000"/>
    <x v="334"/>
    <n v="1433653200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x v="1"/>
    <s v="USD"/>
    <n v="727.005"/>
    <n v="1440392400"/>
    <x v="335"/>
    <n v="1441602000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x v="0"/>
    <s v="CAD"/>
    <n v="727.005"/>
    <n v="1446876000"/>
    <x v="336"/>
    <n v="1447567200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x v="1"/>
    <s v="USD"/>
    <n v="727.005"/>
    <n v="1562302800"/>
    <x v="337"/>
    <n v="1562389200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x v="3"/>
    <s v="DKK"/>
    <n v="727.005"/>
    <n v="1378184400"/>
    <x v="338"/>
    <n v="1378789200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x v="1"/>
    <s v="USD"/>
    <n v="727.005"/>
    <n v="1485064800"/>
    <x v="339"/>
    <n v="1488520800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x v="6"/>
    <s v="EUR"/>
    <n v="727.005"/>
    <n v="1326520800"/>
    <x v="340"/>
    <n v="132729840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x v="1"/>
    <s v="USD"/>
    <n v="727.005"/>
    <n v="1441256400"/>
    <x v="341"/>
    <n v="1443416400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x v="0"/>
    <s v="CAD"/>
    <n v="727.005"/>
    <n v="1533877200"/>
    <x v="342"/>
    <n v="15341364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x v="1"/>
    <s v="USD"/>
    <n v="727.005"/>
    <n v="1314421200"/>
    <x v="343"/>
    <n v="13150260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x v="4"/>
    <s v="GBP"/>
    <n v="727.005"/>
    <n v="1293861600"/>
    <x v="344"/>
    <n v="1295071200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x v="1"/>
    <s v="USD"/>
    <n v="727.005"/>
    <n v="1507352400"/>
    <x v="345"/>
    <n v="1509426000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x v="1"/>
    <s v="USD"/>
    <n v="727.005"/>
    <n v="1296108000"/>
    <x v="65"/>
    <n v="1299391200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x v="1"/>
    <s v="USD"/>
    <n v="727.005"/>
    <n v="1324965600"/>
    <x v="346"/>
    <n v="1325052000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x v="1"/>
    <s v="USD"/>
    <n v="727.005"/>
    <n v="1520229600"/>
    <x v="347"/>
    <n v="1522818000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x v="2"/>
    <s v="AUD"/>
    <n v="727.005"/>
    <n v="1482991200"/>
    <x v="348"/>
    <n v="1485324000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x v="1"/>
    <s v="USD"/>
    <n v="727.005"/>
    <n v="1294034400"/>
    <x v="349"/>
    <n v="1294120800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x v="1"/>
    <s v="USD"/>
    <n v="727.005"/>
    <n v="1413608400"/>
    <x v="350"/>
    <n v="141568560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x v="4"/>
    <s v="GBP"/>
    <n v="727.005"/>
    <n v="1286946000"/>
    <x v="351"/>
    <n v="1288933200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x v="1"/>
    <s v="USD"/>
    <n v="727.005"/>
    <n v="1359871200"/>
    <x v="352"/>
    <n v="1363237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x v="1"/>
    <s v="USD"/>
    <n v="727.005"/>
    <n v="1555304400"/>
    <x v="353"/>
    <n v="1555822800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x v="1"/>
    <s v="USD"/>
    <n v="727.005"/>
    <n v="1423375200"/>
    <x v="354"/>
    <n v="1427778000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x v="1"/>
    <s v="USD"/>
    <n v="727.005"/>
    <n v="1420696800"/>
    <x v="355"/>
    <n v="1422424800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x v="1"/>
    <s v="USD"/>
    <n v="727.005"/>
    <n v="1502946000"/>
    <x v="356"/>
    <n v="1503637200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x v="1"/>
    <s v="USD"/>
    <n v="727.005"/>
    <n v="1547186400"/>
    <x v="357"/>
    <n v="1547618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x v="1"/>
    <s v="USD"/>
    <n v="727.005"/>
    <n v="1444971600"/>
    <x v="358"/>
    <n v="1449900000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x v="1"/>
    <s v="USD"/>
    <n v="727.005"/>
    <n v="1404622800"/>
    <x v="359"/>
    <n v="1405141200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x v="1"/>
    <s v="USD"/>
    <n v="727.005"/>
    <n v="1571720400"/>
    <x v="12"/>
    <n v="1572933600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x v="1"/>
    <s v="USD"/>
    <n v="727.005"/>
    <n v="1526878800"/>
    <x v="360"/>
    <n v="15301620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x v="4"/>
    <s v="GBP"/>
    <n v="727.005"/>
    <n v="1319691600"/>
    <x v="361"/>
    <n v="13209048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x v="1"/>
    <s v="USD"/>
    <n v="727.005"/>
    <n v="1371963600"/>
    <x v="362"/>
    <n v="1372395600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x v="1"/>
    <s v="USD"/>
    <n v="727.005"/>
    <n v="1433739600"/>
    <x v="363"/>
    <n v="1437714000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x v="1"/>
    <s v="USD"/>
    <n v="727.005"/>
    <n v="1508130000"/>
    <x v="364"/>
    <n v="1509771600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x v="1"/>
    <s v="USD"/>
    <n v="727.005"/>
    <n v="1550037600"/>
    <x v="210"/>
    <n v="155055600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x v="1"/>
    <s v="USD"/>
    <n v="727.005"/>
    <n v="1486706400"/>
    <x v="365"/>
    <n v="14890392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x v="1"/>
    <s v="USD"/>
    <n v="727.005"/>
    <n v="1553835600"/>
    <x v="366"/>
    <n v="15566004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x v="1"/>
    <s v="USD"/>
    <n v="727.005"/>
    <n v="1277528400"/>
    <x v="367"/>
    <n v="1278565200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x v="1"/>
    <s v="USD"/>
    <n v="727.005"/>
    <n v="1339477200"/>
    <x v="368"/>
    <n v="1339909200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x v="5"/>
    <s v="CHF"/>
    <n v="727.005"/>
    <n v="1325656800"/>
    <x v="369"/>
    <n v="1325829600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x v="1"/>
    <s v="USD"/>
    <n v="727.005"/>
    <n v="1288242000"/>
    <x v="370"/>
    <n v="129057840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x v="1"/>
    <s v="USD"/>
    <n v="727.005"/>
    <n v="1379048400"/>
    <x v="371"/>
    <n v="1380344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x v="1"/>
    <s v="USD"/>
    <n v="727.005"/>
    <n v="1389679200"/>
    <x v="287"/>
    <n v="13898520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x v="1"/>
    <s v="USD"/>
    <n v="727.005"/>
    <n v="1294293600"/>
    <x v="372"/>
    <n v="12944664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x v="0"/>
    <s v="CAD"/>
    <n v="727.005"/>
    <n v="1500267600"/>
    <x v="373"/>
    <n v="1500354000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x v="1"/>
    <s v="USD"/>
    <n v="727.005"/>
    <n v="1375074000"/>
    <x v="374"/>
    <n v="1375938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x v="1"/>
    <s v="USD"/>
    <n v="727.005"/>
    <n v="1323324000"/>
    <x v="375"/>
    <n v="1323410400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x v="2"/>
    <s v="AUD"/>
    <n v="727.005"/>
    <n v="1538715600"/>
    <x v="376"/>
    <n v="1539406800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x v="1"/>
    <s v="USD"/>
    <n v="727.005"/>
    <n v="1369285200"/>
    <x v="377"/>
    <n v="1369803600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x v="6"/>
    <s v="EUR"/>
    <n v="727.005"/>
    <n v="1525755600"/>
    <x v="378"/>
    <n v="15259284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x v="1"/>
    <s v="USD"/>
    <n v="727.005"/>
    <n v="1296626400"/>
    <x v="379"/>
    <n v="1297231200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x v="1"/>
    <s v="USD"/>
    <n v="727.005"/>
    <n v="1376629200"/>
    <x v="380"/>
    <n v="137853000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x v="1"/>
    <s v="USD"/>
    <n v="727.005"/>
    <n v="1572152400"/>
    <x v="381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x v="1"/>
    <s v="USD"/>
    <n v="727.005"/>
    <n v="1325829600"/>
    <x v="382"/>
    <n v="1329890400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x v="0"/>
    <s v="CAD"/>
    <n v="727.005"/>
    <n v="1273640400"/>
    <x v="125"/>
    <n v="1276750800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x v="1"/>
    <s v="USD"/>
    <n v="727.005"/>
    <n v="1510639200"/>
    <x v="383"/>
    <n v="1510898400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x v="1"/>
    <s v="USD"/>
    <n v="727.005"/>
    <n v="1528088400"/>
    <x v="384"/>
    <n v="1532408400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x v="1"/>
    <s v="USD"/>
    <n v="727.005"/>
    <n v="1359525600"/>
    <x v="385"/>
    <n v="1360562400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x v="3"/>
    <s v="DKK"/>
    <n v="727.005"/>
    <n v="1570942800"/>
    <x v="386"/>
    <n v="1571547600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x v="0"/>
    <s v="CAD"/>
    <n v="727.005"/>
    <n v="1466398800"/>
    <x v="387"/>
    <n v="1468126800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x v="1"/>
    <s v="USD"/>
    <n v="727.005"/>
    <n v="1492491600"/>
    <x v="388"/>
    <n v="1492837200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x v="1"/>
    <s v="USD"/>
    <n v="727.005"/>
    <n v="1430197200"/>
    <x v="277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x v="1"/>
    <s v="USD"/>
    <n v="727.005"/>
    <n v="1496034000"/>
    <x v="389"/>
    <n v="1496206800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x v="1"/>
    <s v="USD"/>
    <n v="727.005"/>
    <n v="1388728800"/>
    <x v="390"/>
    <n v="138959280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x v="1"/>
    <s v="USD"/>
    <n v="727.005"/>
    <n v="1543298400"/>
    <x v="391"/>
    <n v="15456312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x v="1"/>
    <s v="USD"/>
    <n v="727.005"/>
    <n v="1271739600"/>
    <x v="392"/>
    <n v="1272430800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x v="1"/>
    <s v="USD"/>
    <n v="727.005"/>
    <n v="1326434400"/>
    <x v="393"/>
    <n v="1327903200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x v="1"/>
    <s v="USD"/>
    <n v="727.005"/>
    <n v="1295244000"/>
    <x v="394"/>
    <n v="1296021600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x v="1"/>
    <s v="USD"/>
    <n v="727.005"/>
    <n v="1541221200"/>
    <x v="395"/>
    <n v="1543298400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x v="0"/>
    <s v="CAD"/>
    <n v="727.005"/>
    <n v="1336280400"/>
    <x v="396"/>
    <n v="1336366800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x v="1"/>
    <s v="USD"/>
    <n v="727.005"/>
    <n v="1324533600"/>
    <x v="397"/>
    <n v="1325052000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x v="1"/>
    <s v="USD"/>
    <n v="727.005"/>
    <n v="1498366800"/>
    <x v="398"/>
    <n v="1499576400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x v="1"/>
    <s v="USD"/>
    <n v="727.005"/>
    <n v="1498712400"/>
    <x v="399"/>
    <n v="1501304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x v="1"/>
    <s v="USD"/>
    <n v="727.005"/>
    <n v="1271480400"/>
    <x v="400"/>
    <n v="1273208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x v="1"/>
    <s v="USD"/>
    <n v="727.005"/>
    <n v="1316667600"/>
    <x v="116"/>
    <n v="1316840400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x v="1"/>
    <s v="USD"/>
    <n v="727.005"/>
    <n v="1524027600"/>
    <x v="401"/>
    <n v="1524546000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x v="1"/>
    <s v="USD"/>
    <n v="727.005"/>
    <n v="1438059600"/>
    <x v="402"/>
    <n v="1438578000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x v="1"/>
    <s v="USD"/>
    <n v="727.005"/>
    <n v="1361944800"/>
    <x v="403"/>
    <n v="1362549600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x v="1"/>
    <s v="USD"/>
    <n v="727.005"/>
    <n v="1410584400"/>
    <x v="404"/>
    <n v="1413349200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x v="1"/>
    <s v="USD"/>
    <n v="727.005"/>
    <n v="1297404000"/>
    <x v="405"/>
    <n v="1298008800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x v="1"/>
    <s v="USD"/>
    <n v="727.005"/>
    <n v="1392012000"/>
    <x v="406"/>
    <n v="1394427600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x v="1"/>
    <s v="USD"/>
    <n v="727.005"/>
    <n v="1569733200"/>
    <x v="407"/>
    <n v="1572670800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x v="1"/>
    <s v="USD"/>
    <n v="727.005"/>
    <n v="1529643600"/>
    <x v="408"/>
    <n v="1531112400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x v="1"/>
    <s v="USD"/>
    <n v="727.005"/>
    <n v="1399006800"/>
    <x v="409"/>
    <n v="1400734800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x v="1"/>
    <s v="USD"/>
    <n v="727.005"/>
    <n v="1385359200"/>
    <x v="410"/>
    <n v="138674160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x v="0"/>
    <s v="CAD"/>
    <n v="727.005"/>
    <n v="1480572000"/>
    <x v="411"/>
    <n v="1481781600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x v="6"/>
    <s v="EUR"/>
    <n v="727.005"/>
    <n v="1418623200"/>
    <x v="412"/>
    <n v="1419660000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x v="1"/>
    <s v="USD"/>
    <n v="727.005"/>
    <n v="1555736400"/>
    <x v="413"/>
    <n v="1555822800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x v="1"/>
    <s v="USD"/>
    <n v="727.005"/>
    <n v="1442120400"/>
    <x v="414"/>
    <n v="14423796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x v="1"/>
    <s v="USD"/>
    <n v="727.005"/>
    <n v="1362376800"/>
    <x v="415"/>
    <n v="1364965200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x v="1"/>
    <s v="USD"/>
    <n v="727.005"/>
    <n v="1478408400"/>
    <x v="416"/>
    <n v="1479016800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x v="1"/>
    <s v="USD"/>
    <n v="727.005"/>
    <n v="1498798800"/>
    <x v="417"/>
    <n v="1499662800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x v="1"/>
    <s v="USD"/>
    <n v="727.005"/>
    <n v="1335416400"/>
    <x v="418"/>
    <n v="13378356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x v="6"/>
    <s v="EUR"/>
    <n v="727.005"/>
    <n v="1504328400"/>
    <x v="419"/>
    <n v="1505710800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x v="1"/>
    <s v="USD"/>
    <n v="727.005"/>
    <n v="1285822800"/>
    <x v="420"/>
    <n v="128746440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x v="1"/>
    <s v="USD"/>
    <n v="727.005"/>
    <n v="1311483600"/>
    <x v="421"/>
    <n v="1311656400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x v="1"/>
    <s v="USD"/>
    <n v="727.005"/>
    <n v="1291356000"/>
    <x v="422"/>
    <n v="1293170400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x v="1"/>
    <s v="USD"/>
    <n v="727.005"/>
    <n v="1355810400"/>
    <x v="423"/>
    <n v="13559832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x v="4"/>
    <s v="GBP"/>
    <n v="727.005"/>
    <n v="1513663200"/>
    <x v="424"/>
    <n v="15150456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x v="1"/>
    <s v="USD"/>
    <n v="727.005"/>
    <n v="1365915600"/>
    <x v="425"/>
    <n v="1366088400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x v="3"/>
    <s v="DKK"/>
    <n v="727.005"/>
    <n v="1551852000"/>
    <x v="426"/>
    <n v="1553317200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x v="0"/>
    <s v="CAD"/>
    <n v="727.005"/>
    <n v="1540098000"/>
    <x v="427"/>
    <n v="1542088800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x v="1"/>
    <s v="USD"/>
    <n v="727.005"/>
    <n v="1500440400"/>
    <x v="428"/>
    <n v="1503118800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x v="1"/>
    <s v="USD"/>
    <n v="727.005"/>
    <n v="1278392400"/>
    <x v="429"/>
    <n v="1278478800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x v="1"/>
    <s v="USD"/>
    <n v="727.005"/>
    <n v="1480572000"/>
    <x v="411"/>
    <n v="1484114400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x v="1"/>
    <s v="USD"/>
    <n v="727.005"/>
    <n v="1382331600"/>
    <x v="430"/>
    <n v="1385445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x v="1"/>
    <s v="USD"/>
    <n v="727.005"/>
    <n v="1316754000"/>
    <x v="431"/>
    <n v="13187412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x v="1"/>
    <s v="USD"/>
    <n v="727.005"/>
    <n v="1518242400"/>
    <x v="432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x v="1"/>
    <s v="USD"/>
    <n v="727.005"/>
    <n v="1476421200"/>
    <x v="433"/>
    <n v="1476594000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x v="1"/>
    <s v="USD"/>
    <n v="727.005"/>
    <n v="1269752400"/>
    <x v="434"/>
    <n v="1273554000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x v="1"/>
    <s v="USD"/>
    <n v="727.005"/>
    <n v="1419746400"/>
    <x v="435"/>
    <n v="142190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x v="1"/>
    <s v="USD"/>
    <n v="727.005"/>
    <n v="1281330000"/>
    <x v="8"/>
    <n v="1281589200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x v="1"/>
    <s v="USD"/>
    <n v="727.005"/>
    <n v="1398661200"/>
    <x v="436"/>
    <n v="1400389200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x v="1"/>
    <s v="USD"/>
    <n v="727.005"/>
    <n v="1359525600"/>
    <x v="385"/>
    <n v="1362808800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x v="1"/>
    <s v="USD"/>
    <n v="727.005"/>
    <n v="1388469600"/>
    <x v="437"/>
    <n v="1388815200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x v="1"/>
    <s v="USD"/>
    <n v="727.005"/>
    <n v="1518328800"/>
    <x v="438"/>
    <n v="1519538400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x v="1"/>
    <s v="USD"/>
    <n v="727.005"/>
    <n v="1517032800"/>
    <x v="439"/>
    <n v="1517810400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x v="1"/>
    <s v="USD"/>
    <n v="727.005"/>
    <n v="1368594000"/>
    <x v="440"/>
    <n v="137058120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x v="0"/>
    <s v="CAD"/>
    <n v="727.005"/>
    <n v="1448258400"/>
    <x v="441"/>
    <n v="1448863200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x v="1"/>
    <s v="USD"/>
    <n v="727.005"/>
    <n v="1555218000"/>
    <x v="442"/>
    <n v="1556600400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x v="1"/>
    <s v="USD"/>
    <n v="727.005"/>
    <n v="1431925200"/>
    <x v="443"/>
    <n v="1432098000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x v="1"/>
    <s v="USD"/>
    <n v="727.005"/>
    <n v="1481522400"/>
    <x v="315"/>
    <n v="1482127200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x v="4"/>
    <s v="GBP"/>
    <n v="727.005"/>
    <n v="1335934800"/>
    <x v="444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x v="1"/>
    <s v="USD"/>
    <n v="727.005"/>
    <n v="1552280400"/>
    <x v="445"/>
    <n v="1556946000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x v="1"/>
    <s v="USD"/>
    <n v="727.005"/>
    <n v="1529989200"/>
    <x v="446"/>
    <n v="1530075600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x v="1"/>
    <s v="USD"/>
    <n v="727.005"/>
    <n v="1418709600"/>
    <x v="447"/>
    <n v="14187960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x v="1"/>
    <s v="USD"/>
    <n v="727.005"/>
    <n v="1372136400"/>
    <x v="448"/>
    <n v="13724820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x v="1"/>
    <s v="USD"/>
    <n v="727.005"/>
    <n v="1533877200"/>
    <x v="342"/>
    <n v="1534395600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x v="1"/>
    <s v="USD"/>
    <n v="727.005"/>
    <n v="1309064400"/>
    <x v="449"/>
    <n v="1311397200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x v="1"/>
    <s v="USD"/>
    <n v="727.005"/>
    <n v="1425877200"/>
    <x v="450"/>
    <n v="142691400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x v="4"/>
    <s v="GBP"/>
    <n v="727.005"/>
    <n v="1501304400"/>
    <x v="451"/>
    <n v="1501477200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x v="1"/>
    <s v="USD"/>
    <n v="727.005"/>
    <n v="1268287200"/>
    <x v="452"/>
    <n v="1269061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x v="1"/>
    <s v="USD"/>
    <n v="727.005"/>
    <n v="1412139600"/>
    <x v="453"/>
    <n v="1415772000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x v="1"/>
    <s v="USD"/>
    <n v="727.005"/>
    <n v="1330063200"/>
    <x v="454"/>
    <n v="1331013600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x v="1"/>
    <s v="USD"/>
    <n v="727.005"/>
    <n v="1576130400"/>
    <x v="455"/>
    <n v="1576735200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x v="4"/>
    <s v="GBP"/>
    <n v="727.005"/>
    <n v="1407128400"/>
    <x v="456"/>
    <n v="1411362000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x v="4"/>
    <s v="GBP"/>
    <n v="727.005"/>
    <n v="1560142800"/>
    <x v="457"/>
    <n v="1563685200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x v="4"/>
    <s v="GBP"/>
    <n v="727.005"/>
    <n v="1520575200"/>
    <x v="458"/>
    <n v="1521867600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x v="1"/>
    <s v="USD"/>
    <n v="727.005"/>
    <n v="1492664400"/>
    <x v="459"/>
    <n v="1495515600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x v="1"/>
    <s v="USD"/>
    <n v="727.005"/>
    <n v="1454479200"/>
    <x v="460"/>
    <n v="145594800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x v="6"/>
    <s v="EUR"/>
    <n v="727.005"/>
    <n v="1281934800"/>
    <x v="461"/>
    <n v="1282366800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x v="1"/>
    <s v="USD"/>
    <n v="727.005"/>
    <n v="1573970400"/>
    <x v="462"/>
    <n v="1574575200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x v="1"/>
    <s v="USD"/>
    <n v="727.005"/>
    <n v="1372654800"/>
    <x v="463"/>
    <n v="1374901200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x v="1"/>
    <s v="USD"/>
    <n v="727.005"/>
    <n v="1275886800"/>
    <x v="464"/>
    <n v="1278910800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x v="1"/>
    <s v="USD"/>
    <n v="727.005"/>
    <n v="1561784400"/>
    <x v="465"/>
    <n v="15629076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x v="1"/>
    <s v="USD"/>
    <n v="727.005"/>
    <n v="1332392400"/>
    <x v="466"/>
    <n v="13324788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x v="3"/>
    <s v="DKK"/>
    <n v="727.005"/>
    <n v="1402376400"/>
    <x v="467"/>
    <n v="1402722000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x v="1"/>
    <s v="USD"/>
    <n v="727.005"/>
    <n v="1495342800"/>
    <x v="468"/>
    <n v="1496811600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x v="1"/>
    <s v="USD"/>
    <n v="727.005"/>
    <n v="1482213600"/>
    <x v="469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x v="3"/>
    <s v="DKK"/>
    <n v="727.005"/>
    <n v="1420092000"/>
    <x v="470"/>
    <n v="142026480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x v="1"/>
    <s v="USD"/>
    <n v="727.005"/>
    <n v="1458018000"/>
    <x v="471"/>
    <n v="1458450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x v="1"/>
    <s v="USD"/>
    <n v="727.005"/>
    <n v="1367384400"/>
    <x v="472"/>
    <n v="1369803600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x v="1"/>
    <s v="USD"/>
    <n v="727.005"/>
    <n v="1363064400"/>
    <x v="473"/>
    <n v="1363237200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x v="2"/>
    <s v="AUD"/>
    <n v="727.005"/>
    <n v="1343365200"/>
    <x v="474"/>
    <n v="1345870800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x v="1"/>
    <s v="USD"/>
    <n v="727.005"/>
    <n v="1435726800"/>
    <x v="72"/>
    <n v="1437454800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x v="6"/>
    <s v="EUR"/>
    <n v="727.005"/>
    <n v="1431925200"/>
    <x v="443"/>
    <n v="1432011600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x v="1"/>
    <s v="USD"/>
    <n v="727.005"/>
    <n v="1362722400"/>
    <x v="475"/>
    <n v="13663476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x v="1"/>
    <s v="USD"/>
    <n v="727.005"/>
    <n v="1511416800"/>
    <x v="81"/>
    <n v="15128856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x v="1"/>
    <s v="USD"/>
    <n v="727.005"/>
    <n v="1365483600"/>
    <x v="476"/>
    <n v="1369717200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x v="1"/>
    <s v="USD"/>
    <n v="727.005"/>
    <n v="1532840400"/>
    <x v="192"/>
    <n v="1534654800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x v="1"/>
    <s v="USD"/>
    <n v="727.005"/>
    <n v="1336194000"/>
    <x v="477"/>
    <n v="1337058000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x v="2"/>
    <s v="AUD"/>
    <n v="727.005"/>
    <n v="1527742800"/>
    <x v="478"/>
    <n v="1529816400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x v="1"/>
    <s v="USD"/>
    <n v="727.005"/>
    <n v="1564030800"/>
    <x v="479"/>
    <n v="1564894800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x v="1"/>
    <s v="USD"/>
    <n v="727.005"/>
    <n v="1404536400"/>
    <x v="480"/>
    <n v="14046228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x v="1"/>
    <s v="USD"/>
    <n v="727.005"/>
    <n v="1284008400"/>
    <x v="180"/>
    <n v="12841812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x v="5"/>
    <s v="CHF"/>
    <n v="727.005"/>
    <n v="1386309600"/>
    <x v="481"/>
    <n v="1386741600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x v="0"/>
    <s v="CAD"/>
    <n v="727.005"/>
    <n v="1324620000"/>
    <x v="482"/>
    <n v="1324792800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x v="1"/>
    <s v="USD"/>
    <n v="727.005"/>
    <n v="1281070800"/>
    <x v="194"/>
    <n v="1284354000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x v="1"/>
    <s v="USD"/>
    <n v="727.005"/>
    <n v="1493960400"/>
    <x v="483"/>
    <n v="1494392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x v="1"/>
    <s v="USD"/>
    <n v="727.005"/>
    <n v="1519365600"/>
    <x v="484"/>
    <n v="1519538400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x v="1"/>
    <s v="USD"/>
    <n v="727.005"/>
    <n v="1420696800"/>
    <x v="355"/>
    <n v="1421906400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x v="1"/>
    <s v="USD"/>
    <n v="727.005"/>
    <n v="1555650000"/>
    <x v="485"/>
    <n v="1555909200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x v="1"/>
    <s v="USD"/>
    <n v="727.005"/>
    <n v="1471928400"/>
    <x v="486"/>
    <n v="14724468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x v="1"/>
    <s v="USD"/>
    <n v="727.005"/>
    <n v="1341291600"/>
    <x v="487"/>
    <n v="13423284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x v="1"/>
    <s v="USD"/>
    <n v="727.005"/>
    <n v="1267682400"/>
    <x v="488"/>
    <n v="1268114400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x v="1"/>
    <s v="USD"/>
    <n v="727.005"/>
    <n v="1272258000"/>
    <x v="489"/>
    <n v="1273381200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x v="1"/>
    <s v="USD"/>
    <n v="727.005"/>
    <n v="1290492000"/>
    <x v="490"/>
    <n v="12908376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x v="1"/>
    <s v="USD"/>
    <n v="727.005"/>
    <n v="1451109600"/>
    <x v="312"/>
    <n v="1454306400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x v="0"/>
    <s v="CAD"/>
    <n v="727.005"/>
    <n v="1454652000"/>
    <x v="491"/>
    <n v="1457762400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x v="4"/>
    <s v="GBP"/>
    <n v="727.005"/>
    <n v="1385186400"/>
    <x v="492"/>
    <n v="1389074400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x v="1"/>
    <s v="USD"/>
    <n v="727.005"/>
    <n v="1399698000"/>
    <x v="493"/>
    <n v="14021172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x v="1"/>
    <s v="USD"/>
    <n v="727.005"/>
    <n v="1283230800"/>
    <x v="494"/>
    <n v="1284440400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x v="5"/>
    <s v="CHF"/>
    <n v="727.005"/>
    <n v="1384149600"/>
    <x v="495"/>
    <n v="1388988000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x v="0"/>
    <s v="CAD"/>
    <n v="727.005"/>
    <n v="1516860000"/>
    <x v="496"/>
    <n v="1516946400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x v="4"/>
    <s v="GBP"/>
    <n v="727.005"/>
    <n v="1374642000"/>
    <x v="497"/>
    <n v="13777524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x v="1"/>
    <s v="USD"/>
    <n v="727.005"/>
    <n v="1534482000"/>
    <x v="498"/>
    <n v="1534568400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x v="6"/>
    <s v="EUR"/>
    <n v="727.005"/>
    <n v="1528434000"/>
    <x v="499"/>
    <n v="1528606800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x v="6"/>
    <s v="EUR"/>
    <n v="727.005"/>
    <n v="1282626000"/>
    <x v="500"/>
    <n v="12848724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x v="3"/>
    <s v="DKK"/>
    <n v="727.005"/>
    <n v="1535605200"/>
    <x v="501"/>
    <n v="15375924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x v="1"/>
    <s v="USD"/>
    <n v="727.005"/>
    <n v="1379826000"/>
    <x v="502"/>
    <n v="1381208400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x v="1"/>
    <s v="USD"/>
    <n v="727.005"/>
    <n v="1561957200"/>
    <x v="503"/>
    <n v="1562475600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x v="1"/>
    <s v="USD"/>
    <n v="727.005"/>
    <n v="1525496400"/>
    <x v="504"/>
    <n v="15273972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x v="6"/>
    <s v="EUR"/>
    <n v="727.005"/>
    <n v="1433912400"/>
    <x v="505"/>
    <n v="14361588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x v="4"/>
    <s v="GBP"/>
    <n v="727.005"/>
    <n v="1453442400"/>
    <x v="506"/>
    <n v="1456034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x v="1"/>
    <s v="USD"/>
    <n v="727.005"/>
    <n v="1378875600"/>
    <x v="507"/>
    <n v="1380171600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x v="1"/>
    <s v="USD"/>
    <n v="727.005"/>
    <n v="1452232800"/>
    <x v="508"/>
    <n v="1453356000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x v="1"/>
    <s v="USD"/>
    <n v="727.005"/>
    <n v="1577253600"/>
    <x v="509"/>
    <n v="1578981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x v="1"/>
    <s v="USD"/>
    <n v="727.005"/>
    <n v="1537160400"/>
    <x v="510"/>
    <n v="153741960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x v="1"/>
    <s v="USD"/>
    <n v="727.005"/>
    <n v="1422165600"/>
    <x v="511"/>
    <n v="1423202400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x v="1"/>
    <s v="USD"/>
    <n v="727.005"/>
    <n v="1459486800"/>
    <x v="512"/>
    <n v="1460610000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x v="1"/>
    <s v="USD"/>
    <n v="727.005"/>
    <n v="1369717200"/>
    <x v="513"/>
    <n v="1370494800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x v="5"/>
    <s v="CHF"/>
    <n v="727.005"/>
    <n v="1330495200"/>
    <x v="514"/>
    <n v="1332306000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x v="2"/>
    <s v="AUD"/>
    <n v="727.005"/>
    <n v="1419055200"/>
    <x v="515"/>
    <n v="1422511200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x v="1"/>
    <s v="USD"/>
    <n v="727.005"/>
    <n v="1480140000"/>
    <x v="516"/>
    <n v="14803128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x v="1"/>
    <s v="USD"/>
    <n v="727.005"/>
    <n v="1293948000"/>
    <x v="517"/>
    <n v="1294034400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x v="0"/>
    <s v="CAD"/>
    <n v="727.005"/>
    <n v="1482127200"/>
    <x v="518"/>
    <n v="1482645600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x v="3"/>
    <s v="DKK"/>
    <n v="727.005"/>
    <n v="1396414800"/>
    <x v="519"/>
    <n v="1399093200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x v="1"/>
    <s v="USD"/>
    <n v="727.005"/>
    <n v="1315285200"/>
    <x v="520"/>
    <n v="131589000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x v="1"/>
    <s v="USD"/>
    <n v="727.005"/>
    <n v="1443762000"/>
    <x v="521"/>
    <n v="1444021200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x v="1"/>
    <s v="USD"/>
    <n v="727.005"/>
    <n v="1456293600"/>
    <x v="522"/>
    <n v="1460005200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x v="1"/>
    <s v="USD"/>
    <n v="727.005"/>
    <n v="1470114000"/>
    <x v="523"/>
    <n v="1470718800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x v="1"/>
    <s v="USD"/>
    <n v="727.005"/>
    <n v="1321596000"/>
    <x v="524"/>
    <n v="1325052000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x v="5"/>
    <s v="CHF"/>
    <n v="727.005"/>
    <n v="1318827600"/>
    <x v="525"/>
    <n v="1319000400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x v="5"/>
    <s v="CHF"/>
    <n v="727.005"/>
    <n v="1552366800"/>
    <x v="188"/>
    <n v="1552539600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x v="2"/>
    <s v="AUD"/>
    <n v="727.005"/>
    <n v="1542088800"/>
    <x v="526"/>
    <n v="1543816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x v="1"/>
    <s v="USD"/>
    <n v="727.005"/>
    <n v="1426395600"/>
    <x v="527"/>
    <n v="1427086800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x v="1"/>
    <s v="USD"/>
    <n v="727.005"/>
    <n v="1321336800"/>
    <x v="528"/>
    <n v="1323064800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x v="1"/>
    <s v="USD"/>
    <n v="727.005"/>
    <n v="1456293600"/>
    <x v="522"/>
    <n v="1458277200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x v="1"/>
    <s v="USD"/>
    <n v="727.005"/>
    <n v="1404968400"/>
    <x v="529"/>
    <n v="1405141200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x v="1"/>
    <s v="USD"/>
    <n v="727.005"/>
    <n v="1279170000"/>
    <x v="530"/>
    <n v="128305800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x v="6"/>
    <s v="EUR"/>
    <n v="727.005"/>
    <n v="1294725600"/>
    <x v="531"/>
    <n v="1295762400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x v="1"/>
    <s v="USD"/>
    <n v="727.005"/>
    <n v="1419055200"/>
    <x v="515"/>
    <n v="1419573600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x v="6"/>
    <s v="EUR"/>
    <n v="727.005"/>
    <n v="1434690000"/>
    <x v="532"/>
    <n v="1438750800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x v="1"/>
    <s v="USD"/>
    <n v="727.005"/>
    <n v="1443416400"/>
    <x v="533"/>
    <n v="1444798800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x v="1"/>
    <s v="USD"/>
    <n v="727.005"/>
    <n v="1399006800"/>
    <x v="409"/>
    <n v="1399179600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x v="1"/>
    <s v="USD"/>
    <n v="727.005"/>
    <n v="1575698400"/>
    <x v="534"/>
    <n v="1576562400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x v="1"/>
    <s v="USD"/>
    <n v="727.005"/>
    <n v="1400562000"/>
    <x v="53"/>
    <n v="1400821200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x v="1"/>
    <s v="USD"/>
    <n v="727.005"/>
    <n v="1509512400"/>
    <x v="535"/>
    <n v="1510984800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x v="1"/>
    <s v="USD"/>
    <n v="727.005"/>
    <n v="1299823200"/>
    <x v="536"/>
    <n v="1302066000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x v="1"/>
    <s v="USD"/>
    <n v="727.005"/>
    <n v="1322719200"/>
    <x v="537"/>
    <n v="1322978400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x v="1"/>
    <s v="USD"/>
    <n v="727.005"/>
    <n v="1312693200"/>
    <x v="538"/>
    <n v="1313730000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x v="1"/>
    <s v="USD"/>
    <n v="727.005"/>
    <n v="1393394400"/>
    <x v="539"/>
    <n v="1394085600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x v="1"/>
    <s v="USD"/>
    <n v="727.005"/>
    <n v="1304053200"/>
    <x v="540"/>
    <n v="130534920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x v="1"/>
    <s v="USD"/>
    <n v="727.005"/>
    <n v="1433912400"/>
    <x v="505"/>
    <n v="1434344400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x v="1"/>
    <s v="USD"/>
    <n v="727.005"/>
    <n v="1329717600"/>
    <x v="541"/>
    <n v="13311864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x v="1"/>
    <s v="USD"/>
    <n v="727.005"/>
    <n v="1335330000"/>
    <x v="542"/>
    <n v="1336539600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x v="1"/>
    <s v="USD"/>
    <n v="727.005"/>
    <n v="1268888400"/>
    <x v="543"/>
    <n v="1269752400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x v="1"/>
    <s v="USD"/>
    <n v="727.005"/>
    <n v="1289973600"/>
    <x v="544"/>
    <n v="1291615200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x v="0"/>
    <s v="CAD"/>
    <n v="727.005"/>
    <n v="1547877600"/>
    <x v="35"/>
    <n v="1552366800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x v="4"/>
    <s v="GBP"/>
    <n v="727.005"/>
    <n v="1269493200"/>
    <x v="152"/>
    <n v="1272171600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x v="1"/>
    <s v="USD"/>
    <n v="727.005"/>
    <n v="1436072400"/>
    <x v="545"/>
    <n v="1436677200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x v="2"/>
    <s v="AUD"/>
    <n v="727.005"/>
    <n v="1419141600"/>
    <x v="546"/>
    <n v="1420092000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x v="1"/>
    <s v="USD"/>
    <n v="727.005"/>
    <n v="1279083600"/>
    <x v="547"/>
    <n v="1279947600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x v="1"/>
    <s v="USD"/>
    <n v="727.005"/>
    <n v="1401426000"/>
    <x v="548"/>
    <n v="1402203600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x v="1"/>
    <s v="USD"/>
    <n v="727.005"/>
    <n v="1395810000"/>
    <x v="549"/>
    <n v="13969332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x v="1"/>
    <s v="USD"/>
    <n v="727.005"/>
    <n v="1467003600"/>
    <x v="550"/>
    <n v="146726280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x v="1"/>
    <s v="USD"/>
    <n v="727.005"/>
    <n v="1268715600"/>
    <x v="551"/>
    <n v="1270530000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x v="1"/>
    <s v="USD"/>
    <n v="727.005"/>
    <n v="1457157600"/>
    <x v="552"/>
    <n v="1457762400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x v="1"/>
    <s v="USD"/>
    <n v="727.005"/>
    <n v="1573970400"/>
    <x v="462"/>
    <n v="1575525600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x v="6"/>
    <s v="EUR"/>
    <n v="727.005"/>
    <n v="1276578000"/>
    <x v="553"/>
    <n v="12790836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x v="3"/>
    <s v="DKK"/>
    <n v="727.005"/>
    <n v="1423720800"/>
    <x v="554"/>
    <n v="1424412000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x v="4"/>
    <s v="GBP"/>
    <n v="727.005"/>
    <n v="1375160400"/>
    <x v="555"/>
    <n v="1376197200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x v="1"/>
    <s v="USD"/>
    <n v="727.005"/>
    <n v="1401426000"/>
    <x v="548"/>
    <n v="1402894800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x v="1"/>
    <s v="USD"/>
    <n v="727.005"/>
    <n v="1433480400"/>
    <x v="62"/>
    <n v="1434430800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x v="1"/>
    <s v="USD"/>
    <n v="727.005"/>
    <n v="1555563600"/>
    <x v="556"/>
    <n v="15578964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x v="1"/>
    <s v="USD"/>
    <n v="727.005"/>
    <n v="1295676000"/>
    <x v="557"/>
    <n v="1297490400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x v="1"/>
    <s v="USD"/>
    <n v="727.005"/>
    <n v="1443848400"/>
    <x v="27"/>
    <n v="1447394400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x v="4"/>
    <s v="GBP"/>
    <n v="727.005"/>
    <n v="1457330400"/>
    <x v="558"/>
    <n v="1458277200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x v="1"/>
    <s v="USD"/>
    <n v="727.005"/>
    <n v="1395550800"/>
    <x v="559"/>
    <n v="1395723600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x v="1"/>
    <s v="USD"/>
    <n v="727.005"/>
    <n v="1551852000"/>
    <x v="426"/>
    <n v="1552197600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x v="1"/>
    <s v="USD"/>
    <n v="727.005"/>
    <n v="1547618400"/>
    <x v="560"/>
    <n v="15490872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x v="1"/>
    <s v="USD"/>
    <n v="727.005"/>
    <n v="1355637600"/>
    <x v="561"/>
    <n v="1356847200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x v="1"/>
    <s v="USD"/>
    <n v="727.005"/>
    <n v="1374728400"/>
    <x v="562"/>
    <n v="1375765200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x v="1"/>
    <s v="USD"/>
    <n v="727.005"/>
    <n v="1287810000"/>
    <x v="563"/>
    <n v="12898008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x v="0"/>
    <s v="CAD"/>
    <n v="727.005"/>
    <n v="1503723600"/>
    <x v="564"/>
    <n v="1504501200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x v="1"/>
    <s v="USD"/>
    <n v="727.005"/>
    <n v="1484114400"/>
    <x v="565"/>
    <n v="1485669600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x v="6"/>
    <s v="EUR"/>
    <n v="727.005"/>
    <n v="1461906000"/>
    <x v="566"/>
    <n v="1462770000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x v="4"/>
    <s v="GBP"/>
    <n v="727.005"/>
    <n v="1379653200"/>
    <x v="567"/>
    <n v="1379739600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x v="1"/>
    <s v="USD"/>
    <n v="727.005"/>
    <n v="1401858000"/>
    <x v="568"/>
    <n v="1402722000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x v="1"/>
    <s v="USD"/>
    <n v="727.005"/>
    <n v="1367470800"/>
    <x v="569"/>
    <n v="1369285200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x v="1"/>
    <s v="USD"/>
    <n v="727.005"/>
    <n v="1304658000"/>
    <x v="570"/>
    <n v="130474440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x v="2"/>
    <s v="AUD"/>
    <n v="727.005"/>
    <n v="1467954000"/>
    <x v="571"/>
    <n v="14682996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x v="1"/>
    <s v="USD"/>
    <n v="727.005"/>
    <n v="1473742800"/>
    <x v="572"/>
    <n v="1474174800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x v="1"/>
    <s v="USD"/>
    <n v="727.005"/>
    <n v="1523768400"/>
    <x v="573"/>
    <n v="1526014800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x v="4"/>
    <s v="GBP"/>
    <n v="727.005"/>
    <n v="1437022800"/>
    <x v="574"/>
    <n v="1437454800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x v="1"/>
    <s v="USD"/>
    <n v="727.005"/>
    <n v="1422165600"/>
    <x v="511"/>
    <n v="14226840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x v="1"/>
    <s v="USD"/>
    <n v="727.005"/>
    <n v="1580104800"/>
    <x v="575"/>
    <n v="15813144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x v="1"/>
    <s v="USD"/>
    <n v="727.005"/>
    <n v="1285650000"/>
    <x v="576"/>
    <n v="1286427600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x v="4"/>
    <s v="GBP"/>
    <n v="727.005"/>
    <n v="1276664400"/>
    <x v="577"/>
    <n v="1278738000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x v="1"/>
    <s v="USD"/>
    <n v="727.005"/>
    <n v="1286168400"/>
    <x v="578"/>
    <n v="1286427600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x v="1"/>
    <s v="USD"/>
    <n v="727.005"/>
    <n v="1467781200"/>
    <x v="579"/>
    <n v="1467954000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x v="1"/>
    <s v="USD"/>
    <n v="727.005"/>
    <n v="1556686800"/>
    <x v="580"/>
    <n v="155763720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x v="1"/>
    <s v="USD"/>
    <n v="727.005"/>
    <n v="1553576400"/>
    <x v="581"/>
    <n v="1553922000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x v="1"/>
    <s v="USD"/>
    <n v="727.005"/>
    <n v="1414904400"/>
    <x v="582"/>
    <n v="1416463200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x v="1"/>
    <s v="USD"/>
    <n v="727.005"/>
    <n v="1446876000"/>
    <x v="336"/>
    <n v="14472216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x v="1"/>
    <s v="USD"/>
    <n v="727.005"/>
    <n v="1490418000"/>
    <x v="583"/>
    <n v="1491627600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x v="1"/>
    <s v="USD"/>
    <n v="727.005"/>
    <n v="1360389600"/>
    <x v="584"/>
    <n v="1363150800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x v="3"/>
    <s v="DKK"/>
    <n v="727.005"/>
    <n v="1326866400"/>
    <x v="585"/>
    <n v="1330754400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x v="1"/>
    <s v="USD"/>
    <n v="727.005"/>
    <n v="1479103200"/>
    <x v="586"/>
    <n v="1479794400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x v="1"/>
    <s v="USD"/>
    <n v="727.005"/>
    <n v="1280206800"/>
    <x v="587"/>
    <n v="1281243600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x v="1"/>
    <s v="USD"/>
    <n v="727.005"/>
    <n v="1532754000"/>
    <x v="588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x v="1"/>
    <s v="USD"/>
    <n v="727.005"/>
    <n v="1453096800"/>
    <x v="589"/>
    <n v="14533560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x v="5"/>
    <s v="CHF"/>
    <n v="727.005"/>
    <n v="1487570400"/>
    <x v="590"/>
    <n v="148998600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x v="0"/>
    <s v="CAD"/>
    <n v="727.005"/>
    <n v="1545026400"/>
    <x v="591"/>
    <n v="1545804000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x v="1"/>
    <s v="USD"/>
    <n v="727.005"/>
    <n v="1488348000"/>
    <x v="592"/>
    <n v="1489899600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x v="0"/>
    <s v="CAD"/>
    <n v="727.005"/>
    <n v="1545112800"/>
    <x v="593"/>
    <n v="1546495200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x v="1"/>
    <s v="USD"/>
    <n v="727.005"/>
    <n v="1537938000"/>
    <x v="594"/>
    <n v="1539752400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x v="1"/>
    <s v="USD"/>
    <n v="727.005"/>
    <n v="1363150800"/>
    <x v="595"/>
    <n v="1364101200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x v="1"/>
    <s v="USD"/>
    <n v="727.005"/>
    <n v="1523250000"/>
    <x v="596"/>
    <n v="1525323600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x v="1"/>
    <s v="USD"/>
    <n v="727.005"/>
    <n v="1499317200"/>
    <x v="597"/>
    <n v="1500872400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x v="5"/>
    <s v="CHF"/>
    <n v="727.005"/>
    <n v="1287550800"/>
    <x v="598"/>
    <n v="1288501200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x v="1"/>
    <s v="USD"/>
    <n v="727.005"/>
    <n v="1404795600"/>
    <x v="599"/>
    <n v="1407128400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x v="6"/>
    <s v="EUR"/>
    <n v="727.005"/>
    <n v="1393048800"/>
    <x v="600"/>
    <n v="13943448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x v="1"/>
    <s v="USD"/>
    <n v="727.005"/>
    <n v="1470373200"/>
    <x v="601"/>
    <n v="1474088400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x v="1"/>
    <s v="USD"/>
    <n v="727.005"/>
    <n v="1460091600"/>
    <x v="602"/>
    <n v="1460264400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x v="1"/>
    <s v="USD"/>
    <n v="727.005"/>
    <n v="1440392400"/>
    <x v="335"/>
    <n v="1440824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x v="1"/>
    <s v="USD"/>
    <n v="727.005"/>
    <n v="1488434400"/>
    <x v="603"/>
    <n v="14895540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x v="2"/>
    <s v="AUD"/>
    <n v="727.005"/>
    <n v="1514440800"/>
    <x v="604"/>
    <n v="1514872800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x v="1"/>
    <s v="USD"/>
    <n v="727.005"/>
    <n v="1514354400"/>
    <x v="605"/>
    <n v="15157368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x v="1"/>
    <s v="USD"/>
    <n v="727.005"/>
    <n v="1440910800"/>
    <x v="606"/>
    <n v="1442898000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x v="4"/>
    <s v="GBP"/>
    <n v="727.005"/>
    <n v="1296108000"/>
    <x v="65"/>
    <n v="1296194400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x v="1"/>
    <s v="USD"/>
    <n v="727.005"/>
    <n v="1440133200"/>
    <x v="607"/>
    <n v="1440910800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x v="3"/>
    <s v="DKK"/>
    <n v="727.005"/>
    <n v="1332910800"/>
    <x v="608"/>
    <n v="1335502800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x v="1"/>
    <s v="USD"/>
    <n v="727.005"/>
    <n v="1544335200"/>
    <x v="609"/>
    <n v="1544680800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x v="1"/>
    <s v="USD"/>
    <n v="727.005"/>
    <n v="1286427600"/>
    <x v="610"/>
    <n v="128841480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x v="1"/>
    <s v="USD"/>
    <n v="727.005"/>
    <n v="1329717600"/>
    <x v="541"/>
    <n v="1330581600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x v="1"/>
    <s v="USD"/>
    <n v="727.005"/>
    <n v="1310187600"/>
    <x v="611"/>
    <n v="1311397200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x v="1"/>
    <s v="USD"/>
    <n v="727.005"/>
    <n v="1377838800"/>
    <x v="612"/>
    <n v="1378357200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x v="1"/>
    <s v="USD"/>
    <n v="727.005"/>
    <n v="1410325200"/>
    <x v="613"/>
    <n v="1411102800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x v="1"/>
    <s v="USD"/>
    <n v="727.005"/>
    <n v="1343797200"/>
    <x v="614"/>
    <n v="1344834000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x v="6"/>
    <s v="EUR"/>
    <n v="727.005"/>
    <n v="1498453200"/>
    <x v="615"/>
    <n v="1499230800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x v="1"/>
    <s v="USD"/>
    <n v="727.005"/>
    <n v="1456380000"/>
    <x v="90"/>
    <n v="145741680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x v="1"/>
    <s v="USD"/>
    <n v="727.005"/>
    <n v="1280552400"/>
    <x v="616"/>
    <n v="1280898000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x v="2"/>
    <s v="AUD"/>
    <n v="727.005"/>
    <n v="1521608400"/>
    <x v="617"/>
    <n v="1522472400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x v="6"/>
    <s v="EUR"/>
    <n v="727.005"/>
    <n v="1460696400"/>
    <x v="618"/>
    <n v="1462510800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x v="1"/>
    <s v="USD"/>
    <n v="727.005"/>
    <n v="1313730000"/>
    <x v="619"/>
    <n v="1317790800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x v="1"/>
    <s v="USD"/>
    <n v="727.005"/>
    <n v="1568178000"/>
    <x v="620"/>
    <n v="156878280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x v="1"/>
    <s v="USD"/>
    <n v="727.005"/>
    <n v="1348635600"/>
    <x v="621"/>
    <n v="1349413200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x v="1"/>
    <s v="USD"/>
    <n v="727.005"/>
    <n v="1468126800"/>
    <x v="622"/>
    <n v="1472446800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x v="1"/>
    <s v="USD"/>
    <n v="727.005"/>
    <n v="1547877600"/>
    <x v="35"/>
    <n v="1548050400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x v="1"/>
    <s v="USD"/>
    <n v="727.005"/>
    <n v="1571374800"/>
    <x v="623"/>
    <n v="1571806800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x v="1"/>
    <s v="USD"/>
    <n v="727.005"/>
    <n v="1576303200"/>
    <x v="624"/>
    <n v="1576476000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x v="1"/>
    <s v="USD"/>
    <n v="727.005"/>
    <n v="1324447200"/>
    <x v="625"/>
    <n v="1324965600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x v="1"/>
    <s v="USD"/>
    <n v="727.005"/>
    <n v="1386741600"/>
    <x v="626"/>
    <n v="1387519200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x v="1"/>
    <s v="USD"/>
    <n v="727.005"/>
    <n v="1537074000"/>
    <x v="627"/>
    <n v="1537246800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x v="0"/>
    <s v="CAD"/>
    <n v="727.005"/>
    <n v="1277787600"/>
    <x v="628"/>
    <n v="1279515600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x v="0"/>
    <s v="CAD"/>
    <n v="727.005"/>
    <n v="1440306000"/>
    <x v="629"/>
    <n v="1442379600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x v="1"/>
    <s v="USD"/>
    <n v="727.005"/>
    <n v="1522126800"/>
    <x v="630"/>
    <n v="152307720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x v="1"/>
    <s v="USD"/>
    <n v="727.005"/>
    <n v="1489298400"/>
    <x v="631"/>
    <n v="1489554000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x v="1"/>
    <s v="USD"/>
    <n v="727.005"/>
    <n v="1547100000"/>
    <x v="632"/>
    <n v="1548482400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x v="1"/>
    <s v="USD"/>
    <n v="727.005"/>
    <n v="1383022800"/>
    <x v="633"/>
    <n v="1384063200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x v="1"/>
    <s v="USD"/>
    <n v="727.005"/>
    <n v="1322373600"/>
    <x v="634"/>
    <n v="1322892000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x v="1"/>
    <s v="USD"/>
    <n v="727.005"/>
    <n v="1349240400"/>
    <x v="635"/>
    <n v="1350709200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x v="4"/>
    <s v="GBP"/>
    <n v="727.005"/>
    <n v="1562648400"/>
    <x v="636"/>
    <n v="1564203600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x v="1"/>
    <s v="USD"/>
    <n v="727.005"/>
    <n v="1508216400"/>
    <x v="637"/>
    <n v="1509685200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x v="1"/>
    <s v="USD"/>
    <n v="727.005"/>
    <n v="1511762400"/>
    <x v="638"/>
    <n v="1514959200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x v="6"/>
    <s v="EUR"/>
    <n v="727.005"/>
    <n v="1447480800"/>
    <x v="639"/>
    <n v="1448863200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x v="1"/>
    <s v="USD"/>
    <n v="727.005"/>
    <n v="1429506000"/>
    <x v="640"/>
    <n v="142959240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x v="1"/>
    <s v="USD"/>
    <n v="727.005"/>
    <n v="1522472400"/>
    <x v="641"/>
    <n v="1522645200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x v="0"/>
    <s v="CAD"/>
    <n v="727.005"/>
    <n v="1322114400"/>
    <x v="642"/>
    <n v="1323324000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x v="1"/>
    <s v="USD"/>
    <n v="727.005"/>
    <n v="1561438800"/>
    <x v="230"/>
    <n v="15615252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x v="1"/>
    <s v="USD"/>
    <n v="727.005"/>
    <n v="1264399200"/>
    <x v="67"/>
    <n v="1265695200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x v="1"/>
    <s v="USD"/>
    <n v="727.005"/>
    <n v="1301202000"/>
    <x v="643"/>
    <n v="1301806800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x v="1"/>
    <s v="USD"/>
    <n v="727.005"/>
    <n v="1374469200"/>
    <x v="644"/>
    <n v="1374901200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x v="1"/>
    <s v="USD"/>
    <n v="727.005"/>
    <n v="1334984400"/>
    <x v="645"/>
    <n v="13364532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x v="1"/>
    <s v="USD"/>
    <n v="727.005"/>
    <n v="1467608400"/>
    <x v="646"/>
    <n v="1468904400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x v="4"/>
    <s v="GBP"/>
    <n v="727.005"/>
    <n v="1386741600"/>
    <x v="626"/>
    <n v="1387087200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x v="2"/>
    <s v="AUD"/>
    <n v="727.005"/>
    <n v="1546754400"/>
    <x v="647"/>
    <n v="1547445600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x v="1"/>
    <s v="USD"/>
    <n v="727.005"/>
    <n v="1544248800"/>
    <x v="159"/>
    <n v="1547359200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x v="5"/>
    <s v="CHF"/>
    <n v="727.005"/>
    <n v="1495429200"/>
    <x v="648"/>
    <n v="1496293200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x v="6"/>
    <s v="EUR"/>
    <n v="727.005"/>
    <n v="1334811600"/>
    <x v="267"/>
    <n v="1335416400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x v="1"/>
    <s v="USD"/>
    <n v="727.005"/>
    <n v="1531544400"/>
    <x v="649"/>
    <n v="1532149200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x v="6"/>
    <s v="EUR"/>
    <n v="727.005"/>
    <n v="1453615200"/>
    <x v="248"/>
    <n v="1453788000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x v="1"/>
    <s v="USD"/>
    <n v="727.005"/>
    <n v="1467954000"/>
    <x v="571"/>
    <n v="1471496400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x v="1"/>
    <s v="USD"/>
    <n v="727.005"/>
    <n v="1471842000"/>
    <x v="650"/>
    <n v="14728788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x v="1"/>
    <s v="USD"/>
    <n v="727.005"/>
    <n v="1408424400"/>
    <x v="1"/>
    <n v="1408510800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x v="1"/>
    <s v="USD"/>
    <n v="727.005"/>
    <n v="1281157200"/>
    <x v="651"/>
    <n v="1281589200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x v="1"/>
    <s v="USD"/>
    <n v="727.005"/>
    <n v="1373432400"/>
    <x v="652"/>
    <n v="13758516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x v="1"/>
    <s v="USD"/>
    <n v="727.005"/>
    <n v="1313989200"/>
    <x v="653"/>
    <n v="1315803600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x v="1"/>
    <s v="USD"/>
    <n v="727.005"/>
    <n v="1371445200"/>
    <x v="654"/>
    <n v="1373691600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x v="1"/>
    <s v="USD"/>
    <n v="727.005"/>
    <n v="1338267600"/>
    <x v="655"/>
    <n v="13392180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x v="3"/>
    <s v="DKK"/>
    <n v="727.005"/>
    <n v="1519192800"/>
    <x v="656"/>
    <n v="15204024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x v="1"/>
    <s v="USD"/>
    <n v="727.005"/>
    <n v="1522818000"/>
    <x v="657"/>
    <n v="1523336400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x v="1"/>
    <s v="USD"/>
    <n v="727.005"/>
    <n v="1509948000"/>
    <x v="265"/>
    <n v="1512280800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x v="2"/>
    <s v="AUD"/>
    <n v="727.005"/>
    <n v="1456898400"/>
    <x v="658"/>
    <n v="1458709200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x v="4"/>
    <s v="GBP"/>
    <n v="727.005"/>
    <n v="1413954000"/>
    <x v="659"/>
    <n v="1414126800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x v="1"/>
    <s v="USD"/>
    <n v="727.005"/>
    <n v="1416031200"/>
    <x v="660"/>
    <n v="141620400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x v="1"/>
    <s v="USD"/>
    <n v="727.005"/>
    <n v="1287982800"/>
    <x v="661"/>
    <n v="1288501200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x v="1"/>
    <s v="USD"/>
    <n v="727.005"/>
    <n v="1547964000"/>
    <x v="4"/>
    <n v="1552971600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x v="1"/>
    <s v="USD"/>
    <n v="727.005"/>
    <n v="1464152400"/>
    <x v="662"/>
    <n v="1465102800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x v="1"/>
    <s v="USD"/>
    <n v="727.005"/>
    <n v="1359957600"/>
    <x v="663"/>
    <n v="1360130400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x v="0"/>
    <s v="CAD"/>
    <n v="727.005"/>
    <n v="1432357200"/>
    <x v="664"/>
    <n v="1432875600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x v="1"/>
    <s v="USD"/>
    <n v="727.005"/>
    <n v="1500786000"/>
    <x v="665"/>
    <n v="1500872400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x v="1"/>
    <s v="USD"/>
    <n v="727.005"/>
    <n v="1490158800"/>
    <x v="666"/>
    <n v="1492146000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x v="1"/>
    <s v="USD"/>
    <n v="727.005"/>
    <n v="1406178000"/>
    <x v="43"/>
    <n v="1407301200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x v="1"/>
    <s v="USD"/>
    <n v="727.005"/>
    <n v="1485583200"/>
    <x v="667"/>
    <n v="1486620000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x v="1"/>
    <s v="USD"/>
    <n v="727.005"/>
    <n v="1459314000"/>
    <x v="668"/>
    <n v="1459918800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x v="1"/>
    <s v="USD"/>
    <n v="727.005"/>
    <n v="1424412000"/>
    <x v="669"/>
    <n v="14247576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x v="1"/>
    <s v="USD"/>
    <n v="727.005"/>
    <n v="1478844000"/>
    <x v="670"/>
    <n v="14798808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x v="1"/>
    <s v="USD"/>
    <n v="727.005"/>
    <n v="1416117600"/>
    <x v="671"/>
    <n v="1418018400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x v="1"/>
    <s v="USD"/>
    <n v="727.005"/>
    <n v="1340946000"/>
    <x v="672"/>
    <n v="1341032400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x v="1"/>
    <s v="USD"/>
    <n v="727.005"/>
    <n v="1486101600"/>
    <x v="673"/>
    <n v="1486360800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x v="1"/>
    <s v="USD"/>
    <n v="727.005"/>
    <n v="1274590800"/>
    <x v="674"/>
    <n v="1274677200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x v="1"/>
    <s v="USD"/>
    <n v="727.005"/>
    <n v="1263880800"/>
    <x v="675"/>
    <n v="1267509600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x v="1"/>
    <s v="USD"/>
    <n v="727.005"/>
    <n v="1445403600"/>
    <x v="676"/>
    <n v="1445922000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x v="1"/>
    <s v="USD"/>
    <n v="727.005"/>
    <n v="1533877200"/>
    <x v="342"/>
    <n v="1534050000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x v="1"/>
    <s v="USD"/>
    <n v="727.005"/>
    <n v="1275195600"/>
    <x v="677"/>
    <n v="1277528400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x v="1"/>
    <s v="USD"/>
    <n v="727.005"/>
    <n v="1318136400"/>
    <x v="678"/>
    <n v="1318568400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x v="1"/>
    <s v="USD"/>
    <n v="727.005"/>
    <n v="1283403600"/>
    <x v="679"/>
    <n v="1284354000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x v="1"/>
    <s v="USD"/>
    <n v="727.005"/>
    <n v="1267423200"/>
    <x v="680"/>
    <n v="126957960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x v="6"/>
    <s v="EUR"/>
    <n v="727.005"/>
    <n v="1412744400"/>
    <x v="681"/>
    <n v="1413781200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x v="4"/>
    <s v="GBP"/>
    <n v="727.005"/>
    <n v="1277960400"/>
    <x v="682"/>
    <n v="1280120400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x v="1"/>
    <s v="USD"/>
    <n v="727.005"/>
    <n v="1458190800"/>
    <x v="683"/>
    <n v="1459486800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x v="1"/>
    <s v="USD"/>
    <n v="727.005"/>
    <n v="1280984400"/>
    <x v="684"/>
    <n v="1282539600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x v="1"/>
    <s v="USD"/>
    <n v="727.005"/>
    <n v="1274590800"/>
    <x v="674"/>
    <n v="1275886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x v="1"/>
    <s v="USD"/>
    <n v="727.005"/>
    <n v="1351400400"/>
    <x v="685"/>
    <n v="1355983200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x v="3"/>
    <s v="DKK"/>
    <n v="727.005"/>
    <n v="1514354400"/>
    <x v="605"/>
    <n v="15153912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x v="1"/>
    <s v="USD"/>
    <n v="727.005"/>
    <n v="1421733600"/>
    <x v="686"/>
    <n v="1422252000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x v="1"/>
    <s v="USD"/>
    <n v="727.005"/>
    <n v="1305176400"/>
    <x v="687"/>
    <n v="1305522000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x v="0"/>
    <s v="CAD"/>
    <n v="727.005"/>
    <n v="1414126800"/>
    <x v="688"/>
    <n v="1414904400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x v="1"/>
    <s v="USD"/>
    <n v="727.005"/>
    <n v="1517810400"/>
    <x v="689"/>
    <n v="1520402400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x v="6"/>
    <s v="EUR"/>
    <n v="727.005"/>
    <n v="1564635600"/>
    <x v="690"/>
    <n v="156714120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x v="1"/>
    <s v="USD"/>
    <n v="727.005"/>
    <n v="1500699600"/>
    <x v="691"/>
    <n v="1501131600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x v="2"/>
    <s v="AUD"/>
    <n v="727.005"/>
    <n v="1354082400"/>
    <x v="692"/>
    <n v="1355032800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x v="1"/>
    <s v="USD"/>
    <n v="727.005"/>
    <n v="1336453200"/>
    <x v="693"/>
    <n v="1339477200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x v="1"/>
    <s v="USD"/>
    <n v="727.005"/>
    <n v="1305262800"/>
    <x v="694"/>
    <n v="1305954000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x v="1"/>
    <s v="USD"/>
    <n v="727.005"/>
    <n v="1492232400"/>
    <x v="695"/>
    <n v="1494392400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x v="2"/>
    <s v="AUD"/>
    <n v="727.005"/>
    <n v="1537333200"/>
    <x v="123"/>
    <n v="15374196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x v="1"/>
    <s v="USD"/>
    <n v="727.005"/>
    <n v="1444107600"/>
    <x v="696"/>
    <n v="1447999200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x v="1"/>
    <s v="USD"/>
    <n v="727.005"/>
    <n v="1386741600"/>
    <x v="626"/>
    <n v="1388037600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x v="1"/>
    <s v="USD"/>
    <n v="727.005"/>
    <n v="1376542800"/>
    <x v="697"/>
    <n v="1378789200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x v="6"/>
    <s v="EUR"/>
    <n v="727.005"/>
    <n v="1397451600"/>
    <x v="698"/>
    <n v="1398056400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x v="1"/>
    <s v="USD"/>
    <n v="727.005"/>
    <n v="1548482400"/>
    <x v="699"/>
    <n v="1550815200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x v="1"/>
    <s v="USD"/>
    <n v="727.005"/>
    <n v="1549692000"/>
    <x v="700"/>
    <n v="15500376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x v="1"/>
    <s v="USD"/>
    <n v="727.005"/>
    <n v="1492059600"/>
    <x v="701"/>
    <n v="1492923600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x v="6"/>
    <s v="EUR"/>
    <n v="727.005"/>
    <n v="1463979600"/>
    <x v="702"/>
    <n v="1467522000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x v="1"/>
    <s v="USD"/>
    <n v="727.005"/>
    <n v="1415253600"/>
    <x v="703"/>
    <n v="1416117600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x v="1"/>
    <s v="USD"/>
    <n v="727.005"/>
    <n v="1562216400"/>
    <x v="704"/>
    <n v="1563771600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x v="1"/>
    <s v="USD"/>
    <n v="727.005"/>
    <n v="1316754000"/>
    <x v="431"/>
    <n v="1319259600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x v="5"/>
    <s v="CHF"/>
    <n v="727.005"/>
    <n v="1313211600"/>
    <x v="705"/>
    <n v="1313643600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x v="1"/>
    <s v="USD"/>
    <n v="727.005"/>
    <n v="1439528400"/>
    <x v="706"/>
    <n v="1440306000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x v="1"/>
    <s v="USD"/>
    <n v="727.005"/>
    <n v="1469163600"/>
    <x v="707"/>
    <n v="1470805200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x v="5"/>
    <s v="CHF"/>
    <n v="727.005"/>
    <n v="1288501200"/>
    <x v="708"/>
    <n v="1292911200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x v="1"/>
    <s v="USD"/>
    <n v="727.005"/>
    <n v="1298959200"/>
    <x v="709"/>
    <n v="13013748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x v="1"/>
    <s v="USD"/>
    <n v="727.005"/>
    <n v="1387260000"/>
    <x v="710"/>
    <n v="138786480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x v="1"/>
    <s v="USD"/>
    <n v="727.005"/>
    <n v="1457244000"/>
    <x v="711"/>
    <n v="14581908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x v="2"/>
    <s v="AUD"/>
    <n v="727.005"/>
    <n v="1556341200"/>
    <x v="157"/>
    <n v="1559278800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x v="6"/>
    <s v="EUR"/>
    <n v="727.005"/>
    <n v="1522126800"/>
    <x v="630"/>
    <n v="152273160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x v="0"/>
    <s v="CAD"/>
    <n v="727.005"/>
    <n v="1305954000"/>
    <x v="712"/>
    <n v="1306731600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x v="1"/>
    <s v="USD"/>
    <n v="727.005"/>
    <n v="1350709200"/>
    <x v="93"/>
    <n v="1352527200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x v="1"/>
    <s v="USD"/>
    <n v="727.005"/>
    <n v="1401166800"/>
    <x v="713"/>
    <n v="1404363600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x v="1"/>
    <s v="USD"/>
    <n v="727.005"/>
    <n v="1266127200"/>
    <x v="714"/>
    <n v="1266645600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x v="1"/>
    <s v="USD"/>
    <n v="727.005"/>
    <n v="1481436000"/>
    <x v="715"/>
    <n v="1482818400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x v="1"/>
    <s v="USD"/>
    <n v="727.005"/>
    <n v="1372222800"/>
    <x v="716"/>
    <n v="1374642000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x v="5"/>
    <s v="CHF"/>
    <n v="727.005"/>
    <n v="1372136400"/>
    <x v="448"/>
    <n v="1372482000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x v="1"/>
    <s v="USD"/>
    <n v="727.005"/>
    <n v="1513922400"/>
    <x v="717"/>
    <n v="1514959200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x v="1"/>
    <s v="USD"/>
    <n v="727.005"/>
    <n v="1477976400"/>
    <x v="718"/>
    <n v="1478235600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x v="1"/>
    <s v="USD"/>
    <n v="727.005"/>
    <n v="1407474000"/>
    <x v="719"/>
    <n v="1408078800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x v="1"/>
    <s v="USD"/>
    <n v="727.005"/>
    <n v="1546149600"/>
    <x v="720"/>
    <n v="154813680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x v="1"/>
    <s v="USD"/>
    <n v="727.005"/>
    <n v="1338440400"/>
    <x v="721"/>
    <n v="1340859600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x v="4"/>
    <s v="GBP"/>
    <n v="727.005"/>
    <n v="1454133600"/>
    <x v="722"/>
    <n v="1454479200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x v="5"/>
    <s v="CHF"/>
    <n v="727.005"/>
    <n v="1434085200"/>
    <x v="139"/>
    <n v="1434430800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x v="1"/>
    <s v="USD"/>
    <n v="727.005"/>
    <n v="1577772000"/>
    <x v="723"/>
    <n v="15796728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x v="1"/>
    <s v="USD"/>
    <n v="727.005"/>
    <n v="1562216400"/>
    <x v="704"/>
    <n v="15623892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x v="1"/>
    <s v="USD"/>
    <n v="727.005"/>
    <n v="1548568800"/>
    <x v="724"/>
    <n v="1551506400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x v="1"/>
    <s v="USD"/>
    <n v="727.005"/>
    <n v="1514872800"/>
    <x v="725"/>
    <n v="1516600800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x v="2"/>
    <s v="AUD"/>
    <n v="727.005"/>
    <n v="1416031200"/>
    <x v="660"/>
    <n v="142043760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x v="1"/>
    <s v="USD"/>
    <n v="727.005"/>
    <n v="1330927200"/>
    <x v="726"/>
    <n v="1332997200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x v="1"/>
    <s v="USD"/>
    <n v="727.005"/>
    <n v="1571115600"/>
    <x v="727"/>
    <n v="1574920800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x v="1"/>
    <s v="USD"/>
    <n v="727.005"/>
    <n v="1463461200"/>
    <x v="728"/>
    <n v="1464930000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x v="5"/>
    <s v="CHF"/>
    <n v="727.005"/>
    <n v="1344920400"/>
    <x v="729"/>
    <n v="13450068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x v="1"/>
    <s v="USD"/>
    <n v="727.005"/>
    <n v="1511848800"/>
    <x v="730"/>
    <n v="151271280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x v="1"/>
    <s v="USD"/>
    <n v="727.005"/>
    <n v="1452319200"/>
    <x v="731"/>
    <n v="1452492000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x v="0"/>
    <s v="CAD"/>
    <n v="727.005"/>
    <n v="1523854800"/>
    <x v="78"/>
    <n v="1524286800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x v="1"/>
    <s v="USD"/>
    <n v="727.005"/>
    <n v="1346043600"/>
    <x v="732"/>
    <n v="1346907600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x v="3"/>
    <s v="DKK"/>
    <n v="727.005"/>
    <n v="1464325200"/>
    <x v="733"/>
    <n v="1464498000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x v="0"/>
    <s v="CAD"/>
    <n v="727.005"/>
    <n v="1511935200"/>
    <x v="734"/>
    <n v="1514181600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x v="1"/>
    <s v="USD"/>
    <n v="727.005"/>
    <n v="1392012000"/>
    <x v="406"/>
    <n v="1392184800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x v="6"/>
    <s v="EUR"/>
    <n v="727.005"/>
    <n v="1556946000"/>
    <x v="735"/>
    <n v="1559365200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x v="1"/>
    <s v="USD"/>
    <n v="727.005"/>
    <n v="1548050400"/>
    <x v="736"/>
    <n v="1549173600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x v="1"/>
    <s v="USD"/>
    <n v="727.005"/>
    <n v="1353736800"/>
    <x v="737"/>
    <n v="1355032800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x v="4"/>
    <s v="GBP"/>
    <n v="727.005"/>
    <n v="1532840400"/>
    <x v="192"/>
    <n v="1533963600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x v="1"/>
    <s v="USD"/>
    <n v="727.005"/>
    <n v="1488261600"/>
    <x v="738"/>
    <n v="14893812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x v="1"/>
    <s v="USD"/>
    <n v="727.005"/>
    <n v="1393567200"/>
    <x v="739"/>
    <n v="1395032400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x v="1"/>
    <s v="USD"/>
    <n v="727.005"/>
    <n v="1410325200"/>
    <x v="613"/>
    <n v="1412485200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x v="1"/>
    <s v="USD"/>
    <n v="727.005"/>
    <n v="1276923600"/>
    <x v="740"/>
    <n v="127968840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x v="4"/>
    <s v="GBP"/>
    <n v="727.005"/>
    <n v="1500958800"/>
    <x v="145"/>
    <n v="15019956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x v="1"/>
    <s v="USD"/>
    <n v="727.005"/>
    <n v="1292220000"/>
    <x v="741"/>
    <n v="12946392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x v="2"/>
    <s v="AUD"/>
    <n v="727.005"/>
    <n v="1304398800"/>
    <x v="742"/>
    <n v="13054356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x v="1"/>
    <s v="USD"/>
    <n v="727.005"/>
    <n v="1535432400"/>
    <x v="202"/>
    <n v="1537592400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x v="1"/>
    <s v="USD"/>
    <n v="727.005"/>
    <n v="1433826000"/>
    <x v="743"/>
    <n v="1435122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x v="1"/>
    <s v="USD"/>
    <n v="727.005"/>
    <n v="1514959200"/>
    <x v="744"/>
    <n v="1520056800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x v="1"/>
    <s v="USD"/>
    <n v="727.005"/>
    <n v="1332738000"/>
    <x v="745"/>
    <n v="13356756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x v="3"/>
    <s v="DKK"/>
    <n v="727.005"/>
    <n v="1445490000"/>
    <x v="746"/>
    <n v="14484312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x v="3"/>
    <s v="DKK"/>
    <n v="727.005"/>
    <n v="1297663200"/>
    <x v="747"/>
    <n v="12986136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x v="1"/>
    <s v="USD"/>
    <n v="727.005"/>
    <n v="1371963600"/>
    <x v="362"/>
    <n v="1372482000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x v="1"/>
    <s v="USD"/>
    <n v="727.005"/>
    <n v="1425103200"/>
    <x v="748"/>
    <n v="1425621600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x v="1"/>
    <s v="USD"/>
    <n v="727.005"/>
    <n v="1265349600"/>
    <x v="749"/>
    <n v="1266300000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x v="1"/>
    <s v="USD"/>
    <n v="727.005"/>
    <n v="1301202000"/>
    <x v="643"/>
    <n v="1305867600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x v="1"/>
    <s v="USD"/>
    <n v="727.005"/>
    <n v="1538024400"/>
    <x v="750"/>
    <n v="153880200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x v="1"/>
    <s v="USD"/>
    <n v="727.005"/>
    <n v="1395032400"/>
    <x v="751"/>
    <n v="1398920400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x v="1"/>
    <s v="USD"/>
    <n v="727.005"/>
    <n v="1405486800"/>
    <x v="752"/>
    <n v="1405659600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x v="1"/>
    <s v="USD"/>
    <n v="727.005"/>
    <n v="1455861600"/>
    <x v="753"/>
    <n v="1457244000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x v="6"/>
    <s v="EUR"/>
    <n v="727.005"/>
    <n v="1529038800"/>
    <x v="754"/>
    <n v="1529298000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x v="1"/>
    <s v="USD"/>
    <n v="727.005"/>
    <n v="1535259600"/>
    <x v="755"/>
    <n v="1535778000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x v="1"/>
    <s v="USD"/>
    <n v="727.005"/>
    <n v="1327212000"/>
    <x v="756"/>
    <n v="1327471200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x v="4"/>
    <s v="GBP"/>
    <n v="727.005"/>
    <n v="1526360400"/>
    <x v="757"/>
    <n v="1529557200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x v="1"/>
    <s v="USD"/>
    <n v="727.005"/>
    <n v="1532149200"/>
    <x v="758"/>
    <n v="1535259600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x v="1"/>
    <s v="USD"/>
    <n v="727.005"/>
    <n v="1515304800"/>
    <x v="759"/>
    <n v="1515564000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x v="1"/>
    <s v="USD"/>
    <n v="727.005"/>
    <n v="1276318800"/>
    <x v="760"/>
    <n v="127709640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x v="1"/>
    <s v="USD"/>
    <n v="727.005"/>
    <n v="1328767200"/>
    <x v="761"/>
    <n v="1329026400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x v="1"/>
    <s v="USD"/>
    <n v="727.005"/>
    <n v="1321682400"/>
    <x v="762"/>
    <n v="1322978400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x v="1"/>
    <s v="USD"/>
    <n v="727.005"/>
    <n v="1335934800"/>
    <x v="444"/>
    <n v="1338786000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x v="1"/>
    <s v="USD"/>
    <n v="727.005"/>
    <n v="1310792400"/>
    <x v="763"/>
    <n v="1311656400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x v="0"/>
    <s v="CAD"/>
    <n v="727.005"/>
    <n v="1308546000"/>
    <x v="764"/>
    <n v="1308978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x v="0"/>
    <s v="CAD"/>
    <n v="727.005"/>
    <n v="1574056800"/>
    <x v="765"/>
    <n v="1576389600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x v="2"/>
    <s v="AUD"/>
    <n v="727.005"/>
    <n v="1308373200"/>
    <x v="766"/>
    <n v="1311051600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x v="1"/>
    <s v="USD"/>
    <n v="727.005"/>
    <n v="1335243600"/>
    <x v="767"/>
    <n v="1336712400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x v="5"/>
    <s v="CHF"/>
    <n v="727.005"/>
    <n v="1328421600"/>
    <x v="768"/>
    <n v="13304088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x v="1"/>
    <s v="USD"/>
    <n v="727.005"/>
    <n v="1524286800"/>
    <x v="769"/>
    <n v="1524891600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x v="1"/>
    <s v="USD"/>
    <n v="727.005"/>
    <n v="1362117600"/>
    <x v="770"/>
    <n v="136366920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x v="1"/>
    <s v="USD"/>
    <n v="727.005"/>
    <n v="1550556000"/>
    <x v="771"/>
    <n v="1551420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x v="1"/>
    <s v="USD"/>
    <n v="727.005"/>
    <n v="1269147600"/>
    <x v="772"/>
    <n v="1269838800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x v="1"/>
    <s v="USD"/>
    <n v="727.005"/>
    <n v="1312174800"/>
    <x v="773"/>
    <n v="1312520400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x v="1"/>
    <s v="USD"/>
    <n v="727.005"/>
    <n v="1434517200"/>
    <x v="774"/>
    <n v="1436504400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x v="1"/>
    <s v="USD"/>
    <n v="727.005"/>
    <n v="1471582800"/>
    <x v="775"/>
    <n v="1472014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x v="1"/>
    <s v="USD"/>
    <n v="727.005"/>
    <n v="1410757200"/>
    <x v="776"/>
    <n v="1411534800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x v="1"/>
    <s v="USD"/>
    <n v="727.005"/>
    <n v="1304830800"/>
    <x v="777"/>
    <n v="13049172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x v="1"/>
    <s v="USD"/>
    <n v="727.005"/>
    <n v="1539061200"/>
    <x v="778"/>
    <n v="1539579600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x v="1"/>
    <s v="USD"/>
    <n v="727.005"/>
    <n v="1381554000"/>
    <x v="779"/>
    <n v="1382504400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x v="1"/>
    <s v="USD"/>
    <n v="727.005"/>
    <n v="1277096400"/>
    <x v="780"/>
    <n v="127830600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x v="1"/>
    <s v="USD"/>
    <n v="727.005"/>
    <n v="1440392400"/>
    <x v="335"/>
    <n v="1442552400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x v="1"/>
    <s v="USD"/>
    <n v="727.005"/>
    <n v="1509512400"/>
    <x v="535"/>
    <n v="1511071200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x v="2"/>
    <s v="AUD"/>
    <n v="727.005"/>
    <n v="1535950800"/>
    <x v="270"/>
    <n v="1536382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x v="1"/>
    <s v="USD"/>
    <n v="727.005"/>
    <n v="1389160800"/>
    <x v="781"/>
    <n v="1389592800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x v="1"/>
    <s v="USD"/>
    <n v="727.005"/>
    <n v="1271998800"/>
    <x v="782"/>
    <n v="1275282000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x v="1"/>
    <s v="USD"/>
    <n v="727.005"/>
    <n v="1294898400"/>
    <x v="783"/>
    <n v="1294984800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x v="0"/>
    <s v="CAD"/>
    <n v="727.005"/>
    <n v="1559970000"/>
    <x v="784"/>
    <n v="15620436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x v="1"/>
    <s v="USD"/>
    <n v="727.005"/>
    <n v="1469509200"/>
    <x v="785"/>
    <n v="1469595600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x v="6"/>
    <s v="EUR"/>
    <n v="727.005"/>
    <n v="1579068000"/>
    <x v="786"/>
    <n v="1581141600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x v="1"/>
    <s v="USD"/>
    <n v="727.005"/>
    <n v="1487743200"/>
    <x v="787"/>
    <n v="14885208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x v="1"/>
    <s v="USD"/>
    <n v="727.005"/>
    <n v="1563685200"/>
    <x v="788"/>
    <n v="1563858000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x v="1"/>
    <s v="USD"/>
    <n v="727.005"/>
    <n v="1436418000"/>
    <x v="330"/>
    <n v="143892360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x v="1"/>
    <s v="USD"/>
    <n v="727.005"/>
    <n v="1421820000"/>
    <x v="789"/>
    <n v="1422165600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x v="1"/>
    <s v="USD"/>
    <n v="727.005"/>
    <n v="1274763600"/>
    <x v="790"/>
    <n v="127787400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x v="1"/>
    <s v="USD"/>
    <n v="727.005"/>
    <n v="1399179600"/>
    <x v="791"/>
    <n v="1399352400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x v="1"/>
    <s v="USD"/>
    <n v="727.005"/>
    <n v="1275800400"/>
    <x v="792"/>
    <n v="1279083600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x v="1"/>
    <s v="USD"/>
    <n v="727.005"/>
    <n v="1282798800"/>
    <x v="793"/>
    <n v="1284354000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x v="1"/>
    <s v="USD"/>
    <n v="727.005"/>
    <n v="1437109200"/>
    <x v="794"/>
    <n v="1441170000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x v="1"/>
    <s v="USD"/>
    <n v="727.005"/>
    <n v="1491886800"/>
    <x v="795"/>
    <n v="1493528400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x v="1"/>
    <s v="USD"/>
    <n v="727.005"/>
    <n v="1394600400"/>
    <x v="796"/>
    <n v="13952052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x v="1"/>
    <s v="USD"/>
    <n v="727.005"/>
    <n v="1561352400"/>
    <x v="797"/>
    <n v="15614388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x v="0"/>
    <s v="CAD"/>
    <n v="727.005"/>
    <n v="1322892000"/>
    <x v="798"/>
    <n v="13266936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x v="1"/>
    <s v="USD"/>
    <n v="727.005"/>
    <n v="1274418000"/>
    <x v="799"/>
    <n v="1277960400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x v="6"/>
    <s v="EUR"/>
    <n v="727.005"/>
    <n v="1434344400"/>
    <x v="800"/>
    <n v="14346900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x v="4"/>
    <s v="GBP"/>
    <n v="727.005"/>
    <n v="1373518800"/>
    <x v="801"/>
    <n v="1376110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x v="1"/>
    <s v="USD"/>
    <n v="727.005"/>
    <n v="1517637600"/>
    <x v="802"/>
    <n v="1518415200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x v="2"/>
    <s v="AUD"/>
    <n v="727.005"/>
    <n v="1310619600"/>
    <x v="803"/>
    <n v="1310878800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x v="1"/>
    <s v="USD"/>
    <n v="727.005"/>
    <n v="1556427600"/>
    <x v="212"/>
    <n v="1556600400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x v="1"/>
    <s v="USD"/>
    <n v="727.005"/>
    <n v="1576476000"/>
    <x v="804"/>
    <n v="1576994400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x v="5"/>
    <s v="CHF"/>
    <n v="727.005"/>
    <n v="1381122000"/>
    <x v="805"/>
    <n v="1382677200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x v="1"/>
    <s v="USD"/>
    <n v="727.005"/>
    <n v="1411102800"/>
    <x v="806"/>
    <n v="1411189200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x v="1"/>
    <s v="USD"/>
    <n v="727.005"/>
    <n v="1531803600"/>
    <x v="807"/>
    <n v="1534654800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x v="1"/>
    <s v="USD"/>
    <n v="727.005"/>
    <n v="1454133600"/>
    <x v="722"/>
    <n v="14577624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x v="1"/>
    <s v="USD"/>
    <n v="727.005"/>
    <n v="1336194000"/>
    <x v="477"/>
    <n v="1337490000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x v="1"/>
    <s v="USD"/>
    <n v="727.005"/>
    <n v="1349326800"/>
    <x v="259"/>
    <n v="13496724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x v="1"/>
    <s v="USD"/>
    <n v="727.005"/>
    <n v="1379566800"/>
    <x v="9"/>
    <n v="1379826000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x v="1"/>
    <s v="USD"/>
    <n v="727.005"/>
    <n v="1494651600"/>
    <x v="808"/>
    <n v="14977620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x v="1"/>
    <s v="USD"/>
    <n v="727.005"/>
    <n v="1303880400"/>
    <x v="809"/>
    <n v="1304485200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x v="1"/>
    <s v="USD"/>
    <n v="727.005"/>
    <n v="1335934800"/>
    <x v="444"/>
    <n v="1336885200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x v="0"/>
    <s v="CAD"/>
    <n v="727.005"/>
    <n v="1528088400"/>
    <x v="384"/>
    <n v="1530421200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x v="1"/>
    <s v="USD"/>
    <n v="727.005"/>
    <n v="1421906400"/>
    <x v="810"/>
    <n v="142199280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x v="1"/>
    <s v="USD"/>
    <n v="727.005"/>
    <n v="1568005200"/>
    <x v="811"/>
    <n v="1568178000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x v="1"/>
    <s v="USD"/>
    <n v="727.005"/>
    <n v="1346821200"/>
    <x v="812"/>
    <n v="1347944400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x v="2"/>
    <s v="AUD"/>
    <n v="727.005"/>
    <n v="1557637200"/>
    <x v="813"/>
    <n v="15587604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x v="4"/>
    <s v="GBP"/>
    <n v="727.005"/>
    <n v="1375592400"/>
    <x v="814"/>
    <n v="1376629200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x v="4"/>
    <s v="GBP"/>
    <n v="727.005"/>
    <n v="1503982800"/>
    <x v="80"/>
    <n v="15047604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x v="1"/>
    <s v="USD"/>
    <n v="727.005"/>
    <n v="1418882400"/>
    <x v="815"/>
    <n v="1419660000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x v="4"/>
    <s v="GBP"/>
    <n v="727.005"/>
    <n v="1309237200"/>
    <x v="816"/>
    <n v="1311310800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x v="5"/>
    <s v="CHF"/>
    <n v="727.005"/>
    <n v="1343365200"/>
    <x v="474"/>
    <n v="1344315600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x v="2"/>
    <s v="AUD"/>
    <n v="727.005"/>
    <n v="1507957200"/>
    <x v="817"/>
    <n v="1510725600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x v="1"/>
    <s v="USD"/>
    <n v="727.005"/>
    <n v="1549519200"/>
    <x v="818"/>
    <n v="1551247200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x v="1"/>
    <s v="USD"/>
    <n v="727.005"/>
    <n v="1329026400"/>
    <x v="819"/>
    <n v="1330236000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x v="1"/>
    <s v="USD"/>
    <n v="727.005"/>
    <n v="1544335200"/>
    <x v="609"/>
    <n v="1545112800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x v="1"/>
    <s v="USD"/>
    <n v="727.005"/>
    <n v="1279083600"/>
    <x v="547"/>
    <n v="1279170000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x v="6"/>
    <s v="EUR"/>
    <n v="727.005"/>
    <n v="1572498000"/>
    <x v="820"/>
    <n v="1573452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x v="1"/>
    <s v="USD"/>
    <n v="727.005"/>
    <n v="1506056400"/>
    <x v="821"/>
    <n v="1507093200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x v="1"/>
    <s v="USD"/>
    <n v="727.005"/>
    <n v="1463029200"/>
    <x v="151"/>
    <n v="1463374800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x v="1"/>
    <s v="USD"/>
    <n v="727.005"/>
    <n v="1342069200"/>
    <x v="822"/>
    <n v="1344574800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x v="6"/>
    <s v="EUR"/>
    <n v="727.005"/>
    <n v="1388296800"/>
    <x v="823"/>
    <n v="1389074400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x v="4"/>
    <s v="GBP"/>
    <n v="727.005"/>
    <n v="1493787600"/>
    <x v="824"/>
    <n v="1494997200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x v="1"/>
    <s v="USD"/>
    <n v="727.005"/>
    <n v="1424844000"/>
    <x v="825"/>
    <n v="1425448800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x v="1"/>
    <s v="USD"/>
    <n v="727.005"/>
    <n v="1403931600"/>
    <x v="826"/>
    <n v="1404104400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x v="1"/>
    <s v="USD"/>
    <n v="727.005"/>
    <n v="1394514000"/>
    <x v="827"/>
    <n v="1394773200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x v="1"/>
    <s v="USD"/>
    <n v="727.005"/>
    <n v="1365397200"/>
    <x v="828"/>
    <n v="1366520400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x v="1"/>
    <s v="USD"/>
    <n v="727.005"/>
    <n v="1456120800"/>
    <x v="829"/>
    <n v="14566392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x v="1"/>
    <s v="USD"/>
    <n v="727.005"/>
    <n v="1437714000"/>
    <x v="830"/>
    <n v="143831880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x v="1"/>
    <s v="USD"/>
    <n v="727.005"/>
    <n v="1563771600"/>
    <x v="831"/>
    <n v="1564030800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x v="1"/>
    <s v="USD"/>
    <n v="727.005"/>
    <n v="1448517600"/>
    <x v="832"/>
    <n v="1449295200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x v="1"/>
    <s v="USD"/>
    <n v="727.005"/>
    <n v="1528779600"/>
    <x v="833"/>
    <n v="15318900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x v="1"/>
    <s v="USD"/>
    <n v="727.005"/>
    <n v="1304744400"/>
    <x v="834"/>
    <n v="1306213200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x v="0"/>
    <s v="CAD"/>
    <n v="727.005"/>
    <n v="1354341600"/>
    <x v="835"/>
    <n v="1356242400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x v="1"/>
    <s v="USD"/>
    <n v="727.005"/>
    <n v="1294552800"/>
    <x v="836"/>
    <n v="1297576800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x v="2"/>
    <s v="AUD"/>
    <n v="727.005"/>
    <n v="1295935200"/>
    <x v="837"/>
    <n v="12961944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x v="1"/>
    <s v="USD"/>
    <n v="727.005"/>
    <n v="1411534800"/>
    <x v="219"/>
    <n v="1414558800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x v="2"/>
    <s v="AUD"/>
    <n v="727.005"/>
    <n v="1486706400"/>
    <x v="365"/>
    <n v="14883480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x v="1"/>
    <s v="USD"/>
    <n v="727.005"/>
    <n v="1333602000"/>
    <x v="838"/>
    <n v="1334898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x v="1"/>
    <s v="USD"/>
    <n v="727.005"/>
    <n v="1308200400"/>
    <x v="839"/>
    <n v="1308373200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x v="1"/>
    <s v="USD"/>
    <n v="727.005"/>
    <n v="1411707600"/>
    <x v="840"/>
    <n v="141231240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x v="1"/>
    <s v="USD"/>
    <n v="727.005"/>
    <n v="1418364000"/>
    <x v="841"/>
    <n v="1419228000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x v="1"/>
    <s v="USD"/>
    <n v="727.005"/>
    <n v="1429333200"/>
    <x v="842"/>
    <n v="1430974800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x v="1"/>
    <s v="USD"/>
    <n v="727.005"/>
    <n v="1555390800"/>
    <x v="843"/>
    <n v="1555822800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x v="1"/>
    <s v="USD"/>
    <n v="727.005"/>
    <n v="1482732000"/>
    <x v="844"/>
    <n v="1482818400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x v="1"/>
    <s v="USD"/>
    <n v="727.005"/>
    <n v="1470718800"/>
    <x v="845"/>
    <n v="1471928400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x v="1"/>
    <s v="USD"/>
    <n v="727.005"/>
    <n v="1450591200"/>
    <x v="846"/>
    <n v="14537016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x v="2"/>
    <s v="AUD"/>
    <n v="727.005"/>
    <n v="1348290000"/>
    <x v="110"/>
    <n v="135036360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x v="1"/>
    <s v="USD"/>
    <n v="727.005"/>
    <n v="1353823200"/>
    <x v="847"/>
    <n v="1353996000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x v="1"/>
    <s v="USD"/>
    <n v="727.005"/>
    <n v="1450764000"/>
    <x v="848"/>
    <n v="14511096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x v="1"/>
    <s v="USD"/>
    <n v="727.005"/>
    <n v="1329372000"/>
    <x v="849"/>
    <n v="1329631200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x v="1"/>
    <s v="USD"/>
    <n v="727.005"/>
    <n v="1277096400"/>
    <x v="780"/>
    <n v="12789972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x v="1"/>
    <s v="USD"/>
    <n v="727.005"/>
    <n v="1277701200"/>
    <x v="140"/>
    <n v="128012040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x v="1"/>
    <s v="USD"/>
    <n v="727.005"/>
    <n v="1454911200"/>
    <x v="850"/>
    <n v="145810440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x v="1"/>
    <s v="USD"/>
    <n v="727.005"/>
    <n v="1297922400"/>
    <x v="851"/>
    <n v="12982680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x v="1"/>
    <s v="USD"/>
    <n v="727.005"/>
    <n v="1384408800"/>
    <x v="852"/>
    <n v="1386223200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x v="6"/>
    <s v="EUR"/>
    <n v="727.005"/>
    <n v="1299304800"/>
    <x v="853"/>
    <n v="12998232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x v="1"/>
    <s v="USD"/>
    <n v="727.005"/>
    <n v="1431320400"/>
    <x v="854"/>
    <n v="1431752400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x v="4"/>
    <s v="GBP"/>
    <n v="727.005"/>
    <n v="1264399200"/>
    <x v="67"/>
    <n v="1267855200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x v="1"/>
    <s v="USD"/>
    <n v="727.005"/>
    <n v="1497502800"/>
    <x v="855"/>
    <n v="1497675600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x v="1"/>
    <s v="USD"/>
    <n v="727.005"/>
    <n v="1333688400"/>
    <x v="107"/>
    <n v="13368852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x v="1"/>
    <s v="USD"/>
    <n v="727.005"/>
    <n v="1293861600"/>
    <x v="344"/>
    <n v="1295157600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x v="1"/>
    <s v="USD"/>
    <n v="727.005"/>
    <n v="1576994400"/>
    <x v="856"/>
    <n v="1577599200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x v="1"/>
    <s v="USD"/>
    <n v="727.005"/>
    <n v="1304917200"/>
    <x v="857"/>
    <n v="1305003600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x v="1"/>
    <s v="USD"/>
    <n v="727.005"/>
    <n v="1381208400"/>
    <x v="858"/>
    <n v="13817268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x v="1"/>
    <s v="USD"/>
    <n v="727.005"/>
    <n v="1401685200"/>
    <x v="859"/>
    <n v="1402462800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x v="1"/>
    <s v="USD"/>
    <n v="727.005"/>
    <n v="1291960800"/>
    <x v="860"/>
    <n v="129213360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x v="1"/>
    <s v="USD"/>
    <n v="727.005"/>
    <n v="1368853200"/>
    <x v="170"/>
    <n v="136893960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x v="1"/>
    <s v="USD"/>
    <n v="727.005"/>
    <n v="1448776800"/>
    <x v="861"/>
    <n v="14521464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x v="1"/>
    <s v="USD"/>
    <n v="727.005"/>
    <n v="1296194400"/>
    <x v="862"/>
    <n v="1296712800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x v="1"/>
    <s v="USD"/>
    <n v="727.005"/>
    <n v="1517983200"/>
    <x v="863"/>
    <n v="15207480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x v="1"/>
    <s v="USD"/>
    <n v="727.005"/>
    <n v="1478930400"/>
    <x v="864"/>
    <n v="14808312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x v="4"/>
    <s v="GBP"/>
    <n v="727.005"/>
    <n v="1426395600"/>
    <x v="527"/>
    <n v="1426914000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x v="1"/>
    <s v="USD"/>
    <n v="727.005"/>
    <n v="1446181200"/>
    <x v="865"/>
    <n v="1446616800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x v="1"/>
    <s v="USD"/>
    <n v="727.005"/>
    <n v="1514181600"/>
    <x v="866"/>
    <n v="1517032800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x v="1"/>
    <s v="USD"/>
    <n v="727.005"/>
    <n v="1311051600"/>
    <x v="867"/>
    <n v="1311224400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x v="1"/>
    <s v="USD"/>
    <n v="727.005"/>
    <n v="1564894800"/>
    <x v="868"/>
    <n v="1566190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x v="1"/>
    <s v="USD"/>
    <n v="727.005"/>
    <n v="1567918800"/>
    <x v="105"/>
    <n v="1570165200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x v="1"/>
    <s v="USD"/>
    <n v="727.005"/>
    <n v="1386309600"/>
    <x v="481"/>
    <n v="1388556000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x v="1"/>
    <s v="USD"/>
    <n v="727.005"/>
    <n v="1301979600"/>
    <x v="253"/>
    <n v="1303189200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x v="1"/>
    <s v="USD"/>
    <n v="727.005"/>
    <n v="1493269200"/>
    <x v="869"/>
    <n v="14944788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x v="1"/>
    <s v="USD"/>
    <n v="727.005"/>
    <n v="1478930400"/>
    <x v="864"/>
    <n v="1480744800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x v="1"/>
    <s v="USD"/>
    <n v="727.005"/>
    <n v="1555390800"/>
    <x v="843"/>
    <n v="1555822800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x v="1"/>
    <s v="USD"/>
    <n v="727.005"/>
    <n v="1456984800"/>
    <x v="289"/>
    <n v="1458882000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x v="1"/>
    <s v="USD"/>
    <n v="727.005"/>
    <n v="1411621200"/>
    <x v="870"/>
    <n v="141196680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x v="1"/>
    <s v="USD"/>
    <n v="727.005"/>
    <n v="1525669200"/>
    <x v="871"/>
    <n v="1526878800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x v="6"/>
    <s v="EUR"/>
    <n v="727.005"/>
    <n v="1450936800"/>
    <x v="872"/>
    <n v="14524056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x v="1"/>
    <s v="USD"/>
    <n v="727.005"/>
    <n v="1413522000"/>
    <x v="873"/>
    <n v="14140404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x v="1"/>
    <s v="USD"/>
    <n v="727.005"/>
    <n v="1541307600"/>
    <x v="874"/>
    <n v="1543816800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x v="1"/>
    <s v="USD"/>
    <n v="727.005"/>
    <n v="1357106400"/>
    <x v="875"/>
    <n v="1359698400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x v="6"/>
    <s v="EUR"/>
    <n v="727.005"/>
    <n v="1390197600"/>
    <x v="876"/>
    <n v="1390629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x v="1"/>
    <s v="USD"/>
    <n v="727.005"/>
    <n v="1265868000"/>
    <x v="877"/>
    <n v="1267077600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x v="1"/>
    <s v="USD"/>
    <n v="727.005"/>
    <n v="1467176400"/>
    <x v="878"/>
    <n v="1467781200"/>
    <x v="877"/>
    <b v="0"/>
    <b v="0"/>
    <s v="food/food trucks"/>
    <x v="0"/>
    <x v="0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  <r>
    <m/>
    <m/>
    <m/>
    <m/>
    <m/>
    <e v="#DIV/0!"/>
    <x v="4"/>
    <m/>
    <x v="7"/>
    <m/>
    <n v="727.005"/>
    <m/>
    <x v="879"/>
    <m/>
    <x v="878"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1966BB-9D00-472D-BC96-9B3305D7AC3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numFmtId="14" showAll="0"/>
    <pivotField showAll="0"/>
    <pivotField numFmtId="14" showAll="0">
      <items count="880">
        <item x="878"/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6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83992E-7F08-4B8D-814E-96480601772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numFmtId="14" showAll="0"/>
    <pivotField showAll="0"/>
    <pivotField numFmtId="14" showAll="0">
      <items count="880">
        <item x="878"/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8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79C7B6-44D3-4623-981D-4E3D514E500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name="Year" axis="axisPage" numFmtId="14" showAll="0" maxSubtotal="1">
      <items count="881">
        <item x="879"/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max"/>
      </items>
    </pivotField>
    <pivotField showAll="0"/>
    <pivotField numFmtId="14" showAll="0">
      <items count="880">
        <item x="878"/>
        <item x="256"/>
        <item x="67"/>
        <item x="646"/>
        <item x="753"/>
        <item x="720"/>
        <item x="876"/>
        <item x="243"/>
        <item x="681"/>
        <item x="28"/>
        <item x="852"/>
        <item x="200"/>
        <item x="492"/>
        <item x="456"/>
        <item x="686"/>
        <item x="174"/>
        <item x="546"/>
        <item x="773"/>
        <item x="194"/>
        <item x="554"/>
        <item x="149"/>
        <item x="87"/>
        <item x="298"/>
        <item x="395"/>
        <item x="402"/>
        <item x="493"/>
        <item x="436"/>
        <item x="122"/>
        <item x="680"/>
        <item x="784"/>
        <item x="691"/>
        <item x="385"/>
        <item x="764"/>
        <item x="40"/>
        <item x="684"/>
        <item x="791"/>
        <item x="796"/>
        <item x="780"/>
        <item x="430"/>
        <item x="369"/>
        <item x="582"/>
        <item x="468"/>
        <item x="847"/>
        <item x="556"/>
        <item x="820"/>
        <item x="137"/>
        <item x="634"/>
        <item x="269"/>
        <item x="551"/>
        <item x="688"/>
        <item x="46"/>
        <item x="622"/>
        <item x="233"/>
        <item x="592"/>
        <item x="8"/>
        <item x="438"/>
        <item x="465"/>
        <item x="690"/>
        <item x="208"/>
        <item x="254"/>
        <item x="192"/>
        <item x="306"/>
        <item x="123"/>
        <item x="486"/>
        <item x="488"/>
        <item x="498"/>
        <item x="52"/>
        <item x="177"/>
        <item x="11"/>
        <item x="10"/>
        <item x="581"/>
        <item x="76"/>
        <item x="131"/>
        <item x="282"/>
        <item x="421"/>
        <item x="38"/>
        <item x="615"/>
        <item x="602"/>
        <item x="99"/>
        <item x="352"/>
        <item x="207"/>
        <item x="569"/>
        <item x="372"/>
        <item x="494"/>
        <item x="263"/>
        <item x="547"/>
        <item x="309"/>
        <item x="171"/>
        <item x="859"/>
        <item x="323"/>
        <item x="70"/>
        <item x="423"/>
        <item x="160"/>
        <item x="519"/>
        <item x="351"/>
        <item x="375"/>
        <item x="746"/>
        <item x="17"/>
        <item x="785"/>
        <item x="345"/>
        <item x="854"/>
        <item x="69"/>
        <item x="530"/>
        <item x="397"/>
        <item x="611"/>
        <item x="65"/>
        <item x="381"/>
        <item x="562"/>
        <item x="836"/>
        <item x="408"/>
        <item x="248"/>
        <item x="751"/>
        <item x="299"/>
        <item x="347"/>
        <item x="850"/>
        <item x="85"/>
        <item x="36"/>
        <item x="713"/>
        <item x="61"/>
        <item x="647"/>
        <item x="538"/>
        <item x="308"/>
        <item x="198"/>
        <item x="296"/>
        <item x="246"/>
        <item x="255"/>
        <item x="808"/>
        <item x="575"/>
        <item x="777"/>
        <item x="856"/>
        <item x="542"/>
        <item x="747"/>
        <item x="693"/>
        <item x="307"/>
        <item x="754"/>
        <item x="699"/>
        <item x="834"/>
        <item x="718"/>
        <item x="25"/>
        <item x="839"/>
        <item x="767"/>
        <item x="226"/>
        <item x="42"/>
        <item x="800"/>
        <item x="214"/>
        <item x="865"/>
        <item x="816"/>
        <item x="453"/>
        <item x="422"/>
        <item x="774"/>
        <item x="128"/>
        <item x="710"/>
        <item x="540"/>
        <item x="127"/>
        <item x="660"/>
        <item x="521"/>
        <item x="21"/>
        <item x="83"/>
        <item x="403"/>
        <item x="113"/>
        <item x="625"/>
        <item x="196"/>
        <item x="297"/>
        <item x="685"/>
        <item x="433"/>
        <item x="280"/>
        <item x="709"/>
        <item x="325"/>
        <item x="96"/>
        <item x="363"/>
        <item x="124"/>
        <item x="210"/>
        <item x="140"/>
        <item x="638"/>
        <item x="539"/>
        <item x="528"/>
        <item x="644"/>
        <item x="378"/>
        <item x="327"/>
        <item x="212"/>
        <item x="318"/>
        <item x="487"/>
        <item x="631"/>
        <item x="348"/>
        <item x="371"/>
        <item x="795"/>
        <item x="342"/>
        <item x="761"/>
        <item x="396"/>
        <item x="765"/>
        <item x="846"/>
        <item x="384"/>
        <item x="819"/>
        <item x="770"/>
        <item x="301"/>
        <item x="616"/>
        <item x="590"/>
        <item x="458"/>
        <item x="544"/>
        <item x="278"/>
        <item x="516"/>
        <item x="470"/>
        <item x="730"/>
        <item x="273"/>
        <item x="14"/>
        <item x="281"/>
        <item x="51"/>
        <item x="838"/>
        <item x="268"/>
        <item x="654"/>
        <item x="613"/>
        <item x="749"/>
        <item x="448"/>
        <item x="275"/>
        <item x="399"/>
        <item x="648"/>
        <item x="545"/>
        <item x="769"/>
        <item x="104"/>
        <item x="483"/>
        <item x="136"/>
        <item x="804"/>
        <item x="419"/>
        <item x="766"/>
        <item x="662"/>
        <item x="698"/>
        <item x="370"/>
        <item x="215"/>
        <item x="295"/>
        <item x="726"/>
        <item x="678"/>
        <item x="163"/>
        <item x="60"/>
        <item x="82"/>
        <item x="824"/>
        <item x="619"/>
        <item x="732"/>
        <item x="476"/>
        <item x="213"/>
        <item x="735"/>
        <item x="5"/>
        <item x="812"/>
        <item x="107"/>
        <item x="41"/>
        <item x="132"/>
        <item x="627"/>
        <item x="805"/>
        <item x="253"/>
        <item x="843"/>
        <item x="639"/>
        <item x="90"/>
        <item x="147"/>
        <item x="260"/>
        <item x="719"/>
        <item x="261"/>
        <item x="844"/>
        <item x="697"/>
        <item x="244"/>
        <item x="424"/>
        <item x="270"/>
        <item x="835"/>
        <item x="252"/>
        <item x="567"/>
        <item x="874"/>
        <item x="669"/>
        <item x="388"/>
        <item x="143"/>
        <item x="257"/>
        <item x="406"/>
        <item x="440"/>
        <item x="39"/>
        <item x="129"/>
        <item x="589"/>
        <item x="353"/>
        <item x="173"/>
        <item x="250"/>
        <item x="181"/>
        <item x="599"/>
        <item x="319"/>
        <item x="416"/>
        <item x="426"/>
        <item x="479"/>
        <item x="101"/>
        <item x="829"/>
        <item x="860"/>
        <item x="574"/>
        <item x="167"/>
        <item x="481"/>
        <item x="380"/>
        <item x="184"/>
        <item x="515"/>
        <item x="444"/>
        <item x="279"/>
        <item x="161"/>
        <item x="364"/>
        <item x="451"/>
        <item x="661"/>
        <item x="224"/>
        <item x="722"/>
        <item x="467"/>
        <item x="329"/>
        <item x="568"/>
        <item x="659"/>
        <item x="377"/>
        <item x="239"/>
        <item x="798"/>
        <item x="558"/>
        <item x="814"/>
        <item x="50"/>
        <item x="617"/>
        <item x="382"/>
        <item x="340"/>
        <item x="205"/>
        <item x="573"/>
        <item x="806"/>
        <item x="509"/>
        <item x="373"/>
        <item x="504"/>
        <item x="857"/>
        <item x="779"/>
        <item x="802"/>
        <item x="245"/>
        <item x="300"/>
        <item x="9"/>
        <item x="284"/>
        <item x="637"/>
        <item x="2"/>
        <item x="432"/>
        <item x="849"/>
        <item x="412"/>
        <item x="125"/>
        <item x="650"/>
        <item x="632"/>
        <item x="714"/>
        <item x="701"/>
        <item x="868"/>
        <item x="441"/>
        <item x="499"/>
        <item x="497"/>
        <item x="151"/>
        <item x="393"/>
        <item x="105"/>
        <item x="374"/>
        <item x="286"/>
        <item x="875"/>
        <item x="114"/>
        <item x="738"/>
        <item x="16"/>
        <item x="305"/>
        <item x="541"/>
        <item x="604"/>
        <item x="409"/>
        <item x="828"/>
        <item x="743"/>
        <item x="794"/>
        <item x="564"/>
        <item x="310"/>
        <item x="238"/>
        <item x="165"/>
        <item x="702"/>
        <item x="234"/>
        <item x="230"/>
        <item x="47"/>
        <item x="756"/>
        <item x="219"/>
        <item x="534"/>
        <item x="792"/>
        <item x="439"/>
        <item x="411"/>
        <item x="536"/>
        <item x="180"/>
        <item x="552"/>
        <item x="858"/>
        <item x="471"/>
        <item x="559"/>
        <item x="130"/>
        <item x="302"/>
        <item x="24"/>
        <item x="53"/>
        <item x="827"/>
        <item x="186"/>
        <item x="115"/>
        <item x="485"/>
        <item x="360"/>
        <item x="757"/>
        <item x="20"/>
        <item x="145"/>
        <item x="166"/>
        <item x="603"/>
        <item x="672"/>
        <item x="43"/>
        <item x="195"/>
        <item x="724"/>
        <item x="658"/>
        <item x="1"/>
        <item x="237"/>
        <item x="108"/>
        <item x="139"/>
        <item x="618"/>
        <item x="803"/>
        <item x="460"/>
        <item x="776"/>
        <item x="871"/>
        <item x="216"/>
        <item x="744"/>
        <item x="407"/>
        <item x="117"/>
        <item x="687"/>
        <item x="873"/>
        <item x="665"/>
        <item x="837"/>
        <item x="694"/>
        <item x="218"/>
        <item x="33"/>
        <item x="457"/>
        <item x="707"/>
        <item x="666"/>
        <item x="586"/>
        <item x="182"/>
        <item x="677"/>
        <item x="259"/>
        <item x="450"/>
        <item x="840"/>
        <item x="95"/>
        <item x="531"/>
        <item x="414"/>
        <item x="550"/>
        <item x="474"/>
        <item x="241"/>
        <item x="242"/>
        <item x="56"/>
        <item x="437"/>
        <item x="810"/>
        <item x="790"/>
        <item x="692"/>
        <item x="356"/>
        <item x="517"/>
        <item x="579"/>
        <item x="513"/>
        <item x="557"/>
        <item x="675"/>
        <item x="97"/>
        <item x="826"/>
        <item x="752"/>
        <item x="333"/>
        <item x="75"/>
        <item x="290"/>
        <item x="454"/>
        <item x="527"/>
        <item x="355"/>
        <item x="66"/>
        <item x="116"/>
        <item x="277"/>
        <item x="133"/>
        <item x="86"/>
        <item x="851"/>
        <item x="84"/>
        <item x="478"/>
        <item x="446"/>
        <item x="220"/>
        <item x="670"/>
        <item x="62"/>
        <item x="336"/>
        <item x="543"/>
        <item x="560"/>
        <item x="135"/>
        <item x="797"/>
        <item x="748"/>
        <item x="311"/>
        <item x="507"/>
        <item x="48"/>
        <item x="331"/>
        <item x="193"/>
        <item x="549"/>
        <item x="477"/>
        <item x="365"/>
        <item x="94"/>
        <item x="405"/>
        <item x="532"/>
        <item x="71"/>
        <item x="789"/>
        <item x="7"/>
        <item x="93"/>
        <item x="711"/>
        <item x="606"/>
        <item x="612"/>
        <item x="232"/>
        <item x="328"/>
        <item x="337"/>
        <item x="415"/>
        <item x="781"/>
        <item x="112"/>
        <item x="610"/>
        <item x="343"/>
        <item x="155"/>
        <item x="188"/>
        <item x="58"/>
        <item x="522"/>
        <item x="168"/>
        <item x="27"/>
        <item x="533"/>
        <item x="682"/>
        <item x="863"/>
        <item x="587"/>
        <item x="563"/>
        <item x="338"/>
        <item x="700"/>
        <item x="750"/>
        <item x="118"/>
        <item x="445"/>
        <item x="832"/>
        <item x="152"/>
        <item x="359"/>
        <item x="0"/>
        <item x="845"/>
        <item x="313"/>
        <item x="264"/>
        <item x="872"/>
        <item x="733"/>
        <item x="291"/>
        <item x="510"/>
        <item x="842"/>
        <item x="656"/>
        <item x="495"/>
        <item x="31"/>
        <item x="727"/>
        <item x="258"/>
        <item x="464"/>
        <item x="508"/>
        <item x="88"/>
        <item x="830"/>
        <item x="249"/>
        <item x="183"/>
        <item x="758"/>
        <item x="621"/>
        <item x="496"/>
        <item x="287"/>
        <item x="848"/>
        <item x="715"/>
        <item x="529"/>
        <item x="475"/>
        <item x="664"/>
        <item x="870"/>
        <item x="73"/>
        <item x="217"/>
        <item x="689"/>
        <item x="674"/>
        <item x="523"/>
        <item x="605"/>
        <item x="514"/>
        <item x="288"/>
        <item x="293"/>
        <item x="624"/>
        <item x="572"/>
        <item x="203"/>
        <item x="823"/>
        <item x="736"/>
        <item x="731"/>
        <item x="148"/>
        <item x="668"/>
        <item x="141"/>
        <item x="13"/>
        <item x="553"/>
        <item x="706"/>
        <item x="877"/>
        <item x="583"/>
        <item x="390"/>
        <item x="576"/>
        <item x="649"/>
        <item x="225"/>
        <item x="786"/>
        <item x="524"/>
        <item x="712"/>
        <item x="657"/>
        <item x="81"/>
        <item x="841"/>
        <item x="775"/>
        <item x="491"/>
        <item x="89"/>
        <item x="121"/>
        <item x="170"/>
        <item x="292"/>
        <item x="577"/>
        <item x="169"/>
        <item x="190"/>
        <item x="221"/>
        <item x="435"/>
        <item x="276"/>
        <item x="723"/>
        <item x="417"/>
        <item x="45"/>
        <item x="591"/>
        <item x="676"/>
        <item x="518"/>
        <item x="72"/>
        <item x="274"/>
        <item x="862"/>
        <item x="413"/>
        <item x="447"/>
        <item x="473"/>
        <item x="316"/>
        <item x="520"/>
        <item x="721"/>
        <item x="251"/>
        <item x="240"/>
        <item x="431"/>
        <item x="197"/>
        <item x="350"/>
        <item x="571"/>
        <item x="679"/>
        <item x="673"/>
        <item x="228"/>
        <item x="247"/>
        <item x="146"/>
        <item x="334"/>
        <item x="341"/>
        <item x="367"/>
        <item x="742"/>
        <item x="607"/>
        <item x="596"/>
        <item x="594"/>
        <item x="34"/>
        <item x="204"/>
        <item x="588"/>
        <item x="671"/>
        <item x="391"/>
        <item x="705"/>
        <item x="793"/>
        <item x="63"/>
        <item x="489"/>
        <item x="869"/>
        <item x="825"/>
        <item x="235"/>
        <item x="463"/>
        <item x="100"/>
        <item x="304"/>
        <item x="392"/>
        <item x="653"/>
        <item x="472"/>
        <item x="853"/>
        <item x="807"/>
        <item x="59"/>
        <item x="620"/>
        <item x="191"/>
        <item x="400"/>
        <item x="418"/>
        <item x="294"/>
        <item x="376"/>
        <item x="222"/>
        <item x="601"/>
        <item x="696"/>
        <item x="401"/>
        <item x="455"/>
        <item x="142"/>
        <item x="745"/>
        <item x="164"/>
        <item x="335"/>
        <item x="326"/>
        <item x="429"/>
        <item x="357"/>
        <item x="227"/>
        <item x="289"/>
        <item x="159"/>
        <item x="570"/>
        <item x="815"/>
        <item x="68"/>
        <item x="57"/>
        <item x="6"/>
        <item x="420"/>
        <item x="109"/>
        <item x="266"/>
        <item x="79"/>
        <item x="172"/>
        <item x="822"/>
        <item x="158"/>
        <item x="332"/>
        <item x="175"/>
        <item x="346"/>
        <item x="641"/>
        <item x="366"/>
        <item x="267"/>
        <item x="817"/>
        <item x="386"/>
        <item x="537"/>
        <item x="782"/>
        <item x="272"/>
        <item x="202"/>
        <item x="157"/>
        <item x="317"/>
        <item x="480"/>
        <item x="80"/>
        <item x="111"/>
        <item x="737"/>
        <item x="608"/>
        <item x="642"/>
        <item x="425"/>
        <item x="231"/>
        <item x="763"/>
        <item x="609"/>
        <item x="321"/>
        <item x="729"/>
        <item x="500"/>
        <item x="864"/>
        <item x="126"/>
        <item x="443"/>
        <item x="32"/>
        <item x="434"/>
        <item x="799"/>
        <item x="442"/>
        <item x="134"/>
        <item x="330"/>
        <item x="236"/>
        <item x="861"/>
        <item x="54"/>
        <item x="462"/>
        <item x="623"/>
        <item x="643"/>
        <item x="717"/>
        <item x="349"/>
        <item x="635"/>
        <item x="663"/>
        <item x="187"/>
        <item x="77"/>
        <item x="22"/>
        <item x="734"/>
        <item x="404"/>
        <item x="771"/>
        <item x="600"/>
        <item x="103"/>
        <item x="578"/>
        <item x="98"/>
        <item x="179"/>
        <item x="506"/>
        <item x="502"/>
        <item x="759"/>
        <item x="78"/>
        <item x="484"/>
        <item x="449"/>
        <item x="362"/>
        <item x="809"/>
        <item x="312"/>
        <item x="64"/>
        <item x="833"/>
        <item x="655"/>
        <item x="74"/>
        <item x="387"/>
        <item x="593"/>
        <item x="55"/>
        <item x="189"/>
        <item x="741"/>
        <item x="683"/>
        <item x="344"/>
        <item x="452"/>
        <item x="501"/>
        <item x="482"/>
        <item x="762"/>
        <item x="26"/>
        <item x="29"/>
        <item x="760"/>
        <item x="271"/>
        <item x="783"/>
        <item x="18"/>
        <item x="201"/>
        <item x="633"/>
        <item x="512"/>
        <item x="503"/>
        <item x="120"/>
        <item x="106"/>
        <item x="755"/>
        <item x="379"/>
        <item x="778"/>
        <item x="598"/>
        <item x="199"/>
        <item x="283"/>
        <item x="428"/>
        <item x="398"/>
        <item x="526"/>
        <item x="315"/>
        <item x="614"/>
        <item x="144"/>
        <item x="320"/>
        <item x="394"/>
        <item x="595"/>
        <item x="597"/>
        <item x="156"/>
        <item x="652"/>
        <item x="651"/>
        <item x="358"/>
        <item x="628"/>
        <item x="725"/>
        <item x="4"/>
        <item x="636"/>
        <item x="566"/>
        <item x="740"/>
        <item x="704"/>
        <item x="209"/>
        <item x="285"/>
        <item x="262"/>
        <item x="703"/>
        <item x="818"/>
        <item x="772"/>
        <item x="35"/>
        <item x="565"/>
        <item x="548"/>
        <item x="525"/>
        <item x="185"/>
        <item x="162"/>
        <item x="44"/>
        <item x="667"/>
        <item x="427"/>
        <item x="19"/>
        <item x="585"/>
        <item x="23"/>
        <item x="110"/>
        <item x="153"/>
        <item x="91"/>
        <item x="354"/>
        <item x="490"/>
        <item x="368"/>
        <item x="178"/>
        <item x="211"/>
        <item x="584"/>
        <item x="154"/>
        <item x="561"/>
        <item x="813"/>
        <item x="30"/>
        <item x="716"/>
        <item x="739"/>
        <item x="138"/>
        <item x="645"/>
        <item x="176"/>
        <item x="229"/>
        <item x="119"/>
        <item x="339"/>
        <item x="505"/>
        <item x="469"/>
        <item x="461"/>
        <item x="708"/>
        <item x="788"/>
        <item x="831"/>
        <item x="640"/>
        <item x="265"/>
        <item x="866"/>
        <item x="695"/>
        <item x="314"/>
        <item x="811"/>
        <item x="102"/>
        <item x="626"/>
        <item x="3"/>
        <item x="867"/>
        <item x="389"/>
        <item x="92"/>
        <item x="629"/>
        <item x="383"/>
        <item x="150"/>
        <item x="12"/>
        <item x="410"/>
        <item x="361"/>
        <item x="37"/>
        <item x="821"/>
        <item x="324"/>
        <item x="303"/>
        <item x="466"/>
        <item x="322"/>
        <item x="49"/>
        <item x="555"/>
        <item x="223"/>
        <item x="15"/>
        <item x="768"/>
        <item x="630"/>
        <item x="535"/>
        <item x="459"/>
        <item x="801"/>
        <item x="855"/>
        <item x="511"/>
        <item x="728"/>
        <item x="206"/>
        <item x="787"/>
        <item x="580"/>
        <item t="default"/>
      </items>
    </pivotField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12" hier="-1"/>
  </pageFields>
  <dataFields count="1">
    <dataField name="Count of outcome" fld="6" subtotal="count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883169-A57D-4DC3-A05E-A39FBA069AE4}" name="Table1" displayName="Table1" ref="A1:T1098" totalsRowShown="0" headerRowDxfId="42">
  <autoFilter ref="A1:T1098" xr:uid="{8B883169-A57D-4DC3-A05E-A39FBA069AE4}"/>
  <sortState xmlns:xlrd2="http://schemas.microsoft.com/office/spreadsheetml/2017/richdata2" ref="A2:T1002">
    <sortCondition ref="A1:A1098"/>
  </sortState>
  <tableColumns count="20">
    <tableColumn id="1" xr3:uid="{69718E44-DBD1-4CC6-91EC-4744EC26D28E}" name="id"/>
    <tableColumn id="2" xr3:uid="{6F6CDF1A-BA80-4755-B2CC-84CFE0BA1CA3}" name="name"/>
    <tableColumn id="3" xr3:uid="{C22A2CF5-E0D3-40E9-9895-7FB428E2EAEA}" name="blurb" dataDxfId="41"/>
    <tableColumn id="4" xr3:uid="{9FF9314C-4DAD-4242-8223-2EE2D5B4963D}" name="goal"/>
    <tableColumn id="5" xr3:uid="{EEF7A547-EDAB-432E-B538-C418B4A9425B}" name="pledged"/>
    <tableColumn id="15" xr3:uid="{90BB86D9-565E-428F-8827-5BD76A88DF6D}" name="percent funded" dataDxfId="40">
      <calculatedColumnFormula>Table1[[#This Row],[pledged]]/Table1[[#This Row],[goal]]</calculatedColumnFormula>
    </tableColumn>
    <tableColumn id="6" xr3:uid="{901D557C-6589-48C5-B7F9-8956FF05FE2B}" name="outcome"/>
    <tableColumn id="7" xr3:uid="{8541B7EB-2A8C-4998-B856-C4FE8A2C5959}" name="backers_count"/>
    <tableColumn id="8" xr3:uid="{48280C48-E5D8-4106-844B-A476DC87AAAF}" name="country"/>
    <tableColumn id="9" xr3:uid="{4CC50591-CB40-4B68-AFA4-4D4E4B9D2E64}" name="currency"/>
    <tableColumn id="17" xr3:uid="{7009BE6D-8F1C-40B3-86BA-D75F46E78D92}" name="Average Donation" dataDxfId="39">
      <calculatedColumnFormula>IF(OR(E2=0, H2=0), 0, E2/H2)</calculatedColumnFormula>
    </tableColumn>
    <tableColumn id="10" xr3:uid="{508895A7-36D8-4CF4-8B53-B06C9A388833}" name="launched_at"/>
    <tableColumn id="20" xr3:uid="{2131D394-4A39-469E-8605-0CF08D35EC63}" name="Date Created Conversion" dataDxfId="38">
      <calculatedColumnFormula>(((L2/60)/60)/24)+DATE(1970,1,1)</calculatedColumnFormula>
    </tableColumn>
    <tableColumn id="11" xr3:uid="{092DF32C-A206-412C-A681-88E234BBE851}" name="deadline"/>
    <tableColumn id="21" xr3:uid="{BD414A86-FB02-4CF9-A710-480C640B0190}" name="Date Ended Conversion" dataDxfId="37">
      <calculatedColumnFormula>(((N2/60)/60)/24)+DATE(1970,1,1)</calculatedColumnFormula>
    </tableColumn>
    <tableColumn id="12" xr3:uid="{FFAE64AE-435D-4714-BBC1-9DB0A909A2AC}" name="staff_pick"/>
    <tableColumn id="13" xr3:uid="{D1C02767-4FBE-46FB-9DBB-F56D9961A419}" name="spotlight"/>
    <tableColumn id="14" xr3:uid="{5814403D-4633-4B34-B653-1D4185BD0DC4}" name="category &amp; sub-category"/>
    <tableColumn id="18" xr3:uid="{A136744A-7FCD-4CD9-8289-1DD704ABD128}" name="Parent Category"/>
    <tableColumn id="19" xr3:uid="{34844F3A-BE15-4EDE-BCF8-D49618E9046E}" name="Sub-Cage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F9069-2A68-473E-918B-A23586C22903}" name="Table2" displayName="Table2" ref="A1:H13" totalsRowShown="0">
  <autoFilter ref="A1:H13" xr:uid="{3C5F9069-2A68-473E-918B-A23586C22903}"/>
  <tableColumns count="8">
    <tableColumn id="1" xr3:uid="{5C934A43-EE9C-4146-B185-5C2FD5391144}" name="Goal" totalsRowDxfId="36"/>
    <tableColumn id="2" xr3:uid="{F1006B4D-35B2-499A-94A1-3755C0507421}" name="Number Successful" dataDxfId="34" totalsRowDxfId="35">
      <calculatedColumnFormula>COUNTIFS(Crowdfunding!G2:G1001, "successful", Crowdfunding!D2:D1001, "&lt;1000")</calculatedColumnFormula>
    </tableColumn>
    <tableColumn id="3" xr3:uid="{98799FAC-7625-4CA9-884C-56A3479E0909}" name="Number Failed" dataDxfId="32" totalsRowDxfId="33">
      <calculatedColumnFormula>COUNTIFS(Crowdfunding!H2:H1001, "successful", Crowdfunding!E2:E1001, "&lt;1000")</calculatedColumnFormula>
    </tableColumn>
    <tableColumn id="4" xr3:uid="{E027971F-377E-4591-A887-8E250E3FE2DF}" name="Number Canceled" dataDxfId="30" totalsRowDxfId="31">
      <calculatedColumnFormula>COUNTIFS(Crowdfunding!G2:G1001, "canceled", Crowdfunding!D2:D1001, "&lt;1000")</calculatedColumnFormula>
    </tableColumn>
    <tableColumn id="5" xr3:uid="{C0FEE2D2-27CF-4B05-A069-ECE25D22A3B6}" name="Total Projects" dataDxfId="29">
      <calculatedColumnFormula>SUM(Table2[[#This Row],[Number Successful]:[Number Canceled]])</calculatedColumnFormula>
    </tableColumn>
    <tableColumn id="6" xr3:uid="{D026D45F-2724-4E75-84CF-D3B2413B0808}" name="Percentage Successful" dataDxfId="28">
      <calculatedColumnFormula>(Table2[[#This Row],[Number Successful]]/Table2[[#This Row],[Total Projects]])</calculatedColumnFormula>
    </tableColumn>
    <tableColumn id="7" xr3:uid="{6DDFCB1F-32EB-4259-8E65-7DC364AD9F59}" name="Percentage Failed" dataDxfId="27">
      <calculatedColumnFormula>Table2[[#This Row],[Number Failed]]/Table2[[#This Row],[Total Projects]]</calculatedColumnFormula>
    </tableColumn>
    <tableColumn id="8" xr3:uid="{2878CDE6-FE8E-4E79-9879-6DA0FB3C98E3}" name="Percentage Canceled" dataDxfId="26">
      <calculatedColumnFormula>Table2[[#This Row],[Number Canceled]]/Table2[[#This Row],[Total Projects]]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629B47-F785-444F-BF35-D7664FB24271}" name="Table3" displayName="Table3" ref="A1:H8" totalsRowCount="1" headerRowDxfId="24" dataDxfId="25">
  <autoFilter ref="A1:H7" xr:uid="{17629B47-F785-444F-BF35-D7664FB24271}"/>
  <tableColumns count="8">
    <tableColumn id="1" xr3:uid="{51C7E0D5-D83B-4E1E-82F3-C42D1B8E70B4}" name="Backers"/>
    <tableColumn id="2" xr3:uid="{2EA789FD-0DBB-4446-8BB5-C95515610184}" name="Number Successful" dataDxfId="23" totalsRowDxfId="16">
      <calculatedColumnFormula>COUNTIFS(Crowdfunding!G2:G1001, "successful", Crowdfunding!H2:H1001, "&lt;50")</calculatedColumnFormula>
    </tableColumn>
    <tableColumn id="3" xr3:uid="{01917492-B8BA-41C7-888B-4FE9E07CBDDB}" name="Number Failed" dataDxfId="22" totalsRowDxfId="15">
      <calculatedColumnFormula>COUNTIFS(Crowdfunding!G2:G1001, "failed", Crowdfunding!H2:H1001, "&lt;500")</calculatedColumnFormula>
    </tableColumn>
    <tableColumn id="4" xr3:uid="{2FAED2E3-B713-4FDD-B831-E29AC4BB5F0A}" name="Number Canceled" dataDxfId="21" totalsRowDxfId="14">
      <calculatedColumnFormula>COUNTIFS(Crowdfunding!G2:G1001, "canceled", Crowdfunding!H2:H1001, "&lt;500")</calculatedColumnFormula>
    </tableColumn>
    <tableColumn id="5" xr3:uid="{0AE95BA4-95E8-476A-8F4C-5E5C65B9937B}" name="Total Projects" dataDxfId="20" totalsRowDxfId="13">
      <calculatedColumnFormula>SUM(Table3[[#This Row],[Number Successful]:[Number Canceled]])</calculatedColumnFormula>
    </tableColumn>
    <tableColumn id="6" xr3:uid="{8600E413-9E96-49EA-8FD3-1206BB358965}" name="Percentage Successful" dataDxfId="19" totalsRowDxfId="12">
      <calculatedColumnFormula>Table3[[#This Row],[Number Successful]]/Table3[[#This Row],[Total Projects]]</calculatedColumnFormula>
    </tableColumn>
    <tableColumn id="7" xr3:uid="{D0CB78CE-C6AD-4CF5-BD74-1C3EB62768B7}" name="Percentage Failed" dataDxfId="18" totalsRowDxfId="11">
      <calculatedColumnFormula>Table3[[#This Row],[Number Failed]]/Table3[[#This Row],[Total Projects]]</calculatedColumnFormula>
    </tableColumn>
    <tableColumn id="8" xr3:uid="{8D5FD839-A87A-430F-886C-1292740FBE4F}" name="Percentage Canceled" dataDxfId="17" totalsRowDxfId="10">
      <calculatedColumnFormula>Table3[[#This Row],[Number Canceled]]/Table3[[#This Row],[Total Projects]]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pane ySplit="1" topLeftCell="A994" activePane="bottomLeft" state="frozen"/>
      <selection pane="bottomLeft" activeCell="C8" sqref="C8"/>
    </sheetView>
  </sheetViews>
  <sheetFormatPr defaultColWidth="11" defaultRowHeight="15.75" customHeight="1" x14ac:dyDescent="0.25"/>
  <cols>
    <col min="1" max="1" width="4.375" customWidth="1"/>
    <col min="2" max="2" width="30.375" bestFit="1" customWidth="1"/>
    <col min="3" max="3" width="45" style="3" customWidth="1"/>
    <col min="6" max="6" width="18.25" style="5" bestFit="1" customWidth="1"/>
    <col min="7" max="7" width="12.5" bestFit="1" customWidth="1"/>
    <col min="8" max="8" width="15.25" customWidth="1"/>
    <col min="11" max="11" width="20.5" style="12" bestFit="1" customWidth="1"/>
    <col min="12" max="12" width="13.375" customWidth="1"/>
    <col min="13" max="13" width="13.125" style="10" bestFit="1" customWidth="1"/>
    <col min="14" max="14" width="11.125" bestFit="1" customWidth="1"/>
    <col min="15" max="15" width="11.125" style="10" customWidth="1"/>
    <col min="18" max="18" width="28" bestFit="1" customWidth="1"/>
    <col min="19" max="19" width="18.875" bestFit="1" customWidth="1"/>
    <col min="20" max="20" width="16.375" bestFit="1" customWidth="1"/>
  </cols>
  <sheetData>
    <row r="1" spans="1:20" s="1" customFormat="1" ht="15.75" customHeigh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1" t="s">
        <v>2030</v>
      </c>
      <c r="L1" s="1" t="s">
        <v>8</v>
      </c>
      <c r="M1" s="8" t="s">
        <v>2071</v>
      </c>
      <c r="N1" s="1" t="s">
        <v>9</v>
      </c>
      <c r="O1" s="8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2065</v>
      </c>
    </row>
    <row r="2" spans="1:20" ht="15.75" customHeight="1" x14ac:dyDescent="0.4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Table1[[#This Row],[pledged]]/Table1[[#This Row],[goal]]</f>
        <v>0</v>
      </c>
      <c r="G2" t="s">
        <v>14</v>
      </c>
      <c r="H2">
        <v>0</v>
      </c>
      <c r="I2" t="s">
        <v>15</v>
      </c>
      <c r="J2" t="s">
        <v>16</v>
      </c>
      <c r="K2" s="12">
        <f>IF(OR(E2=0, H2=0), 0, E2/H2)</f>
        <v>0</v>
      </c>
      <c r="L2">
        <v>1448690400</v>
      </c>
      <c r="M2" s="9">
        <f>(((L2/60)/60)/24)+DATE(1970,1,1)</f>
        <v>42336.25</v>
      </c>
      <c r="N2">
        <v>1450159200</v>
      </c>
      <c r="O2" s="10">
        <f>(((N2/60)/60)/24)+DATE(1970,1,1)</f>
        <v>42353.25</v>
      </c>
      <c r="P2" t="b">
        <v>0</v>
      </c>
      <c r="Q2" t="b">
        <v>0</v>
      </c>
      <c r="R2" t="s">
        <v>17</v>
      </c>
      <c r="S2" t="s">
        <v>2032</v>
      </c>
      <c r="T2" t="s">
        <v>2033</v>
      </c>
    </row>
    <row r="3" spans="1:20" ht="15.75" customHeight="1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>Table1[[#This Row],[pledged]]/Table1[[#This Row],[goal]]</f>
        <v>10.4</v>
      </c>
      <c r="G3" t="s">
        <v>20</v>
      </c>
      <c r="H3">
        <v>158</v>
      </c>
      <c r="I3" t="s">
        <v>21</v>
      </c>
      <c r="J3" t="s">
        <v>22</v>
      </c>
      <c r="K3" s="12">
        <f>IF(OR(E3=0, H3=0), 0, E3/H3)</f>
        <v>92.151898734177209</v>
      </c>
      <c r="L3">
        <v>1408424400</v>
      </c>
      <c r="M3" s="10">
        <f>(((L3/60)/60)/24)+DATE(1970,1,1)</f>
        <v>41870.208333333336</v>
      </c>
      <c r="N3">
        <v>1408597200</v>
      </c>
      <c r="O3" s="10">
        <f>(((N3/60)/60)/24)+DATE(1970,1,1)</f>
        <v>41872.208333333336</v>
      </c>
      <c r="P3" t="b">
        <v>0</v>
      </c>
      <c r="Q3" t="b">
        <v>1</v>
      </c>
      <c r="R3" t="s">
        <v>23</v>
      </c>
      <c r="S3" t="s">
        <v>2034</v>
      </c>
      <c r="T3" t="s">
        <v>2035</v>
      </c>
    </row>
    <row r="4" spans="1:20" ht="15.75" customHeight="1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>Table1[[#This Row],[pledged]]/Table1[[#This Row],[goal]]</f>
        <v>1.3147878228782288</v>
      </c>
      <c r="G4" t="s">
        <v>20</v>
      </c>
      <c r="H4">
        <v>1425</v>
      </c>
      <c r="I4" t="s">
        <v>26</v>
      </c>
      <c r="J4" t="s">
        <v>27</v>
      </c>
      <c r="K4" s="12">
        <f>IF(OR(E4=0, H4=0), 0, E4/H4)</f>
        <v>100.01614035087719</v>
      </c>
      <c r="L4">
        <v>1384668000</v>
      </c>
      <c r="M4" s="10">
        <f>(((L4/60)/60)/24)+DATE(1970,1,1)</f>
        <v>41595.25</v>
      </c>
      <c r="N4">
        <v>1384840800</v>
      </c>
      <c r="O4" s="10">
        <f>(((N4/60)/60)/24)+DATE(1970,1,1)</f>
        <v>41597.25</v>
      </c>
      <c r="P4" t="b">
        <v>0</v>
      </c>
      <c r="Q4" t="b">
        <v>0</v>
      </c>
      <c r="R4" t="s">
        <v>28</v>
      </c>
      <c r="S4" t="s">
        <v>2036</v>
      </c>
      <c r="T4" t="s">
        <v>2037</v>
      </c>
    </row>
    <row r="5" spans="1:20" ht="15.75" customHeight="1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>Table1[[#This Row],[pledged]]/Table1[[#This Row],[goal]]</f>
        <v>0.58976190476190471</v>
      </c>
      <c r="G5" t="s">
        <v>14</v>
      </c>
      <c r="H5">
        <v>24</v>
      </c>
      <c r="I5" t="s">
        <v>21</v>
      </c>
      <c r="J5" t="s">
        <v>22</v>
      </c>
      <c r="K5" s="12">
        <f>IF(OR(E5=0, H5=0), 0, E5/H5)</f>
        <v>103.20833333333333</v>
      </c>
      <c r="L5">
        <v>1565499600</v>
      </c>
      <c r="M5" s="10">
        <f>(((L5/60)/60)/24)+DATE(1970,1,1)</f>
        <v>43688.208333333328</v>
      </c>
      <c r="N5">
        <v>1568955600</v>
      </c>
      <c r="O5" s="10">
        <f>(((N5/60)/60)/24)+DATE(1970,1,1)</f>
        <v>43728.208333333328</v>
      </c>
      <c r="P5" t="b">
        <v>0</v>
      </c>
      <c r="Q5" t="b">
        <v>0</v>
      </c>
      <c r="R5" t="s">
        <v>23</v>
      </c>
      <c r="S5" t="s">
        <v>2034</v>
      </c>
      <c r="T5" t="s">
        <v>2035</v>
      </c>
    </row>
    <row r="6" spans="1:20" ht="15.75" customHeight="1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>Table1[[#This Row],[pledged]]/Table1[[#This Row],[goal]]</f>
        <v>0.69276315789473686</v>
      </c>
      <c r="G6" t="s">
        <v>14</v>
      </c>
      <c r="H6">
        <v>53</v>
      </c>
      <c r="I6" t="s">
        <v>21</v>
      </c>
      <c r="J6" t="s">
        <v>22</v>
      </c>
      <c r="K6" s="12">
        <f>IF(OR(E6=0, H6=0), 0, E6/H6)</f>
        <v>99.339622641509436</v>
      </c>
      <c r="L6">
        <v>1547964000</v>
      </c>
      <c r="M6" s="10">
        <f>(((L6/60)/60)/24)+DATE(1970,1,1)</f>
        <v>43485.25</v>
      </c>
      <c r="N6">
        <v>1548309600</v>
      </c>
      <c r="O6" s="10">
        <f>(((N6/60)/60)/24)+DATE(1970,1,1)</f>
        <v>43489.25</v>
      </c>
      <c r="P6" t="b">
        <v>0</v>
      </c>
      <c r="Q6" t="b">
        <v>0</v>
      </c>
      <c r="R6" t="s">
        <v>33</v>
      </c>
      <c r="S6" t="s">
        <v>2038</v>
      </c>
      <c r="T6" t="s">
        <v>2039</v>
      </c>
    </row>
    <row r="7" spans="1:20" ht="15.75" customHeight="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>Table1[[#This Row],[pledged]]/Table1[[#This Row],[goal]]</f>
        <v>1.7361842105263159</v>
      </c>
      <c r="G7" t="s">
        <v>20</v>
      </c>
      <c r="H7">
        <v>174</v>
      </c>
      <c r="I7" t="s">
        <v>36</v>
      </c>
      <c r="J7" t="s">
        <v>37</v>
      </c>
      <c r="K7" s="12">
        <f>IF(OR(E7=0, H7=0), 0, E7/H7)</f>
        <v>75.833333333333329</v>
      </c>
      <c r="L7">
        <v>1346130000</v>
      </c>
      <c r="M7" s="10">
        <f>(((L7/60)/60)/24)+DATE(1970,1,1)</f>
        <v>41149.208333333336</v>
      </c>
      <c r="N7">
        <v>1347080400</v>
      </c>
      <c r="O7" s="10">
        <f>(((N7/60)/60)/24)+DATE(1970,1,1)</f>
        <v>41160.208333333336</v>
      </c>
      <c r="P7" t="b">
        <v>0</v>
      </c>
      <c r="Q7" t="b">
        <v>0</v>
      </c>
      <c r="R7" t="s">
        <v>33</v>
      </c>
      <c r="S7" t="s">
        <v>2038</v>
      </c>
      <c r="T7" t="s">
        <v>2039</v>
      </c>
    </row>
    <row r="8" spans="1:20" ht="15.75" customHeight="1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>Table1[[#This Row],[pledged]]/Table1[[#This Row],[goal]]</f>
        <v>0.20961538461538462</v>
      </c>
      <c r="G8" t="s">
        <v>14</v>
      </c>
      <c r="H8">
        <v>18</v>
      </c>
      <c r="I8" t="s">
        <v>40</v>
      </c>
      <c r="J8" t="s">
        <v>41</v>
      </c>
      <c r="K8" s="12">
        <f>IF(OR(E8=0, H8=0), 0, E8/H8)</f>
        <v>60.555555555555557</v>
      </c>
      <c r="L8">
        <v>1505278800</v>
      </c>
      <c r="M8" s="10">
        <f>(((L8/60)/60)/24)+DATE(1970,1,1)</f>
        <v>42991.208333333328</v>
      </c>
      <c r="N8">
        <v>1505365200</v>
      </c>
      <c r="O8" s="10">
        <f>(((N8/60)/60)/24)+DATE(1970,1,1)</f>
        <v>42992.208333333328</v>
      </c>
      <c r="P8" t="b">
        <v>0</v>
      </c>
      <c r="Q8" t="b">
        <v>0</v>
      </c>
      <c r="R8" t="s">
        <v>42</v>
      </c>
      <c r="S8" t="s">
        <v>2040</v>
      </c>
      <c r="T8" t="s">
        <v>2041</v>
      </c>
    </row>
    <row r="9" spans="1:20" ht="15.75" customHeight="1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>Table1[[#This Row],[pledged]]/Table1[[#This Row],[goal]]</f>
        <v>3.2757777777777779</v>
      </c>
      <c r="G9" t="s">
        <v>20</v>
      </c>
      <c r="H9">
        <v>227</v>
      </c>
      <c r="I9" t="s">
        <v>36</v>
      </c>
      <c r="J9" t="s">
        <v>37</v>
      </c>
      <c r="K9" s="12">
        <f>IF(OR(E9=0, H9=0), 0, E9/H9)</f>
        <v>64.93832599118943</v>
      </c>
      <c r="L9">
        <v>1439442000</v>
      </c>
      <c r="M9" s="10">
        <f>(((L9/60)/60)/24)+DATE(1970,1,1)</f>
        <v>42229.208333333328</v>
      </c>
      <c r="N9">
        <v>1439614800</v>
      </c>
      <c r="O9" s="10">
        <f>(((N9/60)/60)/24)+DATE(1970,1,1)</f>
        <v>42231.208333333328</v>
      </c>
      <c r="P9" t="b">
        <v>0</v>
      </c>
      <c r="Q9" t="b">
        <v>0</v>
      </c>
      <c r="R9" t="s">
        <v>33</v>
      </c>
      <c r="S9" t="s">
        <v>2038</v>
      </c>
      <c r="T9" t="s">
        <v>2039</v>
      </c>
    </row>
    <row r="10" spans="1:20" ht="15.75" customHeight="1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>Table1[[#This Row],[pledged]]/Table1[[#This Row],[goal]]</f>
        <v>0.19932788374205268</v>
      </c>
      <c r="G10" t="s">
        <v>47</v>
      </c>
      <c r="H10">
        <v>708</v>
      </c>
      <c r="I10" t="s">
        <v>36</v>
      </c>
      <c r="J10" t="s">
        <v>37</v>
      </c>
      <c r="K10" s="12">
        <f>IF(OR(E10=0, H10=0), 0, E10/H10)</f>
        <v>30.997175141242938</v>
      </c>
      <c r="L10">
        <v>1281330000</v>
      </c>
      <c r="M10" s="10">
        <f>(((L10/60)/60)/24)+DATE(1970,1,1)</f>
        <v>40399.208333333336</v>
      </c>
      <c r="N10">
        <v>1281502800</v>
      </c>
      <c r="O10" s="10">
        <f>(((N10/60)/60)/24)+DATE(1970,1,1)</f>
        <v>40401.208333333336</v>
      </c>
      <c r="P10" t="b">
        <v>0</v>
      </c>
      <c r="Q10" t="b">
        <v>0</v>
      </c>
      <c r="R10" t="s">
        <v>33</v>
      </c>
      <c r="S10" t="s">
        <v>2038</v>
      </c>
      <c r="T10" t="s">
        <v>2039</v>
      </c>
    </row>
    <row r="11" spans="1:20" ht="15.75" customHeight="1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>Table1[[#This Row],[pledged]]/Table1[[#This Row],[goal]]</f>
        <v>0.51741935483870971</v>
      </c>
      <c r="G11" t="s">
        <v>14</v>
      </c>
      <c r="H11">
        <v>44</v>
      </c>
      <c r="I11" t="s">
        <v>21</v>
      </c>
      <c r="J11" t="s">
        <v>22</v>
      </c>
      <c r="K11" s="12">
        <f>IF(OR(E11=0, H11=0), 0, E11/H11)</f>
        <v>72.909090909090907</v>
      </c>
      <c r="L11">
        <v>1379566800</v>
      </c>
      <c r="M11" s="10">
        <f>(((L11/60)/60)/24)+DATE(1970,1,1)</f>
        <v>41536.208333333336</v>
      </c>
      <c r="N11">
        <v>1383804000</v>
      </c>
      <c r="O11" s="10">
        <f>(((N11/60)/60)/24)+DATE(1970,1,1)</f>
        <v>41585.25</v>
      </c>
      <c r="P11" t="b">
        <v>0</v>
      </c>
      <c r="Q11" t="b">
        <v>0</v>
      </c>
      <c r="R11" t="s">
        <v>50</v>
      </c>
      <c r="S11" t="s">
        <v>2034</v>
      </c>
      <c r="T11" t="s">
        <v>2042</v>
      </c>
    </row>
    <row r="12" spans="1:20" ht="15.75" customHeight="1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>Table1[[#This Row],[pledged]]/Table1[[#This Row],[goal]]</f>
        <v>2.6611538461538462</v>
      </c>
      <c r="G12" t="s">
        <v>20</v>
      </c>
      <c r="H12">
        <v>220</v>
      </c>
      <c r="I12" t="s">
        <v>21</v>
      </c>
      <c r="J12" t="s">
        <v>22</v>
      </c>
      <c r="K12" s="12">
        <f>IF(OR(E12=0, H12=0), 0, E12/H12)</f>
        <v>62.9</v>
      </c>
      <c r="L12">
        <v>1281762000</v>
      </c>
      <c r="M12" s="10">
        <f>(((L12/60)/60)/24)+DATE(1970,1,1)</f>
        <v>40404.208333333336</v>
      </c>
      <c r="N12">
        <v>1285909200</v>
      </c>
      <c r="O12" s="10">
        <f>(((N12/60)/60)/24)+DATE(1970,1,1)</f>
        <v>40452.208333333336</v>
      </c>
      <c r="P12" t="b">
        <v>0</v>
      </c>
      <c r="Q12" t="b">
        <v>0</v>
      </c>
      <c r="R12" t="s">
        <v>53</v>
      </c>
      <c r="S12" t="s">
        <v>2040</v>
      </c>
      <c r="T12" t="s">
        <v>2043</v>
      </c>
    </row>
    <row r="13" spans="1:20" ht="15.75" customHeight="1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>Table1[[#This Row],[pledged]]/Table1[[#This Row],[goal]]</f>
        <v>0.48095238095238096</v>
      </c>
      <c r="G13" t="s">
        <v>14</v>
      </c>
      <c r="H13">
        <v>27</v>
      </c>
      <c r="I13" t="s">
        <v>21</v>
      </c>
      <c r="J13" t="s">
        <v>22</v>
      </c>
      <c r="K13" s="12">
        <f>IF(OR(E13=0, H13=0), 0, E13/H13)</f>
        <v>112.22222222222223</v>
      </c>
      <c r="L13">
        <v>1285045200</v>
      </c>
      <c r="M13" s="10">
        <f>(((L13/60)/60)/24)+DATE(1970,1,1)</f>
        <v>40442.208333333336</v>
      </c>
      <c r="N13">
        <v>1285563600</v>
      </c>
      <c r="O13" s="10">
        <f>(((N13/60)/60)/24)+DATE(1970,1,1)</f>
        <v>40448.208333333336</v>
      </c>
      <c r="P13" t="b">
        <v>0</v>
      </c>
      <c r="Q13" t="b">
        <v>1</v>
      </c>
      <c r="R13" t="s">
        <v>33</v>
      </c>
      <c r="S13" t="s">
        <v>2038</v>
      </c>
      <c r="T13" t="s">
        <v>2039</v>
      </c>
    </row>
    <row r="14" spans="1:20" ht="15.75" customHeight="1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>Table1[[#This Row],[pledged]]/Table1[[#This Row],[goal]]</f>
        <v>0.89349206349206345</v>
      </c>
      <c r="G14" t="s">
        <v>14</v>
      </c>
      <c r="H14">
        <v>55</v>
      </c>
      <c r="I14" t="s">
        <v>21</v>
      </c>
      <c r="J14" t="s">
        <v>22</v>
      </c>
      <c r="K14" s="12">
        <f>IF(OR(E14=0, H14=0), 0, E14/H14)</f>
        <v>102.34545454545454</v>
      </c>
      <c r="L14">
        <v>1571720400</v>
      </c>
      <c r="M14" s="10">
        <f>(((L14/60)/60)/24)+DATE(1970,1,1)</f>
        <v>43760.208333333328</v>
      </c>
      <c r="N14">
        <v>1572411600</v>
      </c>
      <c r="O14" s="10">
        <f>(((N14/60)/60)/24)+DATE(1970,1,1)</f>
        <v>43768.208333333328</v>
      </c>
      <c r="P14" t="b">
        <v>0</v>
      </c>
      <c r="Q14" t="b">
        <v>0</v>
      </c>
      <c r="R14" t="s">
        <v>53</v>
      </c>
      <c r="S14" t="s">
        <v>2040</v>
      </c>
      <c r="T14" t="s">
        <v>2043</v>
      </c>
    </row>
    <row r="15" spans="1:20" ht="15.75" customHeight="1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>Table1[[#This Row],[pledged]]/Table1[[#This Row],[goal]]</f>
        <v>2.4511904761904764</v>
      </c>
      <c r="G15" t="s">
        <v>20</v>
      </c>
      <c r="H15">
        <v>98</v>
      </c>
      <c r="I15" t="s">
        <v>21</v>
      </c>
      <c r="J15" t="s">
        <v>22</v>
      </c>
      <c r="K15" s="12">
        <f>IF(OR(E15=0, H15=0), 0, E15/H15)</f>
        <v>105.05102040816327</v>
      </c>
      <c r="L15">
        <v>1465621200</v>
      </c>
      <c r="M15" s="10">
        <f>(((L15/60)/60)/24)+DATE(1970,1,1)</f>
        <v>42532.208333333328</v>
      </c>
      <c r="N15">
        <v>1466658000</v>
      </c>
      <c r="O15" s="10">
        <f>(((N15/60)/60)/24)+DATE(1970,1,1)</f>
        <v>42544.208333333328</v>
      </c>
      <c r="P15" t="b">
        <v>0</v>
      </c>
      <c r="Q15" t="b">
        <v>0</v>
      </c>
      <c r="R15" t="s">
        <v>60</v>
      </c>
      <c r="S15" t="s">
        <v>2034</v>
      </c>
      <c r="T15" t="s">
        <v>2044</v>
      </c>
    </row>
    <row r="16" spans="1:20" ht="15.75" customHeight="1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>Table1[[#This Row],[pledged]]/Table1[[#This Row],[goal]]</f>
        <v>0.66769503546099296</v>
      </c>
      <c r="G16" t="s">
        <v>14</v>
      </c>
      <c r="H16">
        <v>200</v>
      </c>
      <c r="I16" t="s">
        <v>21</v>
      </c>
      <c r="J16" t="s">
        <v>22</v>
      </c>
      <c r="K16" s="12">
        <f>IF(OR(E16=0, H16=0), 0, E16/H16)</f>
        <v>94.144999999999996</v>
      </c>
      <c r="L16">
        <v>1331013600</v>
      </c>
      <c r="M16" s="10">
        <f>(((L16/60)/60)/24)+DATE(1970,1,1)</f>
        <v>40974.25</v>
      </c>
      <c r="N16">
        <v>1333342800</v>
      </c>
      <c r="O16" s="10">
        <f>(((N16/60)/60)/24)+DATE(1970,1,1)</f>
        <v>41001.208333333336</v>
      </c>
      <c r="P16" t="b">
        <v>0</v>
      </c>
      <c r="Q16" t="b">
        <v>0</v>
      </c>
      <c r="R16" t="s">
        <v>60</v>
      </c>
      <c r="S16" t="s">
        <v>2034</v>
      </c>
      <c r="T16" t="s">
        <v>2044</v>
      </c>
    </row>
    <row r="17" spans="1:20" ht="15.75" customHeight="1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>Table1[[#This Row],[pledged]]/Table1[[#This Row],[goal]]</f>
        <v>0.47307881773399013</v>
      </c>
      <c r="G17" t="s">
        <v>14</v>
      </c>
      <c r="H17">
        <v>452</v>
      </c>
      <c r="I17" t="s">
        <v>21</v>
      </c>
      <c r="J17" t="s">
        <v>22</v>
      </c>
      <c r="K17" s="12">
        <f>IF(OR(E17=0, H17=0), 0, E17/H17)</f>
        <v>84.986725663716811</v>
      </c>
      <c r="L17">
        <v>1575957600</v>
      </c>
      <c r="M17" s="10">
        <f>(((L17/60)/60)/24)+DATE(1970,1,1)</f>
        <v>43809.25</v>
      </c>
      <c r="N17">
        <v>1576303200</v>
      </c>
      <c r="O17" s="10">
        <f>(((N17/60)/60)/24)+DATE(1970,1,1)</f>
        <v>43813.25</v>
      </c>
      <c r="P17" t="b">
        <v>0</v>
      </c>
      <c r="Q17" t="b">
        <v>0</v>
      </c>
      <c r="R17" t="s">
        <v>65</v>
      </c>
      <c r="S17" t="s">
        <v>2036</v>
      </c>
      <c r="T17" t="s">
        <v>2045</v>
      </c>
    </row>
    <row r="18" spans="1:20" ht="15.75" customHeight="1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>Table1[[#This Row],[pledged]]/Table1[[#This Row],[goal]]</f>
        <v>6.4947058823529416</v>
      </c>
      <c r="G18" t="s">
        <v>20</v>
      </c>
      <c r="H18">
        <v>100</v>
      </c>
      <c r="I18" t="s">
        <v>21</v>
      </c>
      <c r="J18" t="s">
        <v>22</v>
      </c>
      <c r="K18" s="12">
        <f>IF(OR(E18=0, H18=0), 0, E18/H18)</f>
        <v>110.41</v>
      </c>
      <c r="L18">
        <v>1390370400</v>
      </c>
      <c r="M18" s="10">
        <f>(((L18/60)/60)/24)+DATE(1970,1,1)</f>
        <v>41661.25</v>
      </c>
      <c r="N18">
        <v>1392271200</v>
      </c>
      <c r="O18" s="10">
        <f>(((N18/60)/60)/24)+DATE(1970,1,1)</f>
        <v>41683.25</v>
      </c>
      <c r="P18" t="b">
        <v>0</v>
      </c>
      <c r="Q18" t="b">
        <v>0</v>
      </c>
      <c r="R18" t="s">
        <v>68</v>
      </c>
      <c r="S18" t="s">
        <v>2046</v>
      </c>
      <c r="T18" t="s">
        <v>2047</v>
      </c>
    </row>
    <row r="19" spans="1:20" ht="15.75" customHeight="1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>Table1[[#This Row],[pledged]]/Table1[[#This Row],[goal]]</f>
        <v>1.5939125295508274</v>
      </c>
      <c r="G19" t="s">
        <v>20</v>
      </c>
      <c r="H19">
        <v>1249</v>
      </c>
      <c r="I19" t="s">
        <v>21</v>
      </c>
      <c r="J19" t="s">
        <v>22</v>
      </c>
      <c r="K19" s="12">
        <f>IF(OR(E19=0, H19=0), 0, E19/H19)</f>
        <v>107.96236989591674</v>
      </c>
      <c r="L19">
        <v>1294812000</v>
      </c>
      <c r="M19" s="10">
        <f>(((L19/60)/60)/24)+DATE(1970,1,1)</f>
        <v>40555.25</v>
      </c>
      <c r="N19">
        <v>1294898400</v>
      </c>
      <c r="O19" s="10">
        <f>(((N19/60)/60)/24)+DATE(1970,1,1)</f>
        <v>40556.25</v>
      </c>
      <c r="P19" t="b">
        <v>0</v>
      </c>
      <c r="Q19" t="b">
        <v>0</v>
      </c>
      <c r="R19" t="s">
        <v>71</v>
      </c>
      <c r="S19" t="s">
        <v>2040</v>
      </c>
      <c r="T19" t="s">
        <v>2048</v>
      </c>
    </row>
    <row r="20" spans="1:20" ht="15.75" customHeight="1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>Table1[[#This Row],[pledged]]/Table1[[#This Row],[goal]]</f>
        <v>0.66912087912087914</v>
      </c>
      <c r="G20" t="s">
        <v>74</v>
      </c>
      <c r="H20">
        <v>135</v>
      </c>
      <c r="I20" t="s">
        <v>21</v>
      </c>
      <c r="J20" t="s">
        <v>22</v>
      </c>
      <c r="K20" s="12">
        <f>IF(OR(E20=0, H20=0), 0, E20/H20)</f>
        <v>45.103703703703701</v>
      </c>
      <c r="L20">
        <v>1536382800</v>
      </c>
      <c r="M20" s="10">
        <f>(((L20/60)/60)/24)+DATE(1970,1,1)</f>
        <v>43351.208333333328</v>
      </c>
      <c r="N20">
        <v>1537074000</v>
      </c>
      <c r="O20" s="10">
        <f>(((N20/60)/60)/24)+DATE(1970,1,1)</f>
        <v>43359.208333333328</v>
      </c>
      <c r="P20" t="b">
        <v>0</v>
      </c>
      <c r="Q20" t="b">
        <v>0</v>
      </c>
      <c r="R20" t="s">
        <v>33</v>
      </c>
      <c r="S20" t="s">
        <v>2038</v>
      </c>
      <c r="T20" t="s">
        <v>2039</v>
      </c>
    </row>
    <row r="21" spans="1:20" ht="15.75" customHeight="1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>Table1[[#This Row],[pledged]]/Table1[[#This Row],[goal]]</f>
        <v>0.48529600000000001</v>
      </c>
      <c r="G21" t="s">
        <v>14</v>
      </c>
      <c r="H21">
        <v>674</v>
      </c>
      <c r="I21" t="s">
        <v>21</v>
      </c>
      <c r="J21" t="s">
        <v>22</v>
      </c>
      <c r="K21" s="12">
        <f>IF(OR(E21=0, H21=0), 0, E21/H21)</f>
        <v>45.001483679525222</v>
      </c>
      <c r="L21">
        <v>1551679200</v>
      </c>
      <c r="M21" s="10">
        <f>(((L21/60)/60)/24)+DATE(1970,1,1)</f>
        <v>43528.25</v>
      </c>
      <c r="N21">
        <v>1553490000</v>
      </c>
      <c r="O21" s="10">
        <f>(((N21/60)/60)/24)+DATE(1970,1,1)</f>
        <v>43549.208333333328</v>
      </c>
      <c r="P21" t="b">
        <v>0</v>
      </c>
      <c r="Q21" t="b">
        <v>1</v>
      </c>
      <c r="R21" t="s">
        <v>33</v>
      </c>
      <c r="S21" t="s">
        <v>2038</v>
      </c>
      <c r="T21" t="s">
        <v>2039</v>
      </c>
    </row>
    <row r="22" spans="1:20" ht="15.75" customHeight="1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>Table1[[#This Row],[pledged]]/Table1[[#This Row],[goal]]</f>
        <v>1.1224279210925645</v>
      </c>
      <c r="G22" t="s">
        <v>20</v>
      </c>
      <c r="H22">
        <v>1396</v>
      </c>
      <c r="I22" t="s">
        <v>21</v>
      </c>
      <c r="J22" t="s">
        <v>22</v>
      </c>
      <c r="K22" s="12">
        <f>IF(OR(E22=0, H22=0), 0, E22/H22)</f>
        <v>105.97134670487107</v>
      </c>
      <c r="L22">
        <v>1406523600</v>
      </c>
      <c r="M22" s="10">
        <f>(((L22/60)/60)/24)+DATE(1970,1,1)</f>
        <v>41848.208333333336</v>
      </c>
      <c r="N22">
        <v>1406523600</v>
      </c>
      <c r="O22" s="10">
        <f>(((N22/60)/60)/24)+DATE(1970,1,1)</f>
        <v>41848.208333333336</v>
      </c>
      <c r="P22" t="b">
        <v>0</v>
      </c>
      <c r="Q22" t="b">
        <v>0</v>
      </c>
      <c r="R22" t="s">
        <v>53</v>
      </c>
      <c r="S22" t="s">
        <v>2040</v>
      </c>
      <c r="T22" t="s">
        <v>2043</v>
      </c>
    </row>
    <row r="23" spans="1:20" ht="15.75" customHeight="1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>Table1[[#This Row],[pledged]]/Table1[[#This Row],[goal]]</f>
        <v>0.40992553191489361</v>
      </c>
      <c r="G23" t="s">
        <v>14</v>
      </c>
      <c r="H23">
        <v>558</v>
      </c>
      <c r="I23" t="s">
        <v>21</v>
      </c>
      <c r="J23" t="s">
        <v>22</v>
      </c>
      <c r="K23" s="12">
        <f>IF(OR(E23=0, H23=0), 0, E23/H23)</f>
        <v>69.055555555555557</v>
      </c>
      <c r="L23">
        <v>1313384400</v>
      </c>
      <c r="M23" s="10">
        <f>(((L23/60)/60)/24)+DATE(1970,1,1)</f>
        <v>40770.208333333336</v>
      </c>
      <c r="N23">
        <v>1316322000</v>
      </c>
      <c r="O23" s="10">
        <f>(((N23/60)/60)/24)+DATE(1970,1,1)</f>
        <v>40804.208333333336</v>
      </c>
      <c r="P23" t="b">
        <v>0</v>
      </c>
      <c r="Q23" t="b">
        <v>0</v>
      </c>
      <c r="R23" t="s">
        <v>33</v>
      </c>
      <c r="S23" t="s">
        <v>2038</v>
      </c>
      <c r="T23" t="s">
        <v>2039</v>
      </c>
    </row>
    <row r="24" spans="1:20" ht="15.75" customHeight="1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>Table1[[#This Row],[pledged]]/Table1[[#This Row],[goal]]</f>
        <v>1.2807106598984772</v>
      </c>
      <c r="G24" t="s">
        <v>20</v>
      </c>
      <c r="H24">
        <v>890</v>
      </c>
      <c r="I24" t="s">
        <v>21</v>
      </c>
      <c r="J24" t="s">
        <v>22</v>
      </c>
      <c r="K24" s="12">
        <f>IF(OR(E24=0, H24=0), 0, E24/H24)</f>
        <v>85.044943820224717</v>
      </c>
      <c r="L24">
        <v>1522731600</v>
      </c>
      <c r="M24" s="10">
        <f>(((L24/60)/60)/24)+DATE(1970,1,1)</f>
        <v>43193.208333333328</v>
      </c>
      <c r="N24">
        <v>1524027600</v>
      </c>
      <c r="O24" s="10">
        <f>(((N24/60)/60)/24)+DATE(1970,1,1)</f>
        <v>43208.208333333328</v>
      </c>
      <c r="P24" t="b">
        <v>0</v>
      </c>
      <c r="Q24" t="b">
        <v>0</v>
      </c>
      <c r="R24" t="s">
        <v>33</v>
      </c>
      <c r="S24" t="s">
        <v>2038</v>
      </c>
      <c r="T24" t="s">
        <v>2039</v>
      </c>
    </row>
    <row r="25" spans="1:20" ht="15.75" customHeight="1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>Table1[[#This Row],[pledged]]/Table1[[#This Row],[goal]]</f>
        <v>3.3204444444444445</v>
      </c>
      <c r="G25" t="s">
        <v>20</v>
      </c>
      <c r="H25">
        <v>142</v>
      </c>
      <c r="I25" t="s">
        <v>40</v>
      </c>
      <c r="J25" t="s">
        <v>41</v>
      </c>
      <c r="K25" s="12">
        <f>IF(OR(E25=0, H25=0), 0, E25/H25)</f>
        <v>105.22535211267606</v>
      </c>
      <c r="L25">
        <v>1550124000</v>
      </c>
      <c r="M25" s="10">
        <f>(((L25/60)/60)/24)+DATE(1970,1,1)</f>
        <v>43510.25</v>
      </c>
      <c r="N25">
        <v>1554699600</v>
      </c>
      <c r="O25" s="10">
        <f>(((N25/60)/60)/24)+DATE(1970,1,1)</f>
        <v>43563.208333333328</v>
      </c>
      <c r="P25" t="b">
        <v>0</v>
      </c>
      <c r="Q25" t="b">
        <v>0</v>
      </c>
      <c r="R25" t="s">
        <v>42</v>
      </c>
      <c r="S25" t="s">
        <v>2040</v>
      </c>
      <c r="T25" t="s">
        <v>2041</v>
      </c>
    </row>
    <row r="26" spans="1:20" ht="15.75" customHeight="1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>Table1[[#This Row],[pledged]]/Table1[[#This Row],[goal]]</f>
        <v>1.1283225108225108</v>
      </c>
      <c r="G26" t="s">
        <v>20</v>
      </c>
      <c r="H26">
        <v>2673</v>
      </c>
      <c r="I26" t="s">
        <v>21</v>
      </c>
      <c r="J26" t="s">
        <v>22</v>
      </c>
      <c r="K26" s="12">
        <f>IF(OR(E26=0, H26=0), 0, E26/H26)</f>
        <v>39.003741114852225</v>
      </c>
      <c r="L26">
        <v>1403326800</v>
      </c>
      <c r="M26" s="10">
        <f>(((L26/60)/60)/24)+DATE(1970,1,1)</f>
        <v>41811.208333333336</v>
      </c>
      <c r="N26">
        <v>1403499600</v>
      </c>
      <c r="O26" s="10">
        <f>(((N26/60)/60)/24)+DATE(1970,1,1)</f>
        <v>41813.208333333336</v>
      </c>
      <c r="P26" t="b">
        <v>0</v>
      </c>
      <c r="Q26" t="b">
        <v>0</v>
      </c>
      <c r="R26" t="s">
        <v>65</v>
      </c>
      <c r="S26" t="s">
        <v>2036</v>
      </c>
      <c r="T26" t="s">
        <v>2045</v>
      </c>
    </row>
    <row r="27" spans="1:20" ht="15.75" customHeight="1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>Table1[[#This Row],[pledged]]/Table1[[#This Row],[goal]]</f>
        <v>2.1643636363636363</v>
      </c>
      <c r="G27" t="s">
        <v>20</v>
      </c>
      <c r="H27">
        <v>163</v>
      </c>
      <c r="I27" t="s">
        <v>21</v>
      </c>
      <c r="J27" t="s">
        <v>22</v>
      </c>
      <c r="K27" s="12">
        <f>IF(OR(E27=0, H27=0), 0, E27/H27)</f>
        <v>73.030674846625772</v>
      </c>
      <c r="L27">
        <v>1305694800</v>
      </c>
      <c r="M27" s="10">
        <f>(((L27/60)/60)/24)+DATE(1970,1,1)</f>
        <v>40681.208333333336</v>
      </c>
      <c r="N27">
        <v>1307422800</v>
      </c>
      <c r="O27" s="10">
        <f>(((N27/60)/60)/24)+DATE(1970,1,1)</f>
        <v>40701.208333333336</v>
      </c>
      <c r="P27" t="b">
        <v>0</v>
      </c>
      <c r="Q27" t="b">
        <v>1</v>
      </c>
      <c r="R27" t="s">
        <v>89</v>
      </c>
      <c r="S27" t="s">
        <v>2049</v>
      </c>
      <c r="T27" t="s">
        <v>2050</v>
      </c>
    </row>
    <row r="28" spans="1:20" ht="15.75" customHeight="1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>Table1[[#This Row],[pledged]]/Table1[[#This Row],[goal]]</f>
        <v>0.4819906976744186</v>
      </c>
      <c r="G28" t="s">
        <v>74</v>
      </c>
      <c r="H28">
        <v>1480</v>
      </c>
      <c r="I28" t="s">
        <v>21</v>
      </c>
      <c r="J28" t="s">
        <v>22</v>
      </c>
      <c r="K28" s="12">
        <f>IF(OR(E28=0, H28=0), 0, E28/H28)</f>
        <v>35.009459459459457</v>
      </c>
      <c r="L28">
        <v>1533013200</v>
      </c>
      <c r="M28" s="10">
        <f>(((L28/60)/60)/24)+DATE(1970,1,1)</f>
        <v>43312.208333333328</v>
      </c>
      <c r="N28">
        <v>1535346000</v>
      </c>
      <c r="O28" s="10">
        <f>(((N28/60)/60)/24)+DATE(1970,1,1)</f>
        <v>43339.208333333328</v>
      </c>
      <c r="P28" t="b">
        <v>0</v>
      </c>
      <c r="Q28" t="b">
        <v>0</v>
      </c>
      <c r="R28" t="s">
        <v>33</v>
      </c>
      <c r="S28" t="s">
        <v>2038</v>
      </c>
      <c r="T28" t="s">
        <v>2039</v>
      </c>
    </row>
    <row r="29" spans="1:20" ht="15.75" customHeight="1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>Table1[[#This Row],[pledged]]/Table1[[#This Row],[goal]]</f>
        <v>0.79949999999999999</v>
      </c>
      <c r="G29" t="s">
        <v>14</v>
      </c>
      <c r="H29">
        <v>15</v>
      </c>
      <c r="I29" t="s">
        <v>21</v>
      </c>
      <c r="J29" t="s">
        <v>22</v>
      </c>
      <c r="K29" s="12">
        <f>IF(OR(E29=0, H29=0), 0, E29/H29)</f>
        <v>106.6</v>
      </c>
      <c r="L29">
        <v>1443848400</v>
      </c>
      <c r="M29" s="10">
        <f>(((L29/60)/60)/24)+DATE(1970,1,1)</f>
        <v>42280.208333333328</v>
      </c>
      <c r="N29">
        <v>1444539600</v>
      </c>
      <c r="O29" s="10">
        <f>(((N29/60)/60)/24)+DATE(1970,1,1)</f>
        <v>42288.208333333328</v>
      </c>
      <c r="P29" t="b">
        <v>0</v>
      </c>
      <c r="Q29" t="b">
        <v>0</v>
      </c>
      <c r="R29" t="s">
        <v>23</v>
      </c>
      <c r="S29" t="s">
        <v>2034</v>
      </c>
      <c r="T29" t="s">
        <v>2035</v>
      </c>
    </row>
    <row r="30" spans="1:20" ht="15.75" customHeight="1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>Table1[[#This Row],[pledged]]/Table1[[#This Row],[goal]]</f>
        <v>1.0522553516819573</v>
      </c>
      <c r="G30" t="s">
        <v>20</v>
      </c>
      <c r="H30">
        <v>2220</v>
      </c>
      <c r="I30" t="s">
        <v>21</v>
      </c>
      <c r="J30" t="s">
        <v>22</v>
      </c>
      <c r="K30" s="12">
        <f>IF(OR(E30=0, H30=0), 0, E30/H30)</f>
        <v>61.997747747747745</v>
      </c>
      <c r="L30">
        <v>1265695200</v>
      </c>
      <c r="M30" s="10">
        <f>(((L30/60)/60)/24)+DATE(1970,1,1)</f>
        <v>40218.25</v>
      </c>
      <c r="N30">
        <v>1267682400</v>
      </c>
      <c r="O30" s="10">
        <f>(((N30/60)/60)/24)+DATE(1970,1,1)</f>
        <v>40241.25</v>
      </c>
      <c r="P30" t="b">
        <v>0</v>
      </c>
      <c r="Q30" t="b">
        <v>1</v>
      </c>
      <c r="R30" t="s">
        <v>33</v>
      </c>
      <c r="S30" t="s">
        <v>2038</v>
      </c>
      <c r="T30" t="s">
        <v>2039</v>
      </c>
    </row>
    <row r="31" spans="1:20" ht="15.75" customHeight="1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>Table1[[#This Row],[pledged]]/Table1[[#This Row],[goal]]</f>
        <v>3.2889978213507627</v>
      </c>
      <c r="G31" t="s">
        <v>20</v>
      </c>
      <c r="H31">
        <v>1606</v>
      </c>
      <c r="I31" t="s">
        <v>98</v>
      </c>
      <c r="J31" t="s">
        <v>99</v>
      </c>
      <c r="K31" s="12">
        <f>IF(OR(E31=0, H31=0), 0, E31/H31)</f>
        <v>94.000622665006233</v>
      </c>
      <c r="L31">
        <v>1532062800</v>
      </c>
      <c r="M31" s="10">
        <f>(((L31/60)/60)/24)+DATE(1970,1,1)</f>
        <v>43301.208333333328</v>
      </c>
      <c r="N31">
        <v>1535518800</v>
      </c>
      <c r="O31" s="10">
        <f>(((N31/60)/60)/24)+DATE(1970,1,1)</f>
        <v>43341.208333333328</v>
      </c>
      <c r="P31" t="b">
        <v>0</v>
      </c>
      <c r="Q31" t="b">
        <v>0</v>
      </c>
      <c r="R31" t="s">
        <v>100</v>
      </c>
      <c r="S31" t="s">
        <v>2040</v>
      </c>
      <c r="T31" t="s">
        <v>2051</v>
      </c>
    </row>
    <row r="32" spans="1:20" ht="15.75" customHeight="1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>Table1[[#This Row],[pledged]]/Table1[[#This Row],[goal]]</f>
        <v>1.606111111111111</v>
      </c>
      <c r="G32" t="s">
        <v>20</v>
      </c>
      <c r="H32">
        <v>129</v>
      </c>
      <c r="I32" t="s">
        <v>21</v>
      </c>
      <c r="J32" t="s">
        <v>22</v>
      </c>
      <c r="K32" s="12">
        <f>IF(OR(E32=0, H32=0), 0, E32/H32)</f>
        <v>112.05426356589147</v>
      </c>
      <c r="L32">
        <v>1558674000</v>
      </c>
      <c r="M32" s="10">
        <f>(((L32/60)/60)/24)+DATE(1970,1,1)</f>
        <v>43609.208333333328</v>
      </c>
      <c r="N32">
        <v>1559106000</v>
      </c>
      <c r="O32" s="10">
        <f>(((N32/60)/60)/24)+DATE(1970,1,1)</f>
        <v>43614.208333333328</v>
      </c>
      <c r="P32" t="b">
        <v>0</v>
      </c>
      <c r="Q32" t="b">
        <v>0</v>
      </c>
      <c r="R32" t="s">
        <v>71</v>
      </c>
      <c r="S32" t="s">
        <v>2040</v>
      </c>
      <c r="T32" t="s">
        <v>2048</v>
      </c>
    </row>
    <row r="33" spans="1:20" ht="15.75" customHeight="1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>Table1[[#This Row],[pledged]]/Table1[[#This Row],[goal]]</f>
        <v>3.1</v>
      </c>
      <c r="G33" t="s">
        <v>20</v>
      </c>
      <c r="H33">
        <v>226</v>
      </c>
      <c r="I33" t="s">
        <v>40</v>
      </c>
      <c r="J33" t="s">
        <v>41</v>
      </c>
      <c r="K33" s="12">
        <f>IF(OR(E33=0, H33=0), 0, E33/H33)</f>
        <v>48.008849557522126</v>
      </c>
      <c r="L33">
        <v>1451973600</v>
      </c>
      <c r="M33" s="10">
        <f>(((L33/60)/60)/24)+DATE(1970,1,1)</f>
        <v>42374.25</v>
      </c>
      <c r="N33">
        <v>1454392800</v>
      </c>
      <c r="O33" s="10">
        <f>(((N33/60)/60)/24)+DATE(1970,1,1)</f>
        <v>42402.25</v>
      </c>
      <c r="P33" t="b">
        <v>0</v>
      </c>
      <c r="Q33" t="b">
        <v>0</v>
      </c>
      <c r="R33" t="s">
        <v>89</v>
      </c>
      <c r="S33" t="s">
        <v>2049</v>
      </c>
      <c r="T33" t="s">
        <v>2050</v>
      </c>
    </row>
    <row r="34" spans="1:20" ht="15.75" customHeight="1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>Table1[[#This Row],[pledged]]/Table1[[#This Row],[goal]]</f>
        <v>0.86807920792079207</v>
      </c>
      <c r="G34" t="s">
        <v>14</v>
      </c>
      <c r="H34">
        <v>2307</v>
      </c>
      <c r="I34" t="s">
        <v>107</v>
      </c>
      <c r="J34" t="s">
        <v>108</v>
      </c>
      <c r="K34" s="12">
        <f>IF(OR(E34=0, H34=0), 0, E34/H34)</f>
        <v>38.004334633723452</v>
      </c>
      <c r="L34">
        <v>1515564000</v>
      </c>
      <c r="M34" s="10">
        <f>(((L34/60)/60)/24)+DATE(1970,1,1)</f>
        <v>43110.25</v>
      </c>
      <c r="N34">
        <v>1517896800</v>
      </c>
      <c r="O34" s="10">
        <f>(((N34/60)/60)/24)+DATE(1970,1,1)</f>
        <v>43137.25</v>
      </c>
      <c r="P34" t="b">
        <v>0</v>
      </c>
      <c r="Q34" t="b">
        <v>0</v>
      </c>
      <c r="R34" t="s">
        <v>42</v>
      </c>
      <c r="S34" t="s">
        <v>2040</v>
      </c>
      <c r="T34" t="s">
        <v>2041</v>
      </c>
    </row>
    <row r="35" spans="1:20" ht="15.75" customHeight="1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>Table1[[#This Row],[pledged]]/Table1[[#This Row],[goal]]</f>
        <v>3.7782071713147412</v>
      </c>
      <c r="G35" t="s">
        <v>20</v>
      </c>
      <c r="H35">
        <v>5419</v>
      </c>
      <c r="I35" t="s">
        <v>21</v>
      </c>
      <c r="J35" t="s">
        <v>22</v>
      </c>
      <c r="K35" s="12">
        <f>IF(OR(E35=0, H35=0), 0, E35/H35)</f>
        <v>35.000184535892231</v>
      </c>
      <c r="L35">
        <v>1412485200</v>
      </c>
      <c r="M35" s="10">
        <f>(((L35/60)/60)/24)+DATE(1970,1,1)</f>
        <v>41917.208333333336</v>
      </c>
      <c r="N35">
        <v>1415685600</v>
      </c>
      <c r="O35" s="10">
        <f>(((N35/60)/60)/24)+DATE(1970,1,1)</f>
        <v>41954.25</v>
      </c>
      <c r="P35" t="b">
        <v>0</v>
      </c>
      <c r="Q35" t="b">
        <v>0</v>
      </c>
      <c r="R35" t="s">
        <v>33</v>
      </c>
      <c r="S35" t="s">
        <v>2038</v>
      </c>
      <c r="T35" t="s">
        <v>2039</v>
      </c>
    </row>
    <row r="36" spans="1:20" ht="15.75" customHeight="1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>Table1[[#This Row],[pledged]]/Table1[[#This Row],[goal]]</f>
        <v>1.5080645161290323</v>
      </c>
      <c r="G36" t="s">
        <v>20</v>
      </c>
      <c r="H36">
        <v>165</v>
      </c>
      <c r="I36" t="s">
        <v>21</v>
      </c>
      <c r="J36" t="s">
        <v>22</v>
      </c>
      <c r="K36" s="12">
        <f>IF(OR(E36=0, H36=0), 0, E36/H36)</f>
        <v>85</v>
      </c>
      <c r="L36">
        <v>1490245200</v>
      </c>
      <c r="M36" s="10">
        <f>(((L36/60)/60)/24)+DATE(1970,1,1)</f>
        <v>42817.208333333328</v>
      </c>
      <c r="N36">
        <v>1490677200</v>
      </c>
      <c r="O36" s="10">
        <f>(((N36/60)/60)/24)+DATE(1970,1,1)</f>
        <v>42822.208333333328</v>
      </c>
      <c r="P36" t="b">
        <v>0</v>
      </c>
      <c r="Q36" t="b">
        <v>0</v>
      </c>
      <c r="R36" t="s">
        <v>42</v>
      </c>
      <c r="S36" t="s">
        <v>2040</v>
      </c>
      <c r="T36" t="s">
        <v>2041</v>
      </c>
    </row>
    <row r="37" spans="1:20" ht="15.75" customHeight="1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>Table1[[#This Row],[pledged]]/Table1[[#This Row],[goal]]</f>
        <v>1.5030119521912351</v>
      </c>
      <c r="G37" t="s">
        <v>20</v>
      </c>
      <c r="H37">
        <v>1965</v>
      </c>
      <c r="I37" t="s">
        <v>36</v>
      </c>
      <c r="J37" t="s">
        <v>37</v>
      </c>
      <c r="K37" s="12">
        <f>IF(OR(E37=0, H37=0), 0, E37/H37)</f>
        <v>95.993893129770996</v>
      </c>
      <c r="L37">
        <v>1547877600</v>
      </c>
      <c r="M37" s="10">
        <f>(((L37/60)/60)/24)+DATE(1970,1,1)</f>
        <v>43484.25</v>
      </c>
      <c r="N37">
        <v>1551506400</v>
      </c>
      <c r="O37" s="10">
        <f>(((N37/60)/60)/24)+DATE(1970,1,1)</f>
        <v>43526.25</v>
      </c>
      <c r="P37" t="b">
        <v>0</v>
      </c>
      <c r="Q37" t="b">
        <v>1</v>
      </c>
      <c r="R37" t="s">
        <v>53</v>
      </c>
      <c r="S37" t="s">
        <v>2040</v>
      </c>
      <c r="T37" t="s">
        <v>2043</v>
      </c>
    </row>
    <row r="38" spans="1:20" ht="15.75" customHeight="1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>Table1[[#This Row],[pledged]]/Table1[[#This Row],[goal]]</f>
        <v>1.572857142857143</v>
      </c>
      <c r="G38" t="s">
        <v>20</v>
      </c>
      <c r="H38">
        <v>16</v>
      </c>
      <c r="I38" t="s">
        <v>21</v>
      </c>
      <c r="J38" t="s">
        <v>22</v>
      </c>
      <c r="K38" s="12">
        <f>IF(OR(E38=0, H38=0), 0, E38/H38)</f>
        <v>68.8125</v>
      </c>
      <c r="L38">
        <v>1298700000</v>
      </c>
      <c r="M38" s="10">
        <f>(((L38/60)/60)/24)+DATE(1970,1,1)</f>
        <v>40600.25</v>
      </c>
      <c r="N38">
        <v>1300856400</v>
      </c>
      <c r="O38" s="10">
        <f>(((N38/60)/60)/24)+DATE(1970,1,1)</f>
        <v>40625.208333333336</v>
      </c>
      <c r="P38" t="b">
        <v>0</v>
      </c>
      <c r="Q38" t="b">
        <v>0</v>
      </c>
      <c r="R38" t="s">
        <v>33</v>
      </c>
      <c r="S38" t="s">
        <v>2038</v>
      </c>
      <c r="T38" t="s">
        <v>2039</v>
      </c>
    </row>
    <row r="39" spans="1:20" ht="15.75" customHeight="1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>Table1[[#This Row],[pledged]]/Table1[[#This Row],[goal]]</f>
        <v>1.3998765432098765</v>
      </c>
      <c r="G39" t="s">
        <v>20</v>
      </c>
      <c r="H39">
        <v>107</v>
      </c>
      <c r="I39" t="s">
        <v>21</v>
      </c>
      <c r="J39" t="s">
        <v>22</v>
      </c>
      <c r="K39" s="12">
        <f>IF(OR(E39=0, H39=0), 0, E39/H39)</f>
        <v>105.97196261682242</v>
      </c>
      <c r="L39">
        <v>1570338000</v>
      </c>
      <c r="M39" s="10">
        <f>(((L39/60)/60)/24)+DATE(1970,1,1)</f>
        <v>43744.208333333328</v>
      </c>
      <c r="N39">
        <v>1573192800</v>
      </c>
      <c r="O39" s="10">
        <f>(((N39/60)/60)/24)+DATE(1970,1,1)</f>
        <v>43777.25</v>
      </c>
      <c r="P39" t="b">
        <v>0</v>
      </c>
      <c r="Q39" t="b">
        <v>1</v>
      </c>
      <c r="R39" t="s">
        <v>119</v>
      </c>
      <c r="S39" t="s">
        <v>2046</v>
      </c>
      <c r="T39" t="s">
        <v>2052</v>
      </c>
    </row>
    <row r="40" spans="1:20" ht="15.75" customHeight="1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>Table1[[#This Row],[pledged]]/Table1[[#This Row],[goal]]</f>
        <v>3.2532258064516131</v>
      </c>
      <c r="G40" t="s">
        <v>20</v>
      </c>
      <c r="H40">
        <v>134</v>
      </c>
      <c r="I40" t="s">
        <v>21</v>
      </c>
      <c r="J40" t="s">
        <v>22</v>
      </c>
      <c r="K40" s="12">
        <f>IF(OR(E40=0, H40=0), 0, E40/H40)</f>
        <v>75.261194029850742</v>
      </c>
      <c r="L40">
        <v>1287378000</v>
      </c>
      <c r="M40" s="10">
        <f>(((L40/60)/60)/24)+DATE(1970,1,1)</f>
        <v>40469.208333333336</v>
      </c>
      <c r="N40">
        <v>1287810000</v>
      </c>
      <c r="O40" s="10">
        <f>(((N40/60)/60)/24)+DATE(1970,1,1)</f>
        <v>40474.208333333336</v>
      </c>
      <c r="P40" t="b">
        <v>0</v>
      </c>
      <c r="Q40" t="b">
        <v>0</v>
      </c>
      <c r="R40" t="s">
        <v>122</v>
      </c>
      <c r="S40" t="s">
        <v>2053</v>
      </c>
      <c r="T40" t="s">
        <v>2054</v>
      </c>
    </row>
    <row r="41" spans="1:20" ht="15.75" customHeight="1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>Table1[[#This Row],[pledged]]/Table1[[#This Row],[goal]]</f>
        <v>0.50777777777777777</v>
      </c>
      <c r="G41" t="s">
        <v>14</v>
      </c>
      <c r="H41">
        <v>88</v>
      </c>
      <c r="I41" t="s">
        <v>36</v>
      </c>
      <c r="J41" t="s">
        <v>37</v>
      </c>
      <c r="K41" s="12">
        <f>IF(OR(E41=0, H41=0), 0, E41/H41)</f>
        <v>57.125</v>
      </c>
      <c r="L41">
        <v>1361772000</v>
      </c>
      <c r="M41" s="10">
        <f>(((L41/60)/60)/24)+DATE(1970,1,1)</f>
        <v>41330.25</v>
      </c>
      <c r="N41">
        <v>1362978000</v>
      </c>
      <c r="O41" s="10">
        <f>(((N41/60)/60)/24)+DATE(1970,1,1)</f>
        <v>41344.208333333336</v>
      </c>
      <c r="P41" t="b">
        <v>0</v>
      </c>
      <c r="Q41" t="b">
        <v>0</v>
      </c>
      <c r="R41" t="s">
        <v>33</v>
      </c>
      <c r="S41" t="s">
        <v>2038</v>
      </c>
      <c r="T41" t="s">
        <v>2039</v>
      </c>
    </row>
    <row r="42" spans="1:20" ht="15.75" customHeight="1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>Table1[[#This Row],[pledged]]/Table1[[#This Row],[goal]]</f>
        <v>1.6906818181818182</v>
      </c>
      <c r="G42" t="s">
        <v>20</v>
      </c>
      <c r="H42">
        <v>198</v>
      </c>
      <c r="I42" t="s">
        <v>21</v>
      </c>
      <c r="J42" t="s">
        <v>22</v>
      </c>
      <c r="K42" s="12">
        <f>IF(OR(E42=0, H42=0), 0, E42/H42)</f>
        <v>75.141414141414145</v>
      </c>
      <c r="L42">
        <v>1275714000</v>
      </c>
      <c r="M42" s="10">
        <f>(((L42/60)/60)/24)+DATE(1970,1,1)</f>
        <v>40334.208333333336</v>
      </c>
      <c r="N42">
        <v>1277355600</v>
      </c>
      <c r="O42" s="10">
        <f>(((N42/60)/60)/24)+DATE(1970,1,1)</f>
        <v>40353.208333333336</v>
      </c>
      <c r="P42" t="b">
        <v>0</v>
      </c>
      <c r="Q42" t="b">
        <v>1</v>
      </c>
      <c r="R42" t="s">
        <v>65</v>
      </c>
      <c r="S42" t="s">
        <v>2036</v>
      </c>
      <c r="T42" t="s">
        <v>2045</v>
      </c>
    </row>
    <row r="43" spans="1:20" ht="15.75" customHeight="1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>Table1[[#This Row],[pledged]]/Table1[[#This Row],[goal]]</f>
        <v>2.1292857142857144</v>
      </c>
      <c r="G43" t="s">
        <v>20</v>
      </c>
      <c r="H43">
        <v>111</v>
      </c>
      <c r="I43" t="s">
        <v>107</v>
      </c>
      <c r="J43" t="s">
        <v>108</v>
      </c>
      <c r="K43" s="12">
        <f>IF(OR(E43=0, H43=0), 0, E43/H43)</f>
        <v>107.42342342342343</v>
      </c>
      <c r="L43">
        <v>1346734800</v>
      </c>
      <c r="M43" s="10">
        <f>(((L43/60)/60)/24)+DATE(1970,1,1)</f>
        <v>41156.208333333336</v>
      </c>
      <c r="N43">
        <v>1348981200</v>
      </c>
      <c r="O43" s="10">
        <f>(((N43/60)/60)/24)+DATE(1970,1,1)</f>
        <v>41182.208333333336</v>
      </c>
      <c r="P43" t="b">
        <v>0</v>
      </c>
      <c r="Q43" t="b">
        <v>1</v>
      </c>
      <c r="R43" t="s">
        <v>23</v>
      </c>
      <c r="S43" t="s">
        <v>2034</v>
      </c>
      <c r="T43" t="s">
        <v>2035</v>
      </c>
    </row>
    <row r="44" spans="1:20" ht="15.75" customHeight="1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>Table1[[#This Row],[pledged]]/Table1[[#This Row],[goal]]</f>
        <v>4.4394444444444447</v>
      </c>
      <c r="G44" t="s">
        <v>20</v>
      </c>
      <c r="H44">
        <v>222</v>
      </c>
      <c r="I44" t="s">
        <v>21</v>
      </c>
      <c r="J44" t="s">
        <v>22</v>
      </c>
      <c r="K44" s="12">
        <f>IF(OR(E44=0, H44=0), 0, E44/H44)</f>
        <v>35.995495495495497</v>
      </c>
      <c r="L44">
        <v>1309755600</v>
      </c>
      <c r="M44" s="10">
        <f>(((L44/60)/60)/24)+DATE(1970,1,1)</f>
        <v>40728.208333333336</v>
      </c>
      <c r="N44">
        <v>1310533200</v>
      </c>
      <c r="O44" s="10">
        <f>(((N44/60)/60)/24)+DATE(1970,1,1)</f>
        <v>40737.208333333336</v>
      </c>
      <c r="P44" t="b">
        <v>0</v>
      </c>
      <c r="Q44" t="b">
        <v>0</v>
      </c>
      <c r="R44" t="s">
        <v>17</v>
      </c>
      <c r="S44" t="s">
        <v>2032</v>
      </c>
      <c r="T44" t="s">
        <v>2033</v>
      </c>
    </row>
    <row r="45" spans="1:20" ht="15.75" customHeight="1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>Table1[[#This Row],[pledged]]/Table1[[#This Row],[goal]]</f>
        <v>1.859390243902439</v>
      </c>
      <c r="G45" t="s">
        <v>20</v>
      </c>
      <c r="H45">
        <v>6212</v>
      </c>
      <c r="I45" t="s">
        <v>21</v>
      </c>
      <c r="J45" t="s">
        <v>22</v>
      </c>
      <c r="K45" s="12">
        <f>IF(OR(E45=0, H45=0), 0, E45/H45)</f>
        <v>26.998873148744366</v>
      </c>
      <c r="L45">
        <v>1406178000</v>
      </c>
      <c r="M45" s="10">
        <f>(((L45/60)/60)/24)+DATE(1970,1,1)</f>
        <v>41844.208333333336</v>
      </c>
      <c r="N45">
        <v>1407560400</v>
      </c>
      <c r="O45" s="10">
        <f>(((N45/60)/60)/24)+DATE(1970,1,1)</f>
        <v>41860.208333333336</v>
      </c>
      <c r="P45" t="b">
        <v>0</v>
      </c>
      <c r="Q45" t="b">
        <v>0</v>
      </c>
      <c r="R45" t="s">
        <v>133</v>
      </c>
      <c r="S45" t="s">
        <v>2046</v>
      </c>
      <c r="T45" t="s">
        <v>2055</v>
      </c>
    </row>
    <row r="46" spans="1:20" ht="15.75" customHeight="1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>Table1[[#This Row],[pledged]]/Table1[[#This Row],[goal]]</f>
        <v>6.5881249999999998</v>
      </c>
      <c r="G46" t="s">
        <v>20</v>
      </c>
      <c r="H46">
        <v>98</v>
      </c>
      <c r="I46" t="s">
        <v>36</v>
      </c>
      <c r="J46" t="s">
        <v>37</v>
      </c>
      <c r="K46" s="12">
        <f>IF(OR(E46=0, H46=0), 0, E46/H46)</f>
        <v>107.56122448979592</v>
      </c>
      <c r="L46">
        <v>1552798800</v>
      </c>
      <c r="M46" s="10">
        <f>(((L46/60)/60)/24)+DATE(1970,1,1)</f>
        <v>43541.208333333328</v>
      </c>
      <c r="N46">
        <v>1552885200</v>
      </c>
      <c r="O46" s="10">
        <f>(((N46/60)/60)/24)+DATE(1970,1,1)</f>
        <v>43542.208333333328</v>
      </c>
      <c r="P46" t="b">
        <v>0</v>
      </c>
      <c r="Q46" t="b">
        <v>0</v>
      </c>
      <c r="R46" t="s">
        <v>119</v>
      </c>
      <c r="S46" t="s">
        <v>2046</v>
      </c>
      <c r="T46" t="s">
        <v>2052</v>
      </c>
    </row>
    <row r="47" spans="1:20" ht="15.75" customHeight="1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>Table1[[#This Row],[pledged]]/Table1[[#This Row],[goal]]</f>
        <v>0.4768421052631579</v>
      </c>
      <c r="G47" t="s">
        <v>14</v>
      </c>
      <c r="H47">
        <v>48</v>
      </c>
      <c r="I47" t="s">
        <v>21</v>
      </c>
      <c r="J47" t="s">
        <v>22</v>
      </c>
      <c r="K47" s="12">
        <f>IF(OR(E47=0, H47=0), 0, E47/H47)</f>
        <v>94.375</v>
      </c>
      <c r="L47">
        <v>1478062800</v>
      </c>
      <c r="M47" s="10">
        <f>(((L47/60)/60)/24)+DATE(1970,1,1)</f>
        <v>42676.208333333328</v>
      </c>
      <c r="N47">
        <v>1479362400</v>
      </c>
      <c r="O47" s="10">
        <f>(((N47/60)/60)/24)+DATE(1970,1,1)</f>
        <v>42691.25</v>
      </c>
      <c r="P47" t="b">
        <v>0</v>
      </c>
      <c r="Q47" t="b">
        <v>1</v>
      </c>
      <c r="R47" t="s">
        <v>33</v>
      </c>
      <c r="S47" t="s">
        <v>2038</v>
      </c>
      <c r="T47" t="s">
        <v>2039</v>
      </c>
    </row>
    <row r="48" spans="1:20" ht="15.75" customHeight="1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>Table1[[#This Row],[pledged]]/Table1[[#This Row],[goal]]</f>
        <v>1.1478378378378378</v>
      </c>
      <c r="G48" t="s">
        <v>20</v>
      </c>
      <c r="H48">
        <v>92</v>
      </c>
      <c r="I48" t="s">
        <v>21</v>
      </c>
      <c r="J48" t="s">
        <v>22</v>
      </c>
      <c r="K48" s="12">
        <f>IF(OR(E48=0, H48=0), 0, E48/H48)</f>
        <v>46.163043478260867</v>
      </c>
      <c r="L48">
        <v>1278565200</v>
      </c>
      <c r="M48" s="10">
        <f>(((L48/60)/60)/24)+DATE(1970,1,1)</f>
        <v>40367.208333333336</v>
      </c>
      <c r="N48">
        <v>1280552400</v>
      </c>
      <c r="O48" s="10">
        <f>(((N48/60)/60)/24)+DATE(1970,1,1)</f>
        <v>40390.208333333336</v>
      </c>
      <c r="P48" t="b">
        <v>0</v>
      </c>
      <c r="Q48" t="b">
        <v>0</v>
      </c>
      <c r="R48" t="s">
        <v>23</v>
      </c>
      <c r="S48" t="s">
        <v>2034</v>
      </c>
      <c r="T48" t="s">
        <v>2035</v>
      </c>
    </row>
    <row r="49" spans="1:20" ht="15.75" customHeight="1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>Table1[[#This Row],[pledged]]/Table1[[#This Row],[goal]]</f>
        <v>4.7526666666666664</v>
      </c>
      <c r="G49" t="s">
        <v>20</v>
      </c>
      <c r="H49">
        <v>149</v>
      </c>
      <c r="I49" t="s">
        <v>21</v>
      </c>
      <c r="J49" t="s">
        <v>22</v>
      </c>
      <c r="K49" s="12">
        <f>IF(OR(E49=0, H49=0), 0, E49/H49)</f>
        <v>47.845637583892618</v>
      </c>
      <c r="L49">
        <v>1396069200</v>
      </c>
      <c r="M49" s="10">
        <f>(((L49/60)/60)/24)+DATE(1970,1,1)</f>
        <v>41727.208333333336</v>
      </c>
      <c r="N49">
        <v>1398661200</v>
      </c>
      <c r="O49" s="10">
        <f>(((N49/60)/60)/24)+DATE(1970,1,1)</f>
        <v>41757.208333333336</v>
      </c>
      <c r="P49" t="b">
        <v>0</v>
      </c>
      <c r="Q49" t="b">
        <v>0</v>
      </c>
      <c r="R49" t="s">
        <v>33</v>
      </c>
      <c r="S49" t="s">
        <v>2038</v>
      </c>
      <c r="T49" t="s">
        <v>2039</v>
      </c>
    </row>
    <row r="50" spans="1:20" ht="15.75" customHeight="1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>Table1[[#This Row],[pledged]]/Table1[[#This Row],[goal]]</f>
        <v>3.86972972972973</v>
      </c>
      <c r="G50" t="s">
        <v>20</v>
      </c>
      <c r="H50">
        <v>2431</v>
      </c>
      <c r="I50" t="s">
        <v>21</v>
      </c>
      <c r="J50" t="s">
        <v>22</v>
      </c>
      <c r="K50" s="12">
        <f>IF(OR(E50=0, H50=0), 0, E50/H50)</f>
        <v>53.007815713698065</v>
      </c>
      <c r="L50">
        <v>1435208400</v>
      </c>
      <c r="M50" s="10">
        <f>(((L50/60)/60)/24)+DATE(1970,1,1)</f>
        <v>42180.208333333328</v>
      </c>
      <c r="N50">
        <v>1436245200</v>
      </c>
      <c r="O50" s="10">
        <f>(((N50/60)/60)/24)+DATE(1970,1,1)</f>
        <v>42192.208333333328</v>
      </c>
      <c r="P50" t="b">
        <v>0</v>
      </c>
      <c r="Q50" t="b">
        <v>0</v>
      </c>
      <c r="R50" t="s">
        <v>33</v>
      </c>
      <c r="S50" t="s">
        <v>2038</v>
      </c>
      <c r="T50" t="s">
        <v>2039</v>
      </c>
    </row>
    <row r="51" spans="1:20" ht="15.75" customHeight="1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>Table1[[#This Row],[pledged]]/Table1[[#This Row],[goal]]</f>
        <v>1.89625</v>
      </c>
      <c r="G51" t="s">
        <v>20</v>
      </c>
      <c r="H51">
        <v>303</v>
      </c>
      <c r="I51" t="s">
        <v>21</v>
      </c>
      <c r="J51" t="s">
        <v>22</v>
      </c>
      <c r="K51" s="12">
        <f>IF(OR(E51=0, H51=0), 0, E51/H51)</f>
        <v>45.059405940594061</v>
      </c>
      <c r="L51">
        <v>1571547600</v>
      </c>
      <c r="M51" s="10">
        <f>(((L51/60)/60)/24)+DATE(1970,1,1)</f>
        <v>43758.208333333328</v>
      </c>
      <c r="N51">
        <v>1575439200</v>
      </c>
      <c r="O51" s="10">
        <f>(((N51/60)/60)/24)+DATE(1970,1,1)</f>
        <v>43803.25</v>
      </c>
      <c r="P51" t="b">
        <v>0</v>
      </c>
      <c r="Q51" t="b">
        <v>0</v>
      </c>
      <c r="R51" t="s">
        <v>23</v>
      </c>
      <c r="S51" t="s">
        <v>2034</v>
      </c>
      <c r="T51" t="s">
        <v>2035</v>
      </c>
    </row>
    <row r="52" spans="1:20" ht="15.75" customHeight="1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>Table1[[#This Row],[pledged]]/Table1[[#This Row],[goal]]</f>
        <v>0.02</v>
      </c>
      <c r="G52" t="s">
        <v>14</v>
      </c>
      <c r="H52">
        <v>1</v>
      </c>
      <c r="I52" t="s">
        <v>107</v>
      </c>
      <c r="J52" t="s">
        <v>108</v>
      </c>
      <c r="K52" s="12">
        <f>IF(OR(E52=0, H52=0), 0, E52/H52)</f>
        <v>2</v>
      </c>
      <c r="L52">
        <v>1375333200</v>
      </c>
      <c r="M52" s="10">
        <f>(((L52/60)/60)/24)+DATE(1970,1,1)</f>
        <v>41487.208333333336</v>
      </c>
      <c r="N52">
        <v>1377752400</v>
      </c>
      <c r="O52" s="10">
        <f>(((N52/60)/60)/24)+DATE(1970,1,1)</f>
        <v>41515.208333333336</v>
      </c>
      <c r="P52" t="b">
        <v>0</v>
      </c>
      <c r="Q52" t="b">
        <v>0</v>
      </c>
      <c r="R52" t="s">
        <v>148</v>
      </c>
      <c r="S52" t="s">
        <v>2034</v>
      </c>
      <c r="T52" t="s">
        <v>2056</v>
      </c>
    </row>
    <row r="53" spans="1:20" ht="15.75" customHeight="1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>Table1[[#This Row],[pledged]]/Table1[[#This Row],[goal]]</f>
        <v>0.91867805186590767</v>
      </c>
      <c r="G53" t="s">
        <v>14</v>
      </c>
      <c r="H53">
        <v>1467</v>
      </c>
      <c r="I53" t="s">
        <v>40</v>
      </c>
      <c r="J53" t="s">
        <v>41</v>
      </c>
      <c r="K53" s="12">
        <f>IF(OR(E53=0, H53=0), 0, E53/H53)</f>
        <v>99.006816632583508</v>
      </c>
      <c r="L53">
        <v>1332824400</v>
      </c>
      <c r="M53" s="10">
        <f>(((L53/60)/60)/24)+DATE(1970,1,1)</f>
        <v>40995.208333333336</v>
      </c>
      <c r="N53">
        <v>1334206800</v>
      </c>
      <c r="O53" s="10">
        <f>(((N53/60)/60)/24)+DATE(1970,1,1)</f>
        <v>41011.208333333336</v>
      </c>
      <c r="P53" t="b">
        <v>0</v>
      </c>
      <c r="Q53" t="b">
        <v>1</v>
      </c>
      <c r="R53" t="s">
        <v>65</v>
      </c>
      <c r="S53" t="s">
        <v>2036</v>
      </c>
      <c r="T53" t="s">
        <v>2045</v>
      </c>
    </row>
    <row r="54" spans="1:20" ht="15.75" customHeight="1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>Table1[[#This Row],[pledged]]/Table1[[#This Row],[goal]]</f>
        <v>0.34152777777777776</v>
      </c>
      <c r="G54" t="s">
        <v>14</v>
      </c>
      <c r="H54">
        <v>75</v>
      </c>
      <c r="I54" t="s">
        <v>21</v>
      </c>
      <c r="J54" t="s">
        <v>22</v>
      </c>
      <c r="K54" s="12">
        <f>IF(OR(E54=0, H54=0), 0, E54/H54)</f>
        <v>32.786666666666669</v>
      </c>
      <c r="L54">
        <v>1284526800</v>
      </c>
      <c r="M54" s="10">
        <f>(((L54/60)/60)/24)+DATE(1970,1,1)</f>
        <v>40436.208333333336</v>
      </c>
      <c r="N54">
        <v>1284872400</v>
      </c>
      <c r="O54" s="10">
        <f>(((N54/60)/60)/24)+DATE(1970,1,1)</f>
        <v>40440.208333333336</v>
      </c>
      <c r="P54" t="b">
        <v>0</v>
      </c>
      <c r="Q54" t="b">
        <v>0</v>
      </c>
      <c r="R54" t="s">
        <v>33</v>
      </c>
      <c r="S54" t="s">
        <v>2038</v>
      </c>
      <c r="T54" t="s">
        <v>2039</v>
      </c>
    </row>
    <row r="55" spans="1:20" ht="15.75" customHeight="1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>Table1[[#This Row],[pledged]]/Table1[[#This Row],[goal]]</f>
        <v>1.4040909090909091</v>
      </c>
      <c r="G55" t="s">
        <v>20</v>
      </c>
      <c r="H55">
        <v>209</v>
      </c>
      <c r="I55" t="s">
        <v>21</v>
      </c>
      <c r="J55" t="s">
        <v>22</v>
      </c>
      <c r="K55" s="12">
        <f>IF(OR(E55=0, H55=0), 0, E55/H55)</f>
        <v>59.119617224880386</v>
      </c>
      <c r="L55">
        <v>1400562000</v>
      </c>
      <c r="M55" s="10">
        <f>(((L55/60)/60)/24)+DATE(1970,1,1)</f>
        <v>41779.208333333336</v>
      </c>
      <c r="N55">
        <v>1403931600</v>
      </c>
      <c r="O55" s="10">
        <f>(((N55/60)/60)/24)+DATE(1970,1,1)</f>
        <v>41818.208333333336</v>
      </c>
      <c r="P55" t="b">
        <v>0</v>
      </c>
      <c r="Q55" t="b">
        <v>0</v>
      </c>
      <c r="R55" t="s">
        <v>53</v>
      </c>
      <c r="S55" t="s">
        <v>2040</v>
      </c>
      <c r="T55" t="s">
        <v>2043</v>
      </c>
    </row>
    <row r="56" spans="1:20" ht="15.75" customHeight="1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>Table1[[#This Row],[pledged]]/Table1[[#This Row],[goal]]</f>
        <v>0.89866666666666661</v>
      </c>
      <c r="G56" t="s">
        <v>14</v>
      </c>
      <c r="H56">
        <v>120</v>
      </c>
      <c r="I56" t="s">
        <v>21</v>
      </c>
      <c r="J56" t="s">
        <v>22</v>
      </c>
      <c r="K56" s="12">
        <f>IF(OR(E56=0, H56=0), 0, E56/H56)</f>
        <v>44.93333333333333</v>
      </c>
      <c r="L56">
        <v>1520748000</v>
      </c>
      <c r="M56" s="10">
        <f>(((L56/60)/60)/24)+DATE(1970,1,1)</f>
        <v>43170.25</v>
      </c>
      <c r="N56">
        <v>1521262800</v>
      </c>
      <c r="O56" s="10">
        <f>(((N56/60)/60)/24)+DATE(1970,1,1)</f>
        <v>43176.208333333328</v>
      </c>
      <c r="P56" t="b">
        <v>0</v>
      </c>
      <c r="Q56" t="b">
        <v>0</v>
      </c>
      <c r="R56" t="s">
        <v>65</v>
      </c>
      <c r="S56" t="s">
        <v>2036</v>
      </c>
      <c r="T56" t="s">
        <v>2045</v>
      </c>
    </row>
    <row r="57" spans="1:20" ht="15.75" customHeight="1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>Table1[[#This Row],[pledged]]/Table1[[#This Row],[goal]]</f>
        <v>1.7796969696969698</v>
      </c>
      <c r="G57" t="s">
        <v>20</v>
      </c>
      <c r="H57">
        <v>131</v>
      </c>
      <c r="I57" t="s">
        <v>21</v>
      </c>
      <c r="J57" t="s">
        <v>22</v>
      </c>
      <c r="K57" s="12">
        <f>IF(OR(E57=0, H57=0), 0, E57/H57)</f>
        <v>89.664122137404576</v>
      </c>
      <c r="L57">
        <v>1532926800</v>
      </c>
      <c r="M57" s="10">
        <f>(((L57/60)/60)/24)+DATE(1970,1,1)</f>
        <v>43311.208333333328</v>
      </c>
      <c r="N57">
        <v>1533358800</v>
      </c>
      <c r="O57" s="10">
        <f>(((N57/60)/60)/24)+DATE(1970,1,1)</f>
        <v>43316.208333333328</v>
      </c>
      <c r="P57" t="b">
        <v>0</v>
      </c>
      <c r="Q57" t="b">
        <v>0</v>
      </c>
      <c r="R57" t="s">
        <v>159</v>
      </c>
      <c r="S57" t="s">
        <v>2034</v>
      </c>
      <c r="T57" t="s">
        <v>2057</v>
      </c>
    </row>
    <row r="58" spans="1:20" ht="15.75" customHeight="1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>Table1[[#This Row],[pledged]]/Table1[[#This Row],[goal]]</f>
        <v>1.436625</v>
      </c>
      <c r="G58" t="s">
        <v>20</v>
      </c>
      <c r="H58">
        <v>164</v>
      </c>
      <c r="I58" t="s">
        <v>21</v>
      </c>
      <c r="J58" t="s">
        <v>22</v>
      </c>
      <c r="K58" s="12">
        <f>IF(OR(E58=0, H58=0), 0, E58/H58)</f>
        <v>70.079268292682926</v>
      </c>
      <c r="L58">
        <v>1420869600</v>
      </c>
      <c r="M58" s="10">
        <f>(((L58/60)/60)/24)+DATE(1970,1,1)</f>
        <v>42014.25</v>
      </c>
      <c r="N58">
        <v>1421474400</v>
      </c>
      <c r="O58" s="10">
        <f>(((N58/60)/60)/24)+DATE(1970,1,1)</f>
        <v>42021.25</v>
      </c>
      <c r="P58" t="b">
        <v>0</v>
      </c>
      <c r="Q58" t="b">
        <v>0</v>
      </c>
      <c r="R58" t="s">
        <v>65</v>
      </c>
      <c r="S58" t="s">
        <v>2036</v>
      </c>
      <c r="T58" t="s">
        <v>2045</v>
      </c>
    </row>
    <row r="59" spans="1:20" ht="15.75" customHeight="1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>Table1[[#This Row],[pledged]]/Table1[[#This Row],[goal]]</f>
        <v>2.1527586206896552</v>
      </c>
      <c r="G59" t="s">
        <v>20</v>
      </c>
      <c r="H59">
        <v>201</v>
      </c>
      <c r="I59" t="s">
        <v>21</v>
      </c>
      <c r="J59" t="s">
        <v>22</v>
      </c>
      <c r="K59" s="12">
        <f>IF(OR(E59=0, H59=0), 0, E59/H59)</f>
        <v>31.059701492537314</v>
      </c>
      <c r="L59">
        <v>1504242000</v>
      </c>
      <c r="M59" s="10">
        <f>(((L59/60)/60)/24)+DATE(1970,1,1)</f>
        <v>42979.208333333328</v>
      </c>
      <c r="N59">
        <v>1505278800</v>
      </c>
      <c r="O59" s="10">
        <f>(((N59/60)/60)/24)+DATE(1970,1,1)</f>
        <v>42991.208333333328</v>
      </c>
      <c r="P59" t="b">
        <v>0</v>
      </c>
      <c r="Q59" t="b">
        <v>0</v>
      </c>
      <c r="R59" t="s">
        <v>89</v>
      </c>
      <c r="S59" t="s">
        <v>2049</v>
      </c>
      <c r="T59" t="s">
        <v>2050</v>
      </c>
    </row>
    <row r="60" spans="1:20" ht="15.75" customHeight="1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>Table1[[#This Row],[pledged]]/Table1[[#This Row],[goal]]</f>
        <v>2.2711111111111113</v>
      </c>
      <c r="G60" t="s">
        <v>20</v>
      </c>
      <c r="H60">
        <v>211</v>
      </c>
      <c r="I60" t="s">
        <v>21</v>
      </c>
      <c r="J60" t="s">
        <v>22</v>
      </c>
      <c r="K60" s="12">
        <f>IF(OR(E60=0, H60=0), 0, E60/H60)</f>
        <v>29.061611374407583</v>
      </c>
      <c r="L60">
        <v>1442811600</v>
      </c>
      <c r="M60" s="10">
        <f>(((L60/60)/60)/24)+DATE(1970,1,1)</f>
        <v>42268.208333333328</v>
      </c>
      <c r="N60">
        <v>1443934800</v>
      </c>
      <c r="O60" s="10">
        <f>(((N60/60)/60)/24)+DATE(1970,1,1)</f>
        <v>42281.208333333328</v>
      </c>
      <c r="P60" t="b">
        <v>0</v>
      </c>
      <c r="Q60" t="b">
        <v>0</v>
      </c>
      <c r="R60" t="s">
        <v>33</v>
      </c>
      <c r="S60" t="s">
        <v>2038</v>
      </c>
      <c r="T60" t="s">
        <v>2039</v>
      </c>
    </row>
    <row r="61" spans="1:20" ht="15.75" customHeight="1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>Table1[[#This Row],[pledged]]/Table1[[#This Row],[goal]]</f>
        <v>2.7507142857142859</v>
      </c>
      <c r="G61" t="s">
        <v>20</v>
      </c>
      <c r="H61">
        <v>128</v>
      </c>
      <c r="I61" t="s">
        <v>21</v>
      </c>
      <c r="J61" t="s">
        <v>22</v>
      </c>
      <c r="K61" s="12">
        <f>IF(OR(E61=0, H61=0), 0, E61/H61)</f>
        <v>30.0859375</v>
      </c>
      <c r="L61">
        <v>1497243600</v>
      </c>
      <c r="M61" s="10">
        <f>(((L61/60)/60)/24)+DATE(1970,1,1)</f>
        <v>42898.208333333328</v>
      </c>
      <c r="N61">
        <v>1498539600</v>
      </c>
      <c r="O61" s="10">
        <f>(((N61/60)/60)/24)+DATE(1970,1,1)</f>
        <v>42913.208333333328</v>
      </c>
      <c r="P61" t="b">
        <v>0</v>
      </c>
      <c r="Q61" t="b">
        <v>1</v>
      </c>
      <c r="R61" t="s">
        <v>33</v>
      </c>
      <c r="S61" t="s">
        <v>2038</v>
      </c>
      <c r="T61" t="s">
        <v>2039</v>
      </c>
    </row>
    <row r="62" spans="1:20" ht="15.75" customHeight="1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>Table1[[#This Row],[pledged]]/Table1[[#This Row],[goal]]</f>
        <v>1.4437048832271762</v>
      </c>
      <c r="G62" t="s">
        <v>20</v>
      </c>
      <c r="H62">
        <v>1600</v>
      </c>
      <c r="I62" t="s">
        <v>15</v>
      </c>
      <c r="J62" t="s">
        <v>16</v>
      </c>
      <c r="K62" s="12">
        <f>IF(OR(E62=0, H62=0), 0, E62/H62)</f>
        <v>84.998125000000002</v>
      </c>
      <c r="L62">
        <v>1342501200</v>
      </c>
      <c r="M62" s="10">
        <f>(((L62/60)/60)/24)+DATE(1970,1,1)</f>
        <v>41107.208333333336</v>
      </c>
      <c r="N62">
        <v>1342760400</v>
      </c>
      <c r="O62" s="10">
        <f>(((N62/60)/60)/24)+DATE(1970,1,1)</f>
        <v>41110.208333333336</v>
      </c>
      <c r="P62" t="b">
        <v>0</v>
      </c>
      <c r="Q62" t="b">
        <v>0</v>
      </c>
      <c r="R62" t="s">
        <v>33</v>
      </c>
      <c r="S62" t="s">
        <v>2038</v>
      </c>
      <c r="T62" t="s">
        <v>2039</v>
      </c>
    </row>
    <row r="63" spans="1:20" ht="15.75" customHeight="1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>Table1[[#This Row],[pledged]]/Table1[[#This Row],[goal]]</f>
        <v>0.92745983935742971</v>
      </c>
      <c r="G63" t="s">
        <v>14</v>
      </c>
      <c r="H63">
        <v>2253</v>
      </c>
      <c r="I63" t="s">
        <v>15</v>
      </c>
      <c r="J63" t="s">
        <v>16</v>
      </c>
      <c r="K63" s="12">
        <f>IF(OR(E63=0, H63=0), 0, E63/H63)</f>
        <v>82.001775410563695</v>
      </c>
      <c r="L63">
        <v>1298268000</v>
      </c>
      <c r="M63" s="10">
        <f>(((L63/60)/60)/24)+DATE(1970,1,1)</f>
        <v>40595.25</v>
      </c>
      <c r="N63">
        <v>1301720400</v>
      </c>
      <c r="O63" s="10">
        <f>(((N63/60)/60)/24)+DATE(1970,1,1)</f>
        <v>40635.208333333336</v>
      </c>
      <c r="P63" t="b">
        <v>0</v>
      </c>
      <c r="Q63" t="b">
        <v>0</v>
      </c>
      <c r="R63" t="s">
        <v>33</v>
      </c>
      <c r="S63" t="s">
        <v>2038</v>
      </c>
      <c r="T63" t="s">
        <v>2039</v>
      </c>
    </row>
    <row r="64" spans="1:20" ht="15.75" customHeight="1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>Table1[[#This Row],[pledged]]/Table1[[#This Row],[goal]]</f>
        <v>7.226</v>
      </c>
      <c r="G64" t="s">
        <v>20</v>
      </c>
      <c r="H64">
        <v>249</v>
      </c>
      <c r="I64" t="s">
        <v>21</v>
      </c>
      <c r="J64" t="s">
        <v>22</v>
      </c>
      <c r="K64" s="12">
        <f>IF(OR(E64=0, H64=0), 0, E64/H64)</f>
        <v>58.040160642570278</v>
      </c>
      <c r="L64">
        <v>1433480400</v>
      </c>
      <c r="M64" s="10">
        <f>(((L64/60)/60)/24)+DATE(1970,1,1)</f>
        <v>42160.208333333328</v>
      </c>
      <c r="N64">
        <v>1433566800</v>
      </c>
      <c r="O64" s="10">
        <f>(((N64/60)/60)/24)+DATE(1970,1,1)</f>
        <v>42161.208333333328</v>
      </c>
      <c r="P64" t="b">
        <v>0</v>
      </c>
      <c r="Q64" t="b">
        <v>0</v>
      </c>
      <c r="R64" t="s">
        <v>28</v>
      </c>
      <c r="S64" t="s">
        <v>2036</v>
      </c>
      <c r="T64" t="s">
        <v>2037</v>
      </c>
    </row>
    <row r="65" spans="1:20" ht="15.75" customHeight="1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>Table1[[#This Row],[pledged]]/Table1[[#This Row],[goal]]</f>
        <v>0.11851063829787234</v>
      </c>
      <c r="G65" t="s">
        <v>14</v>
      </c>
      <c r="H65">
        <v>5</v>
      </c>
      <c r="I65" t="s">
        <v>21</v>
      </c>
      <c r="J65" t="s">
        <v>22</v>
      </c>
      <c r="K65" s="12">
        <f>IF(OR(E65=0, H65=0), 0, E65/H65)</f>
        <v>111.4</v>
      </c>
      <c r="L65">
        <v>1493355600</v>
      </c>
      <c r="M65" s="10">
        <f>(((L65/60)/60)/24)+DATE(1970,1,1)</f>
        <v>42853.208333333328</v>
      </c>
      <c r="N65">
        <v>1493874000</v>
      </c>
      <c r="O65" s="10">
        <f>(((N65/60)/60)/24)+DATE(1970,1,1)</f>
        <v>42859.208333333328</v>
      </c>
      <c r="P65" t="b">
        <v>0</v>
      </c>
      <c r="Q65" t="b">
        <v>0</v>
      </c>
      <c r="R65" t="s">
        <v>33</v>
      </c>
      <c r="S65" t="s">
        <v>2038</v>
      </c>
      <c r="T65" t="s">
        <v>2039</v>
      </c>
    </row>
    <row r="66" spans="1:20" ht="15.75" customHeight="1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>Table1[[#This Row],[pledged]]/Table1[[#This Row],[goal]]</f>
        <v>0.97642857142857142</v>
      </c>
      <c r="G66" t="s">
        <v>14</v>
      </c>
      <c r="H66">
        <v>38</v>
      </c>
      <c r="I66" t="s">
        <v>21</v>
      </c>
      <c r="J66" t="s">
        <v>22</v>
      </c>
      <c r="K66" s="12">
        <f>IF(OR(E66=0, H66=0), 0, E66/H66)</f>
        <v>71.94736842105263</v>
      </c>
      <c r="L66">
        <v>1530507600</v>
      </c>
      <c r="M66" s="10">
        <f>(((L66/60)/60)/24)+DATE(1970,1,1)</f>
        <v>43283.208333333328</v>
      </c>
      <c r="N66">
        <v>1531803600</v>
      </c>
      <c r="O66" s="10">
        <f>(((N66/60)/60)/24)+DATE(1970,1,1)</f>
        <v>43298.208333333328</v>
      </c>
      <c r="P66" t="b">
        <v>0</v>
      </c>
      <c r="Q66" t="b">
        <v>1</v>
      </c>
      <c r="R66" t="s">
        <v>28</v>
      </c>
      <c r="S66" t="s">
        <v>2036</v>
      </c>
      <c r="T66" t="s">
        <v>2037</v>
      </c>
    </row>
    <row r="67" spans="1:20" ht="15.75" customHeight="1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>Table1[[#This Row],[pledged]]/Table1[[#This Row],[goal]]</f>
        <v>2.3614754098360655</v>
      </c>
      <c r="G67" t="s">
        <v>20</v>
      </c>
      <c r="H67">
        <v>236</v>
      </c>
      <c r="I67" t="s">
        <v>21</v>
      </c>
      <c r="J67" t="s">
        <v>22</v>
      </c>
      <c r="K67" s="12">
        <f>IF(OR(E67=0, H67=0), 0, E67/H67)</f>
        <v>61.038135593220339</v>
      </c>
      <c r="L67">
        <v>1296108000</v>
      </c>
      <c r="M67" s="10">
        <f>(((L67/60)/60)/24)+DATE(1970,1,1)</f>
        <v>40570.25</v>
      </c>
      <c r="N67">
        <v>1296712800</v>
      </c>
      <c r="O67" s="10">
        <f>(((N67/60)/60)/24)+DATE(1970,1,1)</f>
        <v>40577.25</v>
      </c>
      <c r="P67" t="b">
        <v>0</v>
      </c>
      <c r="Q67" t="b">
        <v>0</v>
      </c>
      <c r="R67" t="s">
        <v>33</v>
      </c>
      <c r="S67" t="s">
        <v>2038</v>
      </c>
      <c r="T67" t="s">
        <v>2039</v>
      </c>
    </row>
    <row r="68" spans="1:20" ht="15.75" customHeight="1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>Table1[[#This Row],[pledged]]/Table1[[#This Row],[goal]]</f>
        <v>0.45068965517241377</v>
      </c>
      <c r="G68" t="s">
        <v>14</v>
      </c>
      <c r="H68">
        <v>12</v>
      </c>
      <c r="I68" t="s">
        <v>21</v>
      </c>
      <c r="J68" t="s">
        <v>22</v>
      </c>
      <c r="K68" s="12">
        <f>IF(OR(E68=0, H68=0), 0, E68/H68)</f>
        <v>108.91666666666667</v>
      </c>
      <c r="L68">
        <v>1428469200</v>
      </c>
      <c r="M68" s="10">
        <f>(((L68/60)/60)/24)+DATE(1970,1,1)</f>
        <v>42102.208333333328</v>
      </c>
      <c r="N68">
        <v>1428901200</v>
      </c>
      <c r="O68" s="10">
        <f>(((N68/60)/60)/24)+DATE(1970,1,1)</f>
        <v>42107.208333333328</v>
      </c>
      <c r="P68" t="b">
        <v>0</v>
      </c>
      <c r="Q68" t="b">
        <v>1</v>
      </c>
      <c r="R68" t="s">
        <v>33</v>
      </c>
      <c r="S68" t="s">
        <v>2038</v>
      </c>
      <c r="T68" t="s">
        <v>2039</v>
      </c>
    </row>
    <row r="69" spans="1:20" ht="15.75" customHeight="1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>Table1[[#This Row],[pledged]]/Table1[[#This Row],[goal]]</f>
        <v>1.6238567493112948</v>
      </c>
      <c r="G69" t="s">
        <v>20</v>
      </c>
      <c r="H69">
        <v>4065</v>
      </c>
      <c r="I69" t="s">
        <v>40</v>
      </c>
      <c r="J69" t="s">
        <v>41</v>
      </c>
      <c r="K69" s="12">
        <f>IF(OR(E69=0, H69=0), 0, E69/H69)</f>
        <v>29.001722017220171</v>
      </c>
      <c r="L69">
        <v>1264399200</v>
      </c>
      <c r="M69" s="10">
        <f>(((L69/60)/60)/24)+DATE(1970,1,1)</f>
        <v>40203.25</v>
      </c>
      <c r="N69">
        <v>1264831200</v>
      </c>
      <c r="O69" s="10">
        <f>(((N69/60)/60)/24)+DATE(1970,1,1)</f>
        <v>40208.25</v>
      </c>
      <c r="P69" t="b">
        <v>0</v>
      </c>
      <c r="Q69" t="b">
        <v>1</v>
      </c>
      <c r="R69" t="s">
        <v>65</v>
      </c>
      <c r="S69" t="s">
        <v>2036</v>
      </c>
      <c r="T69" t="s">
        <v>2045</v>
      </c>
    </row>
    <row r="70" spans="1:20" ht="15.75" customHeight="1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>Table1[[#This Row],[pledged]]/Table1[[#This Row],[goal]]</f>
        <v>2.5452631578947367</v>
      </c>
      <c r="G70" t="s">
        <v>20</v>
      </c>
      <c r="H70">
        <v>246</v>
      </c>
      <c r="I70" t="s">
        <v>107</v>
      </c>
      <c r="J70" t="s">
        <v>108</v>
      </c>
      <c r="K70" s="12">
        <f>IF(OR(E70=0, H70=0), 0, E70/H70)</f>
        <v>58.975609756097562</v>
      </c>
      <c r="L70">
        <v>1501131600</v>
      </c>
      <c r="M70" s="10">
        <f>(((L70/60)/60)/24)+DATE(1970,1,1)</f>
        <v>42943.208333333328</v>
      </c>
      <c r="N70">
        <v>1505192400</v>
      </c>
      <c r="O70" s="10">
        <f>(((N70/60)/60)/24)+DATE(1970,1,1)</f>
        <v>42990.208333333328</v>
      </c>
      <c r="P70" t="b">
        <v>0</v>
      </c>
      <c r="Q70" t="b">
        <v>1</v>
      </c>
      <c r="R70" t="s">
        <v>33</v>
      </c>
      <c r="S70" t="s">
        <v>2038</v>
      </c>
      <c r="T70" t="s">
        <v>2039</v>
      </c>
    </row>
    <row r="71" spans="1:20" ht="15.75" customHeight="1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>Table1[[#This Row],[pledged]]/Table1[[#This Row],[goal]]</f>
        <v>0.24063291139240506</v>
      </c>
      <c r="G71" t="s">
        <v>74</v>
      </c>
      <c r="H71">
        <v>17</v>
      </c>
      <c r="I71" t="s">
        <v>21</v>
      </c>
      <c r="J71" t="s">
        <v>22</v>
      </c>
      <c r="K71" s="12">
        <f>IF(OR(E71=0, H71=0), 0, E71/H71)</f>
        <v>111.82352941176471</v>
      </c>
      <c r="L71">
        <v>1292738400</v>
      </c>
      <c r="M71" s="10">
        <f>(((L71/60)/60)/24)+DATE(1970,1,1)</f>
        <v>40531.25</v>
      </c>
      <c r="N71">
        <v>1295676000</v>
      </c>
      <c r="O71" s="10">
        <f>(((N71/60)/60)/24)+DATE(1970,1,1)</f>
        <v>40565.25</v>
      </c>
      <c r="P71" t="b">
        <v>0</v>
      </c>
      <c r="Q71" t="b">
        <v>0</v>
      </c>
      <c r="R71" t="s">
        <v>33</v>
      </c>
      <c r="S71" t="s">
        <v>2038</v>
      </c>
      <c r="T71" t="s">
        <v>2039</v>
      </c>
    </row>
    <row r="72" spans="1:20" ht="15.75" customHeight="1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>Table1[[#This Row],[pledged]]/Table1[[#This Row],[goal]]</f>
        <v>1.2374140625000001</v>
      </c>
      <c r="G72" t="s">
        <v>20</v>
      </c>
      <c r="H72">
        <v>2475</v>
      </c>
      <c r="I72" t="s">
        <v>107</v>
      </c>
      <c r="J72" t="s">
        <v>108</v>
      </c>
      <c r="K72" s="12">
        <f>IF(OR(E72=0, H72=0), 0, E72/H72)</f>
        <v>63.995555555555555</v>
      </c>
      <c r="L72">
        <v>1288674000</v>
      </c>
      <c r="M72" s="10">
        <f>(((L72/60)/60)/24)+DATE(1970,1,1)</f>
        <v>40484.208333333336</v>
      </c>
      <c r="N72">
        <v>1292911200</v>
      </c>
      <c r="O72" s="10">
        <f>(((N72/60)/60)/24)+DATE(1970,1,1)</f>
        <v>40533.25</v>
      </c>
      <c r="P72" t="b">
        <v>0</v>
      </c>
      <c r="Q72" t="b">
        <v>1</v>
      </c>
      <c r="R72" t="s">
        <v>33</v>
      </c>
      <c r="S72" t="s">
        <v>2038</v>
      </c>
      <c r="T72" t="s">
        <v>2039</v>
      </c>
    </row>
    <row r="73" spans="1:20" ht="15.75" customHeight="1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>Table1[[#This Row],[pledged]]/Table1[[#This Row],[goal]]</f>
        <v>1.0806666666666667</v>
      </c>
      <c r="G73" t="s">
        <v>20</v>
      </c>
      <c r="H73">
        <v>76</v>
      </c>
      <c r="I73" t="s">
        <v>21</v>
      </c>
      <c r="J73" t="s">
        <v>22</v>
      </c>
      <c r="K73" s="12">
        <f>IF(OR(E73=0, H73=0), 0, E73/H73)</f>
        <v>85.315789473684205</v>
      </c>
      <c r="L73">
        <v>1575093600</v>
      </c>
      <c r="M73" s="10">
        <f>(((L73/60)/60)/24)+DATE(1970,1,1)</f>
        <v>43799.25</v>
      </c>
      <c r="N73">
        <v>1575439200</v>
      </c>
      <c r="O73" s="10">
        <f>(((N73/60)/60)/24)+DATE(1970,1,1)</f>
        <v>43803.25</v>
      </c>
      <c r="P73" t="b">
        <v>0</v>
      </c>
      <c r="Q73" t="b">
        <v>0</v>
      </c>
      <c r="R73" t="s">
        <v>33</v>
      </c>
      <c r="S73" t="s">
        <v>2038</v>
      </c>
      <c r="T73" t="s">
        <v>2039</v>
      </c>
    </row>
    <row r="74" spans="1:20" ht="15.75" customHeight="1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>Table1[[#This Row],[pledged]]/Table1[[#This Row],[goal]]</f>
        <v>6.7033333333333331</v>
      </c>
      <c r="G74" t="s">
        <v>20</v>
      </c>
      <c r="H74">
        <v>54</v>
      </c>
      <c r="I74" t="s">
        <v>21</v>
      </c>
      <c r="J74" t="s">
        <v>22</v>
      </c>
      <c r="K74" s="12">
        <f>IF(OR(E74=0, H74=0), 0, E74/H74)</f>
        <v>74.481481481481481</v>
      </c>
      <c r="L74">
        <v>1435726800</v>
      </c>
      <c r="M74" s="10">
        <f>(((L74/60)/60)/24)+DATE(1970,1,1)</f>
        <v>42186.208333333328</v>
      </c>
      <c r="N74">
        <v>1438837200</v>
      </c>
      <c r="O74" s="10">
        <f>(((N74/60)/60)/24)+DATE(1970,1,1)</f>
        <v>42222.208333333328</v>
      </c>
      <c r="P74" t="b">
        <v>0</v>
      </c>
      <c r="Q74" t="b">
        <v>0</v>
      </c>
      <c r="R74" t="s">
        <v>71</v>
      </c>
      <c r="S74" t="s">
        <v>2040</v>
      </c>
      <c r="T74" t="s">
        <v>2048</v>
      </c>
    </row>
    <row r="75" spans="1:20" ht="15.75" customHeight="1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>Table1[[#This Row],[pledged]]/Table1[[#This Row],[goal]]</f>
        <v>6.609285714285714</v>
      </c>
      <c r="G75" t="s">
        <v>20</v>
      </c>
      <c r="H75">
        <v>88</v>
      </c>
      <c r="I75" t="s">
        <v>21</v>
      </c>
      <c r="J75" t="s">
        <v>22</v>
      </c>
      <c r="K75" s="12">
        <f>IF(OR(E75=0, H75=0), 0, E75/H75)</f>
        <v>105.14772727272727</v>
      </c>
      <c r="L75">
        <v>1480226400</v>
      </c>
      <c r="M75" s="10">
        <f>(((L75/60)/60)/24)+DATE(1970,1,1)</f>
        <v>42701.25</v>
      </c>
      <c r="N75">
        <v>1480485600</v>
      </c>
      <c r="O75" s="10">
        <f>(((N75/60)/60)/24)+DATE(1970,1,1)</f>
        <v>42704.25</v>
      </c>
      <c r="P75" t="b">
        <v>0</v>
      </c>
      <c r="Q75" t="b">
        <v>0</v>
      </c>
      <c r="R75" t="s">
        <v>159</v>
      </c>
      <c r="S75" t="s">
        <v>2034</v>
      </c>
      <c r="T75" t="s">
        <v>2057</v>
      </c>
    </row>
    <row r="76" spans="1:20" ht="15.75" customHeight="1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>Table1[[#This Row],[pledged]]/Table1[[#This Row],[goal]]</f>
        <v>1.2246153846153847</v>
      </c>
      <c r="G76" t="s">
        <v>20</v>
      </c>
      <c r="H76">
        <v>85</v>
      </c>
      <c r="I76" t="s">
        <v>40</v>
      </c>
      <c r="J76" t="s">
        <v>41</v>
      </c>
      <c r="K76" s="12">
        <f>IF(OR(E76=0, H76=0), 0, E76/H76)</f>
        <v>56.188235294117646</v>
      </c>
      <c r="L76">
        <v>1459054800</v>
      </c>
      <c r="M76" s="10">
        <f>(((L76/60)/60)/24)+DATE(1970,1,1)</f>
        <v>42456.208333333328</v>
      </c>
      <c r="N76">
        <v>1459141200</v>
      </c>
      <c r="O76" s="10">
        <f>(((N76/60)/60)/24)+DATE(1970,1,1)</f>
        <v>42457.208333333328</v>
      </c>
      <c r="P76" t="b">
        <v>0</v>
      </c>
      <c r="Q76" t="b">
        <v>0</v>
      </c>
      <c r="R76" t="s">
        <v>148</v>
      </c>
      <c r="S76" t="s">
        <v>2034</v>
      </c>
      <c r="T76" t="s">
        <v>2056</v>
      </c>
    </row>
    <row r="77" spans="1:20" ht="15.75" customHeight="1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>Table1[[#This Row],[pledged]]/Table1[[#This Row],[goal]]</f>
        <v>1.5057731958762886</v>
      </c>
      <c r="G77" t="s">
        <v>20</v>
      </c>
      <c r="H77">
        <v>170</v>
      </c>
      <c r="I77" t="s">
        <v>21</v>
      </c>
      <c r="J77" t="s">
        <v>22</v>
      </c>
      <c r="K77" s="12">
        <f>IF(OR(E77=0, H77=0), 0, E77/H77)</f>
        <v>85.917647058823533</v>
      </c>
      <c r="L77">
        <v>1531630800</v>
      </c>
      <c r="M77" s="10">
        <f>(((L77/60)/60)/24)+DATE(1970,1,1)</f>
        <v>43296.208333333328</v>
      </c>
      <c r="N77">
        <v>1532322000</v>
      </c>
      <c r="O77" s="10">
        <f>(((N77/60)/60)/24)+DATE(1970,1,1)</f>
        <v>43304.208333333328</v>
      </c>
      <c r="P77" t="b">
        <v>0</v>
      </c>
      <c r="Q77" t="b">
        <v>0</v>
      </c>
      <c r="R77" t="s">
        <v>122</v>
      </c>
      <c r="S77" t="s">
        <v>2053</v>
      </c>
      <c r="T77" t="s">
        <v>2054</v>
      </c>
    </row>
    <row r="78" spans="1:20" ht="15.75" customHeight="1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>Table1[[#This Row],[pledged]]/Table1[[#This Row],[goal]]</f>
        <v>0.78106590724165992</v>
      </c>
      <c r="G78" t="s">
        <v>14</v>
      </c>
      <c r="H78">
        <v>1684</v>
      </c>
      <c r="I78" t="s">
        <v>21</v>
      </c>
      <c r="J78" t="s">
        <v>22</v>
      </c>
      <c r="K78" s="12">
        <f>IF(OR(E78=0, H78=0), 0, E78/H78)</f>
        <v>57.00296912114014</v>
      </c>
      <c r="L78">
        <v>1421992800</v>
      </c>
      <c r="M78" s="10">
        <f>(((L78/60)/60)/24)+DATE(1970,1,1)</f>
        <v>42027.25</v>
      </c>
      <c r="N78">
        <v>1426222800</v>
      </c>
      <c r="O78" s="10">
        <f>(((N78/60)/60)/24)+DATE(1970,1,1)</f>
        <v>42076.208333333328</v>
      </c>
      <c r="P78" t="b">
        <v>1</v>
      </c>
      <c r="Q78" t="b">
        <v>1</v>
      </c>
      <c r="R78" t="s">
        <v>33</v>
      </c>
      <c r="S78" t="s">
        <v>2038</v>
      </c>
      <c r="T78" t="s">
        <v>2039</v>
      </c>
    </row>
    <row r="79" spans="1:20" ht="15.75" customHeight="1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>Table1[[#This Row],[pledged]]/Table1[[#This Row],[goal]]</f>
        <v>0.46947368421052632</v>
      </c>
      <c r="G79" t="s">
        <v>14</v>
      </c>
      <c r="H79">
        <v>56</v>
      </c>
      <c r="I79" t="s">
        <v>21</v>
      </c>
      <c r="J79" t="s">
        <v>22</v>
      </c>
      <c r="K79" s="12">
        <f>IF(OR(E79=0, H79=0), 0, E79/H79)</f>
        <v>79.642857142857139</v>
      </c>
      <c r="L79">
        <v>1285563600</v>
      </c>
      <c r="M79" s="10">
        <f>(((L79/60)/60)/24)+DATE(1970,1,1)</f>
        <v>40448.208333333336</v>
      </c>
      <c r="N79">
        <v>1286773200</v>
      </c>
      <c r="O79" s="10">
        <f>(((N79/60)/60)/24)+DATE(1970,1,1)</f>
        <v>40462.208333333336</v>
      </c>
      <c r="P79" t="b">
        <v>0</v>
      </c>
      <c r="Q79" t="b">
        <v>1</v>
      </c>
      <c r="R79" t="s">
        <v>71</v>
      </c>
      <c r="S79" t="s">
        <v>2040</v>
      </c>
      <c r="T79" t="s">
        <v>2048</v>
      </c>
    </row>
    <row r="80" spans="1:20" ht="15.75" customHeight="1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>Table1[[#This Row],[pledged]]/Table1[[#This Row],[goal]]</f>
        <v>3.008</v>
      </c>
      <c r="G80" t="s">
        <v>20</v>
      </c>
      <c r="H80">
        <v>330</v>
      </c>
      <c r="I80" t="s">
        <v>21</v>
      </c>
      <c r="J80" t="s">
        <v>22</v>
      </c>
      <c r="K80" s="12">
        <f>IF(OR(E80=0, H80=0), 0, E80/H80)</f>
        <v>41.018181818181816</v>
      </c>
      <c r="L80">
        <v>1523854800</v>
      </c>
      <c r="M80" s="10">
        <f>(((L80/60)/60)/24)+DATE(1970,1,1)</f>
        <v>43206.208333333328</v>
      </c>
      <c r="N80">
        <v>1523941200</v>
      </c>
      <c r="O80" s="10">
        <f>(((N80/60)/60)/24)+DATE(1970,1,1)</f>
        <v>43207.208333333328</v>
      </c>
      <c r="P80" t="b">
        <v>0</v>
      </c>
      <c r="Q80" t="b">
        <v>0</v>
      </c>
      <c r="R80" t="s">
        <v>206</v>
      </c>
      <c r="S80" t="s">
        <v>2046</v>
      </c>
      <c r="T80" t="s">
        <v>2058</v>
      </c>
    </row>
    <row r="81" spans="1:20" ht="15.75" customHeight="1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>Table1[[#This Row],[pledged]]/Table1[[#This Row],[goal]]</f>
        <v>0.6959861591695502</v>
      </c>
      <c r="G81" t="s">
        <v>14</v>
      </c>
      <c r="H81">
        <v>838</v>
      </c>
      <c r="I81" t="s">
        <v>21</v>
      </c>
      <c r="J81" t="s">
        <v>22</v>
      </c>
      <c r="K81" s="12">
        <f>IF(OR(E81=0, H81=0), 0, E81/H81)</f>
        <v>48.004773269689736</v>
      </c>
      <c r="L81">
        <v>1529125200</v>
      </c>
      <c r="M81" s="10">
        <f>(((L81/60)/60)/24)+DATE(1970,1,1)</f>
        <v>43267.208333333328</v>
      </c>
      <c r="N81">
        <v>1529557200</v>
      </c>
      <c r="O81" s="10">
        <f>(((N81/60)/60)/24)+DATE(1970,1,1)</f>
        <v>43272.208333333328</v>
      </c>
      <c r="P81" t="b">
        <v>0</v>
      </c>
      <c r="Q81" t="b">
        <v>0</v>
      </c>
      <c r="R81" t="s">
        <v>33</v>
      </c>
      <c r="S81" t="s">
        <v>2038</v>
      </c>
      <c r="T81" t="s">
        <v>2039</v>
      </c>
    </row>
    <row r="82" spans="1:20" ht="15.75" customHeight="1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>Table1[[#This Row],[pledged]]/Table1[[#This Row],[goal]]</f>
        <v>6.374545454545455</v>
      </c>
      <c r="G82" t="s">
        <v>20</v>
      </c>
      <c r="H82">
        <v>127</v>
      </c>
      <c r="I82" t="s">
        <v>21</v>
      </c>
      <c r="J82" t="s">
        <v>22</v>
      </c>
      <c r="K82" s="12">
        <f>IF(OR(E82=0, H82=0), 0, E82/H82)</f>
        <v>55.212598425196852</v>
      </c>
      <c r="L82">
        <v>1503982800</v>
      </c>
      <c r="M82" s="10">
        <f>(((L82/60)/60)/24)+DATE(1970,1,1)</f>
        <v>42976.208333333328</v>
      </c>
      <c r="N82">
        <v>1506574800</v>
      </c>
      <c r="O82" s="10">
        <f>(((N82/60)/60)/24)+DATE(1970,1,1)</f>
        <v>43006.208333333328</v>
      </c>
      <c r="P82" t="b">
        <v>0</v>
      </c>
      <c r="Q82" t="b">
        <v>0</v>
      </c>
      <c r="R82" t="s">
        <v>89</v>
      </c>
      <c r="S82" t="s">
        <v>2049</v>
      </c>
      <c r="T82" t="s">
        <v>2050</v>
      </c>
    </row>
    <row r="83" spans="1:20" ht="15.75" customHeight="1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>Table1[[#This Row],[pledged]]/Table1[[#This Row],[goal]]</f>
        <v>2.253392857142857</v>
      </c>
      <c r="G83" t="s">
        <v>20</v>
      </c>
      <c r="H83">
        <v>411</v>
      </c>
      <c r="I83" t="s">
        <v>21</v>
      </c>
      <c r="J83" t="s">
        <v>22</v>
      </c>
      <c r="K83" s="12">
        <f>IF(OR(E83=0, H83=0), 0, E83/H83)</f>
        <v>92.109489051094897</v>
      </c>
      <c r="L83">
        <v>1511416800</v>
      </c>
      <c r="M83" s="10">
        <f>(((L83/60)/60)/24)+DATE(1970,1,1)</f>
        <v>43062.25</v>
      </c>
      <c r="N83">
        <v>1513576800</v>
      </c>
      <c r="O83" s="10">
        <f>(((N83/60)/60)/24)+DATE(1970,1,1)</f>
        <v>43087.25</v>
      </c>
      <c r="P83" t="b">
        <v>0</v>
      </c>
      <c r="Q83" t="b">
        <v>0</v>
      </c>
      <c r="R83" t="s">
        <v>23</v>
      </c>
      <c r="S83" t="s">
        <v>2034</v>
      </c>
      <c r="T83" t="s">
        <v>2035</v>
      </c>
    </row>
    <row r="84" spans="1:20" ht="15.75" customHeight="1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>Table1[[#This Row],[pledged]]/Table1[[#This Row],[goal]]</f>
        <v>14.973000000000001</v>
      </c>
      <c r="G84" t="s">
        <v>20</v>
      </c>
      <c r="H84">
        <v>180</v>
      </c>
      <c r="I84" t="s">
        <v>40</v>
      </c>
      <c r="J84" t="s">
        <v>41</v>
      </c>
      <c r="K84" s="12">
        <f>IF(OR(E84=0, H84=0), 0, E84/H84)</f>
        <v>83.183333333333337</v>
      </c>
      <c r="L84">
        <v>1547704800</v>
      </c>
      <c r="M84" s="10">
        <f>(((L84/60)/60)/24)+DATE(1970,1,1)</f>
        <v>43482.25</v>
      </c>
      <c r="N84">
        <v>1548309600</v>
      </c>
      <c r="O84" s="10">
        <f>(((N84/60)/60)/24)+DATE(1970,1,1)</f>
        <v>43489.25</v>
      </c>
      <c r="P84" t="b">
        <v>0</v>
      </c>
      <c r="Q84" t="b">
        <v>1</v>
      </c>
      <c r="R84" t="s">
        <v>89</v>
      </c>
      <c r="S84" t="s">
        <v>2049</v>
      </c>
      <c r="T84" t="s">
        <v>2050</v>
      </c>
    </row>
    <row r="85" spans="1:20" ht="15.75" customHeight="1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>Table1[[#This Row],[pledged]]/Table1[[#This Row],[goal]]</f>
        <v>0.37590225563909774</v>
      </c>
      <c r="G85" t="s">
        <v>14</v>
      </c>
      <c r="H85">
        <v>1000</v>
      </c>
      <c r="I85" t="s">
        <v>21</v>
      </c>
      <c r="J85" t="s">
        <v>22</v>
      </c>
      <c r="K85" s="12">
        <f>IF(OR(E85=0, H85=0), 0, E85/H85)</f>
        <v>39.996000000000002</v>
      </c>
      <c r="L85">
        <v>1469682000</v>
      </c>
      <c r="M85" s="10">
        <f>(((L85/60)/60)/24)+DATE(1970,1,1)</f>
        <v>42579.208333333328</v>
      </c>
      <c r="N85">
        <v>1471582800</v>
      </c>
      <c r="O85" s="10">
        <f>(((N85/60)/60)/24)+DATE(1970,1,1)</f>
        <v>42601.208333333328</v>
      </c>
      <c r="P85" t="b">
        <v>0</v>
      </c>
      <c r="Q85" t="b">
        <v>0</v>
      </c>
      <c r="R85" t="s">
        <v>50</v>
      </c>
      <c r="S85" t="s">
        <v>2034</v>
      </c>
      <c r="T85" t="s">
        <v>2042</v>
      </c>
    </row>
    <row r="86" spans="1:20" ht="15.75" customHeight="1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>Table1[[#This Row],[pledged]]/Table1[[#This Row],[goal]]</f>
        <v>1.3236942675159236</v>
      </c>
      <c r="G86" t="s">
        <v>20</v>
      </c>
      <c r="H86">
        <v>374</v>
      </c>
      <c r="I86" t="s">
        <v>21</v>
      </c>
      <c r="J86" t="s">
        <v>22</v>
      </c>
      <c r="K86" s="12">
        <f>IF(OR(E86=0, H86=0), 0, E86/H86)</f>
        <v>111.1336898395722</v>
      </c>
      <c r="L86">
        <v>1343451600</v>
      </c>
      <c r="M86" s="10">
        <f>(((L86/60)/60)/24)+DATE(1970,1,1)</f>
        <v>41118.208333333336</v>
      </c>
      <c r="N86">
        <v>1344315600</v>
      </c>
      <c r="O86" s="10">
        <f>(((N86/60)/60)/24)+DATE(1970,1,1)</f>
        <v>41128.208333333336</v>
      </c>
      <c r="P86" t="b">
        <v>0</v>
      </c>
      <c r="Q86" t="b">
        <v>0</v>
      </c>
      <c r="R86" t="s">
        <v>65</v>
      </c>
      <c r="S86" t="s">
        <v>2036</v>
      </c>
      <c r="T86" t="s">
        <v>2045</v>
      </c>
    </row>
    <row r="87" spans="1:20" ht="15.75" customHeight="1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>Table1[[#This Row],[pledged]]/Table1[[#This Row],[goal]]</f>
        <v>1.3122448979591836</v>
      </c>
      <c r="G87" t="s">
        <v>20</v>
      </c>
      <c r="H87">
        <v>71</v>
      </c>
      <c r="I87" t="s">
        <v>26</v>
      </c>
      <c r="J87" t="s">
        <v>27</v>
      </c>
      <c r="K87" s="12">
        <f>IF(OR(E87=0, H87=0), 0, E87/H87)</f>
        <v>90.563380281690144</v>
      </c>
      <c r="L87">
        <v>1315717200</v>
      </c>
      <c r="M87" s="10">
        <f>(((L87/60)/60)/24)+DATE(1970,1,1)</f>
        <v>40797.208333333336</v>
      </c>
      <c r="N87">
        <v>1316408400</v>
      </c>
      <c r="O87" s="10">
        <f>(((N87/60)/60)/24)+DATE(1970,1,1)</f>
        <v>40805.208333333336</v>
      </c>
      <c r="P87" t="b">
        <v>0</v>
      </c>
      <c r="Q87" t="b">
        <v>0</v>
      </c>
      <c r="R87" t="s">
        <v>60</v>
      </c>
      <c r="S87" t="s">
        <v>2034</v>
      </c>
      <c r="T87" t="s">
        <v>2044</v>
      </c>
    </row>
    <row r="88" spans="1:20" ht="15.75" customHeight="1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>Table1[[#This Row],[pledged]]/Table1[[#This Row],[goal]]</f>
        <v>1.6763513513513513</v>
      </c>
      <c r="G88" t="s">
        <v>20</v>
      </c>
      <c r="H88">
        <v>203</v>
      </c>
      <c r="I88" t="s">
        <v>21</v>
      </c>
      <c r="J88" t="s">
        <v>22</v>
      </c>
      <c r="K88" s="12">
        <f>IF(OR(E88=0, H88=0), 0, E88/H88)</f>
        <v>61.108374384236456</v>
      </c>
      <c r="L88">
        <v>1430715600</v>
      </c>
      <c r="M88" s="10">
        <f>(((L88/60)/60)/24)+DATE(1970,1,1)</f>
        <v>42128.208333333328</v>
      </c>
      <c r="N88">
        <v>1431838800</v>
      </c>
      <c r="O88" s="10">
        <f>(((N88/60)/60)/24)+DATE(1970,1,1)</f>
        <v>42141.208333333328</v>
      </c>
      <c r="P88" t="b">
        <v>1</v>
      </c>
      <c r="Q88" t="b">
        <v>0</v>
      </c>
      <c r="R88" t="s">
        <v>33</v>
      </c>
      <c r="S88" t="s">
        <v>2038</v>
      </c>
      <c r="T88" t="s">
        <v>2039</v>
      </c>
    </row>
    <row r="89" spans="1:20" ht="15.75" customHeight="1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>Table1[[#This Row],[pledged]]/Table1[[#This Row],[goal]]</f>
        <v>0.6198488664987406</v>
      </c>
      <c r="G89" t="s">
        <v>14</v>
      </c>
      <c r="H89">
        <v>1482</v>
      </c>
      <c r="I89" t="s">
        <v>26</v>
      </c>
      <c r="J89" t="s">
        <v>27</v>
      </c>
      <c r="K89" s="12">
        <f>IF(OR(E89=0, H89=0), 0, E89/H89)</f>
        <v>83.022941970310384</v>
      </c>
      <c r="L89">
        <v>1299564000</v>
      </c>
      <c r="M89" s="10">
        <f>(((L89/60)/60)/24)+DATE(1970,1,1)</f>
        <v>40610.25</v>
      </c>
      <c r="N89">
        <v>1300510800</v>
      </c>
      <c r="O89" s="10">
        <f>(((N89/60)/60)/24)+DATE(1970,1,1)</f>
        <v>40621.208333333336</v>
      </c>
      <c r="P89" t="b">
        <v>0</v>
      </c>
      <c r="Q89" t="b">
        <v>1</v>
      </c>
      <c r="R89" t="s">
        <v>23</v>
      </c>
      <c r="S89" t="s">
        <v>2034</v>
      </c>
      <c r="T89" t="s">
        <v>2035</v>
      </c>
    </row>
    <row r="90" spans="1:20" ht="15.75" customHeight="1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>Table1[[#This Row],[pledged]]/Table1[[#This Row],[goal]]</f>
        <v>2.6074999999999999</v>
      </c>
      <c r="G90" t="s">
        <v>20</v>
      </c>
      <c r="H90">
        <v>113</v>
      </c>
      <c r="I90" t="s">
        <v>21</v>
      </c>
      <c r="J90" t="s">
        <v>22</v>
      </c>
      <c r="K90" s="12">
        <f>IF(OR(E90=0, H90=0), 0, E90/H90)</f>
        <v>110.76106194690266</v>
      </c>
      <c r="L90">
        <v>1429160400</v>
      </c>
      <c r="M90" s="10">
        <f>(((L90/60)/60)/24)+DATE(1970,1,1)</f>
        <v>42110.208333333328</v>
      </c>
      <c r="N90">
        <v>1431061200</v>
      </c>
      <c r="O90" s="10">
        <f>(((N90/60)/60)/24)+DATE(1970,1,1)</f>
        <v>42132.208333333328</v>
      </c>
      <c r="P90" t="b">
        <v>0</v>
      </c>
      <c r="Q90" t="b">
        <v>0</v>
      </c>
      <c r="R90" t="s">
        <v>206</v>
      </c>
      <c r="S90" t="s">
        <v>2046</v>
      </c>
      <c r="T90" t="s">
        <v>2058</v>
      </c>
    </row>
    <row r="91" spans="1:20" ht="15.75" customHeight="1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>Table1[[#This Row],[pledged]]/Table1[[#This Row],[goal]]</f>
        <v>2.5258823529411765</v>
      </c>
      <c r="G91" t="s">
        <v>20</v>
      </c>
      <c r="H91">
        <v>96</v>
      </c>
      <c r="I91" t="s">
        <v>21</v>
      </c>
      <c r="J91" t="s">
        <v>22</v>
      </c>
      <c r="K91" s="12">
        <f>IF(OR(E91=0, H91=0), 0, E91/H91)</f>
        <v>89.458333333333329</v>
      </c>
      <c r="L91">
        <v>1271307600</v>
      </c>
      <c r="M91" s="10">
        <f>(((L91/60)/60)/24)+DATE(1970,1,1)</f>
        <v>40283.208333333336</v>
      </c>
      <c r="N91">
        <v>1271480400</v>
      </c>
      <c r="O91" s="10">
        <f>(((N91/60)/60)/24)+DATE(1970,1,1)</f>
        <v>40285.208333333336</v>
      </c>
      <c r="P91" t="b">
        <v>0</v>
      </c>
      <c r="Q91" t="b">
        <v>0</v>
      </c>
      <c r="R91" t="s">
        <v>33</v>
      </c>
      <c r="S91" t="s">
        <v>2038</v>
      </c>
      <c r="T91" t="s">
        <v>2039</v>
      </c>
    </row>
    <row r="92" spans="1:20" ht="15.75" customHeight="1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>Table1[[#This Row],[pledged]]/Table1[[#This Row],[goal]]</f>
        <v>0.7861538461538462</v>
      </c>
      <c r="G92" t="s">
        <v>14</v>
      </c>
      <c r="H92">
        <v>106</v>
      </c>
      <c r="I92" t="s">
        <v>21</v>
      </c>
      <c r="J92" t="s">
        <v>22</v>
      </c>
      <c r="K92" s="12">
        <f>IF(OR(E92=0, H92=0), 0, E92/H92)</f>
        <v>57.849056603773583</v>
      </c>
      <c r="L92">
        <v>1456380000</v>
      </c>
      <c r="M92" s="10">
        <f>(((L92/60)/60)/24)+DATE(1970,1,1)</f>
        <v>42425.25</v>
      </c>
      <c r="N92">
        <v>1456380000</v>
      </c>
      <c r="O92" s="10">
        <f>(((N92/60)/60)/24)+DATE(1970,1,1)</f>
        <v>42425.25</v>
      </c>
      <c r="P92" t="b">
        <v>0</v>
      </c>
      <c r="Q92" t="b">
        <v>1</v>
      </c>
      <c r="R92" t="s">
        <v>33</v>
      </c>
      <c r="S92" t="s">
        <v>2038</v>
      </c>
      <c r="T92" t="s">
        <v>2039</v>
      </c>
    </row>
    <row r="93" spans="1:20" ht="15.75" customHeight="1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>Table1[[#This Row],[pledged]]/Table1[[#This Row],[goal]]</f>
        <v>0.48404406999351912</v>
      </c>
      <c r="G93" t="s">
        <v>14</v>
      </c>
      <c r="H93">
        <v>679</v>
      </c>
      <c r="I93" t="s">
        <v>107</v>
      </c>
      <c r="J93" t="s">
        <v>108</v>
      </c>
      <c r="K93" s="12">
        <f>IF(OR(E93=0, H93=0), 0, E93/H93)</f>
        <v>109.99705449189985</v>
      </c>
      <c r="L93">
        <v>1470459600</v>
      </c>
      <c r="M93" s="10">
        <f>(((L93/60)/60)/24)+DATE(1970,1,1)</f>
        <v>42588.208333333328</v>
      </c>
      <c r="N93">
        <v>1472878800</v>
      </c>
      <c r="O93" s="10">
        <f>(((N93/60)/60)/24)+DATE(1970,1,1)</f>
        <v>42616.208333333328</v>
      </c>
      <c r="P93" t="b">
        <v>0</v>
      </c>
      <c r="Q93" t="b">
        <v>0</v>
      </c>
      <c r="R93" t="s">
        <v>206</v>
      </c>
      <c r="S93" t="s">
        <v>2046</v>
      </c>
      <c r="T93" t="s">
        <v>2058</v>
      </c>
    </row>
    <row r="94" spans="1:20" ht="15.75" customHeight="1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>Table1[[#This Row],[pledged]]/Table1[[#This Row],[goal]]</f>
        <v>2.5887500000000001</v>
      </c>
      <c r="G94" t="s">
        <v>20</v>
      </c>
      <c r="H94">
        <v>498</v>
      </c>
      <c r="I94" t="s">
        <v>98</v>
      </c>
      <c r="J94" t="s">
        <v>99</v>
      </c>
      <c r="K94" s="12">
        <f>IF(OR(E94=0, H94=0), 0, E94/H94)</f>
        <v>103.96586345381526</v>
      </c>
      <c r="L94">
        <v>1277269200</v>
      </c>
      <c r="M94" s="10">
        <f>(((L94/60)/60)/24)+DATE(1970,1,1)</f>
        <v>40352.208333333336</v>
      </c>
      <c r="N94">
        <v>1277355600</v>
      </c>
      <c r="O94" s="10">
        <f>(((N94/60)/60)/24)+DATE(1970,1,1)</f>
        <v>40353.208333333336</v>
      </c>
      <c r="P94" t="b">
        <v>0</v>
      </c>
      <c r="Q94" t="b">
        <v>1</v>
      </c>
      <c r="R94" t="s">
        <v>89</v>
      </c>
      <c r="S94" t="s">
        <v>2049</v>
      </c>
      <c r="T94" t="s">
        <v>2050</v>
      </c>
    </row>
    <row r="95" spans="1:20" ht="15.75" customHeight="1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>Table1[[#This Row],[pledged]]/Table1[[#This Row],[goal]]</f>
        <v>0.60548713235294116</v>
      </c>
      <c r="G95" t="s">
        <v>74</v>
      </c>
      <c r="H95">
        <v>610</v>
      </c>
      <c r="I95" t="s">
        <v>21</v>
      </c>
      <c r="J95" t="s">
        <v>22</v>
      </c>
      <c r="K95" s="12">
        <f>IF(OR(E95=0, H95=0), 0, E95/H95)</f>
        <v>107.99508196721311</v>
      </c>
      <c r="L95">
        <v>1350709200</v>
      </c>
      <c r="M95" s="10">
        <f>(((L95/60)/60)/24)+DATE(1970,1,1)</f>
        <v>41202.208333333336</v>
      </c>
      <c r="N95">
        <v>1351054800</v>
      </c>
      <c r="O95" s="10">
        <f>(((N95/60)/60)/24)+DATE(1970,1,1)</f>
        <v>41206.208333333336</v>
      </c>
      <c r="P95" t="b">
        <v>0</v>
      </c>
      <c r="Q95" t="b">
        <v>1</v>
      </c>
      <c r="R95" t="s">
        <v>33</v>
      </c>
      <c r="S95" t="s">
        <v>2038</v>
      </c>
      <c r="T95" t="s">
        <v>2039</v>
      </c>
    </row>
    <row r="96" spans="1:20" ht="15.75" customHeight="1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>Table1[[#This Row],[pledged]]/Table1[[#This Row],[goal]]</f>
        <v>3.036896551724138</v>
      </c>
      <c r="G96" t="s">
        <v>20</v>
      </c>
      <c r="H96">
        <v>180</v>
      </c>
      <c r="I96" t="s">
        <v>40</v>
      </c>
      <c r="J96" t="s">
        <v>41</v>
      </c>
      <c r="K96" s="12">
        <f>IF(OR(E96=0, H96=0), 0, E96/H96)</f>
        <v>48.927777777777777</v>
      </c>
      <c r="L96">
        <v>1554613200</v>
      </c>
      <c r="M96" s="10">
        <f>(((L96/60)/60)/24)+DATE(1970,1,1)</f>
        <v>43562.208333333328</v>
      </c>
      <c r="N96">
        <v>1555563600</v>
      </c>
      <c r="O96" s="10">
        <f>(((N96/60)/60)/24)+DATE(1970,1,1)</f>
        <v>43573.208333333328</v>
      </c>
      <c r="P96" t="b">
        <v>0</v>
      </c>
      <c r="Q96" t="b">
        <v>0</v>
      </c>
      <c r="R96" t="s">
        <v>28</v>
      </c>
      <c r="S96" t="s">
        <v>2036</v>
      </c>
      <c r="T96" t="s">
        <v>2037</v>
      </c>
    </row>
    <row r="97" spans="1:20" ht="15.75" customHeight="1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>Table1[[#This Row],[pledged]]/Table1[[#This Row],[goal]]</f>
        <v>1.1299999999999999</v>
      </c>
      <c r="G97" t="s">
        <v>20</v>
      </c>
      <c r="H97">
        <v>27</v>
      </c>
      <c r="I97" t="s">
        <v>21</v>
      </c>
      <c r="J97" t="s">
        <v>22</v>
      </c>
      <c r="K97" s="12">
        <f>IF(OR(E97=0, H97=0), 0, E97/H97)</f>
        <v>37.666666666666664</v>
      </c>
      <c r="L97">
        <v>1571029200</v>
      </c>
      <c r="M97" s="10">
        <f>(((L97/60)/60)/24)+DATE(1970,1,1)</f>
        <v>43752.208333333328</v>
      </c>
      <c r="N97">
        <v>1571634000</v>
      </c>
      <c r="O97" s="10">
        <f>(((N97/60)/60)/24)+DATE(1970,1,1)</f>
        <v>43759.208333333328</v>
      </c>
      <c r="P97" t="b">
        <v>0</v>
      </c>
      <c r="Q97" t="b">
        <v>0</v>
      </c>
      <c r="R97" t="s">
        <v>42</v>
      </c>
      <c r="S97" t="s">
        <v>2040</v>
      </c>
      <c r="T97" t="s">
        <v>2041</v>
      </c>
    </row>
    <row r="98" spans="1:20" ht="15.75" customHeight="1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>Table1[[#This Row],[pledged]]/Table1[[#This Row],[goal]]</f>
        <v>2.1737876614060259</v>
      </c>
      <c r="G98" t="s">
        <v>20</v>
      </c>
      <c r="H98">
        <v>2331</v>
      </c>
      <c r="I98" t="s">
        <v>21</v>
      </c>
      <c r="J98" t="s">
        <v>22</v>
      </c>
      <c r="K98" s="12">
        <f>IF(OR(E98=0, H98=0), 0, E98/H98)</f>
        <v>64.999141999141997</v>
      </c>
      <c r="L98">
        <v>1299736800</v>
      </c>
      <c r="M98" s="10">
        <f>(((L98/60)/60)/24)+DATE(1970,1,1)</f>
        <v>40612.25</v>
      </c>
      <c r="N98">
        <v>1300856400</v>
      </c>
      <c r="O98" s="10">
        <f>(((N98/60)/60)/24)+DATE(1970,1,1)</f>
        <v>40625.208333333336</v>
      </c>
      <c r="P98" t="b">
        <v>0</v>
      </c>
      <c r="Q98" t="b">
        <v>0</v>
      </c>
      <c r="R98" t="s">
        <v>33</v>
      </c>
      <c r="S98" t="s">
        <v>2038</v>
      </c>
      <c r="T98" t="s">
        <v>2039</v>
      </c>
    </row>
    <row r="99" spans="1:20" ht="15.75" customHeight="1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>Table1[[#This Row],[pledged]]/Table1[[#This Row],[goal]]</f>
        <v>9.2669230769230762</v>
      </c>
      <c r="G99" t="s">
        <v>20</v>
      </c>
      <c r="H99">
        <v>113</v>
      </c>
      <c r="I99" t="s">
        <v>21</v>
      </c>
      <c r="J99" t="s">
        <v>22</v>
      </c>
      <c r="K99" s="12">
        <f>IF(OR(E99=0, H99=0), 0, E99/H99)</f>
        <v>106.61061946902655</v>
      </c>
      <c r="L99">
        <v>1435208400</v>
      </c>
      <c r="M99" s="10">
        <f>(((L99/60)/60)/24)+DATE(1970,1,1)</f>
        <v>42180.208333333328</v>
      </c>
      <c r="N99">
        <v>1439874000</v>
      </c>
      <c r="O99" s="10">
        <f>(((N99/60)/60)/24)+DATE(1970,1,1)</f>
        <v>42234.208333333328</v>
      </c>
      <c r="P99" t="b">
        <v>0</v>
      </c>
      <c r="Q99" t="b">
        <v>0</v>
      </c>
      <c r="R99" t="s">
        <v>17</v>
      </c>
      <c r="S99" t="s">
        <v>2032</v>
      </c>
      <c r="T99" t="s">
        <v>2033</v>
      </c>
    </row>
    <row r="100" spans="1:20" ht="15.75" customHeight="1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>Table1[[#This Row],[pledged]]/Table1[[#This Row],[goal]]</f>
        <v>0.33692229038854804</v>
      </c>
      <c r="G100" t="s">
        <v>14</v>
      </c>
      <c r="H100">
        <v>1220</v>
      </c>
      <c r="I100" t="s">
        <v>26</v>
      </c>
      <c r="J100" t="s">
        <v>27</v>
      </c>
      <c r="K100" s="12">
        <f>IF(OR(E100=0, H100=0), 0, E100/H100)</f>
        <v>27.009016393442622</v>
      </c>
      <c r="L100">
        <v>1437973200</v>
      </c>
      <c r="M100" s="10">
        <f>(((L100/60)/60)/24)+DATE(1970,1,1)</f>
        <v>42212.208333333328</v>
      </c>
      <c r="N100">
        <v>1438318800</v>
      </c>
      <c r="O100" s="10">
        <f>(((N100/60)/60)/24)+DATE(1970,1,1)</f>
        <v>42216.208333333328</v>
      </c>
      <c r="P100" t="b">
        <v>0</v>
      </c>
      <c r="Q100" t="b">
        <v>0</v>
      </c>
      <c r="R100" t="s">
        <v>89</v>
      </c>
      <c r="S100" t="s">
        <v>2049</v>
      </c>
      <c r="T100" t="s">
        <v>2050</v>
      </c>
    </row>
    <row r="101" spans="1:20" ht="15.75" customHeight="1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>Table1[[#This Row],[pledged]]/Table1[[#This Row],[goal]]</f>
        <v>1.9672368421052631</v>
      </c>
      <c r="G101" t="s">
        <v>20</v>
      </c>
      <c r="H101">
        <v>164</v>
      </c>
      <c r="I101" t="s">
        <v>21</v>
      </c>
      <c r="J101" t="s">
        <v>22</v>
      </c>
      <c r="K101" s="12">
        <f>IF(OR(E101=0, H101=0), 0, E101/H101)</f>
        <v>91.16463414634147</v>
      </c>
      <c r="L101">
        <v>1416895200</v>
      </c>
      <c r="M101" s="10">
        <f>(((L101/60)/60)/24)+DATE(1970,1,1)</f>
        <v>41968.25</v>
      </c>
      <c r="N101">
        <v>1419400800</v>
      </c>
      <c r="O101" s="10">
        <f>(((N101/60)/60)/24)+DATE(1970,1,1)</f>
        <v>41997.25</v>
      </c>
      <c r="P101" t="b">
        <v>0</v>
      </c>
      <c r="Q101" t="b">
        <v>0</v>
      </c>
      <c r="R101" t="s">
        <v>33</v>
      </c>
      <c r="S101" t="s">
        <v>2038</v>
      </c>
      <c r="T101" t="s">
        <v>2039</v>
      </c>
    </row>
    <row r="102" spans="1:20" ht="15.75" customHeight="1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>Table1[[#This Row],[pledged]]/Table1[[#This Row],[goal]]</f>
        <v>0.01</v>
      </c>
      <c r="G102" t="s">
        <v>14</v>
      </c>
      <c r="H102">
        <v>1</v>
      </c>
      <c r="I102" t="s">
        <v>21</v>
      </c>
      <c r="J102" t="s">
        <v>22</v>
      </c>
      <c r="K102" s="12">
        <f>IF(OR(E102=0, H102=0), 0, E102/H102)</f>
        <v>1</v>
      </c>
      <c r="L102">
        <v>1319000400</v>
      </c>
      <c r="M102" s="10">
        <f>(((L102/60)/60)/24)+DATE(1970,1,1)</f>
        <v>40835.208333333336</v>
      </c>
      <c r="N102">
        <v>1320555600</v>
      </c>
      <c r="O102" s="10">
        <f>(((N102/60)/60)/24)+DATE(1970,1,1)</f>
        <v>40853.208333333336</v>
      </c>
      <c r="P102" t="b">
        <v>0</v>
      </c>
      <c r="Q102" t="b">
        <v>0</v>
      </c>
      <c r="R102" t="s">
        <v>33</v>
      </c>
      <c r="S102" t="s">
        <v>2038</v>
      </c>
      <c r="T102" t="s">
        <v>2039</v>
      </c>
    </row>
    <row r="103" spans="1:20" ht="15.75" customHeight="1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>Table1[[#This Row],[pledged]]/Table1[[#This Row],[goal]]</f>
        <v>10.214444444444444</v>
      </c>
      <c r="G103" t="s">
        <v>20</v>
      </c>
      <c r="H103">
        <v>164</v>
      </c>
      <c r="I103" t="s">
        <v>21</v>
      </c>
      <c r="J103" t="s">
        <v>22</v>
      </c>
      <c r="K103" s="12">
        <f>IF(OR(E103=0, H103=0), 0, E103/H103)</f>
        <v>56.054878048780488</v>
      </c>
      <c r="L103">
        <v>1424498400</v>
      </c>
      <c r="M103" s="10">
        <f>(((L103/60)/60)/24)+DATE(1970,1,1)</f>
        <v>42056.25</v>
      </c>
      <c r="N103">
        <v>1425103200</v>
      </c>
      <c r="O103" s="10">
        <f>(((N103/60)/60)/24)+DATE(1970,1,1)</f>
        <v>42063.25</v>
      </c>
      <c r="P103" t="b">
        <v>0</v>
      </c>
      <c r="Q103" t="b">
        <v>1</v>
      </c>
      <c r="R103" t="s">
        <v>50</v>
      </c>
      <c r="S103" t="s">
        <v>2034</v>
      </c>
      <c r="T103" t="s">
        <v>2042</v>
      </c>
    </row>
    <row r="104" spans="1:20" ht="15.75" customHeight="1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>Table1[[#This Row],[pledged]]/Table1[[#This Row],[goal]]</f>
        <v>2.8167567567567566</v>
      </c>
      <c r="G104" t="s">
        <v>20</v>
      </c>
      <c r="H104">
        <v>336</v>
      </c>
      <c r="I104" t="s">
        <v>21</v>
      </c>
      <c r="J104" t="s">
        <v>22</v>
      </c>
      <c r="K104" s="12">
        <f>IF(OR(E104=0, H104=0), 0, E104/H104)</f>
        <v>31.017857142857142</v>
      </c>
      <c r="L104">
        <v>1526274000</v>
      </c>
      <c r="M104" s="10">
        <f>(((L104/60)/60)/24)+DATE(1970,1,1)</f>
        <v>43234.208333333328</v>
      </c>
      <c r="N104">
        <v>1526878800</v>
      </c>
      <c r="O104" s="10">
        <f>(((N104/60)/60)/24)+DATE(1970,1,1)</f>
        <v>43241.208333333328</v>
      </c>
      <c r="P104" t="b">
        <v>0</v>
      </c>
      <c r="Q104" t="b">
        <v>1</v>
      </c>
      <c r="R104" t="s">
        <v>65</v>
      </c>
      <c r="S104" t="s">
        <v>2036</v>
      </c>
      <c r="T104" t="s">
        <v>2045</v>
      </c>
    </row>
    <row r="105" spans="1:20" ht="15.75" customHeight="1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>Table1[[#This Row],[pledged]]/Table1[[#This Row],[goal]]</f>
        <v>0.24610000000000001</v>
      </c>
      <c r="G105" t="s">
        <v>14</v>
      </c>
      <c r="H105">
        <v>37</v>
      </c>
      <c r="I105" t="s">
        <v>107</v>
      </c>
      <c r="J105" t="s">
        <v>108</v>
      </c>
      <c r="K105" s="12">
        <f>IF(OR(E105=0, H105=0), 0, E105/H105)</f>
        <v>66.513513513513516</v>
      </c>
      <c r="L105">
        <v>1287896400</v>
      </c>
      <c r="M105" s="10">
        <f>(((L105/60)/60)/24)+DATE(1970,1,1)</f>
        <v>40475.208333333336</v>
      </c>
      <c r="N105">
        <v>1288674000</v>
      </c>
      <c r="O105" s="10">
        <f>(((N105/60)/60)/24)+DATE(1970,1,1)</f>
        <v>40484.208333333336</v>
      </c>
      <c r="P105" t="b">
        <v>0</v>
      </c>
      <c r="Q105" t="b">
        <v>0</v>
      </c>
      <c r="R105" t="s">
        <v>50</v>
      </c>
      <c r="S105" t="s">
        <v>2034</v>
      </c>
      <c r="T105" t="s">
        <v>2042</v>
      </c>
    </row>
    <row r="106" spans="1:20" ht="15.75" customHeight="1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>Table1[[#This Row],[pledged]]/Table1[[#This Row],[goal]]</f>
        <v>1.4314010067114094</v>
      </c>
      <c r="G106" t="s">
        <v>20</v>
      </c>
      <c r="H106">
        <v>1917</v>
      </c>
      <c r="I106" t="s">
        <v>21</v>
      </c>
      <c r="J106" t="s">
        <v>22</v>
      </c>
      <c r="K106" s="12">
        <f>IF(OR(E106=0, H106=0), 0, E106/H106)</f>
        <v>89.005216484089729</v>
      </c>
      <c r="L106">
        <v>1495515600</v>
      </c>
      <c r="M106" s="10">
        <f>(((L106/60)/60)/24)+DATE(1970,1,1)</f>
        <v>42878.208333333328</v>
      </c>
      <c r="N106">
        <v>1495602000</v>
      </c>
      <c r="O106" s="10">
        <f>(((N106/60)/60)/24)+DATE(1970,1,1)</f>
        <v>42879.208333333328</v>
      </c>
      <c r="P106" t="b">
        <v>0</v>
      </c>
      <c r="Q106" t="b">
        <v>0</v>
      </c>
      <c r="R106" t="s">
        <v>60</v>
      </c>
      <c r="S106" t="s">
        <v>2034</v>
      </c>
      <c r="T106" t="s">
        <v>2044</v>
      </c>
    </row>
    <row r="107" spans="1:20" ht="15.75" customHeight="1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>Table1[[#This Row],[pledged]]/Table1[[#This Row],[goal]]</f>
        <v>1.4454411764705883</v>
      </c>
      <c r="G107" t="s">
        <v>20</v>
      </c>
      <c r="H107">
        <v>95</v>
      </c>
      <c r="I107" t="s">
        <v>21</v>
      </c>
      <c r="J107" t="s">
        <v>22</v>
      </c>
      <c r="K107" s="12">
        <f>IF(OR(E107=0, H107=0), 0, E107/H107)</f>
        <v>103.46315789473684</v>
      </c>
      <c r="L107">
        <v>1364878800</v>
      </c>
      <c r="M107" s="10">
        <f>(((L107/60)/60)/24)+DATE(1970,1,1)</f>
        <v>41366.208333333336</v>
      </c>
      <c r="N107">
        <v>1366434000</v>
      </c>
      <c r="O107" s="10">
        <f>(((N107/60)/60)/24)+DATE(1970,1,1)</f>
        <v>41384.208333333336</v>
      </c>
      <c r="P107" t="b">
        <v>0</v>
      </c>
      <c r="Q107" t="b">
        <v>0</v>
      </c>
      <c r="R107" t="s">
        <v>28</v>
      </c>
      <c r="S107" t="s">
        <v>2036</v>
      </c>
      <c r="T107" t="s">
        <v>2037</v>
      </c>
    </row>
    <row r="108" spans="1:20" ht="15.75" customHeight="1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>Table1[[#This Row],[pledged]]/Table1[[#This Row],[goal]]</f>
        <v>3.5912820512820511</v>
      </c>
      <c r="G108" t="s">
        <v>20</v>
      </c>
      <c r="H108">
        <v>147</v>
      </c>
      <c r="I108" t="s">
        <v>21</v>
      </c>
      <c r="J108" t="s">
        <v>22</v>
      </c>
      <c r="K108" s="12">
        <f>IF(OR(E108=0, H108=0), 0, E108/H108)</f>
        <v>95.278911564625844</v>
      </c>
      <c r="L108">
        <v>1567918800</v>
      </c>
      <c r="M108" s="10">
        <f>(((L108/60)/60)/24)+DATE(1970,1,1)</f>
        <v>43716.208333333328</v>
      </c>
      <c r="N108">
        <v>1568350800</v>
      </c>
      <c r="O108" s="10">
        <f>(((N108/60)/60)/24)+DATE(1970,1,1)</f>
        <v>43721.208333333328</v>
      </c>
      <c r="P108" t="b">
        <v>0</v>
      </c>
      <c r="Q108" t="b">
        <v>0</v>
      </c>
      <c r="R108" t="s">
        <v>33</v>
      </c>
      <c r="S108" t="s">
        <v>2038</v>
      </c>
      <c r="T108" t="s">
        <v>2039</v>
      </c>
    </row>
    <row r="109" spans="1:20" ht="15.75" customHeight="1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>Table1[[#This Row],[pledged]]/Table1[[#This Row],[goal]]</f>
        <v>1.8648571428571428</v>
      </c>
      <c r="G109" t="s">
        <v>20</v>
      </c>
      <c r="H109">
        <v>86</v>
      </c>
      <c r="I109" t="s">
        <v>21</v>
      </c>
      <c r="J109" t="s">
        <v>22</v>
      </c>
      <c r="K109" s="12">
        <f>IF(OR(E109=0, H109=0), 0, E109/H109)</f>
        <v>75.895348837209298</v>
      </c>
      <c r="L109">
        <v>1524459600</v>
      </c>
      <c r="M109" s="10">
        <f>(((L109/60)/60)/24)+DATE(1970,1,1)</f>
        <v>43213.208333333328</v>
      </c>
      <c r="N109">
        <v>1525928400</v>
      </c>
      <c r="O109" s="10">
        <f>(((N109/60)/60)/24)+DATE(1970,1,1)</f>
        <v>43230.208333333328</v>
      </c>
      <c r="P109" t="b">
        <v>0</v>
      </c>
      <c r="Q109" t="b">
        <v>1</v>
      </c>
      <c r="R109" t="s">
        <v>33</v>
      </c>
      <c r="S109" t="s">
        <v>2038</v>
      </c>
      <c r="T109" t="s">
        <v>2039</v>
      </c>
    </row>
    <row r="110" spans="1:20" ht="15.75" customHeight="1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>Table1[[#This Row],[pledged]]/Table1[[#This Row],[goal]]</f>
        <v>5.9526666666666666</v>
      </c>
      <c r="G110" t="s">
        <v>20</v>
      </c>
      <c r="H110">
        <v>83</v>
      </c>
      <c r="I110" t="s">
        <v>21</v>
      </c>
      <c r="J110" t="s">
        <v>22</v>
      </c>
      <c r="K110" s="12">
        <f>IF(OR(E110=0, H110=0), 0, E110/H110)</f>
        <v>107.57831325301204</v>
      </c>
      <c r="L110">
        <v>1333688400</v>
      </c>
      <c r="M110" s="10">
        <f>(((L110/60)/60)/24)+DATE(1970,1,1)</f>
        <v>41005.208333333336</v>
      </c>
      <c r="N110">
        <v>1336885200</v>
      </c>
      <c r="O110" s="10">
        <f>(((N110/60)/60)/24)+DATE(1970,1,1)</f>
        <v>41042.208333333336</v>
      </c>
      <c r="P110" t="b">
        <v>0</v>
      </c>
      <c r="Q110" t="b">
        <v>0</v>
      </c>
      <c r="R110" t="s">
        <v>42</v>
      </c>
      <c r="S110" t="s">
        <v>2040</v>
      </c>
      <c r="T110" t="s">
        <v>2041</v>
      </c>
    </row>
    <row r="111" spans="1:20" ht="15.75" customHeight="1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>Table1[[#This Row],[pledged]]/Table1[[#This Row],[goal]]</f>
        <v>0.5921153846153846</v>
      </c>
      <c r="G111" t="s">
        <v>14</v>
      </c>
      <c r="H111">
        <v>60</v>
      </c>
      <c r="I111" t="s">
        <v>21</v>
      </c>
      <c r="J111" t="s">
        <v>22</v>
      </c>
      <c r="K111" s="12">
        <f>IF(OR(E111=0, H111=0), 0, E111/H111)</f>
        <v>51.31666666666667</v>
      </c>
      <c r="L111">
        <v>1389506400</v>
      </c>
      <c r="M111" s="10">
        <f>(((L111/60)/60)/24)+DATE(1970,1,1)</f>
        <v>41651.25</v>
      </c>
      <c r="N111">
        <v>1389679200</v>
      </c>
      <c r="O111" s="10">
        <f>(((N111/60)/60)/24)+DATE(1970,1,1)</f>
        <v>41653.25</v>
      </c>
      <c r="P111" t="b">
        <v>0</v>
      </c>
      <c r="Q111" t="b">
        <v>0</v>
      </c>
      <c r="R111" t="s">
        <v>269</v>
      </c>
      <c r="S111" t="s">
        <v>2040</v>
      </c>
      <c r="T111" t="s">
        <v>2059</v>
      </c>
    </row>
    <row r="112" spans="1:20" ht="15.75" customHeight="1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>Table1[[#This Row],[pledged]]/Table1[[#This Row],[goal]]</f>
        <v>0.14962780898876404</v>
      </c>
      <c r="G112" t="s">
        <v>14</v>
      </c>
      <c r="H112">
        <v>296</v>
      </c>
      <c r="I112" t="s">
        <v>21</v>
      </c>
      <c r="J112" t="s">
        <v>22</v>
      </c>
      <c r="K112" s="12">
        <f>IF(OR(E112=0, H112=0), 0, E112/H112)</f>
        <v>71.983108108108112</v>
      </c>
      <c r="L112">
        <v>1536642000</v>
      </c>
      <c r="M112" s="10">
        <f>(((L112/60)/60)/24)+DATE(1970,1,1)</f>
        <v>43354.208333333328</v>
      </c>
      <c r="N112">
        <v>1538283600</v>
      </c>
      <c r="O112" s="10">
        <f>(((N112/60)/60)/24)+DATE(1970,1,1)</f>
        <v>43373.208333333328</v>
      </c>
      <c r="P112" t="b">
        <v>0</v>
      </c>
      <c r="Q112" t="b">
        <v>0</v>
      </c>
      <c r="R112" t="s">
        <v>17</v>
      </c>
      <c r="S112" t="s">
        <v>2032</v>
      </c>
      <c r="T112" t="s">
        <v>2033</v>
      </c>
    </row>
    <row r="113" spans="1:20" ht="15.75" customHeight="1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>Table1[[#This Row],[pledged]]/Table1[[#This Row],[goal]]</f>
        <v>1.1995602605863191</v>
      </c>
      <c r="G113" t="s">
        <v>20</v>
      </c>
      <c r="H113">
        <v>676</v>
      </c>
      <c r="I113" t="s">
        <v>21</v>
      </c>
      <c r="J113" t="s">
        <v>22</v>
      </c>
      <c r="K113" s="12">
        <f>IF(OR(E113=0, H113=0), 0, E113/H113)</f>
        <v>108.95414201183432</v>
      </c>
      <c r="L113">
        <v>1348290000</v>
      </c>
      <c r="M113" s="10">
        <f>(((L113/60)/60)/24)+DATE(1970,1,1)</f>
        <v>41174.208333333336</v>
      </c>
      <c r="N113">
        <v>1348808400</v>
      </c>
      <c r="O113" s="10">
        <f>(((N113/60)/60)/24)+DATE(1970,1,1)</f>
        <v>41180.208333333336</v>
      </c>
      <c r="P113" t="b">
        <v>0</v>
      </c>
      <c r="Q113" t="b">
        <v>0</v>
      </c>
      <c r="R113" t="s">
        <v>133</v>
      </c>
      <c r="S113" t="s">
        <v>2046</v>
      </c>
      <c r="T113" t="s">
        <v>2055</v>
      </c>
    </row>
    <row r="114" spans="1:20" ht="15.75" customHeight="1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>Table1[[#This Row],[pledged]]/Table1[[#This Row],[goal]]</f>
        <v>2.6882978723404256</v>
      </c>
      <c r="G114" t="s">
        <v>20</v>
      </c>
      <c r="H114">
        <v>361</v>
      </c>
      <c r="I114" t="s">
        <v>26</v>
      </c>
      <c r="J114" t="s">
        <v>27</v>
      </c>
      <c r="K114" s="12">
        <f>IF(OR(E114=0, H114=0), 0, E114/H114)</f>
        <v>35</v>
      </c>
      <c r="L114">
        <v>1408856400</v>
      </c>
      <c r="M114" s="10">
        <f>(((L114/60)/60)/24)+DATE(1970,1,1)</f>
        <v>41875.208333333336</v>
      </c>
      <c r="N114">
        <v>1410152400</v>
      </c>
      <c r="O114" s="10">
        <f>(((N114/60)/60)/24)+DATE(1970,1,1)</f>
        <v>41890.208333333336</v>
      </c>
      <c r="P114" t="b">
        <v>0</v>
      </c>
      <c r="Q114" t="b">
        <v>0</v>
      </c>
      <c r="R114" t="s">
        <v>28</v>
      </c>
      <c r="S114" t="s">
        <v>2036</v>
      </c>
      <c r="T114" t="s">
        <v>2037</v>
      </c>
    </row>
    <row r="115" spans="1:20" ht="15.75" customHeight="1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>Table1[[#This Row],[pledged]]/Table1[[#This Row],[goal]]</f>
        <v>3.7687878787878786</v>
      </c>
      <c r="G115" t="s">
        <v>20</v>
      </c>
      <c r="H115">
        <v>131</v>
      </c>
      <c r="I115" t="s">
        <v>21</v>
      </c>
      <c r="J115" t="s">
        <v>22</v>
      </c>
      <c r="K115" s="12">
        <f>IF(OR(E115=0, H115=0), 0, E115/H115)</f>
        <v>94.938931297709928</v>
      </c>
      <c r="L115">
        <v>1505192400</v>
      </c>
      <c r="M115" s="10">
        <f>(((L115/60)/60)/24)+DATE(1970,1,1)</f>
        <v>42990.208333333328</v>
      </c>
      <c r="N115">
        <v>1505797200</v>
      </c>
      <c r="O115" s="10">
        <f>(((N115/60)/60)/24)+DATE(1970,1,1)</f>
        <v>42997.208333333328</v>
      </c>
      <c r="P115" t="b">
        <v>0</v>
      </c>
      <c r="Q115" t="b">
        <v>0</v>
      </c>
      <c r="R115" t="s">
        <v>17</v>
      </c>
      <c r="S115" t="s">
        <v>2032</v>
      </c>
      <c r="T115" t="s">
        <v>2033</v>
      </c>
    </row>
    <row r="116" spans="1:20" ht="15.75" customHeight="1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>Table1[[#This Row],[pledged]]/Table1[[#This Row],[goal]]</f>
        <v>7.2715789473684209</v>
      </c>
      <c r="G116" t="s">
        <v>20</v>
      </c>
      <c r="H116">
        <v>126</v>
      </c>
      <c r="I116" t="s">
        <v>21</v>
      </c>
      <c r="J116" t="s">
        <v>22</v>
      </c>
      <c r="K116" s="12">
        <f>IF(OR(E116=0, H116=0), 0, E116/H116)</f>
        <v>109.65079365079364</v>
      </c>
      <c r="L116">
        <v>1554786000</v>
      </c>
      <c r="M116" s="10">
        <f>(((L116/60)/60)/24)+DATE(1970,1,1)</f>
        <v>43564.208333333328</v>
      </c>
      <c r="N116">
        <v>1554872400</v>
      </c>
      <c r="O116" s="10">
        <f>(((N116/60)/60)/24)+DATE(1970,1,1)</f>
        <v>43565.208333333328</v>
      </c>
      <c r="P116" t="b">
        <v>0</v>
      </c>
      <c r="Q116" t="b">
        <v>1</v>
      </c>
      <c r="R116" t="s">
        <v>65</v>
      </c>
      <c r="S116" t="s">
        <v>2036</v>
      </c>
      <c r="T116" t="s">
        <v>2045</v>
      </c>
    </row>
    <row r="117" spans="1:20" ht="15.75" customHeight="1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>Table1[[#This Row],[pledged]]/Table1[[#This Row],[goal]]</f>
        <v>0.87211757648470301</v>
      </c>
      <c r="G117" t="s">
        <v>14</v>
      </c>
      <c r="H117">
        <v>3304</v>
      </c>
      <c r="I117" t="s">
        <v>107</v>
      </c>
      <c r="J117" t="s">
        <v>108</v>
      </c>
      <c r="K117" s="12">
        <f>IF(OR(E117=0, H117=0), 0, E117/H117)</f>
        <v>44.001815980629537</v>
      </c>
      <c r="L117">
        <v>1510898400</v>
      </c>
      <c r="M117" s="10">
        <f>(((L117/60)/60)/24)+DATE(1970,1,1)</f>
        <v>43056.25</v>
      </c>
      <c r="N117">
        <v>1513922400</v>
      </c>
      <c r="O117" s="10">
        <f>(((N117/60)/60)/24)+DATE(1970,1,1)</f>
        <v>43091.25</v>
      </c>
      <c r="P117" t="b">
        <v>0</v>
      </c>
      <c r="Q117" t="b">
        <v>0</v>
      </c>
      <c r="R117" t="s">
        <v>119</v>
      </c>
      <c r="S117" t="s">
        <v>2046</v>
      </c>
      <c r="T117" t="s">
        <v>2052</v>
      </c>
    </row>
    <row r="118" spans="1:20" ht="15.75" customHeight="1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>Table1[[#This Row],[pledged]]/Table1[[#This Row],[goal]]</f>
        <v>0.88</v>
      </c>
      <c r="G118" t="s">
        <v>14</v>
      </c>
      <c r="H118">
        <v>73</v>
      </c>
      <c r="I118" t="s">
        <v>21</v>
      </c>
      <c r="J118" t="s">
        <v>22</v>
      </c>
      <c r="K118" s="12">
        <f>IF(OR(E118=0, H118=0), 0, E118/H118)</f>
        <v>86.794520547945211</v>
      </c>
      <c r="L118">
        <v>1442552400</v>
      </c>
      <c r="M118" s="10">
        <f>(((L118/60)/60)/24)+DATE(1970,1,1)</f>
        <v>42265.208333333328</v>
      </c>
      <c r="N118">
        <v>1442638800</v>
      </c>
      <c r="O118" s="10">
        <f>(((N118/60)/60)/24)+DATE(1970,1,1)</f>
        <v>42266.208333333328</v>
      </c>
      <c r="P118" t="b">
        <v>0</v>
      </c>
      <c r="Q118" t="b">
        <v>0</v>
      </c>
      <c r="R118" t="s">
        <v>33</v>
      </c>
      <c r="S118" t="s">
        <v>2038</v>
      </c>
      <c r="T118" t="s">
        <v>2039</v>
      </c>
    </row>
    <row r="119" spans="1:20" ht="15.75" customHeight="1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>Table1[[#This Row],[pledged]]/Table1[[#This Row],[goal]]</f>
        <v>1.7393877551020409</v>
      </c>
      <c r="G119" t="s">
        <v>20</v>
      </c>
      <c r="H119">
        <v>275</v>
      </c>
      <c r="I119" t="s">
        <v>21</v>
      </c>
      <c r="J119" t="s">
        <v>22</v>
      </c>
      <c r="K119" s="12">
        <f>IF(OR(E119=0, H119=0), 0, E119/H119)</f>
        <v>30.992727272727272</v>
      </c>
      <c r="L119">
        <v>1316667600</v>
      </c>
      <c r="M119" s="10">
        <f>(((L119/60)/60)/24)+DATE(1970,1,1)</f>
        <v>40808.208333333336</v>
      </c>
      <c r="N119">
        <v>1317186000</v>
      </c>
      <c r="O119" s="10">
        <f>(((N119/60)/60)/24)+DATE(1970,1,1)</f>
        <v>40814.208333333336</v>
      </c>
      <c r="P119" t="b">
        <v>0</v>
      </c>
      <c r="Q119" t="b">
        <v>0</v>
      </c>
      <c r="R119" t="s">
        <v>269</v>
      </c>
      <c r="S119" t="s">
        <v>2040</v>
      </c>
      <c r="T119" t="s">
        <v>2059</v>
      </c>
    </row>
    <row r="120" spans="1:20" ht="15.75" customHeight="1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>Table1[[#This Row],[pledged]]/Table1[[#This Row],[goal]]</f>
        <v>1.1761111111111111</v>
      </c>
      <c r="G120" t="s">
        <v>20</v>
      </c>
      <c r="H120">
        <v>67</v>
      </c>
      <c r="I120" t="s">
        <v>21</v>
      </c>
      <c r="J120" t="s">
        <v>22</v>
      </c>
      <c r="K120" s="12">
        <f>IF(OR(E120=0, H120=0), 0, E120/H120)</f>
        <v>94.791044776119406</v>
      </c>
      <c r="L120">
        <v>1390716000</v>
      </c>
      <c r="M120" s="10">
        <f>(((L120/60)/60)/24)+DATE(1970,1,1)</f>
        <v>41665.25</v>
      </c>
      <c r="N120">
        <v>1391234400</v>
      </c>
      <c r="O120" s="10">
        <f>(((N120/60)/60)/24)+DATE(1970,1,1)</f>
        <v>41671.25</v>
      </c>
      <c r="P120" t="b">
        <v>0</v>
      </c>
      <c r="Q120" t="b">
        <v>0</v>
      </c>
      <c r="R120" t="s">
        <v>122</v>
      </c>
      <c r="S120" t="s">
        <v>2053</v>
      </c>
      <c r="T120" t="s">
        <v>2054</v>
      </c>
    </row>
    <row r="121" spans="1:20" ht="15.75" customHeight="1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>Table1[[#This Row],[pledged]]/Table1[[#This Row],[goal]]</f>
        <v>2.1496</v>
      </c>
      <c r="G121" t="s">
        <v>20</v>
      </c>
      <c r="H121">
        <v>154</v>
      </c>
      <c r="I121" t="s">
        <v>21</v>
      </c>
      <c r="J121" t="s">
        <v>22</v>
      </c>
      <c r="K121" s="12">
        <f>IF(OR(E121=0, H121=0), 0, E121/H121)</f>
        <v>69.79220779220779</v>
      </c>
      <c r="L121">
        <v>1402894800</v>
      </c>
      <c r="M121" s="10">
        <f>(((L121/60)/60)/24)+DATE(1970,1,1)</f>
        <v>41806.208333333336</v>
      </c>
      <c r="N121">
        <v>1404363600</v>
      </c>
      <c r="O121" s="10">
        <f>(((N121/60)/60)/24)+DATE(1970,1,1)</f>
        <v>41823.208333333336</v>
      </c>
      <c r="P121" t="b">
        <v>0</v>
      </c>
      <c r="Q121" t="b">
        <v>1</v>
      </c>
      <c r="R121" t="s">
        <v>42</v>
      </c>
      <c r="S121" t="s">
        <v>2040</v>
      </c>
      <c r="T121" t="s">
        <v>2041</v>
      </c>
    </row>
    <row r="122" spans="1:20" ht="15.75" customHeight="1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>Table1[[#This Row],[pledged]]/Table1[[#This Row],[goal]]</f>
        <v>1.4949667110519307</v>
      </c>
      <c r="G122" t="s">
        <v>20</v>
      </c>
      <c r="H122">
        <v>1782</v>
      </c>
      <c r="I122" t="s">
        <v>21</v>
      </c>
      <c r="J122" t="s">
        <v>22</v>
      </c>
      <c r="K122" s="12">
        <f>IF(OR(E122=0, H122=0), 0, E122/H122)</f>
        <v>63.003367003367003</v>
      </c>
      <c r="L122">
        <v>1429246800</v>
      </c>
      <c r="M122" s="10">
        <f>(((L122/60)/60)/24)+DATE(1970,1,1)</f>
        <v>42111.208333333328</v>
      </c>
      <c r="N122">
        <v>1429592400</v>
      </c>
      <c r="O122" s="10">
        <f>(((N122/60)/60)/24)+DATE(1970,1,1)</f>
        <v>42115.208333333328</v>
      </c>
      <c r="P122" t="b">
        <v>0</v>
      </c>
      <c r="Q122" t="b">
        <v>1</v>
      </c>
      <c r="R122" t="s">
        <v>292</v>
      </c>
      <c r="S122" t="s">
        <v>2049</v>
      </c>
      <c r="T122" t="s">
        <v>2060</v>
      </c>
    </row>
    <row r="123" spans="1:20" ht="15.75" customHeight="1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>Table1[[#This Row],[pledged]]/Table1[[#This Row],[goal]]</f>
        <v>2.1933995584988963</v>
      </c>
      <c r="G123" t="s">
        <v>20</v>
      </c>
      <c r="H123">
        <v>903</v>
      </c>
      <c r="I123" t="s">
        <v>21</v>
      </c>
      <c r="J123" t="s">
        <v>22</v>
      </c>
      <c r="K123" s="12">
        <f>IF(OR(E123=0, H123=0), 0, E123/H123)</f>
        <v>110.0343300110742</v>
      </c>
      <c r="L123">
        <v>1412485200</v>
      </c>
      <c r="M123" s="10">
        <f>(((L123/60)/60)/24)+DATE(1970,1,1)</f>
        <v>41917.208333333336</v>
      </c>
      <c r="N123">
        <v>1413608400</v>
      </c>
      <c r="O123" s="10">
        <f>(((N123/60)/60)/24)+DATE(1970,1,1)</f>
        <v>41930.208333333336</v>
      </c>
      <c r="P123" t="b">
        <v>0</v>
      </c>
      <c r="Q123" t="b">
        <v>0</v>
      </c>
      <c r="R123" t="s">
        <v>89</v>
      </c>
      <c r="S123" t="s">
        <v>2049</v>
      </c>
      <c r="T123" t="s">
        <v>2050</v>
      </c>
    </row>
    <row r="124" spans="1:20" ht="15.75" customHeight="1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>Table1[[#This Row],[pledged]]/Table1[[#This Row],[goal]]</f>
        <v>0.64367690058479532</v>
      </c>
      <c r="G124" t="s">
        <v>14</v>
      </c>
      <c r="H124">
        <v>3387</v>
      </c>
      <c r="I124" t="s">
        <v>21</v>
      </c>
      <c r="J124" t="s">
        <v>22</v>
      </c>
      <c r="K124" s="12">
        <f>IF(OR(E124=0, H124=0), 0, E124/H124)</f>
        <v>25.997933274284026</v>
      </c>
      <c r="L124">
        <v>1417068000</v>
      </c>
      <c r="M124" s="10">
        <f>(((L124/60)/60)/24)+DATE(1970,1,1)</f>
        <v>41970.25</v>
      </c>
      <c r="N124">
        <v>1419400800</v>
      </c>
      <c r="O124" s="10">
        <f>(((N124/60)/60)/24)+DATE(1970,1,1)</f>
        <v>41997.25</v>
      </c>
      <c r="P124" t="b">
        <v>0</v>
      </c>
      <c r="Q124" t="b">
        <v>0</v>
      </c>
      <c r="R124" t="s">
        <v>119</v>
      </c>
      <c r="S124" t="s">
        <v>2046</v>
      </c>
      <c r="T124" t="s">
        <v>2052</v>
      </c>
    </row>
    <row r="125" spans="1:20" ht="15.75" customHeight="1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>Table1[[#This Row],[pledged]]/Table1[[#This Row],[goal]]</f>
        <v>0.18622397298818233</v>
      </c>
      <c r="G125" t="s">
        <v>14</v>
      </c>
      <c r="H125">
        <v>662</v>
      </c>
      <c r="I125" t="s">
        <v>15</v>
      </c>
      <c r="J125" t="s">
        <v>16</v>
      </c>
      <c r="K125" s="12">
        <f>IF(OR(E125=0, H125=0), 0, E125/H125)</f>
        <v>49.987915407854985</v>
      </c>
      <c r="L125">
        <v>1448344800</v>
      </c>
      <c r="M125" s="10">
        <f>(((L125/60)/60)/24)+DATE(1970,1,1)</f>
        <v>42332.25</v>
      </c>
      <c r="N125">
        <v>1448604000</v>
      </c>
      <c r="O125" s="10">
        <f>(((N125/60)/60)/24)+DATE(1970,1,1)</f>
        <v>42335.25</v>
      </c>
      <c r="P125" t="b">
        <v>1</v>
      </c>
      <c r="Q125" t="b">
        <v>0</v>
      </c>
      <c r="R125" t="s">
        <v>33</v>
      </c>
      <c r="S125" t="s">
        <v>2038</v>
      </c>
      <c r="T125" t="s">
        <v>2039</v>
      </c>
    </row>
    <row r="126" spans="1:20" ht="15.75" customHeight="1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>Table1[[#This Row],[pledged]]/Table1[[#This Row],[goal]]</f>
        <v>3.6776923076923076</v>
      </c>
      <c r="G126" t="s">
        <v>20</v>
      </c>
      <c r="H126">
        <v>94</v>
      </c>
      <c r="I126" t="s">
        <v>107</v>
      </c>
      <c r="J126" t="s">
        <v>108</v>
      </c>
      <c r="K126" s="12">
        <f>IF(OR(E126=0, H126=0), 0, E126/H126)</f>
        <v>101.72340425531915</v>
      </c>
      <c r="L126">
        <v>1557723600</v>
      </c>
      <c r="M126" s="10">
        <f>(((L126/60)/60)/24)+DATE(1970,1,1)</f>
        <v>43598.208333333328</v>
      </c>
      <c r="N126">
        <v>1562302800</v>
      </c>
      <c r="O126" s="10">
        <f>(((N126/60)/60)/24)+DATE(1970,1,1)</f>
        <v>43651.208333333328</v>
      </c>
      <c r="P126" t="b">
        <v>0</v>
      </c>
      <c r="Q126" t="b">
        <v>0</v>
      </c>
      <c r="R126" t="s">
        <v>122</v>
      </c>
      <c r="S126" t="s">
        <v>2053</v>
      </c>
      <c r="T126" t="s">
        <v>2054</v>
      </c>
    </row>
    <row r="127" spans="1:20" ht="15.75" customHeight="1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>Table1[[#This Row],[pledged]]/Table1[[#This Row],[goal]]</f>
        <v>1.5990566037735849</v>
      </c>
      <c r="G127" t="s">
        <v>20</v>
      </c>
      <c r="H127">
        <v>180</v>
      </c>
      <c r="I127" t="s">
        <v>21</v>
      </c>
      <c r="J127" t="s">
        <v>22</v>
      </c>
      <c r="K127" s="12">
        <f>IF(OR(E127=0, H127=0), 0, E127/H127)</f>
        <v>47.083333333333336</v>
      </c>
      <c r="L127">
        <v>1537333200</v>
      </c>
      <c r="M127" s="10">
        <f>(((L127/60)/60)/24)+DATE(1970,1,1)</f>
        <v>43362.208333333328</v>
      </c>
      <c r="N127">
        <v>1537678800</v>
      </c>
      <c r="O127" s="10">
        <f>(((N127/60)/60)/24)+DATE(1970,1,1)</f>
        <v>43366.208333333328</v>
      </c>
      <c r="P127" t="b">
        <v>0</v>
      </c>
      <c r="Q127" t="b">
        <v>0</v>
      </c>
      <c r="R127" t="s">
        <v>33</v>
      </c>
      <c r="S127" t="s">
        <v>2038</v>
      </c>
      <c r="T127" t="s">
        <v>2039</v>
      </c>
    </row>
    <row r="128" spans="1:20" ht="15.75" customHeight="1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>Table1[[#This Row],[pledged]]/Table1[[#This Row],[goal]]</f>
        <v>0.38633185349611543</v>
      </c>
      <c r="G128" t="s">
        <v>14</v>
      </c>
      <c r="H128">
        <v>774</v>
      </c>
      <c r="I128" t="s">
        <v>21</v>
      </c>
      <c r="J128" t="s">
        <v>22</v>
      </c>
      <c r="K128" s="12">
        <f>IF(OR(E128=0, H128=0), 0, E128/H128)</f>
        <v>89.944444444444443</v>
      </c>
      <c r="L128">
        <v>1471150800</v>
      </c>
      <c r="M128" s="10">
        <f>(((L128/60)/60)/24)+DATE(1970,1,1)</f>
        <v>42596.208333333328</v>
      </c>
      <c r="N128">
        <v>1473570000</v>
      </c>
      <c r="O128" s="10">
        <f>(((N128/60)/60)/24)+DATE(1970,1,1)</f>
        <v>42624.208333333328</v>
      </c>
      <c r="P128" t="b">
        <v>0</v>
      </c>
      <c r="Q128" t="b">
        <v>1</v>
      </c>
      <c r="R128" t="s">
        <v>33</v>
      </c>
      <c r="S128" t="s">
        <v>2038</v>
      </c>
      <c r="T128" t="s">
        <v>2039</v>
      </c>
    </row>
    <row r="129" spans="1:20" ht="15.75" customHeight="1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>Table1[[#This Row],[pledged]]/Table1[[#This Row],[goal]]</f>
        <v>0.51421511627906979</v>
      </c>
      <c r="G129" t="s">
        <v>14</v>
      </c>
      <c r="H129">
        <v>672</v>
      </c>
      <c r="I129" t="s">
        <v>15</v>
      </c>
      <c r="J129" t="s">
        <v>16</v>
      </c>
      <c r="K129" s="12">
        <f>IF(OR(E129=0, H129=0), 0, E129/H129)</f>
        <v>78.96875</v>
      </c>
      <c r="L129">
        <v>1273640400</v>
      </c>
      <c r="M129" s="10">
        <f>(((L129/60)/60)/24)+DATE(1970,1,1)</f>
        <v>40310.208333333336</v>
      </c>
      <c r="N129">
        <v>1273899600</v>
      </c>
      <c r="O129" s="10">
        <f>(((N129/60)/60)/24)+DATE(1970,1,1)</f>
        <v>40313.208333333336</v>
      </c>
      <c r="P129" t="b">
        <v>0</v>
      </c>
      <c r="Q129" t="b">
        <v>0</v>
      </c>
      <c r="R129" t="s">
        <v>33</v>
      </c>
      <c r="S129" t="s">
        <v>2038</v>
      </c>
      <c r="T129" t="s">
        <v>2039</v>
      </c>
    </row>
    <row r="130" spans="1:20" ht="15.75" customHeight="1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>Table1[[#This Row],[pledged]]/Table1[[#This Row],[goal]]</f>
        <v>0.60334277620396604</v>
      </c>
      <c r="G130" t="s">
        <v>74</v>
      </c>
      <c r="H130">
        <v>532</v>
      </c>
      <c r="I130" t="s">
        <v>21</v>
      </c>
      <c r="J130" t="s">
        <v>22</v>
      </c>
      <c r="K130" s="12">
        <f>IF(OR(E130=0, H130=0), 0, E130/H130)</f>
        <v>80.067669172932327</v>
      </c>
      <c r="L130">
        <v>1282885200</v>
      </c>
      <c r="M130" s="10">
        <f>(((L130/60)/60)/24)+DATE(1970,1,1)</f>
        <v>40417.208333333336</v>
      </c>
      <c r="N130">
        <v>1284008400</v>
      </c>
      <c r="O130" s="10">
        <f>(((N130/60)/60)/24)+DATE(1970,1,1)</f>
        <v>40430.208333333336</v>
      </c>
      <c r="P130" t="b">
        <v>0</v>
      </c>
      <c r="Q130" t="b">
        <v>0</v>
      </c>
      <c r="R130" t="s">
        <v>23</v>
      </c>
      <c r="S130" t="s">
        <v>2034</v>
      </c>
      <c r="T130" t="s">
        <v>2035</v>
      </c>
    </row>
    <row r="131" spans="1:20" ht="15.75" customHeight="1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>Table1[[#This Row],[pledged]]/Table1[[#This Row],[goal]]</f>
        <v>3.2026936026936029E-2</v>
      </c>
      <c r="G131" t="s">
        <v>74</v>
      </c>
      <c r="H131">
        <v>55</v>
      </c>
      <c r="I131" t="s">
        <v>26</v>
      </c>
      <c r="J131" t="s">
        <v>27</v>
      </c>
      <c r="K131" s="12">
        <f>IF(OR(E131=0, H131=0), 0, E131/H131)</f>
        <v>86.472727272727269</v>
      </c>
      <c r="L131">
        <v>1422943200</v>
      </c>
      <c r="M131" s="10">
        <f>(((L131/60)/60)/24)+DATE(1970,1,1)</f>
        <v>42038.25</v>
      </c>
      <c r="N131">
        <v>1425103200</v>
      </c>
      <c r="O131" s="10">
        <f>(((N131/60)/60)/24)+DATE(1970,1,1)</f>
        <v>42063.25</v>
      </c>
      <c r="P131" t="b">
        <v>0</v>
      </c>
      <c r="Q131" t="b">
        <v>0</v>
      </c>
      <c r="R131" t="s">
        <v>17</v>
      </c>
      <c r="S131" t="s">
        <v>2032</v>
      </c>
      <c r="T131" t="s">
        <v>2033</v>
      </c>
    </row>
    <row r="132" spans="1:20" ht="15.75" customHeight="1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>Table1[[#This Row],[pledged]]/Table1[[#This Row],[goal]]</f>
        <v>1.5546875</v>
      </c>
      <c r="G132" t="s">
        <v>20</v>
      </c>
      <c r="H132">
        <v>533</v>
      </c>
      <c r="I132" t="s">
        <v>36</v>
      </c>
      <c r="J132" t="s">
        <v>37</v>
      </c>
      <c r="K132" s="12">
        <f>IF(OR(E132=0, H132=0), 0, E132/H132)</f>
        <v>28.001876172607879</v>
      </c>
      <c r="L132">
        <v>1319605200</v>
      </c>
      <c r="M132" s="10">
        <f>(((L132/60)/60)/24)+DATE(1970,1,1)</f>
        <v>40842.208333333336</v>
      </c>
      <c r="N132">
        <v>1320991200</v>
      </c>
      <c r="O132" s="10">
        <f>(((N132/60)/60)/24)+DATE(1970,1,1)</f>
        <v>40858.25</v>
      </c>
      <c r="P132" t="b">
        <v>0</v>
      </c>
      <c r="Q132" t="b">
        <v>0</v>
      </c>
      <c r="R132" t="s">
        <v>53</v>
      </c>
      <c r="S132" t="s">
        <v>2040</v>
      </c>
      <c r="T132" t="s">
        <v>2043</v>
      </c>
    </row>
    <row r="133" spans="1:20" ht="15.75" customHeight="1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>Table1[[#This Row],[pledged]]/Table1[[#This Row],[goal]]</f>
        <v>1.0085974499089254</v>
      </c>
      <c r="G133" t="s">
        <v>20</v>
      </c>
      <c r="H133">
        <v>2443</v>
      </c>
      <c r="I133" t="s">
        <v>40</v>
      </c>
      <c r="J133" t="s">
        <v>41</v>
      </c>
      <c r="K133" s="12">
        <f>IF(OR(E133=0, H133=0), 0, E133/H133)</f>
        <v>67.996725337699544</v>
      </c>
      <c r="L133">
        <v>1385704800</v>
      </c>
      <c r="M133" s="10">
        <f>(((L133/60)/60)/24)+DATE(1970,1,1)</f>
        <v>41607.25</v>
      </c>
      <c r="N133">
        <v>1386828000</v>
      </c>
      <c r="O133" s="10">
        <f>(((N133/60)/60)/24)+DATE(1970,1,1)</f>
        <v>41620.25</v>
      </c>
      <c r="P133" t="b">
        <v>0</v>
      </c>
      <c r="Q133" t="b">
        <v>0</v>
      </c>
      <c r="R133" t="s">
        <v>28</v>
      </c>
      <c r="S133" t="s">
        <v>2036</v>
      </c>
      <c r="T133" t="s">
        <v>2037</v>
      </c>
    </row>
    <row r="134" spans="1:20" ht="15.75" customHeight="1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>Table1[[#This Row],[pledged]]/Table1[[#This Row],[goal]]</f>
        <v>1.1618181818181819</v>
      </c>
      <c r="G134" t="s">
        <v>20</v>
      </c>
      <c r="H134">
        <v>89</v>
      </c>
      <c r="I134" t="s">
        <v>21</v>
      </c>
      <c r="J134" t="s">
        <v>22</v>
      </c>
      <c r="K134" s="12">
        <f>IF(OR(E134=0, H134=0), 0, E134/H134)</f>
        <v>43.078651685393261</v>
      </c>
      <c r="L134">
        <v>1515736800</v>
      </c>
      <c r="M134" s="10">
        <f>(((L134/60)/60)/24)+DATE(1970,1,1)</f>
        <v>43112.25</v>
      </c>
      <c r="N134">
        <v>1517119200</v>
      </c>
      <c r="O134" s="10">
        <f>(((N134/60)/60)/24)+DATE(1970,1,1)</f>
        <v>43128.25</v>
      </c>
      <c r="P134" t="b">
        <v>0</v>
      </c>
      <c r="Q134" t="b">
        <v>1</v>
      </c>
      <c r="R134" t="s">
        <v>33</v>
      </c>
      <c r="S134" t="s">
        <v>2038</v>
      </c>
      <c r="T134" t="s">
        <v>2039</v>
      </c>
    </row>
    <row r="135" spans="1:20" ht="15.75" customHeight="1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>Table1[[#This Row],[pledged]]/Table1[[#This Row],[goal]]</f>
        <v>3.1077777777777778</v>
      </c>
      <c r="G135" t="s">
        <v>20</v>
      </c>
      <c r="H135">
        <v>159</v>
      </c>
      <c r="I135" t="s">
        <v>21</v>
      </c>
      <c r="J135" t="s">
        <v>22</v>
      </c>
      <c r="K135" s="12">
        <f>IF(OR(E135=0, H135=0), 0, E135/H135)</f>
        <v>87.95597484276729</v>
      </c>
      <c r="L135">
        <v>1313125200</v>
      </c>
      <c r="M135" s="10">
        <f>(((L135/60)/60)/24)+DATE(1970,1,1)</f>
        <v>40767.208333333336</v>
      </c>
      <c r="N135">
        <v>1315026000</v>
      </c>
      <c r="O135" s="10">
        <f>(((N135/60)/60)/24)+DATE(1970,1,1)</f>
        <v>40789.208333333336</v>
      </c>
      <c r="P135" t="b">
        <v>0</v>
      </c>
      <c r="Q135" t="b">
        <v>0</v>
      </c>
      <c r="R135" t="s">
        <v>319</v>
      </c>
      <c r="S135" t="s">
        <v>2034</v>
      </c>
      <c r="T135" t="s">
        <v>2061</v>
      </c>
    </row>
    <row r="136" spans="1:20" ht="15.75" customHeight="1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>Table1[[#This Row],[pledged]]/Table1[[#This Row],[goal]]</f>
        <v>0.89736683417085428</v>
      </c>
      <c r="G136" t="s">
        <v>14</v>
      </c>
      <c r="H136">
        <v>940</v>
      </c>
      <c r="I136" t="s">
        <v>98</v>
      </c>
      <c r="J136" t="s">
        <v>99</v>
      </c>
      <c r="K136" s="12">
        <f>IF(OR(E136=0, H136=0), 0, E136/H136)</f>
        <v>94.987234042553197</v>
      </c>
      <c r="L136">
        <v>1308459600</v>
      </c>
      <c r="M136" s="10">
        <f>(((L136/60)/60)/24)+DATE(1970,1,1)</f>
        <v>40713.208333333336</v>
      </c>
      <c r="N136">
        <v>1312693200</v>
      </c>
      <c r="O136" s="10">
        <f>(((N136/60)/60)/24)+DATE(1970,1,1)</f>
        <v>40762.208333333336</v>
      </c>
      <c r="P136" t="b">
        <v>0</v>
      </c>
      <c r="Q136" t="b">
        <v>1</v>
      </c>
      <c r="R136" t="s">
        <v>42</v>
      </c>
      <c r="S136" t="s">
        <v>2040</v>
      </c>
      <c r="T136" t="s">
        <v>2041</v>
      </c>
    </row>
    <row r="137" spans="1:20" ht="15.75" customHeight="1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>Table1[[#This Row],[pledged]]/Table1[[#This Row],[goal]]</f>
        <v>0.71272727272727276</v>
      </c>
      <c r="G137" t="s">
        <v>14</v>
      </c>
      <c r="H137">
        <v>117</v>
      </c>
      <c r="I137" t="s">
        <v>21</v>
      </c>
      <c r="J137" t="s">
        <v>22</v>
      </c>
      <c r="K137" s="12">
        <f>IF(OR(E137=0, H137=0), 0, E137/H137)</f>
        <v>46.905982905982903</v>
      </c>
      <c r="L137">
        <v>1362636000</v>
      </c>
      <c r="M137" s="10">
        <f>(((L137/60)/60)/24)+DATE(1970,1,1)</f>
        <v>41340.25</v>
      </c>
      <c r="N137">
        <v>1363064400</v>
      </c>
      <c r="O137" s="10">
        <f>(((N137/60)/60)/24)+DATE(1970,1,1)</f>
        <v>41345.208333333336</v>
      </c>
      <c r="P137" t="b">
        <v>0</v>
      </c>
      <c r="Q137" t="b">
        <v>1</v>
      </c>
      <c r="R137" t="s">
        <v>33</v>
      </c>
      <c r="S137" t="s">
        <v>2038</v>
      </c>
      <c r="T137" t="s">
        <v>2039</v>
      </c>
    </row>
    <row r="138" spans="1:20" ht="15.75" customHeight="1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>Table1[[#This Row],[pledged]]/Table1[[#This Row],[goal]]</f>
        <v>3.2862318840579711E-2</v>
      </c>
      <c r="G138" t="s">
        <v>74</v>
      </c>
      <c r="H138">
        <v>58</v>
      </c>
      <c r="I138" t="s">
        <v>21</v>
      </c>
      <c r="J138" t="s">
        <v>22</v>
      </c>
      <c r="K138" s="12">
        <f>IF(OR(E138=0, H138=0), 0, E138/H138)</f>
        <v>46.913793103448278</v>
      </c>
      <c r="L138">
        <v>1402117200</v>
      </c>
      <c r="M138" s="10">
        <f>(((L138/60)/60)/24)+DATE(1970,1,1)</f>
        <v>41797.208333333336</v>
      </c>
      <c r="N138">
        <v>1403154000</v>
      </c>
      <c r="O138" s="10">
        <f>(((N138/60)/60)/24)+DATE(1970,1,1)</f>
        <v>41809.208333333336</v>
      </c>
      <c r="P138" t="b">
        <v>0</v>
      </c>
      <c r="Q138" t="b">
        <v>1</v>
      </c>
      <c r="R138" t="s">
        <v>53</v>
      </c>
      <c r="S138" t="s">
        <v>2040</v>
      </c>
      <c r="T138" t="s">
        <v>2043</v>
      </c>
    </row>
    <row r="139" spans="1:20" ht="15.75" customHeight="1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>Table1[[#This Row],[pledged]]/Table1[[#This Row],[goal]]</f>
        <v>2.617777777777778</v>
      </c>
      <c r="G139" t="s">
        <v>20</v>
      </c>
      <c r="H139">
        <v>50</v>
      </c>
      <c r="I139" t="s">
        <v>21</v>
      </c>
      <c r="J139" t="s">
        <v>22</v>
      </c>
      <c r="K139" s="12">
        <f>IF(OR(E139=0, H139=0), 0, E139/H139)</f>
        <v>94.24</v>
      </c>
      <c r="L139">
        <v>1286341200</v>
      </c>
      <c r="M139" s="10">
        <f>(((L139/60)/60)/24)+DATE(1970,1,1)</f>
        <v>40457.208333333336</v>
      </c>
      <c r="N139">
        <v>1286859600</v>
      </c>
      <c r="O139" s="10">
        <f>(((N139/60)/60)/24)+DATE(1970,1,1)</f>
        <v>40463.208333333336</v>
      </c>
      <c r="P139" t="b">
        <v>0</v>
      </c>
      <c r="Q139" t="b">
        <v>0</v>
      </c>
      <c r="R139" t="s">
        <v>68</v>
      </c>
      <c r="S139" t="s">
        <v>2046</v>
      </c>
      <c r="T139" t="s">
        <v>2047</v>
      </c>
    </row>
    <row r="140" spans="1:20" ht="15.75" customHeight="1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>Table1[[#This Row],[pledged]]/Table1[[#This Row],[goal]]</f>
        <v>0.96</v>
      </c>
      <c r="G140" t="s">
        <v>14</v>
      </c>
      <c r="H140">
        <v>115</v>
      </c>
      <c r="I140" t="s">
        <v>21</v>
      </c>
      <c r="J140" t="s">
        <v>22</v>
      </c>
      <c r="K140" s="12">
        <f>IF(OR(E140=0, H140=0), 0, E140/H140)</f>
        <v>80.139130434782615</v>
      </c>
      <c r="L140">
        <v>1348808400</v>
      </c>
      <c r="M140" s="10">
        <f>(((L140/60)/60)/24)+DATE(1970,1,1)</f>
        <v>41180.208333333336</v>
      </c>
      <c r="N140">
        <v>1349326800</v>
      </c>
      <c r="O140" s="10">
        <f>(((N140/60)/60)/24)+DATE(1970,1,1)</f>
        <v>41186.208333333336</v>
      </c>
      <c r="P140" t="b">
        <v>0</v>
      </c>
      <c r="Q140" t="b">
        <v>0</v>
      </c>
      <c r="R140" t="s">
        <v>292</v>
      </c>
      <c r="S140" t="s">
        <v>2049</v>
      </c>
      <c r="T140" t="s">
        <v>2060</v>
      </c>
    </row>
    <row r="141" spans="1:20" ht="15.75" customHeight="1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>Table1[[#This Row],[pledged]]/Table1[[#This Row],[goal]]</f>
        <v>0.20896851248642778</v>
      </c>
      <c r="G141" t="s">
        <v>14</v>
      </c>
      <c r="H141">
        <v>326</v>
      </c>
      <c r="I141" t="s">
        <v>21</v>
      </c>
      <c r="J141" t="s">
        <v>22</v>
      </c>
      <c r="K141" s="12">
        <f>IF(OR(E141=0, H141=0), 0, E141/H141)</f>
        <v>59.036809815950917</v>
      </c>
      <c r="L141">
        <v>1429592400</v>
      </c>
      <c r="M141" s="10">
        <f>(((L141/60)/60)/24)+DATE(1970,1,1)</f>
        <v>42115.208333333328</v>
      </c>
      <c r="N141">
        <v>1430974800</v>
      </c>
      <c r="O141" s="10">
        <f>(((N141/60)/60)/24)+DATE(1970,1,1)</f>
        <v>42131.208333333328</v>
      </c>
      <c r="P141" t="b">
        <v>0</v>
      </c>
      <c r="Q141" t="b">
        <v>1</v>
      </c>
      <c r="R141" t="s">
        <v>65</v>
      </c>
      <c r="S141" t="s">
        <v>2036</v>
      </c>
      <c r="T141" t="s">
        <v>2045</v>
      </c>
    </row>
    <row r="142" spans="1:20" ht="15.75" customHeight="1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>Table1[[#This Row],[pledged]]/Table1[[#This Row],[goal]]</f>
        <v>2.2316363636363636</v>
      </c>
      <c r="G142" t="s">
        <v>20</v>
      </c>
      <c r="H142">
        <v>186</v>
      </c>
      <c r="I142" t="s">
        <v>21</v>
      </c>
      <c r="J142" t="s">
        <v>22</v>
      </c>
      <c r="K142" s="12">
        <f>IF(OR(E142=0, H142=0), 0, E142/H142)</f>
        <v>65.989247311827953</v>
      </c>
      <c r="L142">
        <v>1519538400</v>
      </c>
      <c r="M142" s="10">
        <f>(((L142/60)/60)/24)+DATE(1970,1,1)</f>
        <v>43156.25</v>
      </c>
      <c r="N142">
        <v>1519970400</v>
      </c>
      <c r="O142" s="10">
        <f>(((N142/60)/60)/24)+DATE(1970,1,1)</f>
        <v>43161.25</v>
      </c>
      <c r="P142" t="b">
        <v>0</v>
      </c>
      <c r="Q142" t="b">
        <v>0</v>
      </c>
      <c r="R142" t="s">
        <v>42</v>
      </c>
      <c r="S142" t="s">
        <v>2040</v>
      </c>
      <c r="T142" t="s">
        <v>2041</v>
      </c>
    </row>
    <row r="143" spans="1:20" ht="15.75" customHeight="1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>Table1[[#This Row],[pledged]]/Table1[[#This Row],[goal]]</f>
        <v>1.0159097978227061</v>
      </c>
      <c r="G143" t="s">
        <v>20</v>
      </c>
      <c r="H143">
        <v>1071</v>
      </c>
      <c r="I143" t="s">
        <v>21</v>
      </c>
      <c r="J143" t="s">
        <v>22</v>
      </c>
      <c r="K143" s="12">
        <f>IF(OR(E143=0, H143=0), 0, E143/H143)</f>
        <v>60.992530345471522</v>
      </c>
      <c r="L143">
        <v>1434085200</v>
      </c>
      <c r="M143" s="10">
        <f>(((L143/60)/60)/24)+DATE(1970,1,1)</f>
        <v>42167.208333333328</v>
      </c>
      <c r="N143">
        <v>1434603600</v>
      </c>
      <c r="O143" s="10">
        <f>(((N143/60)/60)/24)+DATE(1970,1,1)</f>
        <v>42173.208333333328</v>
      </c>
      <c r="P143" t="b">
        <v>0</v>
      </c>
      <c r="Q143" t="b">
        <v>0</v>
      </c>
      <c r="R143" t="s">
        <v>28</v>
      </c>
      <c r="S143" t="s">
        <v>2036</v>
      </c>
      <c r="T143" t="s">
        <v>2037</v>
      </c>
    </row>
    <row r="144" spans="1:20" ht="15.75" customHeight="1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>Table1[[#This Row],[pledged]]/Table1[[#This Row],[goal]]</f>
        <v>2.3003999999999998</v>
      </c>
      <c r="G144" t="s">
        <v>20</v>
      </c>
      <c r="H144">
        <v>117</v>
      </c>
      <c r="I144" t="s">
        <v>21</v>
      </c>
      <c r="J144" t="s">
        <v>22</v>
      </c>
      <c r="K144" s="12">
        <f>IF(OR(E144=0, H144=0), 0, E144/H144)</f>
        <v>98.307692307692307</v>
      </c>
      <c r="L144">
        <v>1333688400</v>
      </c>
      <c r="M144" s="10">
        <f>(((L144/60)/60)/24)+DATE(1970,1,1)</f>
        <v>41005.208333333336</v>
      </c>
      <c r="N144">
        <v>1337230800</v>
      </c>
      <c r="O144" s="10">
        <f>(((N144/60)/60)/24)+DATE(1970,1,1)</f>
        <v>41046.208333333336</v>
      </c>
      <c r="P144" t="b">
        <v>0</v>
      </c>
      <c r="Q144" t="b">
        <v>0</v>
      </c>
      <c r="R144" t="s">
        <v>28</v>
      </c>
      <c r="S144" t="s">
        <v>2036</v>
      </c>
      <c r="T144" t="s">
        <v>2037</v>
      </c>
    </row>
    <row r="145" spans="1:20" ht="15.75" customHeight="1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>Table1[[#This Row],[pledged]]/Table1[[#This Row],[goal]]</f>
        <v>1.355925925925926</v>
      </c>
      <c r="G145" t="s">
        <v>20</v>
      </c>
      <c r="H145">
        <v>70</v>
      </c>
      <c r="I145" t="s">
        <v>21</v>
      </c>
      <c r="J145" t="s">
        <v>22</v>
      </c>
      <c r="K145" s="12">
        <f>IF(OR(E145=0, H145=0), 0, E145/H145)</f>
        <v>104.6</v>
      </c>
      <c r="L145">
        <v>1277701200</v>
      </c>
      <c r="M145" s="10">
        <f>(((L145/60)/60)/24)+DATE(1970,1,1)</f>
        <v>40357.208333333336</v>
      </c>
      <c r="N145">
        <v>1279429200</v>
      </c>
      <c r="O145" s="10">
        <f>(((N145/60)/60)/24)+DATE(1970,1,1)</f>
        <v>40377.208333333336</v>
      </c>
      <c r="P145" t="b">
        <v>0</v>
      </c>
      <c r="Q145" t="b">
        <v>0</v>
      </c>
      <c r="R145" t="s">
        <v>60</v>
      </c>
      <c r="S145" t="s">
        <v>2034</v>
      </c>
      <c r="T145" t="s">
        <v>2044</v>
      </c>
    </row>
    <row r="146" spans="1:20" ht="15.75" customHeight="1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>Table1[[#This Row],[pledged]]/Table1[[#This Row],[goal]]</f>
        <v>1.2909999999999999</v>
      </c>
      <c r="G146" t="s">
        <v>20</v>
      </c>
      <c r="H146">
        <v>135</v>
      </c>
      <c r="I146" t="s">
        <v>21</v>
      </c>
      <c r="J146" t="s">
        <v>22</v>
      </c>
      <c r="K146" s="12">
        <f>IF(OR(E146=0, H146=0), 0, E146/H146)</f>
        <v>86.066666666666663</v>
      </c>
      <c r="L146">
        <v>1560747600</v>
      </c>
      <c r="M146" s="10">
        <f>(((L146/60)/60)/24)+DATE(1970,1,1)</f>
        <v>43633.208333333328</v>
      </c>
      <c r="N146">
        <v>1561438800</v>
      </c>
      <c r="O146" s="10">
        <f>(((N146/60)/60)/24)+DATE(1970,1,1)</f>
        <v>43641.208333333328</v>
      </c>
      <c r="P146" t="b">
        <v>0</v>
      </c>
      <c r="Q146" t="b">
        <v>0</v>
      </c>
      <c r="R146" t="s">
        <v>33</v>
      </c>
      <c r="S146" t="s">
        <v>2038</v>
      </c>
      <c r="T146" t="s">
        <v>2039</v>
      </c>
    </row>
    <row r="147" spans="1:20" ht="15.75" customHeight="1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>Table1[[#This Row],[pledged]]/Table1[[#This Row],[goal]]</f>
        <v>2.3651200000000001</v>
      </c>
      <c r="G147" t="s">
        <v>20</v>
      </c>
      <c r="H147">
        <v>768</v>
      </c>
      <c r="I147" t="s">
        <v>98</v>
      </c>
      <c r="J147" t="s">
        <v>99</v>
      </c>
      <c r="K147" s="12">
        <f>IF(OR(E147=0, H147=0), 0, E147/H147)</f>
        <v>76.989583333333329</v>
      </c>
      <c r="L147">
        <v>1410066000</v>
      </c>
      <c r="M147" s="10">
        <f>(((L147/60)/60)/24)+DATE(1970,1,1)</f>
        <v>41889.208333333336</v>
      </c>
      <c r="N147">
        <v>1410498000</v>
      </c>
      <c r="O147" s="10">
        <f>(((N147/60)/60)/24)+DATE(1970,1,1)</f>
        <v>41894.208333333336</v>
      </c>
      <c r="P147" t="b">
        <v>0</v>
      </c>
      <c r="Q147" t="b">
        <v>0</v>
      </c>
      <c r="R147" t="s">
        <v>65</v>
      </c>
      <c r="S147" t="s">
        <v>2036</v>
      </c>
      <c r="T147" t="s">
        <v>2045</v>
      </c>
    </row>
    <row r="148" spans="1:20" ht="15.75" customHeight="1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>Table1[[#This Row],[pledged]]/Table1[[#This Row],[goal]]</f>
        <v>0.17249999999999999</v>
      </c>
      <c r="G148" t="s">
        <v>74</v>
      </c>
      <c r="H148">
        <v>51</v>
      </c>
      <c r="I148" t="s">
        <v>21</v>
      </c>
      <c r="J148" t="s">
        <v>22</v>
      </c>
      <c r="K148" s="12">
        <f>IF(OR(E148=0, H148=0), 0, E148/H148)</f>
        <v>29.764705882352942</v>
      </c>
      <c r="L148">
        <v>1320732000</v>
      </c>
      <c r="M148" s="10">
        <f>(((L148/60)/60)/24)+DATE(1970,1,1)</f>
        <v>40855.25</v>
      </c>
      <c r="N148">
        <v>1322460000</v>
      </c>
      <c r="O148" s="10">
        <f>(((N148/60)/60)/24)+DATE(1970,1,1)</f>
        <v>40875.25</v>
      </c>
      <c r="P148" t="b">
        <v>0</v>
      </c>
      <c r="Q148" t="b">
        <v>0</v>
      </c>
      <c r="R148" t="s">
        <v>33</v>
      </c>
      <c r="S148" t="s">
        <v>2038</v>
      </c>
      <c r="T148" t="s">
        <v>2039</v>
      </c>
    </row>
    <row r="149" spans="1:20" ht="15.75" customHeight="1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>Table1[[#This Row],[pledged]]/Table1[[#This Row],[goal]]</f>
        <v>1.1249397590361445</v>
      </c>
      <c r="G149" t="s">
        <v>20</v>
      </c>
      <c r="H149">
        <v>199</v>
      </c>
      <c r="I149" t="s">
        <v>21</v>
      </c>
      <c r="J149" t="s">
        <v>22</v>
      </c>
      <c r="K149" s="12">
        <f>IF(OR(E149=0, H149=0), 0, E149/H149)</f>
        <v>46.91959798994975</v>
      </c>
      <c r="L149">
        <v>1465794000</v>
      </c>
      <c r="M149" s="10">
        <f>(((L149/60)/60)/24)+DATE(1970,1,1)</f>
        <v>42534.208333333328</v>
      </c>
      <c r="N149">
        <v>1466312400</v>
      </c>
      <c r="O149" s="10">
        <f>(((N149/60)/60)/24)+DATE(1970,1,1)</f>
        <v>42540.208333333328</v>
      </c>
      <c r="P149" t="b">
        <v>0</v>
      </c>
      <c r="Q149" t="b">
        <v>1</v>
      </c>
      <c r="R149" t="s">
        <v>33</v>
      </c>
      <c r="S149" t="s">
        <v>2038</v>
      </c>
      <c r="T149" t="s">
        <v>2039</v>
      </c>
    </row>
    <row r="150" spans="1:20" ht="15.75" customHeight="1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>Table1[[#This Row],[pledged]]/Table1[[#This Row],[goal]]</f>
        <v>1.2102150537634409</v>
      </c>
      <c r="G150" t="s">
        <v>20</v>
      </c>
      <c r="H150">
        <v>107</v>
      </c>
      <c r="I150" t="s">
        <v>21</v>
      </c>
      <c r="J150" t="s">
        <v>22</v>
      </c>
      <c r="K150" s="12">
        <f>IF(OR(E150=0, H150=0), 0, E150/H150)</f>
        <v>105.18691588785046</v>
      </c>
      <c r="L150">
        <v>1500958800</v>
      </c>
      <c r="M150" s="10">
        <f>(((L150/60)/60)/24)+DATE(1970,1,1)</f>
        <v>42941.208333333328</v>
      </c>
      <c r="N150">
        <v>1501736400</v>
      </c>
      <c r="O150" s="10">
        <f>(((N150/60)/60)/24)+DATE(1970,1,1)</f>
        <v>42950.208333333328</v>
      </c>
      <c r="P150" t="b">
        <v>0</v>
      </c>
      <c r="Q150" t="b">
        <v>0</v>
      </c>
      <c r="R150" t="s">
        <v>65</v>
      </c>
      <c r="S150" t="s">
        <v>2036</v>
      </c>
      <c r="T150" t="s">
        <v>2045</v>
      </c>
    </row>
    <row r="151" spans="1:20" ht="15.75" customHeight="1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>Table1[[#This Row],[pledged]]/Table1[[#This Row],[goal]]</f>
        <v>2.1987096774193549</v>
      </c>
      <c r="G151" t="s">
        <v>20</v>
      </c>
      <c r="H151">
        <v>195</v>
      </c>
      <c r="I151" t="s">
        <v>21</v>
      </c>
      <c r="J151" t="s">
        <v>22</v>
      </c>
      <c r="K151" s="12">
        <f>IF(OR(E151=0, H151=0), 0, E151/H151)</f>
        <v>69.907692307692301</v>
      </c>
      <c r="L151">
        <v>1357020000</v>
      </c>
      <c r="M151" s="10">
        <f>(((L151/60)/60)/24)+DATE(1970,1,1)</f>
        <v>41275.25</v>
      </c>
      <c r="N151">
        <v>1361512800</v>
      </c>
      <c r="O151" s="10">
        <f>(((N151/60)/60)/24)+DATE(1970,1,1)</f>
        <v>41327.25</v>
      </c>
      <c r="P151" t="b">
        <v>0</v>
      </c>
      <c r="Q151" t="b">
        <v>0</v>
      </c>
      <c r="R151" t="s">
        <v>60</v>
      </c>
      <c r="S151" t="s">
        <v>2034</v>
      </c>
      <c r="T151" t="s">
        <v>2044</v>
      </c>
    </row>
    <row r="152" spans="1:20" ht="15.75" customHeight="1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>Table1[[#This Row],[pledged]]/Table1[[#This Row],[goal]]</f>
        <v>0.01</v>
      </c>
      <c r="G152" t="s">
        <v>14</v>
      </c>
      <c r="H152">
        <v>1</v>
      </c>
      <c r="I152" t="s">
        <v>21</v>
      </c>
      <c r="J152" t="s">
        <v>22</v>
      </c>
      <c r="K152" s="12">
        <f>IF(OR(E152=0, H152=0), 0, E152/H152)</f>
        <v>1</v>
      </c>
      <c r="L152">
        <v>1544940000</v>
      </c>
      <c r="M152" s="10">
        <f>(((L152/60)/60)/24)+DATE(1970,1,1)</f>
        <v>43450.25</v>
      </c>
      <c r="N152">
        <v>1545026400</v>
      </c>
      <c r="O152" s="10">
        <f>(((N152/60)/60)/24)+DATE(1970,1,1)</f>
        <v>43451.25</v>
      </c>
      <c r="P152" t="b">
        <v>0</v>
      </c>
      <c r="Q152" t="b">
        <v>0</v>
      </c>
      <c r="R152" t="s">
        <v>23</v>
      </c>
      <c r="S152" t="s">
        <v>2034</v>
      </c>
      <c r="T152" t="s">
        <v>2035</v>
      </c>
    </row>
    <row r="153" spans="1:20" ht="15.75" customHeight="1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>Table1[[#This Row],[pledged]]/Table1[[#This Row],[goal]]</f>
        <v>0.64166909620991253</v>
      </c>
      <c r="G153" t="s">
        <v>14</v>
      </c>
      <c r="H153">
        <v>1467</v>
      </c>
      <c r="I153" t="s">
        <v>21</v>
      </c>
      <c r="J153" t="s">
        <v>22</v>
      </c>
      <c r="K153" s="12">
        <f>IF(OR(E153=0, H153=0), 0, E153/H153)</f>
        <v>60.011588275391958</v>
      </c>
      <c r="L153">
        <v>1402290000</v>
      </c>
      <c r="M153" s="10">
        <f>(((L153/60)/60)/24)+DATE(1970,1,1)</f>
        <v>41799.208333333336</v>
      </c>
      <c r="N153">
        <v>1406696400</v>
      </c>
      <c r="O153" s="10">
        <f>(((N153/60)/60)/24)+DATE(1970,1,1)</f>
        <v>41850.208333333336</v>
      </c>
      <c r="P153" t="b">
        <v>0</v>
      </c>
      <c r="Q153" t="b">
        <v>0</v>
      </c>
      <c r="R153" t="s">
        <v>50</v>
      </c>
      <c r="S153" t="s">
        <v>2034</v>
      </c>
      <c r="T153" t="s">
        <v>2042</v>
      </c>
    </row>
    <row r="154" spans="1:20" ht="15.75" customHeight="1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>Table1[[#This Row],[pledged]]/Table1[[#This Row],[goal]]</f>
        <v>4.2306746987951804</v>
      </c>
      <c r="G154" t="s">
        <v>20</v>
      </c>
      <c r="H154">
        <v>3376</v>
      </c>
      <c r="I154" t="s">
        <v>21</v>
      </c>
      <c r="J154" t="s">
        <v>22</v>
      </c>
      <c r="K154" s="12">
        <f>IF(OR(E154=0, H154=0), 0, E154/H154)</f>
        <v>52.006220379146917</v>
      </c>
      <c r="L154">
        <v>1487311200</v>
      </c>
      <c r="M154" s="10">
        <f>(((L154/60)/60)/24)+DATE(1970,1,1)</f>
        <v>42783.25</v>
      </c>
      <c r="N154">
        <v>1487916000</v>
      </c>
      <c r="O154" s="10">
        <f>(((N154/60)/60)/24)+DATE(1970,1,1)</f>
        <v>42790.25</v>
      </c>
      <c r="P154" t="b">
        <v>0</v>
      </c>
      <c r="Q154" t="b">
        <v>0</v>
      </c>
      <c r="R154" t="s">
        <v>60</v>
      </c>
      <c r="S154" t="s">
        <v>2034</v>
      </c>
      <c r="T154" t="s">
        <v>2044</v>
      </c>
    </row>
    <row r="155" spans="1:20" ht="15.75" customHeight="1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>Table1[[#This Row],[pledged]]/Table1[[#This Row],[goal]]</f>
        <v>0.92984160506863778</v>
      </c>
      <c r="G155" t="s">
        <v>14</v>
      </c>
      <c r="H155">
        <v>5681</v>
      </c>
      <c r="I155" t="s">
        <v>21</v>
      </c>
      <c r="J155" t="s">
        <v>22</v>
      </c>
      <c r="K155" s="12">
        <f>IF(OR(E155=0, H155=0), 0, E155/H155)</f>
        <v>31.000176025347649</v>
      </c>
      <c r="L155">
        <v>1350622800</v>
      </c>
      <c r="M155" s="10">
        <f>(((L155/60)/60)/24)+DATE(1970,1,1)</f>
        <v>41201.208333333336</v>
      </c>
      <c r="N155">
        <v>1351141200</v>
      </c>
      <c r="O155" s="10">
        <f>(((N155/60)/60)/24)+DATE(1970,1,1)</f>
        <v>41207.208333333336</v>
      </c>
      <c r="P155" t="b">
        <v>0</v>
      </c>
      <c r="Q155" t="b">
        <v>0</v>
      </c>
      <c r="R155" t="s">
        <v>33</v>
      </c>
      <c r="S155" t="s">
        <v>2038</v>
      </c>
      <c r="T155" t="s">
        <v>2039</v>
      </c>
    </row>
    <row r="156" spans="1:20" ht="15.75" customHeight="1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>Table1[[#This Row],[pledged]]/Table1[[#This Row],[goal]]</f>
        <v>0.58756567425569173</v>
      </c>
      <c r="G156" t="s">
        <v>14</v>
      </c>
      <c r="H156">
        <v>1059</v>
      </c>
      <c r="I156" t="s">
        <v>21</v>
      </c>
      <c r="J156" t="s">
        <v>22</v>
      </c>
      <c r="K156" s="12">
        <f>IF(OR(E156=0, H156=0), 0, E156/H156)</f>
        <v>95.042492917847028</v>
      </c>
      <c r="L156">
        <v>1463029200</v>
      </c>
      <c r="M156" s="10">
        <f>(((L156/60)/60)/24)+DATE(1970,1,1)</f>
        <v>42502.208333333328</v>
      </c>
      <c r="N156">
        <v>1465016400</v>
      </c>
      <c r="O156" s="10">
        <f>(((N156/60)/60)/24)+DATE(1970,1,1)</f>
        <v>42525.208333333328</v>
      </c>
      <c r="P156" t="b">
        <v>0</v>
      </c>
      <c r="Q156" t="b">
        <v>1</v>
      </c>
      <c r="R156" t="s">
        <v>60</v>
      </c>
      <c r="S156" t="s">
        <v>2034</v>
      </c>
      <c r="T156" t="s">
        <v>2044</v>
      </c>
    </row>
    <row r="157" spans="1:20" ht="15.75" customHeight="1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>Table1[[#This Row],[pledged]]/Table1[[#This Row],[goal]]</f>
        <v>0.65022222222222226</v>
      </c>
      <c r="G157" t="s">
        <v>14</v>
      </c>
      <c r="H157">
        <v>1194</v>
      </c>
      <c r="I157" t="s">
        <v>21</v>
      </c>
      <c r="J157" t="s">
        <v>22</v>
      </c>
      <c r="K157" s="12">
        <f>IF(OR(E157=0, H157=0), 0, E157/H157)</f>
        <v>75.968174204355108</v>
      </c>
      <c r="L157">
        <v>1269493200</v>
      </c>
      <c r="M157" s="10">
        <f>(((L157/60)/60)/24)+DATE(1970,1,1)</f>
        <v>40262.208333333336</v>
      </c>
      <c r="N157">
        <v>1270789200</v>
      </c>
      <c r="O157" s="10">
        <f>(((N157/60)/60)/24)+DATE(1970,1,1)</f>
        <v>40277.208333333336</v>
      </c>
      <c r="P157" t="b">
        <v>0</v>
      </c>
      <c r="Q157" t="b">
        <v>0</v>
      </c>
      <c r="R157" t="s">
        <v>33</v>
      </c>
      <c r="S157" t="s">
        <v>2038</v>
      </c>
      <c r="T157" t="s">
        <v>2039</v>
      </c>
    </row>
    <row r="158" spans="1:20" ht="15.75" customHeight="1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>Table1[[#This Row],[pledged]]/Table1[[#This Row],[goal]]</f>
        <v>0.73939560439560437</v>
      </c>
      <c r="G158" t="s">
        <v>74</v>
      </c>
      <c r="H158">
        <v>379</v>
      </c>
      <c r="I158" t="s">
        <v>26</v>
      </c>
      <c r="J158" t="s">
        <v>27</v>
      </c>
      <c r="K158" s="12">
        <f>IF(OR(E158=0, H158=0), 0, E158/H158)</f>
        <v>71.013192612137203</v>
      </c>
      <c r="L158">
        <v>1570251600</v>
      </c>
      <c r="M158" s="10">
        <f>(((L158/60)/60)/24)+DATE(1970,1,1)</f>
        <v>43743.208333333328</v>
      </c>
      <c r="N158">
        <v>1572325200</v>
      </c>
      <c r="O158" s="10">
        <f>(((N158/60)/60)/24)+DATE(1970,1,1)</f>
        <v>43767.208333333328</v>
      </c>
      <c r="P158" t="b">
        <v>0</v>
      </c>
      <c r="Q158" t="b">
        <v>0</v>
      </c>
      <c r="R158" t="s">
        <v>23</v>
      </c>
      <c r="S158" t="s">
        <v>2034</v>
      </c>
      <c r="T158" t="s">
        <v>2035</v>
      </c>
    </row>
    <row r="159" spans="1:20" ht="15.75" customHeight="1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>Table1[[#This Row],[pledged]]/Table1[[#This Row],[goal]]</f>
        <v>0.52666666666666662</v>
      </c>
      <c r="G159" t="s">
        <v>14</v>
      </c>
      <c r="H159">
        <v>30</v>
      </c>
      <c r="I159" t="s">
        <v>26</v>
      </c>
      <c r="J159" t="s">
        <v>27</v>
      </c>
      <c r="K159" s="12">
        <f>IF(OR(E159=0, H159=0), 0, E159/H159)</f>
        <v>73.733333333333334</v>
      </c>
      <c r="L159">
        <v>1388383200</v>
      </c>
      <c r="M159" s="10">
        <f>(((L159/60)/60)/24)+DATE(1970,1,1)</f>
        <v>41638.25</v>
      </c>
      <c r="N159">
        <v>1389420000</v>
      </c>
      <c r="O159" s="10">
        <f>(((N159/60)/60)/24)+DATE(1970,1,1)</f>
        <v>41650.25</v>
      </c>
      <c r="P159" t="b">
        <v>0</v>
      </c>
      <c r="Q159" t="b">
        <v>0</v>
      </c>
      <c r="R159" t="s">
        <v>122</v>
      </c>
      <c r="S159" t="s">
        <v>2053</v>
      </c>
      <c r="T159" t="s">
        <v>2054</v>
      </c>
    </row>
    <row r="160" spans="1:20" ht="15.75" customHeight="1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>Table1[[#This Row],[pledged]]/Table1[[#This Row],[goal]]</f>
        <v>2.2095238095238097</v>
      </c>
      <c r="G160" t="s">
        <v>20</v>
      </c>
      <c r="H160">
        <v>41</v>
      </c>
      <c r="I160" t="s">
        <v>21</v>
      </c>
      <c r="J160" t="s">
        <v>22</v>
      </c>
      <c r="K160" s="12">
        <f>IF(OR(E160=0, H160=0), 0, E160/H160)</f>
        <v>113.17073170731707</v>
      </c>
      <c r="L160">
        <v>1449554400</v>
      </c>
      <c r="M160" s="10">
        <f>(((L160/60)/60)/24)+DATE(1970,1,1)</f>
        <v>42346.25</v>
      </c>
      <c r="N160">
        <v>1449640800</v>
      </c>
      <c r="O160" s="10">
        <f>(((N160/60)/60)/24)+DATE(1970,1,1)</f>
        <v>42347.25</v>
      </c>
      <c r="P160" t="b">
        <v>0</v>
      </c>
      <c r="Q160" t="b">
        <v>0</v>
      </c>
      <c r="R160" t="s">
        <v>23</v>
      </c>
      <c r="S160" t="s">
        <v>2034</v>
      </c>
      <c r="T160" t="s">
        <v>2035</v>
      </c>
    </row>
    <row r="161" spans="1:20" ht="15.75" customHeight="1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>Table1[[#This Row],[pledged]]/Table1[[#This Row],[goal]]</f>
        <v>1.0001150627615063</v>
      </c>
      <c r="G161" t="s">
        <v>20</v>
      </c>
      <c r="H161">
        <v>1821</v>
      </c>
      <c r="I161" t="s">
        <v>21</v>
      </c>
      <c r="J161" t="s">
        <v>22</v>
      </c>
      <c r="K161" s="12">
        <f>IF(OR(E161=0, H161=0), 0, E161/H161)</f>
        <v>105.00933552992861</v>
      </c>
      <c r="L161">
        <v>1553662800</v>
      </c>
      <c r="M161" s="10">
        <f>(((L161/60)/60)/24)+DATE(1970,1,1)</f>
        <v>43551.208333333328</v>
      </c>
      <c r="N161">
        <v>1555218000</v>
      </c>
      <c r="O161" s="10">
        <f>(((N161/60)/60)/24)+DATE(1970,1,1)</f>
        <v>43569.208333333328</v>
      </c>
      <c r="P161" t="b">
        <v>0</v>
      </c>
      <c r="Q161" t="b">
        <v>1</v>
      </c>
      <c r="R161" t="s">
        <v>33</v>
      </c>
      <c r="S161" t="s">
        <v>2038</v>
      </c>
      <c r="T161" t="s">
        <v>2039</v>
      </c>
    </row>
    <row r="162" spans="1:20" ht="15.75" customHeight="1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>Table1[[#This Row],[pledged]]/Table1[[#This Row],[goal]]</f>
        <v>1.6231249999999999</v>
      </c>
      <c r="G162" t="s">
        <v>20</v>
      </c>
      <c r="H162">
        <v>164</v>
      </c>
      <c r="I162" t="s">
        <v>21</v>
      </c>
      <c r="J162" t="s">
        <v>22</v>
      </c>
      <c r="K162" s="12">
        <f>IF(OR(E162=0, H162=0), 0, E162/H162)</f>
        <v>79.176829268292678</v>
      </c>
      <c r="L162">
        <v>1556341200</v>
      </c>
      <c r="M162" s="10">
        <f>(((L162/60)/60)/24)+DATE(1970,1,1)</f>
        <v>43582.208333333328</v>
      </c>
      <c r="N162">
        <v>1557723600</v>
      </c>
      <c r="O162" s="10">
        <f>(((N162/60)/60)/24)+DATE(1970,1,1)</f>
        <v>43598.208333333328</v>
      </c>
      <c r="P162" t="b">
        <v>0</v>
      </c>
      <c r="Q162" t="b">
        <v>0</v>
      </c>
      <c r="R162" t="s">
        <v>65</v>
      </c>
      <c r="S162" t="s">
        <v>2036</v>
      </c>
      <c r="T162" t="s">
        <v>2045</v>
      </c>
    </row>
    <row r="163" spans="1:20" ht="15.75" customHeight="1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>Table1[[#This Row],[pledged]]/Table1[[#This Row],[goal]]</f>
        <v>0.78181818181818186</v>
      </c>
      <c r="G163" t="s">
        <v>14</v>
      </c>
      <c r="H163">
        <v>75</v>
      </c>
      <c r="I163" t="s">
        <v>21</v>
      </c>
      <c r="J163" t="s">
        <v>22</v>
      </c>
      <c r="K163" s="12">
        <f>IF(OR(E163=0, H163=0), 0, E163/H163)</f>
        <v>57.333333333333336</v>
      </c>
      <c r="L163">
        <v>1442984400</v>
      </c>
      <c r="M163" s="10">
        <f>(((L163/60)/60)/24)+DATE(1970,1,1)</f>
        <v>42270.208333333328</v>
      </c>
      <c r="N163">
        <v>1443502800</v>
      </c>
      <c r="O163" s="10">
        <f>(((N163/60)/60)/24)+DATE(1970,1,1)</f>
        <v>42276.208333333328</v>
      </c>
      <c r="P163" t="b">
        <v>0</v>
      </c>
      <c r="Q163" t="b">
        <v>1</v>
      </c>
      <c r="R163" t="s">
        <v>28</v>
      </c>
      <c r="S163" t="s">
        <v>2036</v>
      </c>
      <c r="T163" t="s">
        <v>2037</v>
      </c>
    </row>
    <row r="164" spans="1:20" ht="15.75" customHeight="1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>Table1[[#This Row],[pledged]]/Table1[[#This Row],[goal]]</f>
        <v>1.4973770491803278</v>
      </c>
      <c r="G164" t="s">
        <v>20</v>
      </c>
      <c r="H164">
        <v>157</v>
      </c>
      <c r="I164" t="s">
        <v>98</v>
      </c>
      <c r="J164" t="s">
        <v>99</v>
      </c>
      <c r="K164" s="12">
        <f>IF(OR(E164=0, H164=0), 0, E164/H164)</f>
        <v>58.178343949044589</v>
      </c>
      <c r="L164">
        <v>1544248800</v>
      </c>
      <c r="M164" s="10">
        <f>(((L164/60)/60)/24)+DATE(1970,1,1)</f>
        <v>43442.25</v>
      </c>
      <c r="N164">
        <v>1546840800</v>
      </c>
      <c r="O164" s="10">
        <f>(((N164/60)/60)/24)+DATE(1970,1,1)</f>
        <v>43472.25</v>
      </c>
      <c r="P164" t="b">
        <v>0</v>
      </c>
      <c r="Q164" t="b">
        <v>0</v>
      </c>
      <c r="R164" t="s">
        <v>23</v>
      </c>
      <c r="S164" t="s">
        <v>2034</v>
      </c>
      <c r="T164" t="s">
        <v>2035</v>
      </c>
    </row>
    <row r="165" spans="1:20" ht="15.75" customHeight="1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>Table1[[#This Row],[pledged]]/Table1[[#This Row],[goal]]</f>
        <v>2.5325714285714285</v>
      </c>
      <c r="G165" t="s">
        <v>20</v>
      </c>
      <c r="H165">
        <v>246</v>
      </c>
      <c r="I165" t="s">
        <v>21</v>
      </c>
      <c r="J165" t="s">
        <v>22</v>
      </c>
      <c r="K165" s="12">
        <f>IF(OR(E165=0, H165=0), 0, E165/H165)</f>
        <v>36.032520325203251</v>
      </c>
      <c r="L165">
        <v>1508475600</v>
      </c>
      <c r="M165" s="10">
        <f>(((L165/60)/60)/24)+DATE(1970,1,1)</f>
        <v>43028.208333333328</v>
      </c>
      <c r="N165">
        <v>1512712800</v>
      </c>
      <c r="O165" s="10">
        <f>(((N165/60)/60)/24)+DATE(1970,1,1)</f>
        <v>43077.25</v>
      </c>
      <c r="P165" t="b">
        <v>0</v>
      </c>
      <c r="Q165" t="b">
        <v>1</v>
      </c>
      <c r="R165" t="s">
        <v>122</v>
      </c>
      <c r="S165" t="s">
        <v>2053</v>
      </c>
      <c r="T165" t="s">
        <v>2054</v>
      </c>
    </row>
    <row r="166" spans="1:20" ht="15.75" customHeight="1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>Table1[[#This Row],[pledged]]/Table1[[#This Row],[goal]]</f>
        <v>1.0016943521594683</v>
      </c>
      <c r="G166" t="s">
        <v>20</v>
      </c>
      <c r="H166">
        <v>1396</v>
      </c>
      <c r="I166" t="s">
        <v>21</v>
      </c>
      <c r="J166" t="s">
        <v>22</v>
      </c>
      <c r="K166" s="12">
        <f>IF(OR(E166=0, H166=0), 0, E166/H166)</f>
        <v>107.99068767908309</v>
      </c>
      <c r="L166">
        <v>1507438800</v>
      </c>
      <c r="M166" s="10">
        <f>(((L166/60)/60)/24)+DATE(1970,1,1)</f>
        <v>43016.208333333328</v>
      </c>
      <c r="N166">
        <v>1507525200</v>
      </c>
      <c r="O166" s="10">
        <f>(((N166/60)/60)/24)+DATE(1970,1,1)</f>
        <v>43017.208333333328</v>
      </c>
      <c r="P166" t="b">
        <v>0</v>
      </c>
      <c r="Q166" t="b">
        <v>0</v>
      </c>
      <c r="R166" t="s">
        <v>33</v>
      </c>
      <c r="S166" t="s">
        <v>2038</v>
      </c>
      <c r="T166" t="s">
        <v>2039</v>
      </c>
    </row>
    <row r="167" spans="1:20" ht="15.75" customHeight="1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>Table1[[#This Row],[pledged]]/Table1[[#This Row],[goal]]</f>
        <v>1.2199004424778761</v>
      </c>
      <c r="G167" t="s">
        <v>20</v>
      </c>
      <c r="H167">
        <v>2506</v>
      </c>
      <c r="I167" t="s">
        <v>21</v>
      </c>
      <c r="J167" t="s">
        <v>22</v>
      </c>
      <c r="K167" s="12">
        <f>IF(OR(E167=0, H167=0), 0, E167/H167)</f>
        <v>44.005985634477256</v>
      </c>
      <c r="L167">
        <v>1501563600</v>
      </c>
      <c r="M167" s="10">
        <f>(((L167/60)/60)/24)+DATE(1970,1,1)</f>
        <v>42948.208333333328</v>
      </c>
      <c r="N167">
        <v>1504328400</v>
      </c>
      <c r="O167" s="10">
        <f>(((N167/60)/60)/24)+DATE(1970,1,1)</f>
        <v>42980.208333333328</v>
      </c>
      <c r="P167" t="b">
        <v>0</v>
      </c>
      <c r="Q167" t="b">
        <v>0</v>
      </c>
      <c r="R167" t="s">
        <v>28</v>
      </c>
      <c r="S167" t="s">
        <v>2036</v>
      </c>
      <c r="T167" t="s">
        <v>2037</v>
      </c>
    </row>
    <row r="168" spans="1:20" ht="15.75" customHeight="1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>Table1[[#This Row],[pledged]]/Table1[[#This Row],[goal]]</f>
        <v>1.3713265306122449</v>
      </c>
      <c r="G168" t="s">
        <v>20</v>
      </c>
      <c r="H168">
        <v>244</v>
      </c>
      <c r="I168" t="s">
        <v>21</v>
      </c>
      <c r="J168" t="s">
        <v>22</v>
      </c>
      <c r="K168" s="12">
        <f>IF(OR(E168=0, H168=0), 0, E168/H168)</f>
        <v>55.077868852459019</v>
      </c>
      <c r="L168">
        <v>1292997600</v>
      </c>
      <c r="M168" s="10">
        <f>(((L168/60)/60)/24)+DATE(1970,1,1)</f>
        <v>40534.25</v>
      </c>
      <c r="N168">
        <v>1293343200</v>
      </c>
      <c r="O168" s="10">
        <f>(((N168/60)/60)/24)+DATE(1970,1,1)</f>
        <v>40538.25</v>
      </c>
      <c r="P168" t="b">
        <v>0</v>
      </c>
      <c r="Q168" t="b">
        <v>0</v>
      </c>
      <c r="R168" t="s">
        <v>122</v>
      </c>
      <c r="S168" t="s">
        <v>2053</v>
      </c>
      <c r="T168" t="s">
        <v>2054</v>
      </c>
    </row>
    <row r="169" spans="1:20" ht="15.75" customHeight="1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>Table1[[#This Row],[pledged]]/Table1[[#This Row],[goal]]</f>
        <v>4.155384615384615</v>
      </c>
      <c r="G169" t="s">
        <v>20</v>
      </c>
      <c r="H169">
        <v>146</v>
      </c>
      <c r="I169" t="s">
        <v>26</v>
      </c>
      <c r="J169" t="s">
        <v>27</v>
      </c>
      <c r="K169" s="12">
        <f>IF(OR(E169=0, H169=0), 0, E169/H169)</f>
        <v>74</v>
      </c>
      <c r="L169">
        <v>1370840400</v>
      </c>
      <c r="M169" s="10">
        <f>(((L169/60)/60)/24)+DATE(1970,1,1)</f>
        <v>41435.208333333336</v>
      </c>
      <c r="N169">
        <v>1371704400</v>
      </c>
      <c r="O169" s="10">
        <f>(((N169/60)/60)/24)+DATE(1970,1,1)</f>
        <v>41445.208333333336</v>
      </c>
      <c r="P169" t="b">
        <v>0</v>
      </c>
      <c r="Q169" t="b">
        <v>0</v>
      </c>
      <c r="R169" t="s">
        <v>33</v>
      </c>
      <c r="S169" t="s">
        <v>2038</v>
      </c>
      <c r="T169" t="s">
        <v>2039</v>
      </c>
    </row>
    <row r="170" spans="1:20" ht="15.75" customHeight="1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>Table1[[#This Row],[pledged]]/Table1[[#This Row],[goal]]</f>
        <v>0.3130913348946136</v>
      </c>
      <c r="G170" t="s">
        <v>14</v>
      </c>
      <c r="H170">
        <v>955</v>
      </c>
      <c r="I170" t="s">
        <v>36</v>
      </c>
      <c r="J170" t="s">
        <v>37</v>
      </c>
      <c r="K170" s="12">
        <f>IF(OR(E170=0, H170=0), 0, E170/H170)</f>
        <v>41.996858638743454</v>
      </c>
      <c r="L170">
        <v>1550815200</v>
      </c>
      <c r="M170" s="10">
        <f>(((L170/60)/60)/24)+DATE(1970,1,1)</f>
        <v>43518.25</v>
      </c>
      <c r="N170">
        <v>1552798800</v>
      </c>
      <c r="O170" s="10">
        <f>(((N170/60)/60)/24)+DATE(1970,1,1)</f>
        <v>43541.208333333328</v>
      </c>
      <c r="P170" t="b">
        <v>0</v>
      </c>
      <c r="Q170" t="b">
        <v>1</v>
      </c>
      <c r="R170" t="s">
        <v>60</v>
      </c>
      <c r="S170" t="s">
        <v>2034</v>
      </c>
      <c r="T170" t="s">
        <v>2044</v>
      </c>
    </row>
    <row r="171" spans="1:20" ht="15.75" customHeight="1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>Table1[[#This Row],[pledged]]/Table1[[#This Row],[goal]]</f>
        <v>4.240815450643777</v>
      </c>
      <c r="G171" t="s">
        <v>20</v>
      </c>
      <c r="H171">
        <v>1267</v>
      </c>
      <c r="I171" t="s">
        <v>21</v>
      </c>
      <c r="J171" t="s">
        <v>22</v>
      </c>
      <c r="K171" s="12">
        <f>IF(OR(E171=0, H171=0), 0, E171/H171)</f>
        <v>77.988161010260455</v>
      </c>
      <c r="L171">
        <v>1339909200</v>
      </c>
      <c r="M171" s="10">
        <f>(((L171/60)/60)/24)+DATE(1970,1,1)</f>
        <v>41077.208333333336</v>
      </c>
      <c r="N171">
        <v>1342328400</v>
      </c>
      <c r="O171" s="10">
        <f>(((N171/60)/60)/24)+DATE(1970,1,1)</f>
        <v>41105.208333333336</v>
      </c>
      <c r="P171" t="b">
        <v>0</v>
      </c>
      <c r="Q171" t="b">
        <v>1</v>
      </c>
      <c r="R171" t="s">
        <v>100</v>
      </c>
      <c r="S171" t="s">
        <v>2040</v>
      </c>
      <c r="T171" t="s">
        <v>2051</v>
      </c>
    </row>
    <row r="172" spans="1:20" ht="15.75" customHeight="1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>Table1[[#This Row],[pledged]]/Table1[[#This Row],[goal]]</f>
        <v>2.9388623072833599E-2</v>
      </c>
      <c r="G172" t="s">
        <v>14</v>
      </c>
      <c r="H172">
        <v>67</v>
      </c>
      <c r="I172" t="s">
        <v>21</v>
      </c>
      <c r="J172" t="s">
        <v>22</v>
      </c>
      <c r="K172" s="12">
        <f>IF(OR(E172=0, H172=0), 0, E172/H172)</f>
        <v>82.507462686567166</v>
      </c>
      <c r="L172">
        <v>1501736400</v>
      </c>
      <c r="M172" s="10">
        <f>(((L172/60)/60)/24)+DATE(1970,1,1)</f>
        <v>42950.208333333328</v>
      </c>
      <c r="N172">
        <v>1502341200</v>
      </c>
      <c r="O172" s="10">
        <f>(((N172/60)/60)/24)+DATE(1970,1,1)</f>
        <v>42957.208333333328</v>
      </c>
      <c r="P172" t="b">
        <v>0</v>
      </c>
      <c r="Q172" t="b">
        <v>0</v>
      </c>
      <c r="R172" t="s">
        <v>60</v>
      </c>
      <c r="S172" t="s">
        <v>2034</v>
      </c>
      <c r="T172" t="s">
        <v>2044</v>
      </c>
    </row>
    <row r="173" spans="1:20" ht="15.75" customHeight="1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>Table1[[#This Row],[pledged]]/Table1[[#This Row],[goal]]</f>
        <v>0.1063265306122449</v>
      </c>
      <c r="G173" t="s">
        <v>14</v>
      </c>
      <c r="H173">
        <v>5</v>
      </c>
      <c r="I173" t="s">
        <v>21</v>
      </c>
      <c r="J173" t="s">
        <v>22</v>
      </c>
      <c r="K173" s="12">
        <f>IF(OR(E173=0, H173=0), 0, E173/H173)</f>
        <v>104.2</v>
      </c>
      <c r="L173">
        <v>1395291600</v>
      </c>
      <c r="M173" s="10">
        <f>(((L173/60)/60)/24)+DATE(1970,1,1)</f>
        <v>41718.208333333336</v>
      </c>
      <c r="N173">
        <v>1397192400</v>
      </c>
      <c r="O173" s="10">
        <f>(((N173/60)/60)/24)+DATE(1970,1,1)</f>
        <v>41740.208333333336</v>
      </c>
      <c r="P173" t="b">
        <v>0</v>
      </c>
      <c r="Q173" t="b">
        <v>0</v>
      </c>
      <c r="R173" t="s">
        <v>206</v>
      </c>
      <c r="S173" t="s">
        <v>2046</v>
      </c>
      <c r="T173" t="s">
        <v>2058</v>
      </c>
    </row>
    <row r="174" spans="1:20" ht="15.75" customHeight="1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>Table1[[#This Row],[pledged]]/Table1[[#This Row],[goal]]</f>
        <v>0.82874999999999999</v>
      </c>
      <c r="G174" t="s">
        <v>14</v>
      </c>
      <c r="H174">
        <v>26</v>
      </c>
      <c r="I174" t="s">
        <v>21</v>
      </c>
      <c r="J174" t="s">
        <v>22</v>
      </c>
      <c r="K174" s="12">
        <f>IF(OR(E174=0, H174=0), 0, E174/H174)</f>
        <v>25.5</v>
      </c>
      <c r="L174">
        <v>1405746000</v>
      </c>
      <c r="M174" s="10">
        <f>(((L174/60)/60)/24)+DATE(1970,1,1)</f>
        <v>41839.208333333336</v>
      </c>
      <c r="N174">
        <v>1407042000</v>
      </c>
      <c r="O174" s="10">
        <f>(((N174/60)/60)/24)+DATE(1970,1,1)</f>
        <v>41854.208333333336</v>
      </c>
      <c r="P174" t="b">
        <v>0</v>
      </c>
      <c r="Q174" t="b">
        <v>1</v>
      </c>
      <c r="R174" t="s">
        <v>42</v>
      </c>
      <c r="S174" t="s">
        <v>2040</v>
      </c>
      <c r="T174" t="s">
        <v>2041</v>
      </c>
    </row>
    <row r="175" spans="1:20" ht="15.75" customHeight="1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>Table1[[#This Row],[pledged]]/Table1[[#This Row],[goal]]</f>
        <v>1.6301447776628748</v>
      </c>
      <c r="G175" t="s">
        <v>20</v>
      </c>
      <c r="H175">
        <v>1561</v>
      </c>
      <c r="I175" t="s">
        <v>21</v>
      </c>
      <c r="J175" t="s">
        <v>22</v>
      </c>
      <c r="K175" s="12">
        <f>IF(OR(E175=0, H175=0), 0, E175/H175)</f>
        <v>100.98334401024984</v>
      </c>
      <c r="L175">
        <v>1368853200</v>
      </c>
      <c r="M175" s="10">
        <f>(((L175/60)/60)/24)+DATE(1970,1,1)</f>
        <v>41412.208333333336</v>
      </c>
      <c r="N175">
        <v>1369371600</v>
      </c>
      <c r="O175" s="10">
        <f>(((N175/60)/60)/24)+DATE(1970,1,1)</f>
        <v>41418.208333333336</v>
      </c>
      <c r="P175" t="b">
        <v>0</v>
      </c>
      <c r="Q175" t="b">
        <v>0</v>
      </c>
      <c r="R175" t="s">
        <v>33</v>
      </c>
      <c r="S175" t="s">
        <v>2038</v>
      </c>
      <c r="T175" t="s">
        <v>2039</v>
      </c>
    </row>
    <row r="176" spans="1:20" ht="15.75" customHeight="1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>Table1[[#This Row],[pledged]]/Table1[[#This Row],[goal]]</f>
        <v>8.9466666666666672</v>
      </c>
      <c r="G176" t="s">
        <v>20</v>
      </c>
      <c r="H176">
        <v>48</v>
      </c>
      <c r="I176" t="s">
        <v>21</v>
      </c>
      <c r="J176" t="s">
        <v>22</v>
      </c>
      <c r="K176" s="12">
        <f>IF(OR(E176=0, H176=0), 0, E176/H176)</f>
        <v>111.83333333333333</v>
      </c>
      <c r="L176">
        <v>1444021200</v>
      </c>
      <c r="M176" s="10">
        <f>(((L176/60)/60)/24)+DATE(1970,1,1)</f>
        <v>42282.208333333328</v>
      </c>
      <c r="N176">
        <v>1444107600</v>
      </c>
      <c r="O176" s="10">
        <f>(((N176/60)/60)/24)+DATE(1970,1,1)</f>
        <v>42283.208333333328</v>
      </c>
      <c r="P176" t="b">
        <v>0</v>
      </c>
      <c r="Q176" t="b">
        <v>1</v>
      </c>
      <c r="R176" t="s">
        <v>65</v>
      </c>
      <c r="S176" t="s">
        <v>2036</v>
      </c>
      <c r="T176" t="s">
        <v>2045</v>
      </c>
    </row>
    <row r="177" spans="1:20" ht="15.75" customHeight="1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>Table1[[#This Row],[pledged]]/Table1[[#This Row],[goal]]</f>
        <v>0.26191501103752757</v>
      </c>
      <c r="G177" t="s">
        <v>14</v>
      </c>
      <c r="H177">
        <v>1130</v>
      </c>
      <c r="I177" t="s">
        <v>21</v>
      </c>
      <c r="J177" t="s">
        <v>22</v>
      </c>
      <c r="K177" s="12">
        <f>IF(OR(E177=0, H177=0), 0, E177/H177)</f>
        <v>41.999115044247787</v>
      </c>
      <c r="L177">
        <v>1472619600</v>
      </c>
      <c r="M177" s="10">
        <f>(((L177/60)/60)/24)+DATE(1970,1,1)</f>
        <v>42613.208333333328</v>
      </c>
      <c r="N177">
        <v>1474261200</v>
      </c>
      <c r="O177" s="10">
        <f>(((N177/60)/60)/24)+DATE(1970,1,1)</f>
        <v>42632.208333333328</v>
      </c>
      <c r="P177" t="b">
        <v>0</v>
      </c>
      <c r="Q177" t="b">
        <v>0</v>
      </c>
      <c r="R177" t="s">
        <v>33</v>
      </c>
      <c r="S177" t="s">
        <v>2038</v>
      </c>
      <c r="T177" t="s">
        <v>2039</v>
      </c>
    </row>
    <row r="178" spans="1:20" ht="15.75" customHeight="1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>Table1[[#This Row],[pledged]]/Table1[[#This Row],[goal]]</f>
        <v>0.74834782608695649</v>
      </c>
      <c r="G178" t="s">
        <v>14</v>
      </c>
      <c r="H178">
        <v>782</v>
      </c>
      <c r="I178" t="s">
        <v>21</v>
      </c>
      <c r="J178" t="s">
        <v>22</v>
      </c>
      <c r="K178" s="12">
        <f>IF(OR(E178=0, H178=0), 0, E178/H178)</f>
        <v>110.05115089514067</v>
      </c>
      <c r="L178">
        <v>1472878800</v>
      </c>
      <c r="M178" s="10">
        <f>(((L178/60)/60)/24)+DATE(1970,1,1)</f>
        <v>42616.208333333328</v>
      </c>
      <c r="N178">
        <v>1473656400</v>
      </c>
      <c r="O178" s="10">
        <f>(((N178/60)/60)/24)+DATE(1970,1,1)</f>
        <v>42625.208333333328</v>
      </c>
      <c r="P178" t="b">
        <v>0</v>
      </c>
      <c r="Q178" t="b">
        <v>0</v>
      </c>
      <c r="R178" t="s">
        <v>33</v>
      </c>
      <c r="S178" t="s">
        <v>2038</v>
      </c>
      <c r="T178" t="s">
        <v>2039</v>
      </c>
    </row>
    <row r="179" spans="1:20" ht="15.75" customHeight="1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>Table1[[#This Row],[pledged]]/Table1[[#This Row],[goal]]</f>
        <v>4.1647680412371137</v>
      </c>
      <c r="G179" t="s">
        <v>20</v>
      </c>
      <c r="H179">
        <v>2739</v>
      </c>
      <c r="I179" t="s">
        <v>21</v>
      </c>
      <c r="J179" t="s">
        <v>22</v>
      </c>
      <c r="K179" s="12">
        <f>IF(OR(E179=0, H179=0), 0, E179/H179)</f>
        <v>58.997079225994888</v>
      </c>
      <c r="L179">
        <v>1289800800</v>
      </c>
      <c r="M179" s="10">
        <f>(((L179/60)/60)/24)+DATE(1970,1,1)</f>
        <v>40497.25</v>
      </c>
      <c r="N179">
        <v>1291960800</v>
      </c>
      <c r="O179" s="10">
        <f>(((N179/60)/60)/24)+DATE(1970,1,1)</f>
        <v>40522.25</v>
      </c>
      <c r="P179" t="b">
        <v>0</v>
      </c>
      <c r="Q179" t="b">
        <v>0</v>
      </c>
      <c r="R179" t="s">
        <v>33</v>
      </c>
      <c r="S179" t="s">
        <v>2038</v>
      </c>
      <c r="T179" t="s">
        <v>2039</v>
      </c>
    </row>
    <row r="180" spans="1:20" ht="15.75" customHeight="1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>Table1[[#This Row],[pledged]]/Table1[[#This Row],[goal]]</f>
        <v>0.96208333333333329</v>
      </c>
      <c r="G180" t="s">
        <v>14</v>
      </c>
      <c r="H180">
        <v>210</v>
      </c>
      <c r="I180" t="s">
        <v>21</v>
      </c>
      <c r="J180" t="s">
        <v>22</v>
      </c>
      <c r="K180" s="12">
        <f>IF(OR(E180=0, H180=0), 0, E180/H180)</f>
        <v>32.985714285714288</v>
      </c>
      <c r="L180">
        <v>1505970000</v>
      </c>
      <c r="M180" s="10">
        <f>(((L180/60)/60)/24)+DATE(1970,1,1)</f>
        <v>42999.208333333328</v>
      </c>
      <c r="N180">
        <v>1506747600</v>
      </c>
      <c r="O180" s="10">
        <f>(((N180/60)/60)/24)+DATE(1970,1,1)</f>
        <v>43008.208333333328</v>
      </c>
      <c r="P180" t="b">
        <v>0</v>
      </c>
      <c r="Q180" t="b">
        <v>0</v>
      </c>
      <c r="R180" t="s">
        <v>17</v>
      </c>
      <c r="S180" t="s">
        <v>2032</v>
      </c>
      <c r="T180" t="s">
        <v>2033</v>
      </c>
    </row>
    <row r="181" spans="1:20" ht="15.75" customHeight="1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>Table1[[#This Row],[pledged]]/Table1[[#This Row],[goal]]</f>
        <v>3.5771910112359548</v>
      </c>
      <c r="G181" t="s">
        <v>20</v>
      </c>
      <c r="H181">
        <v>3537</v>
      </c>
      <c r="I181" t="s">
        <v>15</v>
      </c>
      <c r="J181" t="s">
        <v>16</v>
      </c>
      <c r="K181" s="12">
        <f>IF(OR(E181=0, H181=0), 0, E181/H181)</f>
        <v>45.005654509471306</v>
      </c>
      <c r="L181">
        <v>1363496400</v>
      </c>
      <c r="M181" s="10">
        <f>(((L181/60)/60)/24)+DATE(1970,1,1)</f>
        <v>41350.208333333336</v>
      </c>
      <c r="N181">
        <v>1363582800</v>
      </c>
      <c r="O181" s="10">
        <f>(((N181/60)/60)/24)+DATE(1970,1,1)</f>
        <v>41351.208333333336</v>
      </c>
      <c r="P181" t="b">
        <v>0</v>
      </c>
      <c r="Q181" t="b">
        <v>1</v>
      </c>
      <c r="R181" t="s">
        <v>33</v>
      </c>
      <c r="S181" t="s">
        <v>2038</v>
      </c>
      <c r="T181" t="s">
        <v>2039</v>
      </c>
    </row>
    <row r="182" spans="1:20" ht="15.75" customHeight="1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>Table1[[#This Row],[pledged]]/Table1[[#This Row],[goal]]</f>
        <v>3.0845714285714285</v>
      </c>
      <c r="G182" t="s">
        <v>20</v>
      </c>
      <c r="H182">
        <v>2107</v>
      </c>
      <c r="I182" t="s">
        <v>26</v>
      </c>
      <c r="J182" t="s">
        <v>27</v>
      </c>
      <c r="K182" s="12">
        <f>IF(OR(E182=0, H182=0), 0, E182/H182)</f>
        <v>81.98196487897485</v>
      </c>
      <c r="L182">
        <v>1269234000</v>
      </c>
      <c r="M182" s="10">
        <f>(((L182/60)/60)/24)+DATE(1970,1,1)</f>
        <v>40259.208333333336</v>
      </c>
      <c r="N182">
        <v>1269666000</v>
      </c>
      <c r="O182" s="10">
        <f>(((N182/60)/60)/24)+DATE(1970,1,1)</f>
        <v>40264.208333333336</v>
      </c>
      <c r="P182" t="b">
        <v>0</v>
      </c>
      <c r="Q182" t="b">
        <v>0</v>
      </c>
      <c r="R182" t="s">
        <v>65</v>
      </c>
      <c r="S182" t="s">
        <v>2036</v>
      </c>
      <c r="T182" t="s">
        <v>2045</v>
      </c>
    </row>
    <row r="183" spans="1:20" ht="15.75" customHeight="1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>Table1[[#This Row],[pledged]]/Table1[[#This Row],[goal]]</f>
        <v>0.61802325581395345</v>
      </c>
      <c r="G183" t="s">
        <v>14</v>
      </c>
      <c r="H183">
        <v>136</v>
      </c>
      <c r="I183" t="s">
        <v>21</v>
      </c>
      <c r="J183" t="s">
        <v>22</v>
      </c>
      <c r="K183" s="12">
        <f>IF(OR(E183=0, H183=0), 0, E183/H183)</f>
        <v>39.080882352941174</v>
      </c>
      <c r="L183">
        <v>1507093200</v>
      </c>
      <c r="M183" s="10">
        <f>(((L183/60)/60)/24)+DATE(1970,1,1)</f>
        <v>43012.208333333328</v>
      </c>
      <c r="N183">
        <v>1508648400</v>
      </c>
      <c r="O183" s="10">
        <f>(((N183/60)/60)/24)+DATE(1970,1,1)</f>
        <v>43030.208333333328</v>
      </c>
      <c r="P183" t="b">
        <v>0</v>
      </c>
      <c r="Q183" t="b">
        <v>0</v>
      </c>
      <c r="R183" t="s">
        <v>28</v>
      </c>
      <c r="S183" t="s">
        <v>2036</v>
      </c>
      <c r="T183" t="s">
        <v>2037</v>
      </c>
    </row>
    <row r="184" spans="1:20" ht="15.75" customHeight="1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>Table1[[#This Row],[pledged]]/Table1[[#This Row],[goal]]</f>
        <v>7.2232472324723247</v>
      </c>
      <c r="G184" t="s">
        <v>20</v>
      </c>
      <c r="H184">
        <v>3318</v>
      </c>
      <c r="I184" t="s">
        <v>36</v>
      </c>
      <c r="J184" t="s">
        <v>37</v>
      </c>
      <c r="K184" s="12">
        <f>IF(OR(E184=0, H184=0), 0, E184/H184)</f>
        <v>58.996383363471971</v>
      </c>
      <c r="L184">
        <v>1560574800</v>
      </c>
      <c r="M184" s="10">
        <f>(((L184/60)/60)/24)+DATE(1970,1,1)</f>
        <v>43631.208333333328</v>
      </c>
      <c r="N184">
        <v>1561957200</v>
      </c>
      <c r="O184" s="10">
        <f>(((N184/60)/60)/24)+DATE(1970,1,1)</f>
        <v>43647.208333333328</v>
      </c>
      <c r="P184" t="b">
        <v>0</v>
      </c>
      <c r="Q184" t="b">
        <v>0</v>
      </c>
      <c r="R184" t="s">
        <v>33</v>
      </c>
      <c r="S184" t="s">
        <v>2038</v>
      </c>
      <c r="T184" t="s">
        <v>2039</v>
      </c>
    </row>
    <row r="185" spans="1:20" ht="15.75" customHeight="1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>Table1[[#This Row],[pledged]]/Table1[[#This Row],[goal]]</f>
        <v>0.69117647058823528</v>
      </c>
      <c r="G185" t="s">
        <v>14</v>
      </c>
      <c r="H185">
        <v>86</v>
      </c>
      <c r="I185" t="s">
        <v>15</v>
      </c>
      <c r="J185" t="s">
        <v>16</v>
      </c>
      <c r="K185" s="12">
        <f>IF(OR(E185=0, H185=0), 0, E185/H185)</f>
        <v>40.988372093023258</v>
      </c>
      <c r="L185">
        <v>1284008400</v>
      </c>
      <c r="M185" s="10">
        <f>(((L185/60)/60)/24)+DATE(1970,1,1)</f>
        <v>40430.208333333336</v>
      </c>
      <c r="N185">
        <v>1285131600</v>
      </c>
      <c r="O185" s="10">
        <f>(((N185/60)/60)/24)+DATE(1970,1,1)</f>
        <v>40443.208333333336</v>
      </c>
      <c r="P185" t="b">
        <v>0</v>
      </c>
      <c r="Q185" t="b">
        <v>0</v>
      </c>
      <c r="R185" t="s">
        <v>23</v>
      </c>
      <c r="S185" t="s">
        <v>2034</v>
      </c>
      <c r="T185" t="s">
        <v>2035</v>
      </c>
    </row>
    <row r="186" spans="1:20" ht="15.75" customHeight="1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>Table1[[#This Row],[pledged]]/Table1[[#This Row],[goal]]</f>
        <v>2.9305555555555554</v>
      </c>
      <c r="G186" t="s">
        <v>20</v>
      </c>
      <c r="H186">
        <v>340</v>
      </c>
      <c r="I186" t="s">
        <v>21</v>
      </c>
      <c r="J186" t="s">
        <v>22</v>
      </c>
      <c r="K186" s="12">
        <f>IF(OR(E186=0, H186=0), 0, E186/H186)</f>
        <v>31.029411764705884</v>
      </c>
      <c r="L186">
        <v>1556859600</v>
      </c>
      <c r="M186" s="10">
        <f>(((L186/60)/60)/24)+DATE(1970,1,1)</f>
        <v>43588.208333333328</v>
      </c>
      <c r="N186">
        <v>1556946000</v>
      </c>
      <c r="O186" s="10">
        <f>(((N186/60)/60)/24)+DATE(1970,1,1)</f>
        <v>43589.208333333328</v>
      </c>
      <c r="P186" t="b">
        <v>0</v>
      </c>
      <c r="Q186" t="b">
        <v>0</v>
      </c>
      <c r="R186" t="s">
        <v>33</v>
      </c>
      <c r="S186" t="s">
        <v>2038</v>
      </c>
      <c r="T186" t="s">
        <v>2039</v>
      </c>
    </row>
    <row r="187" spans="1:20" ht="15.75" customHeight="1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>Table1[[#This Row],[pledged]]/Table1[[#This Row],[goal]]</f>
        <v>0.71799999999999997</v>
      </c>
      <c r="G187" t="s">
        <v>14</v>
      </c>
      <c r="H187">
        <v>19</v>
      </c>
      <c r="I187" t="s">
        <v>21</v>
      </c>
      <c r="J187" t="s">
        <v>22</v>
      </c>
      <c r="K187" s="12">
        <f>IF(OR(E187=0, H187=0), 0, E187/H187)</f>
        <v>37.789473684210527</v>
      </c>
      <c r="L187">
        <v>1526187600</v>
      </c>
      <c r="M187" s="10">
        <f>(((L187/60)/60)/24)+DATE(1970,1,1)</f>
        <v>43233.208333333328</v>
      </c>
      <c r="N187">
        <v>1527138000</v>
      </c>
      <c r="O187" s="10">
        <f>(((N187/60)/60)/24)+DATE(1970,1,1)</f>
        <v>43244.208333333328</v>
      </c>
      <c r="P187" t="b">
        <v>0</v>
      </c>
      <c r="Q187" t="b">
        <v>0</v>
      </c>
      <c r="R187" t="s">
        <v>269</v>
      </c>
      <c r="S187" t="s">
        <v>2040</v>
      </c>
      <c r="T187" t="s">
        <v>2059</v>
      </c>
    </row>
    <row r="188" spans="1:20" ht="15.75" customHeight="1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>Table1[[#This Row],[pledged]]/Table1[[#This Row],[goal]]</f>
        <v>0.31934684684684683</v>
      </c>
      <c r="G188" t="s">
        <v>14</v>
      </c>
      <c r="H188">
        <v>886</v>
      </c>
      <c r="I188" t="s">
        <v>21</v>
      </c>
      <c r="J188" t="s">
        <v>22</v>
      </c>
      <c r="K188" s="12">
        <f>IF(OR(E188=0, H188=0), 0, E188/H188)</f>
        <v>32.006772009029348</v>
      </c>
      <c r="L188">
        <v>1400821200</v>
      </c>
      <c r="M188" s="10">
        <f>(((L188/60)/60)/24)+DATE(1970,1,1)</f>
        <v>41782.208333333336</v>
      </c>
      <c r="N188">
        <v>1402117200</v>
      </c>
      <c r="O188" s="10">
        <f>(((N188/60)/60)/24)+DATE(1970,1,1)</f>
        <v>41797.208333333336</v>
      </c>
      <c r="P188" t="b">
        <v>0</v>
      </c>
      <c r="Q188" t="b">
        <v>0</v>
      </c>
      <c r="R188" t="s">
        <v>33</v>
      </c>
      <c r="S188" t="s">
        <v>2038</v>
      </c>
      <c r="T188" t="s">
        <v>2039</v>
      </c>
    </row>
    <row r="189" spans="1:20" ht="15.75" customHeight="1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>Table1[[#This Row],[pledged]]/Table1[[#This Row],[goal]]</f>
        <v>2.2987375415282392</v>
      </c>
      <c r="G189" t="s">
        <v>20</v>
      </c>
      <c r="H189">
        <v>1442</v>
      </c>
      <c r="I189" t="s">
        <v>15</v>
      </c>
      <c r="J189" t="s">
        <v>16</v>
      </c>
      <c r="K189" s="12">
        <f>IF(OR(E189=0, H189=0), 0, E189/H189)</f>
        <v>95.966712898751737</v>
      </c>
      <c r="L189">
        <v>1361599200</v>
      </c>
      <c r="M189" s="10">
        <f>(((L189/60)/60)/24)+DATE(1970,1,1)</f>
        <v>41328.25</v>
      </c>
      <c r="N189">
        <v>1364014800</v>
      </c>
      <c r="O189" s="10">
        <f>(((N189/60)/60)/24)+DATE(1970,1,1)</f>
        <v>41356.208333333336</v>
      </c>
      <c r="P189" t="b">
        <v>0</v>
      </c>
      <c r="Q189" t="b">
        <v>1</v>
      </c>
      <c r="R189" t="s">
        <v>100</v>
      </c>
      <c r="S189" t="s">
        <v>2040</v>
      </c>
      <c r="T189" t="s">
        <v>2051</v>
      </c>
    </row>
    <row r="190" spans="1:20" ht="15.75" customHeight="1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>Table1[[#This Row],[pledged]]/Table1[[#This Row],[goal]]</f>
        <v>0.3201219512195122</v>
      </c>
      <c r="G190" t="s">
        <v>14</v>
      </c>
      <c r="H190">
        <v>35</v>
      </c>
      <c r="I190" t="s">
        <v>107</v>
      </c>
      <c r="J190" t="s">
        <v>108</v>
      </c>
      <c r="K190" s="12">
        <f>IF(OR(E190=0, H190=0), 0, E190/H190)</f>
        <v>75</v>
      </c>
      <c r="L190">
        <v>1417500000</v>
      </c>
      <c r="M190" s="10">
        <f>(((L190/60)/60)/24)+DATE(1970,1,1)</f>
        <v>41975.25</v>
      </c>
      <c r="N190">
        <v>1417586400</v>
      </c>
      <c r="O190" s="10">
        <f>(((N190/60)/60)/24)+DATE(1970,1,1)</f>
        <v>41976.25</v>
      </c>
      <c r="P190" t="b">
        <v>0</v>
      </c>
      <c r="Q190" t="b">
        <v>0</v>
      </c>
      <c r="R190" t="s">
        <v>33</v>
      </c>
      <c r="S190" t="s">
        <v>2038</v>
      </c>
      <c r="T190" t="s">
        <v>2039</v>
      </c>
    </row>
    <row r="191" spans="1:20" ht="15.75" customHeight="1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>Table1[[#This Row],[pledged]]/Table1[[#This Row],[goal]]</f>
        <v>0.23525352848928385</v>
      </c>
      <c r="G191" t="s">
        <v>74</v>
      </c>
      <c r="H191">
        <v>441</v>
      </c>
      <c r="I191" t="s">
        <v>21</v>
      </c>
      <c r="J191" t="s">
        <v>22</v>
      </c>
      <c r="K191" s="12">
        <f>IF(OR(E191=0, H191=0), 0, E191/H191)</f>
        <v>102.0498866213152</v>
      </c>
      <c r="L191">
        <v>1457071200</v>
      </c>
      <c r="M191" s="10">
        <f>(((L191/60)/60)/24)+DATE(1970,1,1)</f>
        <v>42433.25</v>
      </c>
      <c r="N191">
        <v>1457071200</v>
      </c>
      <c r="O191" s="10">
        <f>(((N191/60)/60)/24)+DATE(1970,1,1)</f>
        <v>42433.25</v>
      </c>
      <c r="P191" t="b">
        <v>0</v>
      </c>
      <c r="Q191" t="b">
        <v>0</v>
      </c>
      <c r="R191" t="s">
        <v>33</v>
      </c>
      <c r="S191" t="s">
        <v>2038</v>
      </c>
      <c r="T191" t="s">
        <v>2039</v>
      </c>
    </row>
    <row r="192" spans="1:20" ht="15.75" customHeight="1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>Table1[[#This Row],[pledged]]/Table1[[#This Row],[goal]]</f>
        <v>0.68594594594594593</v>
      </c>
      <c r="G192" t="s">
        <v>14</v>
      </c>
      <c r="H192">
        <v>24</v>
      </c>
      <c r="I192" t="s">
        <v>21</v>
      </c>
      <c r="J192" t="s">
        <v>22</v>
      </c>
      <c r="K192" s="12">
        <f>IF(OR(E192=0, H192=0), 0, E192/H192)</f>
        <v>105.75</v>
      </c>
      <c r="L192">
        <v>1370322000</v>
      </c>
      <c r="M192" s="10">
        <f>(((L192/60)/60)/24)+DATE(1970,1,1)</f>
        <v>41429.208333333336</v>
      </c>
      <c r="N192">
        <v>1370408400</v>
      </c>
      <c r="O192" s="10">
        <f>(((N192/60)/60)/24)+DATE(1970,1,1)</f>
        <v>41430.208333333336</v>
      </c>
      <c r="P192" t="b">
        <v>0</v>
      </c>
      <c r="Q192" t="b">
        <v>1</v>
      </c>
      <c r="R192" t="s">
        <v>33</v>
      </c>
      <c r="S192" t="s">
        <v>2038</v>
      </c>
      <c r="T192" t="s">
        <v>2039</v>
      </c>
    </row>
    <row r="193" spans="1:20" ht="15.75" customHeight="1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>Table1[[#This Row],[pledged]]/Table1[[#This Row],[goal]]</f>
        <v>0.37952380952380954</v>
      </c>
      <c r="G193" t="s">
        <v>14</v>
      </c>
      <c r="H193">
        <v>86</v>
      </c>
      <c r="I193" t="s">
        <v>107</v>
      </c>
      <c r="J193" t="s">
        <v>108</v>
      </c>
      <c r="K193" s="12">
        <f>IF(OR(E193=0, H193=0), 0, E193/H193)</f>
        <v>37.069767441860463</v>
      </c>
      <c r="L193">
        <v>1552366800</v>
      </c>
      <c r="M193" s="10">
        <f>(((L193/60)/60)/24)+DATE(1970,1,1)</f>
        <v>43536.208333333328</v>
      </c>
      <c r="N193">
        <v>1552626000</v>
      </c>
      <c r="O193" s="10">
        <f>(((N193/60)/60)/24)+DATE(1970,1,1)</f>
        <v>43539.208333333328</v>
      </c>
      <c r="P193" t="b">
        <v>0</v>
      </c>
      <c r="Q193" t="b">
        <v>0</v>
      </c>
      <c r="R193" t="s">
        <v>33</v>
      </c>
      <c r="S193" t="s">
        <v>2038</v>
      </c>
      <c r="T193" t="s">
        <v>2039</v>
      </c>
    </row>
    <row r="194" spans="1:20" ht="15.75" customHeight="1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>Table1[[#This Row],[pledged]]/Table1[[#This Row],[goal]]</f>
        <v>0.19992957746478873</v>
      </c>
      <c r="G194" t="s">
        <v>14</v>
      </c>
      <c r="H194">
        <v>243</v>
      </c>
      <c r="I194" t="s">
        <v>21</v>
      </c>
      <c r="J194" t="s">
        <v>22</v>
      </c>
      <c r="K194" s="12">
        <f>IF(OR(E194=0, H194=0), 0, E194/H194)</f>
        <v>35.049382716049379</v>
      </c>
      <c r="L194">
        <v>1403845200</v>
      </c>
      <c r="M194" s="10">
        <f>(((L194/60)/60)/24)+DATE(1970,1,1)</f>
        <v>41817.208333333336</v>
      </c>
      <c r="N194">
        <v>1404190800</v>
      </c>
      <c r="O194" s="10">
        <f>(((N194/60)/60)/24)+DATE(1970,1,1)</f>
        <v>41821.208333333336</v>
      </c>
      <c r="P194" t="b">
        <v>0</v>
      </c>
      <c r="Q194" t="b">
        <v>0</v>
      </c>
      <c r="R194" t="s">
        <v>23</v>
      </c>
      <c r="S194" t="s">
        <v>2034</v>
      </c>
      <c r="T194" t="s">
        <v>2035</v>
      </c>
    </row>
    <row r="195" spans="1:20" ht="15.75" customHeight="1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>Table1[[#This Row],[pledged]]/Table1[[#This Row],[goal]]</f>
        <v>0.45636363636363636</v>
      </c>
      <c r="G195" t="s">
        <v>14</v>
      </c>
      <c r="H195">
        <v>65</v>
      </c>
      <c r="I195" t="s">
        <v>21</v>
      </c>
      <c r="J195" t="s">
        <v>22</v>
      </c>
      <c r="K195" s="12">
        <f>IF(OR(E195=0, H195=0), 0, E195/H195)</f>
        <v>46.338461538461537</v>
      </c>
      <c r="L195">
        <v>1523163600</v>
      </c>
      <c r="M195" s="10">
        <f>(((L195/60)/60)/24)+DATE(1970,1,1)</f>
        <v>43198.208333333328</v>
      </c>
      <c r="N195">
        <v>1523509200</v>
      </c>
      <c r="O195" s="10">
        <f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2034</v>
      </c>
      <c r="T195" t="s">
        <v>2044</v>
      </c>
    </row>
    <row r="196" spans="1:20" ht="15.75" customHeight="1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>Table1[[#This Row],[pledged]]/Table1[[#This Row],[goal]]</f>
        <v>1.227605633802817</v>
      </c>
      <c r="G196" t="s">
        <v>20</v>
      </c>
      <c r="H196">
        <v>126</v>
      </c>
      <c r="I196" t="s">
        <v>21</v>
      </c>
      <c r="J196" t="s">
        <v>22</v>
      </c>
      <c r="K196" s="12">
        <f>IF(OR(E196=0, H196=0), 0, E196/H196)</f>
        <v>69.174603174603178</v>
      </c>
      <c r="L196">
        <v>1442206800</v>
      </c>
      <c r="M196" s="10">
        <f>(((L196/60)/60)/24)+DATE(1970,1,1)</f>
        <v>42261.208333333328</v>
      </c>
      <c r="N196">
        <v>1443589200</v>
      </c>
      <c r="O196" s="10">
        <f>(((N196/60)/60)/24)+DATE(1970,1,1)</f>
        <v>42277.208333333328</v>
      </c>
      <c r="P196" t="b">
        <v>0</v>
      </c>
      <c r="Q196" t="b">
        <v>0</v>
      </c>
      <c r="R196" t="s">
        <v>148</v>
      </c>
      <c r="S196" t="s">
        <v>2034</v>
      </c>
      <c r="T196" t="s">
        <v>2056</v>
      </c>
    </row>
    <row r="197" spans="1:20" ht="15.75" customHeight="1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>Table1[[#This Row],[pledged]]/Table1[[#This Row],[goal]]</f>
        <v>3.61753164556962</v>
      </c>
      <c r="G197" t="s">
        <v>20</v>
      </c>
      <c r="H197">
        <v>524</v>
      </c>
      <c r="I197" t="s">
        <v>21</v>
      </c>
      <c r="J197" t="s">
        <v>22</v>
      </c>
      <c r="K197" s="12">
        <f>IF(OR(E197=0, H197=0), 0, E197/H197)</f>
        <v>109.07824427480917</v>
      </c>
      <c r="L197">
        <v>1532840400</v>
      </c>
      <c r="M197" s="10">
        <f>(((L197/60)/60)/24)+DATE(1970,1,1)</f>
        <v>43310.208333333328</v>
      </c>
      <c r="N197">
        <v>1533445200</v>
      </c>
      <c r="O197" s="10">
        <f>(((N197/60)/60)/24)+DATE(1970,1,1)</f>
        <v>43317.208333333328</v>
      </c>
      <c r="P197" t="b">
        <v>0</v>
      </c>
      <c r="Q197" t="b">
        <v>0</v>
      </c>
      <c r="R197" t="s">
        <v>50</v>
      </c>
      <c r="S197" t="s">
        <v>2034</v>
      </c>
      <c r="T197" t="s">
        <v>2042</v>
      </c>
    </row>
    <row r="198" spans="1:20" ht="15.75" customHeight="1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>Table1[[#This Row],[pledged]]/Table1[[#This Row],[goal]]</f>
        <v>0.63146341463414635</v>
      </c>
      <c r="G198" t="s">
        <v>14</v>
      </c>
      <c r="H198">
        <v>100</v>
      </c>
      <c r="I198" t="s">
        <v>36</v>
      </c>
      <c r="J198" t="s">
        <v>37</v>
      </c>
      <c r="K198" s="12">
        <f>IF(OR(E198=0, H198=0), 0, E198/H198)</f>
        <v>51.78</v>
      </c>
      <c r="L198">
        <v>1472878800</v>
      </c>
      <c r="M198" s="10">
        <f>(((L198/60)/60)/24)+DATE(1970,1,1)</f>
        <v>42616.208333333328</v>
      </c>
      <c r="N198">
        <v>1474520400</v>
      </c>
      <c r="O198" s="10">
        <f>(((N198/60)/60)/24)+DATE(1970,1,1)</f>
        <v>42635.208333333328</v>
      </c>
      <c r="P198" t="b">
        <v>0</v>
      </c>
      <c r="Q198" t="b">
        <v>0</v>
      </c>
      <c r="R198" t="s">
        <v>65</v>
      </c>
      <c r="S198" t="s">
        <v>2036</v>
      </c>
      <c r="T198" t="s">
        <v>2045</v>
      </c>
    </row>
    <row r="199" spans="1:20" ht="15.75" customHeight="1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>Table1[[#This Row],[pledged]]/Table1[[#This Row],[goal]]</f>
        <v>2.9820475319926874</v>
      </c>
      <c r="G199" t="s">
        <v>20</v>
      </c>
      <c r="H199">
        <v>1989</v>
      </c>
      <c r="I199" t="s">
        <v>21</v>
      </c>
      <c r="J199" t="s">
        <v>22</v>
      </c>
      <c r="K199" s="12">
        <f>IF(OR(E199=0, H199=0), 0, E199/H199)</f>
        <v>82.010055304172951</v>
      </c>
      <c r="L199">
        <v>1498194000</v>
      </c>
      <c r="M199" s="10">
        <f>(((L199/60)/60)/24)+DATE(1970,1,1)</f>
        <v>42909.208333333328</v>
      </c>
      <c r="N199">
        <v>1499403600</v>
      </c>
      <c r="O199" s="10">
        <f>(((N199/60)/60)/24)+DATE(1970,1,1)</f>
        <v>42923.208333333328</v>
      </c>
      <c r="P199" t="b">
        <v>0</v>
      </c>
      <c r="Q199" t="b">
        <v>0</v>
      </c>
      <c r="R199" t="s">
        <v>53</v>
      </c>
      <c r="S199" t="s">
        <v>2040</v>
      </c>
      <c r="T199" t="s">
        <v>2043</v>
      </c>
    </row>
    <row r="200" spans="1:20" ht="15.75" customHeight="1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>Table1[[#This Row],[pledged]]/Table1[[#This Row],[goal]]</f>
        <v>9.5585443037974685E-2</v>
      </c>
      <c r="G200" t="s">
        <v>14</v>
      </c>
      <c r="H200">
        <v>168</v>
      </c>
      <c r="I200" t="s">
        <v>21</v>
      </c>
      <c r="J200" t="s">
        <v>22</v>
      </c>
      <c r="K200" s="12">
        <f>IF(OR(E200=0, H200=0), 0, E200/H200)</f>
        <v>35.958333333333336</v>
      </c>
      <c r="L200">
        <v>1281070800</v>
      </c>
      <c r="M200" s="10">
        <f>(((L200/60)/60)/24)+DATE(1970,1,1)</f>
        <v>40396.208333333336</v>
      </c>
      <c r="N200">
        <v>1283576400</v>
      </c>
      <c r="O200" s="10">
        <f>(((N200/60)/60)/24)+DATE(1970,1,1)</f>
        <v>40425.208333333336</v>
      </c>
      <c r="P200" t="b">
        <v>0</v>
      </c>
      <c r="Q200" t="b">
        <v>0</v>
      </c>
      <c r="R200" t="s">
        <v>50</v>
      </c>
      <c r="S200" t="s">
        <v>2034</v>
      </c>
      <c r="T200" t="s">
        <v>2042</v>
      </c>
    </row>
    <row r="201" spans="1:20" ht="15.75" customHeight="1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>Table1[[#This Row],[pledged]]/Table1[[#This Row],[goal]]</f>
        <v>0.5377777777777778</v>
      </c>
      <c r="G201" t="s">
        <v>14</v>
      </c>
      <c r="H201">
        <v>13</v>
      </c>
      <c r="I201" t="s">
        <v>21</v>
      </c>
      <c r="J201" t="s">
        <v>22</v>
      </c>
      <c r="K201" s="12">
        <f>IF(OR(E201=0, H201=0), 0, E201/H201)</f>
        <v>74.461538461538467</v>
      </c>
      <c r="L201">
        <v>1436245200</v>
      </c>
      <c r="M201" s="10">
        <f>(((L201/60)/60)/24)+DATE(1970,1,1)</f>
        <v>42192.208333333328</v>
      </c>
      <c r="N201">
        <v>1436590800</v>
      </c>
      <c r="O201" s="10">
        <f>(((N201/60)/60)/24)+DATE(1970,1,1)</f>
        <v>42196.208333333328</v>
      </c>
      <c r="P201" t="b">
        <v>0</v>
      </c>
      <c r="Q201" t="b">
        <v>0</v>
      </c>
      <c r="R201" t="s">
        <v>23</v>
      </c>
      <c r="S201" t="s">
        <v>2034</v>
      </c>
      <c r="T201" t="s">
        <v>2035</v>
      </c>
    </row>
    <row r="202" spans="1:20" ht="15.75" customHeight="1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>Table1[[#This Row],[pledged]]/Table1[[#This Row],[goal]]</f>
        <v>0.02</v>
      </c>
      <c r="G202" t="s">
        <v>14</v>
      </c>
      <c r="H202">
        <v>1</v>
      </c>
      <c r="I202" t="s">
        <v>15</v>
      </c>
      <c r="J202" t="s">
        <v>16</v>
      </c>
      <c r="K202" s="12">
        <f>IF(OR(E202=0, H202=0), 0, E202/H202)</f>
        <v>2</v>
      </c>
      <c r="L202">
        <v>1269493200</v>
      </c>
      <c r="M202" s="10">
        <f>(((L202/60)/60)/24)+DATE(1970,1,1)</f>
        <v>40262.208333333336</v>
      </c>
      <c r="N202">
        <v>1270443600</v>
      </c>
      <c r="O202" s="10">
        <f>(((N202/60)/60)/24)+DATE(1970,1,1)</f>
        <v>40273.208333333336</v>
      </c>
      <c r="P202" t="b">
        <v>0</v>
      </c>
      <c r="Q202" t="b">
        <v>0</v>
      </c>
      <c r="R202" t="s">
        <v>33</v>
      </c>
      <c r="S202" t="s">
        <v>2038</v>
      </c>
      <c r="T202" t="s">
        <v>2039</v>
      </c>
    </row>
    <row r="203" spans="1:20" ht="15.75" customHeight="1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>Table1[[#This Row],[pledged]]/Table1[[#This Row],[goal]]</f>
        <v>6.8119047619047617</v>
      </c>
      <c r="G203" t="s">
        <v>20</v>
      </c>
      <c r="H203">
        <v>157</v>
      </c>
      <c r="I203" t="s">
        <v>21</v>
      </c>
      <c r="J203" t="s">
        <v>22</v>
      </c>
      <c r="K203" s="12">
        <f>IF(OR(E203=0, H203=0), 0, E203/H203)</f>
        <v>91.114649681528661</v>
      </c>
      <c r="L203">
        <v>1406264400</v>
      </c>
      <c r="M203" s="10">
        <f>(((L203/60)/60)/24)+DATE(1970,1,1)</f>
        <v>41845.208333333336</v>
      </c>
      <c r="N203">
        <v>1407819600</v>
      </c>
      <c r="O203" s="10">
        <f>(((N203/60)/60)/24)+DATE(1970,1,1)</f>
        <v>41863.208333333336</v>
      </c>
      <c r="P203" t="b">
        <v>0</v>
      </c>
      <c r="Q203" t="b">
        <v>0</v>
      </c>
      <c r="R203" t="s">
        <v>28</v>
      </c>
      <c r="S203" t="s">
        <v>2036</v>
      </c>
      <c r="T203" t="s">
        <v>2037</v>
      </c>
    </row>
    <row r="204" spans="1:20" ht="15.75" customHeight="1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>Table1[[#This Row],[pledged]]/Table1[[#This Row],[goal]]</f>
        <v>0.78831325301204824</v>
      </c>
      <c r="G204" t="s">
        <v>74</v>
      </c>
      <c r="H204">
        <v>82</v>
      </c>
      <c r="I204" t="s">
        <v>21</v>
      </c>
      <c r="J204" t="s">
        <v>22</v>
      </c>
      <c r="K204" s="12">
        <f>IF(OR(E204=0, H204=0), 0, E204/H204)</f>
        <v>79.792682926829272</v>
      </c>
      <c r="L204">
        <v>1317531600</v>
      </c>
      <c r="M204" s="10">
        <f>(((L204/60)/60)/24)+DATE(1970,1,1)</f>
        <v>40818.208333333336</v>
      </c>
      <c r="N204">
        <v>1317877200</v>
      </c>
      <c r="O204" s="10">
        <f>(((N204/60)/60)/24)+DATE(1970,1,1)</f>
        <v>40822.208333333336</v>
      </c>
      <c r="P204" t="b">
        <v>0</v>
      </c>
      <c r="Q204" t="b">
        <v>0</v>
      </c>
      <c r="R204" t="s">
        <v>17</v>
      </c>
      <c r="S204" t="s">
        <v>2032</v>
      </c>
      <c r="T204" t="s">
        <v>2033</v>
      </c>
    </row>
    <row r="205" spans="1:20" ht="15.75" customHeight="1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>Table1[[#This Row],[pledged]]/Table1[[#This Row],[goal]]</f>
        <v>1.3440792216817234</v>
      </c>
      <c r="G205" t="s">
        <v>20</v>
      </c>
      <c r="H205">
        <v>4498</v>
      </c>
      <c r="I205" t="s">
        <v>26</v>
      </c>
      <c r="J205" t="s">
        <v>27</v>
      </c>
      <c r="K205" s="12">
        <f>IF(OR(E205=0, H205=0), 0, E205/H205)</f>
        <v>42.999777678968428</v>
      </c>
      <c r="L205">
        <v>1484632800</v>
      </c>
      <c r="M205" s="10">
        <f>(((L205/60)/60)/24)+DATE(1970,1,1)</f>
        <v>42752.25</v>
      </c>
      <c r="N205">
        <v>1484805600</v>
      </c>
      <c r="O205" s="10">
        <f>(((N205/60)/60)/24)+DATE(1970,1,1)</f>
        <v>42754.25</v>
      </c>
      <c r="P205" t="b">
        <v>0</v>
      </c>
      <c r="Q205" t="b">
        <v>0</v>
      </c>
      <c r="R205" t="s">
        <v>33</v>
      </c>
      <c r="S205" t="s">
        <v>2038</v>
      </c>
      <c r="T205" t="s">
        <v>2039</v>
      </c>
    </row>
    <row r="206" spans="1:20" ht="15.75" customHeight="1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>Table1[[#This Row],[pledged]]/Table1[[#This Row],[goal]]</f>
        <v>3.372E-2</v>
      </c>
      <c r="G206" t="s">
        <v>14</v>
      </c>
      <c r="H206">
        <v>40</v>
      </c>
      <c r="I206" t="s">
        <v>21</v>
      </c>
      <c r="J206" t="s">
        <v>22</v>
      </c>
      <c r="K206" s="12">
        <f>IF(OR(E206=0, H206=0), 0, E206/H206)</f>
        <v>63.225000000000001</v>
      </c>
      <c r="L206">
        <v>1301806800</v>
      </c>
      <c r="M206" s="10">
        <f>(((L206/60)/60)/24)+DATE(1970,1,1)</f>
        <v>40636.208333333336</v>
      </c>
      <c r="N206">
        <v>1302670800</v>
      </c>
      <c r="O206" s="10">
        <f>(((N206/60)/60)/24)+DATE(1970,1,1)</f>
        <v>40646.208333333336</v>
      </c>
      <c r="P206" t="b">
        <v>0</v>
      </c>
      <c r="Q206" t="b">
        <v>0</v>
      </c>
      <c r="R206" t="s">
        <v>159</v>
      </c>
      <c r="S206" t="s">
        <v>2034</v>
      </c>
      <c r="T206" t="s">
        <v>2057</v>
      </c>
    </row>
    <row r="207" spans="1:20" ht="15.75" customHeight="1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>Table1[[#This Row],[pledged]]/Table1[[#This Row],[goal]]</f>
        <v>4.3184615384615386</v>
      </c>
      <c r="G207" t="s">
        <v>20</v>
      </c>
      <c r="H207">
        <v>80</v>
      </c>
      <c r="I207" t="s">
        <v>21</v>
      </c>
      <c r="J207" t="s">
        <v>22</v>
      </c>
      <c r="K207" s="12">
        <f>IF(OR(E207=0, H207=0), 0, E207/H207)</f>
        <v>70.174999999999997</v>
      </c>
      <c r="L207">
        <v>1539752400</v>
      </c>
      <c r="M207" s="10">
        <f>(((L207/60)/60)/24)+DATE(1970,1,1)</f>
        <v>43390.208333333328</v>
      </c>
      <c r="N207">
        <v>1540789200</v>
      </c>
      <c r="O207" s="10">
        <f>(((N207/60)/60)/24)+DATE(1970,1,1)</f>
        <v>43402.208333333328</v>
      </c>
      <c r="P207" t="b">
        <v>1</v>
      </c>
      <c r="Q207" t="b">
        <v>0</v>
      </c>
      <c r="R207" t="s">
        <v>33</v>
      </c>
      <c r="S207" t="s">
        <v>2038</v>
      </c>
      <c r="T207" t="s">
        <v>2039</v>
      </c>
    </row>
    <row r="208" spans="1:20" ht="15.75" customHeight="1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>Table1[[#This Row],[pledged]]/Table1[[#This Row],[goal]]</f>
        <v>0.38844444444444443</v>
      </c>
      <c r="G208" t="s">
        <v>74</v>
      </c>
      <c r="H208">
        <v>57</v>
      </c>
      <c r="I208" t="s">
        <v>21</v>
      </c>
      <c r="J208" t="s">
        <v>22</v>
      </c>
      <c r="K208" s="12">
        <f>IF(OR(E208=0, H208=0), 0, E208/H208)</f>
        <v>61.333333333333336</v>
      </c>
      <c r="L208">
        <v>1267250400</v>
      </c>
      <c r="M208" s="10">
        <f>(((L208/60)/60)/24)+DATE(1970,1,1)</f>
        <v>40236.25</v>
      </c>
      <c r="N208">
        <v>1268028000</v>
      </c>
      <c r="O208" s="10">
        <f>(((N208/60)/60)/24)+DATE(1970,1,1)</f>
        <v>40245.25</v>
      </c>
      <c r="P208" t="b">
        <v>0</v>
      </c>
      <c r="Q208" t="b">
        <v>0</v>
      </c>
      <c r="R208" t="s">
        <v>119</v>
      </c>
      <c r="S208" t="s">
        <v>2046</v>
      </c>
      <c r="T208" t="s">
        <v>2052</v>
      </c>
    </row>
    <row r="209" spans="1:20" ht="15.75" customHeight="1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>Table1[[#This Row],[pledged]]/Table1[[#This Row],[goal]]</f>
        <v>4.2569999999999997</v>
      </c>
      <c r="G209" t="s">
        <v>20</v>
      </c>
      <c r="H209">
        <v>43</v>
      </c>
      <c r="I209" t="s">
        <v>21</v>
      </c>
      <c r="J209" t="s">
        <v>22</v>
      </c>
      <c r="K209" s="12">
        <f>IF(OR(E209=0, H209=0), 0, E209/H209)</f>
        <v>99</v>
      </c>
      <c r="L209">
        <v>1535432400</v>
      </c>
      <c r="M209" s="10">
        <f>(((L209/60)/60)/24)+DATE(1970,1,1)</f>
        <v>43340.208333333328</v>
      </c>
      <c r="N209">
        <v>1537160400</v>
      </c>
      <c r="O209" s="10">
        <f>(((N209/60)/60)/24)+DATE(1970,1,1)</f>
        <v>43360.208333333328</v>
      </c>
      <c r="P209" t="b">
        <v>0</v>
      </c>
      <c r="Q209" t="b">
        <v>1</v>
      </c>
      <c r="R209" t="s">
        <v>23</v>
      </c>
      <c r="S209" t="s">
        <v>2034</v>
      </c>
      <c r="T209" t="s">
        <v>2035</v>
      </c>
    </row>
    <row r="210" spans="1:20" ht="15.75" customHeight="1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>Table1[[#This Row],[pledged]]/Table1[[#This Row],[goal]]</f>
        <v>1.0112239715591671</v>
      </c>
      <c r="G210" t="s">
        <v>20</v>
      </c>
      <c r="H210">
        <v>2053</v>
      </c>
      <c r="I210" t="s">
        <v>21</v>
      </c>
      <c r="J210" t="s">
        <v>22</v>
      </c>
      <c r="K210" s="12">
        <f>IF(OR(E210=0, H210=0), 0, E210/H210)</f>
        <v>96.984900146127615</v>
      </c>
      <c r="L210">
        <v>1510207200</v>
      </c>
      <c r="M210" s="10">
        <f>(((L210/60)/60)/24)+DATE(1970,1,1)</f>
        <v>43048.25</v>
      </c>
      <c r="N210">
        <v>1512280800</v>
      </c>
      <c r="O210" s="10">
        <f>(((N210/60)/60)/24)+DATE(1970,1,1)</f>
        <v>43072.25</v>
      </c>
      <c r="P210" t="b">
        <v>0</v>
      </c>
      <c r="Q210" t="b">
        <v>0</v>
      </c>
      <c r="R210" t="s">
        <v>42</v>
      </c>
      <c r="S210" t="s">
        <v>2040</v>
      </c>
      <c r="T210" t="s">
        <v>2041</v>
      </c>
    </row>
    <row r="211" spans="1:20" ht="15.75" customHeight="1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>Table1[[#This Row],[pledged]]/Table1[[#This Row],[goal]]</f>
        <v>0.21188688946015424</v>
      </c>
      <c r="G211" t="s">
        <v>47</v>
      </c>
      <c r="H211">
        <v>808</v>
      </c>
      <c r="I211" t="s">
        <v>26</v>
      </c>
      <c r="J211" t="s">
        <v>27</v>
      </c>
      <c r="K211" s="12">
        <f>IF(OR(E211=0, H211=0), 0, E211/H211)</f>
        <v>51.004950495049506</v>
      </c>
      <c r="L211">
        <v>1462510800</v>
      </c>
      <c r="M211" s="10">
        <f>(((L211/60)/60)/24)+DATE(1970,1,1)</f>
        <v>42496.208333333328</v>
      </c>
      <c r="N211">
        <v>1463115600</v>
      </c>
      <c r="O211" s="10">
        <f>(((N211/60)/60)/24)+DATE(1970,1,1)</f>
        <v>42503.208333333328</v>
      </c>
      <c r="P211" t="b">
        <v>0</v>
      </c>
      <c r="Q211" t="b">
        <v>0</v>
      </c>
      <c r="R211" t="s">
        <v>42</v>
      </c>
      <c r="S211" t="s">
        <v>2040</v>
      </c>
      <c r="T211" t="s">
        <v>2041</v>
      </c>
    </row>
    <row r="212" spans="1:20" ht="15.75" customHeight="1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>Table1[[#This Row],[pledged]]/Table1[[#This Row],[goal]]</f>
        <v>0.67425531914893622</v>
      </c>
      <c r="G212" t="s">
        <v>14</v>
      </c>
      <c r="H212">
        <v>226</v>
      </c>
      <c r="I212" t="s">
        <v>36</v>
      </c>
      <c r="J212" t="s">
        <v>37</v>
      </c>
      <c r="K212" s="12">
        <f>IF(OR(E212=0, H212=0), 0, E212/H212)</f>
        <v>28.044247787610619</v>
      </c>
      <c r="L212">
        <v>1488520800</v>
      </c>
      <c r="M212" s="10">
        <f>(((L212/60)/60)/24)+DATE(1970,1,1)</f>
        <v>42797.25</v>
      </c>
      <c r="N212">
        <v>1490850000</v>
      </c>
      <c r="O212" s="10">
        <f>(((N212/60)/60)/24)+DATE(1970,1,1)</f>
        <v>42824.208333333328</v>
      </c>
      <c r="P212" t="b">
        <v>0</v>
      </c>
      <c r="Q212" t="b">
        <v>0</v>
      </c>
      <c r="R212" t="s">
        <v>474</v>
      </c>
      <c r="S212" t="s">
        <v>2040</v>
      </c>
      <c r="T212" t="s">
        <v>2062</v>
      </c>
    </row>
    <row r="213" spans="1:20" ht="15.75" customHeight="1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>Table1[[#This Row],[pledged]]/Table1[[#This Row],[goal]]</f>
        <v>0.9492337164750958</v>
      </c>
      <c r="G213" t="s">
        <v>14</v>
      </c>
      <c r="H213">
        <v>1625</v>
      </c>
      <c r="I213" t="s">
        <v>21</v>
      </c>
      <c r="J213" t="s">
        <v>22</v>
      </c>
      <c r="K213" s="12">
        <f>IF(OR(E213=0, H213=0), 0, E213/H213)</f>
        <v>60.984615384615381</v>
      </c>
      <c r="L213">
        <v>1377579600</v>
      </c>
      <c r="M213" s="10">
        <f>(((L213/60)/60)/24)+DATE(1970,1,1)</f>
        <v>41513.208333333336</v>
      </c>
      <c r="N213">
        <v>1379653200</v>
      </c>
      <c r="O213" s="10">
        <f>(((N213/60)/60)/24)+DATE(1970,1,1)</f>
        <v>41537.208333333336</v>
      </c>
      <c r="P213" t="b">
        <v>0</v>
      </c>
      <c r="Q213" t="b">
        <v>0</v>
      </c>
      <c r="R213" t="s">
        <v>33</v>
      </c>
      <c r="S213" t="s">
        <v>2038</v>
      </c>
      <c r="T213" t="s">
        <v>2039</v>
      </c>
    </row>
    <row r="214" spans="1:20" ht="15.75" customHeight="1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>Table1[[#This Row],[pledged]]/Table1[[#This Row],[goal]]</f>
        <v>1.5185185185185186</v>
      </c>
      <c r="G214" t="s">
        <v>20</v>
      </c>
      <c r="H214">
        <v>168</v>
      </c>
      <c r="I214" t="s">
        <v>21</v>
      </c>
      <c r="J214" t="s">
        <v>22</v>
      </c>
      <c r="K214" s="12">
        <f>IF(OR(E214=0, H214=0), 0, E214/H214)</f>
        <v>73.214285714285708</v>
      </c>
      <c r="L214">
        <v>1576389600</v>
      </c>
      <c r="M214" s="10">
        <f>(((L214/60)/60)/24)+DATE(1970,1,1)</f>
        <v>43814.25</v>
      </c>
      <c r="N214">
        <v>1580364000</v>
      </c>
      <c r="O214" s="10">
        <f>(((N214/60)/60)/24)+DATE(1970,1,1)</f>
        <v>43860.25</v>
      </c>
      <c r="P214" t="b">
        <v>0</v>
      </c>
      <c r="Q214" t="b">
        <v>0</v>
      </c>
      <c r="R214" t="s">
        <v>33</v>
      </c>
      <c r="S214" t="s">
        <v>2038</v>
      </c>
      <c r="T214" t="s">
        <v>2039</v>
      </c>
    </row>
    <row r="215" spans="1:20" ht="15.75" customHeight="1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>Table1[[#This Row],[pledged]]/Table1[[#This Row],[goal]]</f>
        <v>1.9516382252559727</v>
      </c>
      <c r="G215" t="s">
        <v>20</v>
      </c>
      <c r="H215">
        <v>4289</v>
      </c>
      <c r="I215" t="s">
        <v>21</v>
      </c>
      <c r="J215" t="s">
        <v>22</v>
      </c>
      <c r="K215" s="12">
        <f>IF(OR(E215=0, H215=0), 0, E215/H215)</f>
        <v>39.997435299603637</v>
      </c>
      <c r="L215">
        <v>1289019600</v>
      </c>
      <c r="M215" s="10">
        <f>(((L215/60)/60)/24)+DATE(1970,1,1)</f>
        <v>40488.208333333336</v>
      </c>
      <c r="N215">
        <v>1289714400</v>
      </c>
      <c r="O215" s="10">
        <f>(((N215/60)/60)/24)+DATE(1970,1,1)</f>
        <v>40496.25</v>
      </c>
      <c r="P215" t="b">
        <v>0</v>
      </c>
      <c r="Q215" t="b">
        <v>1</v>
      </c>
      <c r="R215" t="s">
        <v>60</v>
      </c>
      <c r="S215" t="s">
        <v>2034</v>
      </c>
      <c r="T215" t="s">
        <v>2044</v>
      </c>
    </row>
    <row r="216" spans="1:20" ht="15.75" customHeight="1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>Table1[[#This Row],[pledged]]/Table1[[#This Row],[goal]]</f>
        <v>10.231428571428571</v>
      </c>
      <c r="G216" t="s">
        <v>20</v>
      </c>
      <c r="H216">
        <v>165</v>
      </c>
      <c r="I216" t="s">
        <v>21</v>
      </c>
      <c r="J216" t="s">
        <v>22</v>
      </c>
      <c r="K216" s="12">
        <f>IF(OR(E216=0, H216=0), 0, E216/H216)</f>
        <v>86.812121212121212</v>
      </c>
      <c r="L216">
        <v>1282194000</v>
      </c>
      <c r="M216" s="10">
        <f>(((L216/60)/60)/24)+DATE(1970,1,1)</f>
        <v>40409.208333333336</v>
      </c>
      <c r="N216">
        <v>1282712400</v>
      </c>
      <c r="O216" s="10">
        <f>(((N216/60)/60)/24)+DATE(1970,1,1)</f>
        <v>40415.208333333336</v>
      </c>
      <c r="P216" t="b">
        <v>0</v>
      </c>
      <c r="Q216" t="b">
        <v>0</v>
      </c>
      <c r="R216" t="s">
        <v>23</v>
      </c>
      <c r="S216" t="s">
        <v>2034</v>
      </c>
      <c r="T216" t="s">
        <v>2035</v>
      </c>
    </row>
    <row r="217" spans="1:20" ht="15.75" customHeight="1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>Table1[[#This Row],[pledged]]/Table1[[#This Row],[goal]]</f>
        <v>3.8418367346938778E-2</v>
      </c>
      <c r="G217" t="s">
        <v>14</v>
      </c>
      <c r="H217">
        <v>143</v>
      </c>
      <c r="I217" t="s">
        <v>21</v>
      </c>
      <c r="J217" t="s">
        <v>22</v>
      </c>
      <c r="K217" s="12">
        <f>IF(OR(E217=0, H217=0), 0, E217/H217)</f>
        <v>42.125874125874127</v>
      </c>
      <c r="L217">
        <v>1550037600</v>
      </c>
      <c r="M217" s="10">
        <f>(((L217/60)/60)/24)+DATE(1970,1,1)</f>
        <v>43509.25</v>
      </c>
      <c r="N217">
        <v>1550210400</v>
      </c>
      <c r="O217" s="10">
        <f>(((N217/60)/60)/24)+DATE(1970,1,1)</f>
        <v>43511.25</v>
      </c>
      <c r="P217" t="b">
        <v>0</v>
      </c>
      <c r="Q217" t="b">
        <v>0</v>
      </c>
      <c r="R217" t="s">
        <v>33</v>
      </c>
      <c r="S217" t="s">
        <v>2038</v>
      </c>
      <c r="T217" t="s">
        <v>2039</v>
      </c>
    </row>
    <row r="218" spans="1:20" ht="15.75" customHeight="1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>Table1[[#This Row],[pledged]]/Table1[[#This Row],[goal]]</f>
        <v>1.5507066557107643</v>
      </c>
      <c r="G218" t="s">
        <v>20</v>
      </c>
      <c r="H218">
        <v>1815</v>
      </c>
      <c r="I218" t="s">
        <v>21</v>
      </c>
      <c r="J218" t="s">
        <v>22</v>
      </c>
      <c r="K218" s="12">
        <f>IF(OR(E218=0, H218=0), 0, E218/H218)</f>
        <v>103.97851239669421</v>
      </c>
      <c r="L218">
        <v>1321941600</v>
      </c>
      <c r="M218" s="10">
        <f>(((L218/60)/60)/24)+DATE(1970,1,1)</f>
        <v>40869.25</v>
      </c>
      <c r="N218">
        <v>1322114400</v>
      </c>
      <c r="O218" s="10">
        <f>(((N218/60)/60)/24)+DATE(1970,1,1)</f>
        <v>40871.25</v>
      </c>
      <c r="P218" t="b">
        <v>0</v>
      </c>
      <c r="Q218" t="b">
        <v>0</v>
      </c>
      <c r="R218" t="s">
        <v>33</v>
      </c>
      <c r="S218" t="s">
        <v>2038</v>
      </c>
      <c r="T218" t="s">
        <v>2039</v>
      </c>
    </row>
    <row r="219" spans="1:20" ht="15.75" customHeight="1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>Table1[[#This Row],[pledged]]/Table1[[#This Row],[goal]]</f>
        <v>0.44753477588871715</v>
      </c>
      <c r="G219" t="s">
        <v>14</v>
      </c>
      <c r="H219">
        <v>934</v>
      </c>
      <c r="I219" t="s">
        <v>21</v>
      </c>
      <c r="J219" t="s">
        <v>22</v>
      </c>
      <c r="K219" s="12">
        <f>IF(OR(E219=0, H219=0), 0, E219/H219)</f>
        <v>62.003211991434689</v>
      </c>
      <c r="L219">
        <v>1556427600</v>
      </c>
      <c r="M219" s="10">
        <f>(((L219/60)/60)/24)+DATE(1970,1,1)</f>
        <v>43583.208333333328</v>
      </c>
      <c r="N219">
        <v>1557205200</v>
      </c>
      <c r="O219" s="10">
        <f>(((N219/60)/60)/24)+DATE(1970,1,1)</f>
        <v>43592.208333333328</v>
      </c>
      <c r="P219" t="b">
        <v>0</v>
      </c>
      <c r="Q219" t="b">
        <v>0</v>
      </c>
      <c r="R219" t="s">
        <v>474</v>
      </c>
      <c r="S219" t="s">
        <v>2040</v>
      </c>
      <c r="T219" t="s">
        <v>2062</v>
      </c>
    </row>
    <row r="220" spans="1:20" ht="15.75" customHeight="1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>Table1[[#This Row],[pledged]]/Table1[[#This Row],[goal]]</f>
        <v>2.1594736842105262</v>
      </c>
      <c r="G220" t="s">
        <v>20</v>
      </c>
      <c r="H220">
        <v>397</v>
      </c>
      <c r="I220" t="s">
        <v>40</v>
      </c>
      <c r="J220" t="s">
        <v>41</v>
      </c>
      <c r="K220" s="12">
        <f>IF(OR(E220=0, H220=0), 0, E220/H220)</f>
        <v>31.005037783375315</v>
      </c>
      <c r="L220">
        <v>1320991200</v>
      </c>
      <c r="M220" s="10">
        <f>(((L220/60)/60)/24)+DATE(1970,1,1)</f>
        <v>40858.25</v>
      </c>
      <c r="N220">
        <v>1323928800</v>
      </c>
      <c r="O220" s="10">
        <f>(((N220/60)/60)/24)+DATE(1970,1,1)</f>
        <v>40892.25</v>
      </c>
      <c r="P220" t="b">
        <v>0</v>
      </c>
      <c r="Q220" t="b">
        <v>1</v>
      </c>
      <c r="R220" t="s">
        <v>100</v>
      </c>
      <c r="S220" t="s">
        <v>2040</v>
      </c>
      <c r="T220" t="s">
        <v>2051</v>
      </c>
    </row>
    <row r="221" spans="1:20" ht="15.75" customHeight="1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>Table1[[#This Row],[pledged]]/Table1[[#This Row],[goal]]</f>
        <v>3.3212709832134291</v>
      </c>
      <c r="G221" t="s">
        <v>20</v>
      </c>
      <c r="H221">
        <v>1539</v>
      </c>
      <c r="I221" t="s">
        <v>21</v>
      </c>
      <c r="J221" t="s">
        <v>22</v>
      </c>
      <c r="K221" s="12">
        <f>IF(OR(E221=0, H221=0), 0, E221/H221)</f>
        <v>89.991552956465242</v>
      </c>
      <c r="L221">
        <v>1345093200</v>
      </c>
      <c r="M221" s="10">
        <f>(((L221/60)/60)/24)+DATE(1970,1,1)</f>
        <v>41137.208333333336</v>
      </c>
      <c r="N221">
        <v>1346130000</v>
      </c>
      <c r="O221" s="10">
        <f>(((N221/60)/60)/24)+DATE(1970,1,1)</f>
        <v>41149.208333333336</v>
      </c>
      <c r="P221" t="b">
        <v>0</v>
      </c>
      <c r="Q221" t="b">
        <v>0</v>
      </c>
      <c r="R221" t="s">
        <v>71</v>
      </c>
      <c r="S221" t="s">
        <v>2040</v>
      </c>
      <c r="T221" t="s">
        <v>2048</v>
      </c>
    </row>
    <row r="222" spans="1:20" ht="15.75" customHeight="1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>Table1[[#This Row],[pledged]]/Table1[[#This Row],[goal]]</f>
        <v>8.4430379746835441E-2</v>
      </c>
      <c r="G222" t="s">
        <v>14</v>
      </c>
      <c r="H222">
        <v>17</v>
      </c>
      <c r="I222" t="s">
        <v>21</v>
      </c>
      <c r="J222" t="s">
        <v>22</v>
      </c>
      <c r="K222" s="12">
        <f>IF(OR(E222=0, H222=0), 0, E222/H222)</f>
        <v>39.235294117647058</v>
      </c>
      <c r="L222">
        <v>1309496400</v>
      </c>
      <c r="M222" s="10">
        <f>(((L222/60)/60)/24)+DATE(1970,1,1)</f>
        <v>40725.208333333336</v>
      </c>
      <c r="N222">
        <v>1311051600</v>
      </c>
      <c r="O222" s="10">
        <f>(((N222/60)/60)/24)+DATE(1970,1,1)</f>
        <v>40743.208333333336</v>
      </c>
      <c r="P222" t="b">
        <v>1</v>
      </c>
      <c r="Q222" t="b">
        <v>0</v>
      </c>
      <c r="R222" t="s">
        <v>33</v>
      </c>
      <c r="S222" t="s">
        <v>2038</v>
      </c>
      <c r="T222" t="s">
        <v>2039</v>
      </c>
    </row>
    <row r="223" spans="1:20" ht="15.75" customHeight="1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>Table1[[#This Row],[pledged]]/Table1[[#This Row],[goal]]</f>
        <v>0.9862551440329218</v>
      </c>
      <c r="G223" t="s">
        <v>14</v>
      </c>
      <c r="H223">
        <v>2179</v>
      </c>
      <c r="I223" t="s">
        <v>21</v>
      </c>
      <c r="J223" t="s">
        <v>22</v>
      </c>
      <c r="K223" s="12">
        <f>IF(OR(E223=0, H223=0), 0, E223/H223)</f>
        <v>54.993116108306566</v>
      </c>
      <c r="L223">
        <v>1340254800</v>
      </c>
      <c r="M223" s="10">
        <f>(((L223/60)/60)/24)+DATE(1970,1,1)</f>
        <v>41081.208333333336</v>
      </c>
      <c r="N223">
        <v>1340427600</v>
      </c>
      <c r="O223" s="10">
        <f>(((N223/60)/60)/24)+DATE(1970,1,1)</f>
        <v>41083.208333333336</v>
      </c>
      <c r="P223" t="b">
        <v>1</v>
      </c>
      <c r="Q223" t="b">
        <v>0</v>
      </c>
      <c r="R223" t="s">
        <v>17</v>
      </c>
      <c r="S223" t="s">
        <v>2032</v>
      </c>
      <c r="T223" t="s">
        <v>2033</v>
      </c>
    </row>
    <row r="224" spans="1:20" ht="15.75" customHeight="1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>Table1[[#This Row],[pledged]]/Table1[[#This Row],[goal]]</f>
        <v>1.3797916666666667</v>
      </c>
      <c r="G224" t="s">
        <v>20</v>
      </c>
      <c r="H224">
        <v>138</v>
      </c>
      <c r="I224" t="s">
        <v>21</v>
      </c>
      <c r="J224" t="s">
        <v>22</v>
      </c>
      <c r="K224" s="12">
        <f>IF(OR(E224=0, H224=0), 0, E224/H224)</f>
        <v>47.992753623188406</v>
      </c>
      <c r="L224">
        <v>1412226000</v>
      </c>
      <c r="M224" s="10">
        <f>(((L224/60)/60)/24)+DATE(1970,1,1)</f>
        <v>41914.208333333336</v>
      </c>
      <c r="N224">
        <v>1412312400</v>
      </c>
      <c r="O224" s="10">
        <f>(((N224/60)/60)/24)+DATE(1970,1,1)</f>
        <v>41915.208333333336</v>
      </c>
      <c r="P224" t="b">
        <v>0</v>
      </c>
      <c r="Q224" t="b">
        <v>0</v>
      </c>
      <c r="R224" t="s">
        <v>122</v>
      </c>
      <c r="S224" t="s">
        <v>2053</v>
      </c>
      <c r="T224" t="s">
        <v>2054</v>
      </c>
    </row>
    <row r="225" spans="1:20" ht="15.75" customHeight="1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>Table1[[#This Row],[pledged]]/Table1[[#This Row],[goal]]</f>
        <v>0.93810996563573879</v>
      </c>
      <c r="G225" t="s">
        <v>14</v>
      </c>
      <c r="H225">
        <v>931</v>
      </c>
      <c r="I225" t="s">
        <v>21</v>
      </c>
      <c r="J225" t="s">
        <v>22</v>
      </c>
      <c r="K225" s="12">
        <f>IF(OR(E225=0, H225=0), 0, E225/H225)</f>
        <v>87.966702470461868</v>
      </c>
      <c r="L225">
        <v>1458104400</v>
      </c>
      <c r="M225" s="10">
        <f>(((L225/60)/60)/24)+DATE(1970,1,1)</f>
        <v>42445.208333333328</v>
      </c>
      <c r="N225">
        <v>1459314000</v>
      </c>
      <c r="O225" s="10">
        <f>(((N225/60)/60)/24)+DATE(1970,1,1)</f>
        <v>42459.208333333328</v>
      </c>
      <c r="P225" t="b">
        <v>0</v>
      </c>
      <c r="Q225" t="b">
        <v>0</v>
      </c>
      <c r="R225" t="s">
        <v>33</v>
      </c>
      <c r="S225" t="s">
        <v>2038</v>
      </c>
      <c r="T225" t="s">
        <v>2039</v>
      </c>
    </row>
    <row r="226" spans="1:20" ht="15.75" customHeight="1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>Table1[[#This Row],[pledged]]/Table1[[#This Row],[goal]]</f>
        <v>4.0363930885529156</v>
      </c>
      <c r="G226" t="s">
        <v>20</v>
      </c>
      <c r="H226">
        <v>3594</v>
      </c>
      <c r="I226" t="s">
        <v>21</v>
      </c>
      <c r="J226" t="s">
        <v>22</v>
      </c>
      <c r="K226" s="12">
        <f>IF(OR(E226=0, H226=0), 0, E226/H226)</f>
        <v>51.999165275459099</v>
      </c>
      <c r="L226">
        <v>1411534800</v>
      </c>
      <c r="M226" s="10">
        <f>(((L226/60)/60)/24)+DATE(1970,1,1)</f>
        <v>41906.208333333336</v>
      </c>
      <c r="N226">
        <v>1415426400</v>
      </c>
      <c r="O226" s="10">
        <f>(((N226/60)/60)/24)+DATE(1970,1,1)</f>
        <v>41951.25</v>
      </c>
      <c r="P226" t="b">
        <v>0</v>
      </c>
      <c r="Q226" t="b">
        <v>0</v>
      </c>
      <c r="R226" t="s">
        <v>474</v>
      </c>
      <c r="S226" t="s">
        <v>2040</v>
      </c>
      <c r="T226" t="s">
        <v>2062</v>
      </c>
    </row>
    <row r="227" spans="1:20" ht="15.75" customHeight="1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>Table1[[#This Row],[pledged]]/Table1[[#This Row],[goal]]</f>
        <v>2.6017404129793511</v>
      </c>
      <c r="G227" t="s">
        <v>20</v>
      </c>
      <c r="H227">
        <v>5880</v>
      </c>
      <c r="I227" t="s">
        <v>21</v>
      </c>
      <c r="J227" t="s">
        <v>22</v>
      </c>
      <c r="K227" s="12">
        <f>IF(OR(E227=0, H227=0), 0, E227/H227)</f>
        <v>29.999659863945578</v>
      </c>
      <c r="L227">
        <v>1399093200</v>
      </c>
      <c r="M227" s="10">
        <f>(((L227/60)/60)/24)+DATE(1970,1,1)</f>
        <v>41762.208333333336</v>
      </c>
      <c r="N227">
        <v>1399093200</v>
      </c>
      <c r="O227" s="10">
        <f>(((N227/60)/60)/24)+DATE(1970,1,1)</f>
        <v>41762.208333333336</v>
      </c>
      <c r="P227" t="b">
        <v>1</v>
      </c>
      <c r="Q227" t="b">
        <v>0</v>
      </c>
      <c r="R227" t="s">
        <v>23</v>
      </c>
      <c r="S227" t="s">
        <v>2034</v>
      </c>
      <c r="T227" t="s">
        <v>2035</v>
      </c>
    </row>
    <row r="228" spans="1:20" ht="15.75" customHeight="1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>Table1[[#This Row],[pledged]]/Table1[[#This Row],[goal]]</f>
        <v>3.6663333333333332</v>
      </c>
      <c r="G228" t="s">
        <v>20</v>
      </c>
      <c r="H228">
        <v>112</v>
      </c>
      <c r="I228" t="s">
        <v>21</v>
      </c>
      <c r="J228" t="s">
        <v>22</v>
      </c>
      <c r="K228" s="12">
        <f>IF(OR(E228=0, H228=0), 0, E228/H228)</f>
        <v>98.205357142857139</v>
      </c>
      <c r="L228">
        <v>1270702800</v>
      </c>
      <c r="M228" s="10">
        <f>(((L228/60)/60)/24)+DATE(1970,1,1)</f>
        <v>40276.208333333336</v>
      </c>
      <c r="N228">
        <v>1273899600</v>
      </c>
      <c r="O228" s="10">
        <f>(((N228/60)/60)/24)+DATE(1970,1,1)</f>
        <v>40313.208333333336</v>
      </c>
      <c r="P228" t="b">
        <v>0</v>
      </c>
      <c r="Q228" t="b">
        <v>0</v>
      </c>
      <c r="R228" t="s">
        <v>122</v>
      </c>
      <c r="S228" t="s">
        <v>2053</v>
      </c>
      <c r="T228" t="s">
        <v>2054</v>
      </c>
    </row>
    <row r="229" spans="1:20" ht="15.75" customHeight="1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>Table1[[#This Row],[pledged]]/Table1[[#This Row],[goal]]</f>
        <v>1.687208538587849</v>
      </c>
      <c r="G229" t="s">
        <v>20</v>
      </c>
      <c r="H229">
        <v>943</v>
      </c>
      <c r="I229" t="s">
        <v>21</v>
      </c>
      <c r="J229" t="s">
        <v>22</v>
      </c>
      <c r="K229" s="12">
        <f>IF(OR(E229=0, H229=0), 0, E229/H229)</f>
        <v>108.96182396606575</v>
      </c>
      <c r="L229">
        <v>1431666000</v>
      </c>
      <c r="M229" s="10">
        <f>(((L229/60)/60)/24)+DATE(1970,1,1)</f>
        <v>42139.208333333328</v>
      </c>
      <c r="N229">
        <v>1432184400</v>
      </c>
      <c r="O229" s="10">
        <f>(((N229/60)/60)/24)+DATE(1970,1,1)</f>
        <v>42145.208333333328</v>
      </c>
      <c r="P229" t="b">
        <v>0</v>
      </c>
      <c r="Q229" t="b">
        <v>0</v>
      </c>
      <c r="R229" t="s">
        <v>292</v>
      </c>
      <c r="S229" t="s">
        <v>2049</v>
      </c>
      <c r="T229" t="s">
        <v>2060</v>
      </c>
    </row>
    <row r="230" spans="1:20" ht="15.75" customHeight="1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>Table1[[#This Row],[pledged]]/Table1[[#This Row],[goal]]</f>
        <v>1.1990717911530093</v>
      </c>
      <c r="G230" t="s">
        <v>20</v>
      </c>
      <c r="H230">
        <v>2468</v>
      </c>
      <c r="I230" t="s">
        <v>21</v>
      </c>
      <c r="J230" t="s">
        <v>22</v>
      </c>
      <c r="K230" s="12">
        <f>IF(OR(E230=0, H230=0), 0, E230/H230)</f>
        <v>66.998379254457049</v>
      </c>
      <c r="L230">
        <v>1472619600</v>
      </c>
      <c r="M230" s="10">
        <f>(((L230/60)/60)/24)+DATE(1970,1,1)</f>
        <v>42613.208333333328</v>
      </c>
      <c r="N230">
        <v>1474779600</v>
      </c>
      <c r="O230" s="10">
        <f>(((N230/60)/60)/24)+DATE(1970,1,1)</f>
        <v>42638.208333333328</v>
      </c>
      <c r="P230" t="b">
        <v>0</v>
      </c>
      <c r="Q230" t="b">
        <v>0</v>
      </c>
      <c r="R230" t="s">
        <v>71</v>
      </c>
      <c r="S230" t="s">
        <v>2040</v>
      </c>
      <c r="T230" t="s">
        <v>2048</v>
      </c>
    </row>
    <row r="231" spans="1:20" ht="15.75" customHeight="1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>Table1[[#This Row],[pledged]]/Table1[[#This Row],[goal]]</f>
        <v>1.936892523364486</v>
      </c>
      <c r="G231" t="s">
        <v>20</v>
      </c>
      <c r="H231">
        <v>2551</v>
      </c>
      <c r="I231" t="s">
        <v>21</v>
      </c>
      <c r="J231" t="s">
        <v>22</v>
      </c>
      <c r="K231" s="12">
        <f>IF(OR(E231=0, H231=0), 0, E231/H231)</f>
        <v>64.99333594668758</v>
      </c>
      <c r="L231">
        <v>1496293200</v>
      </c>
      <c r="M231" s="10">
        <f>(((L231/60)/60)/24)+DATE(1970,1,1)</f>
        <v>42887.208333333328</v>
      </c>
      <c r="N231">
        <v>1500440400</v>
      </c>
      <c r="O231" s="10">
        <f>(((N231/60)/60)/24)+DATE(1970,1,1)</f>
        <v>42935.208333333328</v>
      </c>
      <c r="P231" t="b">
        <v>0</v>
      </c>
      <c r="Q231" t="b">
        <v>1</v>
      </c>
      <c r="R231" t="s">
        <v>292</v>
      </c>
      <c r="S231" t="s">
        <v>2049</v>
      </c>
      <c r="T231" t="s">
        <v>2060</v>
      </c>
    </row>
    <row r="232" spans="1:20" ht="15.75" customHeight="1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>Table1[[#This Row],[pledged]]/Table1[[#This Row],[goal]]</f>
        <v>4.2016666666666671</v>
      </c>
      <c r="G232" t="s">
        <v>20</v>
      </c>
      <c r="H232">
        <v>101</v>
      </c>
      <c r="I232" t="s">
        <v>21</v>
      </c>
      <c r="J232" t="s">
        <v>22</v>
      </c>
      <c r="K232" s="12">
        <f>IF(OR(E232=0, H232=0), 0, E232/H232)</f>
        <v>99.841584158415841</v>
      </c>
      <c r="L232">
        <v>1575612000</v>
      </c>
      <c r="M232" s="10">
        <f>(((L232/60)/60)/24)+DATE(1970,1,1)</f>
        <v>43805.25</v>
      </c>
      <c r="N232">
        <v>1575612000</v>
      </c>
      <c r="O232" s="10">
        <f>(((N232/60)/60)/24)+DATE(1970,1,1)</f>
        <v>43805.25</v>
      </c>
      <c r="P232" t="b">
        <v>0</v>
      </c>
      <c r="Q232" t="b">
        <v>0</v>
      </c>
      <c r="R232" t="s">
        <v>89</v>
      </c>
      <c r="S232" t="s">
        <v>2049</v>
      </c>
      <c r="T232" t="s">
        <v>2050</v>
      </c>
    </row>
    <row r="233" spans="1:20" ht="15.75" customHeight="1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>Table1[[#This Row],[pledged]]/Table1[[#This Row],[goal]]</f>
        <v>0.76708333333333334</v>
      </c>
      <c r="G233" t="s">
        <v>74</v>
      </c>
      <c r="H233">
        <v>67</v>
      </c>
      <c r="I233" t="s">
        <v>21</v>
      </c>
      <c r="J233" t="s">
        <v>22</v>
      </c>
      <c r="K233" s="12">
        <f>IF(OR(E233=0, H233=0), 0, E233/H233)</f>
        <v>82.432835820895519</v>
      </c>
      <c r="L233">
        <v>1369112400</v>
      </c>
      <c r="M233" s="10">
        <f>(((L233/60)/60)/24)+DATE(1970,1,1)</f>
        <v>41415.208333333336</v>
      </c>
      <c r="N233">
        <v>1374123600</v>
      </c>
      <c r="O233" s="10">
        <f>(((N233/60)/60)/24)+DATE(1970,1,1)</f>
        <v>41473.208333333336</v>
      </c>
      <c r="P233" t="b">
        <v>0</v>
      </c>
      <c r="Q233" t="b">
        <v>0</v>
      </c>
      <c r="R233" t="s">
        <v>33</v>
      </c>
      <c r="S233" t="s">
        <v>2038</v>
      </c>
      <c r="T233" t="s">
        <v>2039</v>
      </c>
    </row>
    <row r="234" spans="1:20" ht="15.75" customHeight="1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>Table1[[#This Row],[pledged]]/Table1[[#This Row],[goal]]</f>
        <v>1.7126470588235294</v>
      </c>
      <c r="G234" t="s">
        <v>20</v>
      </c>
      <c r="H234">
        <v>92</v>
      </c>
      <c r="I234" t="s">
        <v>21</v>
      </c>
      <c r="J234" t="s">
        <v>22</v>
      </c>
      <c r="K234" s="12">
        <f>IF(OR(E234=0, H234=0), 0, E234/H234)</f>
        <v>63.293478260869563</v>
      </c>
      <c r="L234">
        <v>1469422800</v>
      </c>
      <c r="M234" s="10">
        <f>(((L234/60)/60)/24)+DATE(1970,1,1)</f>
        <v>42576.208333333328</v>
      </c>
      <c r="N234">
        <v>1469509200</v>
      </c>
      <c r="O234" s="10">
        <f>(((N234/60)/60)/24)+DATE(1970,1,1)</f>
        <v>42577.208333333328</v>
      </c>
      <c r="P234" t="b">
        <v>0</v>
      </c>
      <c r="Q234" t="b">
        <v>0</v>
      </c>
      <c r="R234" t="s">
        <v>33</v>
      </c>
      <c r="S234" t="s">
        <v>2038</v>
      </c>
      <c r="T234" t="s">
        <v>2039</v>
      </c>
    </row>
    <row r="235" spans="1:20" ht="15.75" customHeight="1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>Table1[[#This Row],[pledged]]/Table1[[#This Row],[goal]]</f>
        <v>1.5789473684210527</v>
      </c>
      <c r="G235" t="s">
        <v>20</v>
      </c>
      <c r="H235">
        <v>62</v>
      </c>
      <c r="I235" t="s">
        <v>21</v>
      </c>
      <c r="J235" t="s">
        <v>22</v>
      </c>
      <c r="K235" s="12">
        <f>IF(OR(E235=0, H235=0), 0, E235/H235)</f>
        <v>96.774193548387103</v>
      </c>
      <c r="L235">
        <v>1307854800</v>
      </c>
      <c r="M235" s="10">
        <f>(((L235/60)/60)/24)+DATE(1970,1,1)</f>
        <v>40706.208333333336</v>
      </c>
      <c r="N235">
        <v>1309237200</v>
      </c>
      <c r="O235" s="10">
        <f>(((N235/60)/60)/24)+DATE(1970,1,1)</f>
        <v>40722.208333333336</v>
      </c>
      <c r="P235" t="b">
        <v>0</v>
      </c>
      <c r="Q235" t="b">
        <v>0</v>
      </c>
      <c r="R235" t="s">
        <v>71</v>
      </c>
      <c r="S235" t="s">
        <v>2040</v>
      </c>
      <c r="T235" t="s">
        <v>2048</v>
      </c>
    </row>
    <row r="236" spans="1:20" ht="15.75" customHeight="1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>Table1[[#This Row],[pledged]]/Table1[[#This Row],[goal]]</f>
        <v>1.0908</v>
      </c>
      <c r="G236" t="s">
        <v>20</v>
      </c>
      <c r="H236">
        <v>149</v>
      </c>
      <c r="I236" t="s">
        <v>107</v>
      </c>
      <c r="J236" t="s">
        <v>108</v>
      </c>
      <c r="K236" s="12">
        <f>IF(OR(E236=0, H236=0), 0, E236/H236)</f>
        <v>54.906040268456373</v>
      </c>
      <c r="L236">
        <v>1503378000</v>
      </c>
      <c r="M236" s="10">
        <f>(((L236/60)/60)/24)+DATE(1970,1,1)</f>
        <v>42969.208333333328</v>
      </c>
      <c r="N236">
        <v>1503982800</v>
      </c>
      <c r="O236" s="10">
        <f>(((N236/60)/60)/24)+DATE(1970,1,1)</f>
        <v>42976.208333333328</v>
      </c>
      <c r="P236" t="b">
        <v>0</v>
      </c>
      <c r="Q236" t="b">
        <v>1</v>
      </c>
      <c r="R236" t="s">
        <v>89</v>
      </c>
      <c r="S236" t="s">
        <v>2049</v>
      </c>
      <c r="T236" t="s">
        <v>2050</v>
      </c>
    </row>
    <row r="237" spans="1:20" ht="15.75" customHeight="1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>Table1[[#This Row],[pledged]]/Table1[[#This Row],[goal]]</f>
        <v>0.41732558139534881</v>
      </c>
      <c r="G237" t="s">
        <v>14</v>
      </c>
      <c r="H237">
        <v>92</v>
      </c>
      <c r="I237" t="s">
        <v>21</v>
      </c>
      <c r="J237" t="s">
        <v>22</v>
      </c>
      <c r="K237" s="12">
        <f>IF(OR(E237=0, H237=0), 0, E237/H237)</f>
        <v>39.010869565217391</v>
      </c>
      <c r="L237">
        <v>1486965600</v>
      </c>
      <c r="M237" s="10">
        <f>(((L237/60)/60)/24)+DATE(1970,1,1)</f>
        <v>42779.25</v>
      </c>
      <c r="N237">
        <v>1487397600</v>
      </c>
      <c r="O237" s="10">
        <f>(((N237/60)/60)/24)+DATE(1970,1,1)</f>
        <v>42784.25</v>
      </c>
      <c r="P237" t="b">
        <v>0</v>
      </c>
      <c r="Q237" t="b">
        <v>0</v>
      </c>
      <c r="R237" t="s">
        <v>71</v>
      </c>
      <c r="S237" t="s">
        <v>2040</v>
      </c>
      <c r="T237" t="s">
        <v>2048</v>
      </c>
    </row>
    <row r="238" spans="1:20" ht="15.75" customHeight="1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>Table1[[#This Row],[pledged]]/Table1[[#This Row],[goal]]</f>
        <v>0.10944303797468355</v>
      </c>
      <c r="G238" t="s">
        <v>14</v>
      </c>
      <c r="H238">
        <v>57</v>
      </c>
      <c r="I238" t="s">
        <v>26</v>
      </c>
      <c r="J238" t="s">
        <v>27</v>
      </c>
      <c r="K238" s="12">
        <f>IF(OR(E238=0, H238=0), 0, E238/H238)</f>
        <v>75.84210526315789</v>
      </c>
      <c r="L238">
        <v>1561438800</v>
      </c>
      <c r="M238" s="10">
        <f>(((L238/60)/60)/24)+DATE(1970,1,1)</f>
        <v>43641.208333333328</v>
      </c>
      <c r="N238">
        <v>1562043600</v>
      </c>
      <c r="O238" s="10">
        <f>(((N238/60)/60)/24)+DATE(1970,1,1)</f>
        <v>43648.208333333328</v>
      </c>
      <c r="P238" t="b">
        <v>0</v>
      </c>
      <c r="Q238" t="b">
        <v>1</v>
      </c>
      <c r="R238" t="s">
        <v>23</v>
      </c>
      <c r="S238" t="s">
        <v>2034</v>
      </c>
      <c r="T238" t="s">
        <v>2035</v>
      </c>
    </row>
    <row r="239" spans="1:20" ht="15.75" customHeight="1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>Table1[[#This Row],[pledged]]/Table1[[#This Row],[goal]]</f>
        <v>1.593763440860215</v>
      </c>
      <c r="G239" t="s">
        <v>20</v>
      </c>
      <c r="H239">
        <v>329</v>
      </c>
      <c r="I239" t="s">
        <v>21</v>
      </c>
      <c r="J239" t="s">
        <v>22</v>
      </c>
      <c r="K239" s="12">
        <f>IF(OR(E239=0, H239=0), 0, E239/H239)</f>
        <v>45.051671732522799</v>
      </c>
      <c r="L239">
        <v>1398402000</v>
      </c>
      <c r="M239" s="10">
        <f>(((L239/60)/60)/24)+DATE(1970,1,1)</f>
        <v>41754.208333333336</v>
      </c>
      <c r="N239">
        <v>1398574800</v>
      </c>
      <c r="O239" s="10">
        <f>(((N239/60)/60)/24)+DATE(1970,1,1)</f>
        <v>41756.208333333336</v>
      </c>
      <c r="P239" t="b">
        <v>0</v>
      </c>
      <c r="Q239" t="b">
        <v>0</v>
      </c>
      <c r="R239" t="s">
        <v>71</v>
      </c>
      <c r="S239" t="s">
        <v>2040</v>
      </c>
      <c r="T239" t="s">
        <v>2048</v>
      </c>
    </row>
    <row r="240" spans="1:20" ht="15.75" customHeight="1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>Table1[[#This Row],[pledged]]/Table1[[#This Row],[goal]]</f>
        <v>4.2241666666666671</v>
      </c>
      <c r="G240" t="s">
        <v>20</v>
      </c>
      <c r="H240">
        <v>97</v>
      </c>
      <c r="I240" t="s">
        <v>36</v>
      </c>
      <c r="J240" t="s">
        <v>37</v>
      </c>
      <c r="K240" s="12">
        <f>IF(OR(E240=0, H240=0), 0, E240/H240)</f>
        <v>104.51546391752578</v>
      </c>
      <c r="L240">
        <v>1513231200</v>
      </c>
      <c r="M240" s="10">
        <f>(((L240/60)/60)/24)+DATE(1970,1,1)</f>
        <v>43083.25</v>
      </c>
      <c r="N240">
        <v>1515391200</v>
      </c>
      <c r="O240" s="10">
        <f>(((N240/60)/60)/24)+DATE(1970,1,1)</f>
        <v>43108.25</v>
      </c>
      <c r="P240" t="b">
        <v>0</v>
      </c>
      <c r="Q240" t="b">
        <v>1</v>
      </c>
      <c r="R240" t="s">
        <v>33</v>
      </c>
      <c r="S240" t="s">
        <v>2038</v>
      </c>
      <c r="T240" t="s">
        <v>2039</v>
      </c>
    </row>
    <row r="241" spans="1:20" ht="15.75" customHeight="1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>Table1[[#This Row],[pledged]]/Table1[[#This Row],[goal]]</f>
        <v>0.97718749999999999</v>
      </c>
      <c r="G241" t="s">
        <v>14</v>
      </c>
      <c r="H241">
        <v>41</v>
      </c>
      <c r="I241" t="s">
        <v>21</v>
      </c>
      <c r="J241" t="s">
        <v>22</v>
      </c>
      <c r="K241" s="12">
        <f>IF(OR(E241=0, H241=0), 0, E241/H241)</f>
        <v>76.268292682926827</v>
      </c>
      <c r="L241">
        <v>1440824400</v>
      </c>
      <c r="M241" s="10">
        <f>(((L241/60)/60)/24)+DATE(1970,1,1)</f>
        <v>42245.208333333328</v>
      </c>
      <c r="N241">
        <v>1441170000</v>
      </c>
      <c r="O241" s="10">
        <f>(((N241/60)/60)/24)+DATE(1970,1,1)</f>
        <v>42249.208333333328</v>
      </c>
      <c r="P241" t="b">
        <v>0</v>
      </c>
      <c r="Q241" t="b">
        <v>0</v>
      </c>
      <c r="R241" t="s">
        <v>65</v>
      </c>
      <c r="S241" t="s">
        <v>2036</v>
      </c>
      <c r="T241" t="s">
        <v>2045</v>
      </c>
    </row>
    <row r="242" spans="1:20" ht="15.75" customHeight="1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>Table1[[#This Row],[pledged]]/Table1[[#This Row],[goal]]</f>
        <v>4.1878911564625847</v>
      </c>
      <c r="G242" t="s">
        <v>20</v>
      </c>
      <c r="H242">
        <v>1784</v>
      </c>
      <c r="I242" t="s">
        <v>21</v>
      </c>
      <c r="J242" t="s">
        <v>22</v>
      </c>
      <c r="K242" s="12">
        <f>IF(OR(E242=0, H242=0), 0, E242/H242)</f>
        <v>69.015695067264573</v>
      </c>
      <c r="L242">
        <v>1281070800</v>
      </c>
      <c r="M242" s="10">
        <f>(((L242/60)/60)/24)+DATE(1970,1,1)</f>
        <v>40396.208333333336</v>
      </c>
      <c r="N242">
        <v>1281157200</v>
      </c>
      <c r="O242" s="10">
        <f>(((N242/60)/60)/24)+DATE(1970,1,1)</f>
        <v>40397.208333333336</v>
      </c>
      <c r="P242" t="b">
        <v>0</v>
      </c>
      <c r="Q242" t="b">
        <v>0</v>
      </c>
      <c r="R242" t="s">
        <v>33</v>
      </c>
      <c r="S242" t="s">
        <v>2038</v>
      </c>
      <c r="T242" t="s">
        <v>2039</v>
      </c>
    </row>
    <row r="243" spans="1:20" ht="15.75" customHeight="1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>Table1[[#This Row],[pledged]]/Table1[[#This Row],[goal]]</f>
        <v>1.0191632047477746</v>
      </c>
      <c r="G243" t="s">
        <v>20</v>
      </c>
      <c r="H243">
        <v>1684</v>
      </c>
      <c r="I243" t="s">
        <v>26</v>
      </c>
      <c r="J243" t="s">
        <v>27</v>
      </c>
      <c r="K243" s="12">
        <f>IF(OR(E243=0, H243=0), 0, E243/H243)</f>
        <v>101.97684085510689</v>
      </c>
      <c r="L243">
        <v>1397365200</v>
      </c>
      <c r="M243" s="10">
        <f>(((L243/60)/60)/24)+DATE(1970,1,1)</f>
        <v>41742.208333333336</v>
      </c>
      <c r="N243">
        <v>1398229200</v>
      </c>
      <c r="O243" s="10">
        <f>(((N243/60)/60)/24)+DATE(1970,1,1)</f>
        <v>41752.208333333336</v>
      </c>
      <c r="P243" t="b">
        <v>0</v>
      </c>
      <c r="Q243" t="b">
        <v>1</v>
      </c>
      <c r="R243" t="s">
        <v>68</v>
      </c>
      <c r="S243" t="s">
        <v>2046</v>
      </c>
      <c r="T243" t="s">
        <v>2047</v>
      </c>
    </row>
    <row r="244" spans="1:20" ht="15.75" customHeight="1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>Table1[[#This Row],[pledged]]/Table1[[#This Row],[goal]]</f>
        <v>1.2772619047619047</v>
      </c>
      <c r="G244" t="s">
        <v>20</v>
      </c>
      <c r="H244">
        <v>250</v>
      </c>
      <c r="I244" t="s">
        <v>21</v>
      </c>
      <c r="J244" t="s">
        <v>22</v>
      </c>
      <c r="K244" s="12">
        <f>IF(OR(E244=0, H244=0), 0, E244/H244)</f>
        <v>42.915999999999997</v>
      </c>
      <c r="L244">
        <v>1494392400</v>
      </c>
      <c r="M244" s="10">
        <f>(((L244/60)/60)/24)+DATE(1970,1,1)</f>
        <v>42865.208333333328</v>
      </c>
      <c r="N244">
        <v>1495256400</v>
      </c>
      <c r="O244" s="10">
        <f>(((N244/60)/60)/24)+DATE(1970,1,1)</f>
        <v>42875.208333333328</v>
      </c>
      <c r="P244" t="b">
        <v>0</v>
      </c>
      <c r="Q244" t="b">
        <v>1</v>
      </c>
      <c r="R244" t="s">
        <v>23</v>
      </c>
      <c r="S244" t="s">
        <v>2034</v>
      </c>
      <c r="T244" t="s">
        <v>2035</v>
      </c>
    </row>
    <row r="245" spans="1:20" ht="15.75" customHeight="1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>Table1[[#This Row],[pledged]]/Table1[[#This Row],[goal]]</f>
        <v>4.4521739130434783</v>
      </c>
      <c r="G245" t="s">
        <v>20</v>
      </c>
      <c r="H245">
        <v>238</v>
      </c>
      <c r="I245" t="s">
        <v>21</v>
      </c>
      <c r="J245" t="s">
        <v>22</v>
      </c>
      <c r="K245" s="12">
        <f>IF(OR(E245=0, H245=0), 0, E245/H245)</f>
        <v>43.025210084033617</v>
      </c>
      <c r="L245">
        <v>1520143200</v>
      </c>
      <c r="M245" s="10">
        <f>(((L245/60)/60)/24)+DATE(1970,1,1)</f>
        <v>43163.25</v>
      </c>
      <c r="N245">
        <v>1520402400</v>
      </c>
      <c r="O245" s="10">
        <f>(((N245/60)/60)/24)+DATE(1970,1,1)</f>
        <v>43166.25</v>
      </c>
      <c r="P245" t="b">
        <v>0</v>
      </c>
      <c r="Q245" t="b">
        <v>0</v>
      </c>
      <c r="R245" t="s">
        <v>33</v>
      </c>
      <c r="S245" t="s">
        <v>2038</v>
      </c>
      <c r="T245" t="s">
        <v>2039</v>
      </c>
    </row>
    <row r="246" spans="1:20" ht="15.75" customHeight="1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>Table1[[#This Row],[pledged]]/Table1[[#This Row],[goal]]</f>
        <v>5.6971428571428575</v>
      </c>
      <c r="G246" t="s">
        <v>20</v>
      </c>
      <c r="H246">
        <v>53</v>
      </c>
      <c r="I246" t="s">
        <v>21</v>
      </c>
      <c r="J246" t="s">
        <v>22</v>
      </c>
      <c r="K246" s="12">
        <f>IF(OR(E246=0, H246=0), 0, E246/H246)</f>
        <v>75.245283018867923</v>
      </c>
      <c r="L246">
        <v>1405314000</v>
      </c>
      <c r="M246" s="10">
        <f>(((L246/60)/60)/24)+DATE(1970,1,1)</f>
        <v>41834.208333333336</v>
      </c>
      <c r="N246">
        <v>1409806800</v>
      </c>
      <c r="O246" s="10">
        <f>(((N246/60)/60)/24)+DATE(1970,1,1)</f>
        <v>41886.208333333336</v>
      </c>
      <c r="P246" t="b">
        <v>0</v>
      </c>
      <c r="Q246" t="b">
        <v>0</v>
      </c>
      <c r="R246" t="s">
        <v>33</v>
      </c>
      <c r="S246" t="s">
        <v>2038</v>
      </c>
      <c r="T246" t="s">
        <v>2039</v>
      </c>
    </row>
    <row r="247" spans="1:20" ht="15.75" customHeight="1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>Table1[[#This Row],[pledged]]/Table1[[#This Row],[goal]]</f>
        <v>5.0934482758620687</v>
      </c>
      <c r="G247" t="s">
        <v>20</v>
      </c>
      <c r="H247">
        <v>214</v>
      </c>
      <c r="I247" t="s">
        <v>21</v>
      </c>
      <c r="J247" t="s">
        <v>22</v>
      </c>
      <c r="K247" s="12">
        <f>IF(OR(E247=0, H247=0), 0, E247/H247)</f>
        <v>69.023364485981304</v>
      </c>
      <c r="L247">
        <v>1396846800</v>
      </c>
      <c r="M247" s="10">
        <f>(((L247/60)/60)/24)+DATE(1970,1,1)</f>
        <v>41736.208333333336</v>
      </c>
      <c r="N247">
        <v>1396933200</v>
      </c>
      <c r="O247" s="10">
        <f>(((N247/60)/60)/24)+DATE(1970,1,1)</f>
        <v>41737.208333333336</v>
      </c>
      <c r="P247" t="b">
        <v>0</v>
      </c>
      <c r="Q247" t="b">
        <v>0</v>
      </c>
      <c r="R247" t="s">
        <v>33</v>
      </c>
      <c r="S247" t="s">
        <v>2038</v>
      </c>
      <c r="T247" t="s">
        <v>2039</v>
      </c>
    </row>
    <row r="248" spans="1:20" ht="15.75" customHeight="1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>Table1[[#This Row],[pledged]]/Table1[[#This Row],[goal]]</f>
        <v>3.2553333333333332</v>
      </c>
      <c r="G248" t="s">
        <v>20</v>
      </c>
      <c r="H248">
        <v>222</v>
      </c>
      <c r="I248" t="s">
        <v>21</v>
      </c>
      <c r="J248" t="s">
        <v>22</v>
      </c>
      <c r="K248" s="12">
        <f>IF(OR(E248=0, H248=0), 0, E248/H248)</f>
        <v>65.986486486486484</v>
      </c>
      <c r="L248">
        <v>1375678800</v>
      </c>
      <c r="M248" s="10">
        <f>(((L248/60)/60)/24)+DATE(1970,1,1)</f>
        <v>41491.208333333336</v>
      </c>
      <c r="N248">
        <v>1376024400</v>
      </c>
      <c r="O248" s="10">
        <f>(((N248/60)/60)/24)+DATE(1970,1,1)</f>
        <v>41495.208333333336</v>
      </c>
      <c r="P248" t="b">
        <v>0</v>
      </c>
      <c r="Q248" t="b">
        <v>0</v>
      </c>
      <c r="R248" t="s">
        <v>28</v>
      </c>
      <c r="S248" t="s">
        <v>2036</v>
      </c>
      <c r="T248" t="s">
        <v>2037</v>
      </c>
    </row>
    <row r="249" spans="1:20" ht="15.75" customHeight="1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>Table1[[#This Row],[pledged]]/Table1[[#This Row],[goal]]</f>
        <v>9.3261616161616168</v>
      </c>
      <c r="G249" t="s">
        <v>20</v>
      </c>
      <c r="H249">
        <v>1884</v>
      </c>
      <c r="I249" t="s">
        <v>21</v>
      </c>
      <c r="J249" t="s">
        <v>22</v>
      </c>
      <c r="K249" s="12">
        <f>IF(OR(E249=0, H249=0), 0, E249/H249)</f>
        <v>98.013800424628457</v>
      </c>
      <c r="L249">
        <v>1482386400</v>
      </c>
      <c r="M249" s="10">
        <f>(((L249/60)/60)/24)+DATE(1970,1,1)</f>
        <v>42726.25</v>
      </c>
      <c r="N249">
        <v>1483682400</v>
      </c>
      <c r="O249" s="10">
        <f>(((N249/60)/60)/24)+DATE(1970,1,1)</f>
        <v>42741.25</v>
      </c>
      <c r="P249" t="b">
        <v>0</v>
      </c>
      <c r="Q249" t="b">
        <v>1</v>
      </c>
      <c r="R249" t="s">
        <v>119</v>
      </c>
      <c r="S249" t="s">
        <v>2046</v>
      </c>
      <c r="T249" t="s">
        <v>2052</v>
      </c>
    </row>
    <row r="250" spans="1:20" ht="15.75" customHeight="1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>Table1[[#This Row],[pledged]]/Table1[[#This Row],[goal]]</f>
        <v>2.1133870967741935</v>
      </c>
      <c r="G250" t="s">
        <v>20</v>
      </c>
      <c r="H250">
        <v>218</v>
      </c>
      <c r="I250" t="s">
        <v>26</v>
      </c>
      <c r="J250" t="s">
        <v>27</v>
      </c>
      <c r="K250" s="12">
        <f>IF(OR(E250=0, H250=0), 0, E250/H250)</f>
        <v>60.105504587155963</v>
      </c>
      <c r="L250">
        <v>1420005600</v>
      </c>
      <c r="M250" s="10">
        <f>(((L250/60)/60)/24)+DATE(1970,1,1)</f>
        <v>42004.25</v>
      </c>
      <c r="N250">
        <v>1420437600</v>
      </c>
      <c r="O250" s="10">
        <f>(((N250/60)/60)/24)+DATE(1970,1,1)</f>
        <v>42009.25</v>
      </c>
      <c r="P250" t="b">
        <v>0</v>
      </c>
      <c r="Q250" t="b">
        <v>0</v>
      </c>
      <c r="R250" t="s">
        <v>292</v>
      </c>
      <c r="S250" t="s">
        <v>2049</v>
      </c>
      <c r="T250" t="s">
        <v>2060</v>
      </c>
    </row>
    <row r="251" spans="1:20" ht="15.75" customHeight="1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>Table1[[#This Row],[pledged]]/Table1[[#This Row],[goal]]</f>
        <v>2.7332520325203253</v>
      </c>
      <c r="G251" t="s">
        <v>20</v>
      </c>
      <c r="H251">
        <v>6465</v>
      </c>
      <c r="I251" t="s">
        <v>21</v>
      </c>
      <c r="J251" t="s">
        <v>22</v>
      </c>
      <c r="K251" s="12">
        <f>IF(OR(E251=0, H251=0), 0, E251/H251)</f>
        <v>26.000773395204948</v>
      </c>
      <c r="L251">
        <v>1420178400</v>
      </c>
      <c r="M251" s="10">
        <f>(((L251/60)/60)/24)+DATE(1970,1,1)</f>
        <v>42006.25</v>
      </c>
      <c r="N251">
        <v>1420783200</v>
      </c>
      <c r="O251" s="10">
        <f>(((N251/60)/60)/24)+DATE(1970,1,1)</f>
        <v>42013.25</v>
      </c>
      <c r="P251" t="b">
        <v>0</v>
      </c>
      <c r="Q251" t="b">
        <v>0</v>
      </c>
      <c r="R251" t="s">
        <v>206</v>
      </c>
      <c r="S251" t="s">
        <v>2046</v>
      </c>
      <c r="T251" t="s">
        <v>2058</v>
      </c>
    </row>
    <row r="252" spans="1:20" ht="15.75" customHeight="1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>Table1[[#This Row],[pledged]]/Table1[[#This Row],[goal]]</f>
        <v>0.03</v>
      </c>
      <c r="G252" t="s">
        <v>14</v>
      </c>
      <c r="H252">
        <v>1</v>
      </c>
      <c r="I252" t="s">
        <v>21</v>
      </c>
      <c r="J252" t="s">
        <v>22</v>
      </c>
      <c r="K252" s="12">
        <f>IF(OR(E252=0, H252=0), 0, E252/H252)</f>
        <v>3</v>
      </c>
      <c r="L252">
        <v>1264399200</v>
      </c>
      <c r="M252" s="10">
        <f>(((L252/60)/60)/24)+DATE(1970,1,1)</f>
        <v>40203.25</v>
      </c>
      <c r="N252">
        <v>1267423200</v>
      </c>
      <c r="O252" s="10">
        <f>(((N252/60)/60)/24)+DATE(1970,1,1)</f>
        <v>40238.25</v>
      </c>
      <c r="P252" t="b">
        <v>0</v>
      </c>
      <c r="Q252" t="b">
        <v>0</v>
      </c>
      <c r="R252" t="s">
        <v>23</v>
      </c>
      <c r="S252" t="s">
        <v>2034</v>
      </c>
      <c r="T252" t="s">
        <v>2035</v>
      </c>
    </row>
    <row r="253" spans="1:20" ht="15.75" customHeight="1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>Table1[[#This Row],[pledged]]/Table1[[#This Row],[goal]]</f>
        <v>0.54084507042253516</v>
      </c>
      <c r="G253" t="s">
        <v>14</v>
      </c>
      <c r="H253">
        <v>101</v>
      </c>
      <c r="I253" t="s">
        <v>21</v>
      </c>
      <c r="J253" t="s">
        <v>22</v>
      </c>
      <c r="K253" s="12">
        <f>IF(OR(E253=0, H253=0), 0, E253/H253)</f>
        <v>38.019801980198018</v>
      </c>
      <c r="L253">
        <v>1355032800</v>
      </c>
      <c r="M253" s="10">
        <f>(((L253/60)/60)/24)+DATE(1970,1,1)</f>
        <v>41252.25</v>
      </c>
      <c r="N253">
        <v>1355205600</v>
      </c>
      <c r="O253" s="10">
        <f>(((N253/60)/60)/24)+DATE(1970,1,1)</f>
        <v>41254.25</v>
      </c>
      <c r="P253" t="b">
        <v>0</v>
      </c>
      <c r="Q253" t="b">
        <v>0</v>
      </c>
      <c r="R253" t="s">
        <v>33</v>
      </c>
      <c r="S253" t="s">
        <v>2038</v>
      </c>
      <c r="T253" t="s">
        <v>2039</v>
      </c>
    </row>
    <row r="254" spans="1:20" ht="15.75" customHeight="1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>Table1[[#This Row],[pledged]]/Table1[[#This Row],[goal]]</f>
        <v>6.2629999999999999</v>
      </c>
      <c r="G254" t="s">
        <v>20</v>
      </c>
      <c r="H254">
        <v>59</v>
      </c>
      <c r="I254" t="s">
        <v>21</v>
      </c>
      <c r="J254" t="s">
        <v>22</v>
      </c>
      <c r="K254" s="12">
        <f>IF(OR(E254=0, H254=0), 0, E254/H254)</f>
        <v>106.15254237288136</v>
      </c>
      <c r="L254">
        <v>1382677200</v>
      </c>
      <c r="M254" s="10">
        <f>(((L254/60)/60)/24)+DATE(1970,1,1)</f>
        <v>41572.208333333336</v>
      </c>
      <c r="N254">
        <v>1383109200</v>
      </c>
      <c r="O254" s="10">
        <f>(((N254/60)/60)/24)+DATE(1970,1,1)</f>
        <v>41577.208333333336</v>
      </c>
      <c r="P254" t="b">
        <v>0</v>
      </c>
      <c r="Q254" t="b">
        <v>0</v>
      </c>
      <c r="R254" t="s">
        <v>33</v>
      </c>
      <c r="S254" t="s">
        <v>2038</v>
      </c>
      <c r="T254" t="s">
        <v>2039</v>
      </c>
    </row>
    <row r="255" spans="1:20" ht="15.75" customHeight="1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>Table1[[#This Row],[pledged]]/Table1[[#This Row],[goal]]</f>
        <v>0.8902139917695473</v>
      </c>
      <c r="G255" t="s">
        <v>14</v>
      </c>
      <c r="H255">
        <v>1335</v>
      </c>
      <c r="I255" t="s">
        <v>15</v>
      </c>
      <c r="J255" t="s">
        <v>16</v>
      </c>
      <c r="K255" s="12">
        <f>IF(OR(E255=0, H255=0), 0, E255/H255)</f>
        <v>81.019475655430711</v>
      </c>
      <c r="L255">
        <v>1302238800</v>
      </c>
      <c r="M255" s="10">
        <f>(((L255/60)/60)/24)+DATE(1970,1,1)</f>
        <v>40641.208333333336</v>
      </c>
      <c r="N255">
        <v>1303275600</v>
      </c>
      <c r="O255" s="10">
        <f>(((N255/60)/60)/24)+DATE(1970,1,1)</f>
        <v>40653.208333333336</v>
      </c>
      <c r="P255" t="b">
        <v>0</v>
      </c>
      <c r="Q255" t="b">
        <v>0</v>
      </c>
      <c r="R255" t="s">
        <v>53</v>
      </c>
      <c r="S255" t="s">
        <v>2040</v>
      </c>
      <c r="T255" t="s">
        <v>2043</v>
      </c>
    </row>
    <row r="256" spans="1:20" ht="15.75" customHeight="1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>Table1[[#This Row],[pledged]]/Table1[[#This Row],[goal]]</f>
        <v>1.8489130434782608</v>
      </c>
      <c r="G256" t="s">
        <v>20</v>
      </c>
      <c r="H256">
        <v>88</v>
      </c>
      <c r="I256" t="s">
        <v>21</v>
      </c>
      <c r="J256" t="s">
        <v>22</v>
      </c>
      <c r="K256" s="12">
        <f>IF(OR(E256=0, H256=0), 0, E256/H256)</f>
        <v>96.647727272727266</v>
      </c>
      <c r="L256">
        <v>1487656800</v>
      </c>
      <c r="M256" s="10">
        <f>(((L256/60)/60)/24)+DATE(1970,1,1)</f>
        <v>42787.25</v>
      </c>
      <c r="N256">
        <v>1487829600</v>
      </c>
      <c r="O256" s="10">
        <f>(((N256/60)/60)/24)+DATE(1970,1,1)</f>
        <v>42789.25</v>
      </c>
      <c r="P256" t="b">
        <v>0</v>
      </c>
      <c r="Q256" t="b">
        <v>0</v>
      </c>
      <c r="R256" t="s">
        <v>68</v>
      </c>
      <c r="S256" t="s">
        <v>2046</v>
      </c>
      <c r="T256" t="s">
        <v>2047</v>
      </c>
    </row>
    <row r="257" spans="1:20" ht="15.75" customHeight="1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>Table1[[#This Row],[pledged]]/Table1[[#This Row],[goal]]</f>
        <v>1.2016770186335404</v>
      </c>
      <c r="G257" t="s">
        <v>20</v>
      </c>
      <c r="H257">
        <v>1697</v>
      </c>
      <c r="I257" t="s">
        <v>21</v>
      </c>
      <c r="J257" t="s">
        <v>22</v>
      </c>
      <c r="K257" s="12">
        <f>IF(OR(E257=0, H257=0), 0, E257/H257)</f>
        <v>57.003535651149086</v>
      </c>
      <c r="L257">
        <v>1297836000</v>
      </c>
      <c r="M257" s="10">
        <f>(((L257/60)/60)/24)+DATE(1970,1,1)</f>
        <v>40590.25</v>
      </c>
      <c r="N257">
        <v>1298268000</v>
      </c>
      <c r="O257" s="10">
        <f>(((N257/60)/60)/24)+DATE(1970,1,1)</f>
        <v>40595.25</v>
      </c>
      <c r="P257" t="b">
        <v>0</v>
      </c>
      <c r="Q257" t="b">
        <v>1</v>
      </c>
      <c r="R257" t="s">
        <v>23</v>
      </c>
      <c r="S257" t="s">
        <v>2034</v>
      </c>
      <c r="T257" t="s">
        <v>2035</v>
      </c>
    </row>
    <row r="258" spans="1:20" ht="15.75" customHeight="1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>Table1[[#This Row],[pledged]]/Table1[[#This Row],[goal]]</f>
        <v>0.23390243902439026</v>
      </c>
      <c r="G258" t="s">
        <v>14</v>
      </c>
      <c r="H258">
        <v>15</v>
      </c>
      <c r="I258" t="s">
        <v>40</v>
      </c>
      <c r="J258" t="s">
        <v>41</v>
      </c>
      <c r="K258" s="12">
        <f>IF(OR(E258=0, H258=0), 0, E258/H258)</f>
        <v>63.93333333333333</v>
      </c>
      <c r="L258">
        <v>1453615200</v>
      </c>
      <c r="M258" s="10">
        <f>(((L258/60)/60)/24)+DATE(1970,1,1)</f>
        <v>42393.25</v>
      </c>
      <c r="N258">
        <v>1456812000</v>
      </c>
      <c r="O258" s="10">
        <f>(((N258/60)/60)/24)+DATE(1970,1,1)</f>
        <v>42430.25</v>
      </c>
      <c r="P258" t="b">
        <v>0</v>
      </c>
      <c r="Q258" t="b">
        <v>0</v>
      </c>
      <c r="R258" t="s">
        <v>23</v>
      </c>
      <c r="S258" t="s">
        <v>2034</v>
      </c>
      <c r="T258" t="s">
        <v>2035</v>
      </c>
    </row>
    <row r="259" spans="1:20" ht="15.75" customHeight="1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>Table1[[#This Row],[pledged]]/Table1[[#This Row],[goal]]</f>
        <v>1.46</v>
      </c>
      <c r="G259" t="s">
        <v>20</v>
      </c>
      <c r="H259">
        <v>92</v>
      </c>
      <c r="I259" t="s">
        <v>21</v>
      </c>
      <c r="J259" t="s">
        <v>22</v>
      </c>
      <c r="K259" s="12">
        <f>IF(OR(E259=0, H259=0), 0, E259/H259)</f>
        <v>90.456521739130437</v>
      </c>
      <c r="L259">
        <v>1362463200</v>
      </c>
      <c r="M259" s="10">
        <f>(((L259/60)/60)/24)+DATE(1970,1,1)</f>
        <v>41338.25</v>
      </c>
      <c r="N259">
        <v>1363669200</v>
      </c>
      <c r="O259" s="10">
        <f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2038</v>
      </c>
      <c r="T259" t="s">
        <v>2039</v>
      </c>
    </row>
    <row r="260" spans="1:20" ht="15.75" customHeight="1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>Table1[[#This Row],[pledged]]/Table1[[#This Row],[goal]]</f>
        <v>2.6848000000000001</v>
      </c>
      <c r="G260" t="s">
        <v>20</v>
      </c>
      <c r="H260">
        <v>186</v>
      </c>
      <c r="I260" t="s">
        <v>21</v>
      </c>
      <c r="J260" t="s">
        <v>22</v>
      </c>
      <c r="K260" s="12">
        <f>IF(OR(E260=0, H260=0), 0, E260/H260)</f>
        <v>72.172043010752688</v>
      </c>
      <c r="L260">
        <v>1481176800</v>
      </c>
      <c r="M260" s="10">
        <f>(((L260/60)/60)/24)+DATE(1970,1,1)</f>
        <v>42712.25</v>
      </c>
      <c r="N260">
        <v>1482904800</v>
      </c>
      <c r="O260" s="10">
        <f>(((N260/60)/60)/24)+DATE(1970,1,1)</f>
        <v>42732.25</v>
      </c>
      <c r="P260" t="b">
        <v>0</v>
      </c>
      <c r="Q260" t="b">
        <v>1</v>
      </c>
      <c r="R260" t="s">
        <v>33</v>
      </c>
      <c r="S260" t="s">
        <v>2038</v>
      </c>
      <c r="T260" t="s">
        <v>2039</v>
      </c>
    </row>
    <row r="261" spans="1:20" ht="15.75" customHeight="1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>Table1[[#This Row],[pledged]]/Table1[[#This Row],[goal]]</f>
        <v>5.9749999999999996</v>
      </c>
      <c r="G261" t="s">
        <v>20</v>
      </c>
      <c r="H261">
        <v>138</v>
      </c>
      <c r="I261" t="s">
        <v>21</v>
      </c>
      <c r="J261" t="s">
        <v>22</v>
      </c>
      <c r="K261" s="12">
        <f>IF(OR(E261=0, H261=0), 0, E261/H261)</f>
        <v>77.934782608695656</v>
      </c>
      <c r="L261">
        <v>1354946400</v>
      </c>
      <c r="M261" s="10">
        <f>(((L261/60)/60)/24)+DATE(1970,1,1)</f>
        <v>41251.25</v>
      </c>
      <c r="N261">
        <v>1356588000</v>
      </c>
      <c r="O261" s="10">
        <f>(((N261/60)/60)/24)+DATE(1970,1,1)</f>
        <v>41270.25</v>
      </c>
      <c r="P261" t="b">
        <v>1</v>
      </c>
      <c r="Q261" t="b">
        <v>0</v>
      </c>
      <c r="R261" t="s">
        <v>122</v>
      </c>
      <c r="S261" t="s">
        <v>2053</v>
      </c>
      <c r="T261" t="s">
        <v>2054</v>
      </c>
    </row>
    <row r="262" spans="1:20" ht="15.75" customHeight="1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>Table1[[#This Row],[pledged]]/Table1[[#This Row],[goal]]</f>
        <v>1.5769841269841269</v>
      </c>
      <c r="G262" t="s">
        <v>20</v>
      </c>
      <c r="H262">
        <v>261</v>
      </c>
      <c r="I262" t="s">
        <v>21</v>
      </c>
      <c r="J262" t="s">
        <v>22</v>
      </c>
      <c r="K262" s="12">
        <f>IF(OR(E262=0, H262=0), 0, E262/H262)</f>
        <v>38.065134099616856</v>
      </c>
      <c r="L262">
        <v>1348808400</v>
      </c>
      <c r="M262" s="10">
        <f>(((L262/60)/60)/24)+DATE(1970,1,1)</f>
        <v>41180.208333333336</v>
      </c>
      <c r="N262">
        <v>1349845200</v>
      </c>
      <c r="O262" s="10">
        <f>(((N262/60)/60)/24)+DATE(1970,1,1)</f>
        <v>41192.208333333336</v>
      </c>
      <c r="P262" t="b">
        <v>0</v>
      </c>
      <c r="Q262" t="b">
        <v>0</v>
      </c>
      <c r="R262" t="s">
        <v>23</v>
      </c>
      <c r="S262" t="s">
        <v>2034</v>
      </c>
      <c r="T262" t="s">
        <v>2035</v>
      </c>
    </row>
    <row r="263" spans="1:20" ht="15.75" customHeight="1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>Table1[[#This Row],[pledged]]/Table1[[#This Row],[goal]]</f>
        <v>0.31201660735468567</v>
      </c>
      <c r="G263" t="s">
        <v>14</v>
      </c>
      <c r="H263">
        <v>454</v>
      </c>
      <c r="I263" t="s">
        <v>21</v>
      </c>
      <c r="J263" t="s">
        <v>22</v>
      </c>
      <c r="K263" s="12">
        <f>IF(OR(E263=0, H263=0), 0, E263/H263)</f>
        <v>57.936123348017624</v>
      </c>
      <c r="L263">
        <v>1282712400</v>
      </c>
      <c r="M263" s="10">
        <f>(((L263/60)/60)/24)+DATE(1970,1,1)</f>
        <v>40415.208333333336</v>
      </c>
      <c r="N263">
        <v>1283058000</v>
      </c>
      <c r="O263" s="10">
        <f>(((N263/60)/60)/24)+DATE(1970,1,1)</f>
        <v>40419.208333333336</v>
      </c>
      <c r="P263" t="b">
        <v>0</v>
      </c>
      <c r="Q263" t="b">
        <v>1</v>
      </c>
      <c r="R263" t="s">
        <v>23</v>
      </c>
      <c r="S263" t="s">
        <v>2034</v>
      </c>
      <c r="T263" t="s">
        <v>2035</v>
      </c>
    </row>
    <row r="264" spans="1:20" ht="15.75" customHeight="1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>Table1[[#This Row],[pledged]]/Table1[[#This Row],[goal]]</f>
        <v>3.1341176470588237</v>
      </c>
      <c r="G264" t="s">
        <v>20</v>
      </c>
      <c r="H264">
        <v>107</v>
      </c>
      <c r="I264" t="s">
        <v>21</v>
      </c>
      <c r="J264" t="s">
        <v>22</v>
      </c>
      <c r="K264" s="12">
        <f>IF(OR(E264=0, H264=0), 0, E264/H264)</f>
        <v>49.794392523364486</v>
      </c>
      <c r="L264">
        <v>1301979600</v>
      </c>
      <c r="M264" s="10">
        <f>(((L264/60)/60)/24)+DATE(1970,1,1)</f>
        <v>40638.208333333336</v>
      </c>
      <c r="N264">
        <v>1304226000</v>
      </c>
      <c r="O264" s="10">
        <f>(((N264/60)/60)/24)+DATE(1970,1,1)</f>
        <v>40664.208333333336</v>
      </c>
      <c r="P264" t="b">
        <v>0</v>
      </c>
      <c r="Q264" t="b">
        <v>1</v>
      </c>
      <c r="R264" t="s">
        <v>60</v>
      </c>
      <c r="S264" t="s">
        <v>2034</v>
      </c>
      <c r="T264" t="s">
        <v>2044</v>
      </c>
    </row>
    <row r="265" spans="1:20" ht="15.75" customHeight="1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>Table1[[#This Row],[pledged]]/Table1[[#This Row],[goal]]</f>
        <v>3.7089655172413791</v>
      </c>
      <c r="G265" t="s">
        <v>20</v>
      </c>
      <c r="H265">
        <v>199</v>
      </c>
      <c r="I265" t="s">
        <v>21</v>
      </c>
      <c r="J265" t="s">
        <v>22</v>
      </c>
      <c r="K265" s="12">
        <f>IF(OR(E265=0, H265=0), 0, E265/H265)</f>
        <v>54.050251256281406</v>
      </c>
      <c r="L265">
        <v>1263016800</v>
      </c>
      <c r="M265" s="10">
        <f>(((L265/60)/60)/24)+DATE(1970,1,1)</f>
        <v>40187.25</v>
      </c>
      <c r="N265">
        <v>1263016800</v>
      </c>
      <c r="O265" s="10">
        <f>(((N265/60)/60)/24)+DATE(1970,1,1)</f>
        <v>40187.25</v>
      </c>
      <c r="P265" t="b">
        <v>0</v>
      </c>
      <c r="Q265" t="b">
        <v>0</v>
      </c>
      <c r="R265" t="s">
        <v>122</v>
      </c>
      <c r="S265" t="s">
        <v>2053</v>
      </c>
      <c r="T265" t="s">
        <v>2054</v>
      </c>
    </row>
    <row r="266" spans="1:20" ht="15.75" customHeight="1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>Table1[[#This Row],[pledged]]/Table1[[#This Row],[goal]]</f>
        <v>3.6266447368421053</v>
      </c>
      <c r="G266" t="s">
        <v>20</v>
      </c>
      <c r="H266">
        <v>5512</v>
      </c>
      <c r="I266" t="s">
        <v>21</v>
      </c>
      <c r="J266" t="s">
        <v>22</v>
      </c>
      <c r="K266" s="12">
        <f>IF(OR(E266=0, H266=0), 0, E266/H266)</f>
        <v>30.002721335268504</v>
      </c>
      <c r="L266">
        <v>1360648800</v>
      </c>
      <c r="M266" s="10">
        <f>(((L266/60)/60)/24)+DATE(1970,1,1)</f>
        <v>41317.25</v>
      </c>
      <c r="N266">
        <v>1362031200</v>
      </c>
      <c r="O266" s="10">
        <f>(((N266/60)/60)/24)+DATE(1970,1,1)</f>
        <v>41333.25</v>
      </c>
      <c r="P266" t="b">
        <v>0</v>
      </c>
      <c r="Q266" t="b">
        <v>0</v>
      </c>
      <c r="R266" t="s">
        <v>33</v>
      </c>
      <c r="S266" t="s">
        <v>2038</v>
      </c>
      <c r="T266" t="s">
        <v>2039</v>
      </c>
    </row>
    <row r="267" spans="1:20" ht="15.75" customHeight="1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>Table1[[#This Row],[pledged]]/Table1[[#This Row],[goal]]</f>
        <v>1.2308163265306122</v>
      </c>
      <c r="G267" t="s">
        <v>20</v>
      </c>
      <c r="H267">
        <v>86</v>
      </c>
      <c r="I267" t="s">
        <v>21</v>
      </c>
      <c r="J267" t="s">
        <v>22</v>
      </c>
      <c r="K267" s="12">
        <f>IF(OR(E267=0, H267=0), 0, E267/H267)</f>
        <v>70.127906976744185</v>
      </c>
      <c r="L267">
        <v>1451800800</v>
      </c>
      <c r="M267" s="10">
        <f>(((L267/60)/60)/24)+DATE(1970,1,1)</f>
        <v>42372.25</v>
      </c>
      <c r="N267">
        <v>1455602400</v>
      </c>
      <c r="O267" s="10">
        <f>(((N267/60)/60)/24)+DATE(1970,1,1)</f>
        <v>42416.25</v>
      </c>
      <c r="P267" t="b">
        <v>0</v>
      </c>
      <c r="Q267" t="b">
        <v>0</v>
      </c>
      <c r="R267" t="s">
        <v>33</v>
      </c>
      <c r="S267" t="s">
        <v>2038</v>
      </c>
      <c r="T267" t="s">
        <v>2039</v>
      </c>
    </row>
    <row r="268" spans="1:20" ht="15.75" customHeight="1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>Table1[[#This Row],[pledged]]/Table1[[#This Row],[goal]]</f>
        <v>0.76766756032171579</v>
      </c>
      <c r="G268" t="s">
        <v>14</v>
      </c>
      <c r="H268">
        <v>3182</v>
      </c>
      <c r="I268" t="s">
        <v>107</v>
      </c>
      <c r="J268" t="s">
        <v>108</v>
      </c>
      <c r="K268" s="12">
        <f>IF(OR(E268=0, H268=0), 0, E268/H268)</f>
        <v>26.996228786926462</v>
      </c>
      <c r="L268">
        <v>1415340000</v>
      </c>
      <c r="M268" s="10">
        <f>(((L268/60)/60)/24)+DATE(1970,1,1)</f>
        <v>41950.25</v>
      </c>
      <c r="N268">
        <v>1418191200</v>
      </c>
      <c r="O268" s="10">
        <f>(((N268/60)/60)/24)+DATE(1970,1,1)</f>
        <v>41983.25</v>
      </c>
      <c r="P268" t="b">
        <v>0</v>
      </c>
      <c r="Q268" t="b">
        <v>1</v>
      </c>
      <c r="R268" t="s">
        <v>159</v>
      </c>
      <c r="S268" t="s">
        <v>2034</v>
      </c>
      <c r="T268" t="s">
        <v>2057</v>
      </c>
    </row>
    <row r="269" spans="1:20" ht="15.75" customHeight="1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>Table1[[#This Row],[pledged]]/Table1[[#This Row],[goal]]</f>
        <v>2.3362012987012988</v>
      </c>
      <c r="G269" t="s">
        <v>20</v>
      </c>
      <c r="H269">
        <v>2768</v>
      </c>
      <c r="I269" t="s">
        <v>26</v>
      </c>
      <c r="J269" t="s">
        <v>27</v>
      </c>
      <c r="K269" s="12">
        <f>IF(OR(E269=0, H269=0), 0, E269/H269)</f>
        <v>51.990606936416185</v>
      </c>
      <c r="L269">
        <v>1351054800</v>
      </c>
      <c r="M269" s="10">
        <f>(((L269/60)/60)/24)+DATE(1970,1,1)</f>
        <v>41206.208333333336</v>
      </c>
      <c r="N269">
        <v>1352440800</v>
      </c>
      <c r="O269" s="10">
        <f>(((N269/60)/60)/24)+DATE(1970,1,1)</f>
        <v>41222.25</v>
      </c>
      <c r="P269" t="b">
        <v>0</v>
      </c>
      <c r="Q269" t="b">
        <v>0</v>
      </c>
      <c r="R269" t="s">
        <v>33</v>
      </c>
      <c r="S269" t="s">
        <v>2038</v>
      </c>
      <c r="T269" t="s">
        <v>2039</v>
      </c>
    </row>
    <row r="270" spans="1:20" ht="15.75" customHeight="1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>Table1[[#This Row],[pledged]]/Table1[[#This Row],[goal]]</f>
        <v>1.8053333333333332</v>
      </c>
      <c r="G270" t="s">
        <v>20</v>
      </c>
      <c r="H270">
        <v>48</v>
      </c>
      <c r="I270" t="s">
        <v>21</v>
      </c>
      <c r="J270" t="s">
        <v>22</v>
      </c>
      <c r="K270" s="12">
        <f>IF(OR(E270=0, H270=0), 0, E270/H270)</f>
        <v>56.416666666666664</v>
      </c>
      <c r="L270">
        <v>1349326800</v>
      </c>
      <c r="M270" s="10">
        <f>(((L270/60)/60)/24)+DATE(1970,1,1)</f>
        <v>41186.208333333336</v>
      </c>
      <c r="N270">
        <v>1353304800</v>
      </c>
      <c r="O270" s="10">
        <f>(((N270/60)/60)/24)+DATE(1970,1,1)</f>
        <v>41232.25</v>
      </c>
      <c r="P270" t="b">
        <v>0</v>
      </c>
      <c r="Q270" t="b">
        <v>0</v>
      </c>
      <c r="R270" t="s">
        <v>42</v>
      </c>
      <c r="S270" t="s">
        <v>2040</v>
      </c>
      <c r="T270" t="s">
        <v>2041</v>
      </c>
    </row>
    <row r="271" spans="1:20" ht="15.75" customHeight="1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>Table1[[#This Row],[pledged]]/Table1[[#This Row],[goal]]</f>
        <v>2.5262857142857142</v>
      </c>
      <c r="G271" t="s">
        <v>20</v>
      </c>
      <c r="H271">
        <v>87</v>
      </c>
      <c r="I271" t="s">
        <v>21</v>
      </c>
      <c r="J271" t="s">
        <v>22</v>
      </c>
      <c r="K271" s="12">
        <f>IF(OR(E271=0, H271=0), 0, E271/H271)</f>
        <v>101.63218390804597</v>
      </c>
      <c r="L271">
        <v>1548914400</v>
      </c>
      <c r="M271" s="10">
        <f>(((L271/60)/60)/24)+DATE(1970,1,1)</f>
        <v>43496.25</v>
      </c>
      <c r="N271">
        <v>1550728800</v>
      </c>
      <c r="O271" s="10">
        <f>(((N271/60)/60)/24)+DATE(1970,1,1)</f>
        <v>43517.25</v>
      </c>
      <c r="P271" t="b">
        <v>0</v>
      </c>
      <c r="Q271" t="b">
        <v>0</v>
      </c>
      <c r="R271" t="s">
        <v>269</v>
      </c>
      <c r="S271" t="s">
        <v>2040</v>
      </c>
      <c r="T271" t="s">
        <v>2059</v>
      </c>
    </row>
    <row r="272" spans="1:20" ht="15.75" customHeight="1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>Table1[[#This Row],[pledged]]/Table1[[#This Row],[goal]]</f>
        <v>0.27176538240368026</v>
      </c>
      <c r="G272" t="s">
        <v>74</v>
      </c>
      <c r="H272">
        <v>1890</v>
      </c>
      <c r="I272" t="s">
        <v>21</v>
      </c>
      <c r="J272" t="s">
        <v>22</v>
      </c>
      <c r="K272" s="12">
        <f>IF(OR(E272=0, H272=0), 0, E272/H272)</f>
        <v>25.005291005291006</v>
      </c>
      <c r="L272">
        <v>1291269600</v>
      </c>
      <c r="M272" s="10">
        <f>(((L272/60)/60)/24)+DATE(1970,1,1)</f>
        <v>40514.25</v>
      </c>
      <c r="N272">
        <v>1291442400</v>
      </c>
      <c r="O272" s="10">
        <f>(((N272/60)/60)/24)+DATE(1970,1,1)</f>
        <v>40516.25</v>
      </c>
      <c r="P272" t="b">
        <v>0</v>
      </c>
      <c r="Q272" t="b">
        <v>0</v>
      </c>
      <c r="R272" t="s">
        <v>89</v>
      </c>
      <c r="S272" t="s">
        <v>2049</v>
      </c>
      <c r="T272" t="s">
        <v>2050</v>
      </c>
    </row>
    <row r="273" spans="1:20" ht="15.75" customHeight="1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>Table1[[#This Row],[pledged]]/Table1[[#This Row],[goal]]</f>
        <v>1.2706571242680547E-2</v>
      </c>
      <c r="G273" t="s">
        <v>47</v>
      </c>
      <c r="H273">
        <v>61</v>
      </c>
      <c r="I273" t="s">
        <v>21</v>
      </c>
      <c r="J273" t="s">
        <v>22</v>
      </c>
      <c r="K273" s="12">
        <f>IF(OR(E273=0, H273=0), 0, E273/H273)</f>
        <v>32.016393442622949</v>
      </c>
      <c r="L273">
        <v>1449468000</v>
      </c>
      <c r="M273" s="10">
        <f>(((L273/60)/60)/24)+DATE(1970,1,1)</f>
        <v>42345.25</v>
      </c>
      <c r="N273">
        <v>1452146400</v>
      </c>
      <c r="O273" s="10">
        <f>(((N273/60)/60)/24)+DATE(1970,1,1)</f>
        <v>42376.25</v>
      </c>
      <c r="P273" t="b">
        <v>0</v>
      </c>
      <c r="Q273" t="b">
        <v>0</v>
      </c>
      <c r="R273" t="s">
        <v>122</v>
      </c>
      <c r="S273" t="s">
        <v>2053</v>
      </c>
      <c r="T273" t="s">
        <v>2054</v>
      </c>
    </row>
    <row r="274" spans="1:20" ht="15.75" customHeight="1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>Table1[[#This Row],[pledged]]/Table1[[#This Row],[goal]]</f>
        <v>3.0400978473581213</v>
      </c>
      <c r="G274" t="s">
        <v>20</v>
      </c>
      <c r="H274">
        <v>1894</v>
      </c>
      <c r="I274" t="s">
        <v>21</v>
      </c>
      <c r="J274" t="s">
        <v>22</v>
      </c>
      <c r="K274" s="12">
        <f>IF(OR(E274=0, H274=0), 0, E274/H274)</f>
        <v>82.021647307286173</v>
      </c>
      <c r="L274">
        <v>1562734800</v>
      </c>
      <c r="M274" s="10">
        <f>(((L274/60)/60)/24)+DATE(1970,1,1)</f>
        <v>43656.208333333328</v>
      </c>
      <c r="N274">
        <v>1564894800</v>
      </c>
      <c r="O274" s="10">
        <f>(((N274/60)/60)/24)+DATE(1970,1,1)</f>
        <v>43681.208333333328</v>
      </c>
      <c r="P274" t="b">
        <v>0</v>
      </c>
      <c r="Q274" t="b">
        <v>1</v>
      </c>
      <c r="R274" t="s">
        <v>33</v>
      </c>
      <c r="S274" t="s">
        <v>2038</v>
      </c>
      <c r="T274" t="s">
        <v>2039</v>
      </c>
    </row>
    <row r="275" spans="1:20" ht="15.75" customHeight="1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>Table1[[#This Row],[pledged]]/Table1[[#This Row],[goal]]</f>
        <v>1.3723076923076922</v>
      </c>
      <c r="G275" t="s">
        <v>20</v>
      </c>
      <c r="H275">
        <v>282</v>
      </c>
      <c r="I275" t="s">
        <v>15</v>
      </c>
      <c r="J275" t="s">
        <v>16</v>
      </c>
      <c r="K275" s="12">
        <f>IF(OR(E275=0, H275=0), 0, E275/H275)</f>
        <v>37.957446808510639</v>
      </c>
      <c r="L275">
        <v>1505624400</v>
      </c>
      <c r="M275" s="10">
        <f>(((L275/60)/60)/24)+DATE(1970,1,1)</f>
        <v>42995.208333333328</v>
      </c>
      <c r="N275">
        <v>1505883600</v>
      </c>
      <c r="O275" s="10">
        <f>(((N275/60)/60)/24)+DATE(1970,1,1)</f>
        <v>42998.208333333328</v>
      </c>
      <c r="P275" t="b">
        <v>0</v>
      </c>
      <c r="Q275" t="b">
        <v>0</v>
      </c>
      <c r="R275" t="s">
        <v>33</v>
      </c>
      <c r="S275" t="s">
        <v>2038</v>
      </c>
      <c r="T275" t="s">
        <v>2039</v>
      </c>
    </row>
    <row r="276" spans="1:20" ht="15.75" customHeight="1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>Table1[[#This Row],[pledged]]/Table1[[#This Row],[goal]]</f>
        <v>0.32208333333333333</v>
      </c>
      <c r="G276" t="s">
        <v>14</v>
      </c>
      <c r="H276">
        <v>15</v>
      </c>
      <c r="I276" t="s">
        <v>21</v>
      </c>
      <c r="J276" t="s">
        <v>22</v>
      </c>
      <c r="K276" s="12">
        <f>IF(OR(E276=0, H276=0), 0, E276/H276)</f>
        <v>51.533333333333331</v>
      </c>
      <c r="L276">
        <v>1509948000</v>
      </c>
      <c r="M276" s="10">
        <f>(((L276/60)/60)/24)+DATE(1970,1,1)</f>
        <v>43045.25</v>
      </c>
      <c r="N276">
        <v>1510380000</v>
      </c>
      <c r="O276" s="10">
        <f>(((N276/60)/60)/24)+DATE(1970,1,1)</f>
        <v>43050.25</v>
      </c>
      <c r="P276" t="b">
        <v>0</v>
      </c>
      <c r="Q276" t="b">
        <v>0</v>
      </c>
      <c r="R276" t="s">
        <v>33</v>
      </c>
      <c r="S276" t="s">
        <v>2038</v>
      </c>
      <c r="T276" t="s">
        <v>2039</v>
      </c>
    </row>
    <row r="277" spans="1:20" ht="15.75" customHeight="1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>Table1[[#This Row],[pledged]]/Table1[[#This Row],[goal]]</f>
        <v>2.4151282051282053</v>
      </c>
      <c r="G277" t="s">
        <v>20</v>
      </c>
      <c r="H277">
        <v>116</v>
      </c>
      <c r="I277" t="s">
        <v>21</v>
      </c>
      <c r="J277" t="s">
        <v>22</v>
      </c>
      <c r="K277" s="12">
        <f>IF(OR(E277=0, H277=0), 0, E277/H277)</f>
        <v>81.198275862068968</v>
      </c>
      <c r="L277">
        <v>1554526800</v>
      </c>
      <c r="M277" s="10">
        <f>(((L277/60)/60)/24)+DATE(1970,1,1)</f>
        <v>43561.208333333328</v>
      </c>
      <c r="N277">
        <v>1555218000</v>
      </c>
      <c r="O277" s="10">
        <f>(((N277/60)/60)/24)+DATE(1970,1,1)</f>
        <v>43569.208333333328</v>
      </c>
      <c r="P277" t="b">
        <v>0</v>
      </c>
      <c r="Q277" t="b">
        <v>0</v>
      </c>
      <c r="R277" t="s">
        <v>206</v>
      </c>
      <c r="S277" t="s">
        <v>2046</v>
      </c>
      <c r="T277" t="s">
        <v>2058</v>
      </c>
    </row>
    <row r="278" spans="1:20" ht="15.75" customHeight="1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>Table1[[#This Row],[pledged]]/Table1[[#This Row],[goal]]</f>
        <v>0.96799999999999997</v>
      </c>
      <c r="G278" t="s">
        <v>14</v>
      </c>
      <c r="H278">
        <v>133</v>
      </c>
      <c r="I278" t="s">
        <v>21</v>
      </c>
      <c r="J278" t="s">
        <v>22</v>
      </c>
      <c r="K278" s="12">
        <f>IF(OR(E278=0, H278=0), 0, E278/H278)</f>
        <v>40.030075187969928</v>
      </c>
      <c r="L278">
        <v>1334811600</v>
      </c>
      <c r="M278" s="10">
        <f>(((L278/60)/60)/24)+DATE(1970,1,1)</f>
        <v>41018.208333333336</v>
      </c>
      <c r="N278">
        <v>1335243600</v>
      </c>
      <c r="O278" s="10">
        <f>(((N278/60)/60)/24)+DATE(1970,1,1)</f>
        <v>41023.208333333336</v>
      </c>
      <c r="P278" t="b">
        <v>0</v>
      </c>
      <c r="Q278" t="b">
        <v>1</v>
      </c>
      <c r="R278" t="s">
        <v>89</v>
      </c>
      <c r="S278" t="s">
        <v>2049</v>
      </c>
      <c r="T278" t="s">
        <v>2050</v>
      </c>
    </row>
    <row r="279" spans="1:20" ht="15.75" customHeight="1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>Table1[[#This Row],[pledged]]/Table1[[#This Row],[goal]]</f>
        <v>10.664285714285715</v>
      </c>
      <c r="G279" t="s">
        <v>20</v>
      </c>
      <c r="H279">
        <v>83</v>
      </c>
      <c r="I279" t="s">
        <v>21</v>
      </c>
      <c r="J279" t="s">
        <v>22</v>
      </c>
      <c r="K279" s="12">
        <f>IF(OR(E279=0, H279=0), 0, E279/H279)</f>
        <v>89.939759036144579</v>
      </c>
      <c r="L279">
        <v>1279515600</v>
      </c>
      <c r="M279" s="10">
        <f>(((L279/60)/60)/24)+DATE(1970,1,1)</f>
        <v>40378.208333333336</v>
      </c>
      <c r="N279">
        <v>1279688400</v>
      </c>
      <c r="O279" s="10">
        <f>(((N279/60)/60)/24)+DATE(1970,1,1)</f>
        <v>40380.208333333336</v>
      </c>
      <c r="P279" t="b">
        <v>0</v>
      </c>
      <c r="Q279" t="b">
        <v>0</v>
      </c>
      <c r="R279" t="s">
        <v>33</v>
      </c>
      <c r="S279" t="s">
        <v>2038</v>
      </c>
      <c r="T279" t="s">
        <v>2039</v>
      </c>
    </row>
    <row r="280" spans="1:20" ht="15.75" customHeight="1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>Table1[[#This Row],[pledged]]/Table1[[#This Row],[goal]]</f>
        <v>3.2588888888888889</v>
      </c>
      <c r="G280" t="s">
        <v>20</v>
      </c>
      <c r="H280">
        <v>91</v>
      </c>
      <c r="I280" t="s">
        <v>21</v>
      </c>
      <c r="J280" t="s">
        <v>22</v>
      </c>
      <c r="K280" s="12">
        <f>IF(OR(E280=0, H280=0), 0, E280/H280)</f>
        <v>96.692307692307693</v>
      </c>
      <c r="L280">
        <v>1353909600</v>
      </c>
      <c r="M280" s="10">
        <f>(((L280/60)/60)/24)+DATE(1970,1,1)</f>
        <v>41239.25</v>
      </c>
      <c r="N280">
        <v>1356069600</v>
      </c>
      <c r="O280" s="10">
        <f>(((N280/60)/60)/24)+DATE(1970,1,1)</f>
        <v>41264.25</v>
      </c>
      <c r="P280" t="b">
        <v>0</v>
      </c>
      <c r="Q280" t="b">
        <v>0</v>
      </c>
      <c r="R280" t="s">
        <v>28</v>
      </c>
      <c r="S280" t="s">
        <v>2036</v>
      </c>
      <c r="T280" t="s">
        <v>2037</v>
      </c>
    </row>
    <row r="281" spans="1:20" ht="15.75" customHeight="1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>Table1[[#This Row],[pledged]]/Table1[[#This Row],[goal]]</f>
        <v>1.7070000000000001</v>
      </c>
      <c r="G281" t="s">
        <v>20</v>
      </c>
      <c r="H281">
        <v>546</v>
      </c>
      <c r="I281" t="s">
        <v>21</v>
      </c>
      <c r="J281" t="s">
        <v>22</v>
      </c>
      <c r="K281" s="12">
        <f>IF(OR(E281=0, H281=0), 0, E281/H281)</f>
        <v>25.010989010989011</v>
      </c>
      <c r="L281">
        <v>1535950800</v>
      </c>
      <c r="M281" s="10">
        <f>(((L281/60)/60)/24)+DATE(1970,1,1)</f>
        <v>43346.208333333328</v>
      </c>
      <c r="N281">
        <v>1536210000</v>
      </c>
      <c r="O281" s="10">
        <f>(((N281/60)/60)/24)+DATE(1970,1,1)</f>
        <v>43349.208333333328</v>
      </c>
      <c r="P281" t="b">
        <v>0</v>
      </c>
      <c r="Q281" t="b">
        <v>0</v>
      </c>
      <c r="R281" t="s">
        <v>33</v>
      </c>
      <c r="S281" t="s">
        <v>2038</v>
      </c>
      <c r="T281" t="s">
        <v>2039</v>
      </c>
    </row>
    <row r="282" spans="1:20" ht="15.75" customHeight="1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>Table1[[#This Row],[pledged]]/Table1[[#This Row],[goal]]</f>
        <v>5.8144</v>
      </c>
      <c r="G282" t="s">
        <v>20</v>
      </c>
      <c r="H282">
        <v>393</v>
      </c>
      <c r="I282" t="s">
        <v>21</v>
      </c>
      <c r="J282" t="s">
        <v>22</v>
      </c>
      <c r="K282" s="12">
        <f>IF(OR(E282=0, H282=0), 0, E282/H282)</f>
        <v>36.987277353689571</v>
      </c>
      <c r="L282">
        <v>1511244000</v>
      </c>
      <c r="M282" s="10">
        <f>(((L282/60)/60)/24)+DATE(1970,1,1)</f>
        <v>43060.25</v>
      </c>
      <c r="N282">
        <v>1511762400</v>
      </c>
      <c r="O282" s="10">
        <f>(((N282/60)/60)/24)+DATE(1970,1,1)</f>
        <v>43066.25</v>
      </c>
      <c r="P282" t="b">
        <v>0</v>
      </c>
      <c r="Q282" t="b">
        <v>0</v>
      </c>
      <c r="R282" t="s">
        <v>71</v>
      </c>
      <c r="S282" t="s">
        <v>2040</v>
      </c>
      <c r="T282" t="s">
        <v>2048</v>
      </c>
    </row>
    <row r="283" spans="1:20" ht="15.75" customHeight="1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>Table1[[#This Row],[pledged]]/Table1[[#This Row],[goal]]</f>
        <v>0.91520972644376897</v>
      </c>
      <c r="G283" t="s">
        <v>14</v>
      </c>
      <c r="H283">
        <v>2062</v>
      </c>
      <c r="I283" t="s">
        <v>21</v>
      </c>
      <c r="J283" t="s">
        <v>22</v>
      </c>
      <c r="K283" s="12">
        <f>IF(OR(E283=0, H283=0), 0, E283/H283)</f>
        <v>73.012609117361791</v>
      </c>
      <c r="L283">
        <v>1331445600</v>
      </c>
      <c r="M283" s="10">
        <f>(((L283/60)/60)/24)+DATE(1970,1,1)</f>
        <v>40979.25</v>
      </c>
      <c r="N283">
        <v>1333256400</v>
      </c>
      <c r="O283" s="10">
        <f>(((N283/60)/60)/24)+DATE(1970,1,1)</f>
        <v>41000.208333333336</v>
      </c>
      <c r="P283" t="b">
        <v>0</v>
      </c>
      <c r="Q283" t="b">
        <v>1</v>
      </c>
      <c r="R283" t="s">
        <v>33</v>
      </c>
      <c r="S283" t="s">
        <v>2038</v>
      </c>
      <c r="T283" t="s">
        <v>2039</v>
      </c>
    </row>
    <row r="284" spans="1:20" ht="15.75" customHeight="1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>Table1[[#This Row],[pledged]]/Table1[[#This Row],[goal]]</f>
        <v>1.0804761904761904</v>
      </c>
      <c r="G284" t="s">
        <v>20</v>
      </c>
      <c r="H284">
        <v>133</v>
      </c>
      <c r="I284" t="s">
        <v>21</v>
      </c>
      <c r="J284" t="s">
        <v>22</v>
      </c>
      <c r="K284" s="12">
        <f>IF(OR(E284=0, H284=0), 0, E284/H284)</f>
        <v>68.240601503759393</v>
      </c>
      <c r="L284">
        <v>1480226400</v>
      </c>
      <c r="M284" s="10">
        <f>(((L284/60)/60)/24)+DATE(1970,1,1)</f>
        <v>42701.25</v>
      </c>
      <c r="N284">
        <v>1480744800</v>
      </c>
      <c r="O284" s="10">
        <f>(((N284/60)/60)/24)+DATE(1970,1,1)</f>
        <v>42707.25</v>
      </c>
      <c r="P284" t="b">
        <v>0</v>
      </c>
      <c r="Q284" t="b">
        <v>1</v>
      </c>
      <c r="R284" t="s">
        <v>269</v>
      </c>
      <c r="S284" t="s">
        <v>2040</v>
      </c>
      <c r="T284" t="s">
        <v>2059</v>
      </c>
    </row>
    <row r="285" spans="1:20" ht="15.75" customHeight="1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>Table1[[#This Row],[pledged]]/Table1[[#This Row],[goal]]</f>
        <v>0.18728395061728395</v>
      </c>
      <c r="G285" t="s">
        <v>14</v>
      </c>
      <c r="H285">
        <v>29</v>
      </c>
      <c r="I285" t="s">
        <v>36</v>
      </c>
      <c r="J285" t="s">
        <v>37</v>
      </c>
      <c r="K285" s="12">
        <f>IF(OR(E285=0, H285=0), 0, E285/H285)</f>
        <v>52.310344827586206</v>
      </c>
      <c r="L285">
        <v>1464584400</v>
      </c>
      <c r="M285" s="10">
        <f>(((L285/60)/60)/24)+DATE(1970,1,1)</f>
        <v>42520.208333333328</v>
      </c>
      <c r="N285">
        <v>1465016400</v>
      </c>
      <c r="O285" s="10">
        <f>(((N285/60)/60)/24)+DATE(1970,1,1)</f>
        <v>42525.208333333328</v>
      </c>
      <c r="P285" t="b">
        <v>0</v>
      </c>
      <c r="Q285" t="b">
        <v>0</v>
      </c>
      <c r="R285" t="s">
        <v>23</v>
      </c>
      <c r="S285" t="s">
        <v>2034</v>
      </c>
      <c r="T285" t="s">
        <v>2035</v>
      </c>
    </row>
    <row r="286" spans="1:20" ht="15.75" customHeight="1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>Table1[[#This Row],[pledged]]/Table1[[#This Row],[goal]]</f>
        <v>0.83193877551020412</v>
      </c>
      <c r="G286" t="s">
        <v>14</v>
      </c>
      <c r="H286">
        <v>132</v>
      </c>
      <c r="I286" t="s">
        <v>21</v>
      </c>
      <c r="J286" t="s">
        <v>22</v>
      </c>
      <c r="K286" s="12">
        <f>IF(OR(E286=0, H286=0), 0, E286/H286)</f>
        <v>61.765151515151516</v>
      </c>
      <c r="L286">
        <v>1335848400</v>
      </c>
      <c r="M286" s="10">
        <f>(((L286/60)/60)/24)+DATE(1970,1,1)</f>
        <v>41030.208333333336</v>
      </c>
      <c r="N286">
        <v>1336280400</v>
      </c>
      <c r="O286" s="10">
        <f>(((N286/60)/60)/24)+DATE(1970,1,1)</f>
        <v>41035.208333333336</v>
      </c>
      <c r="P286" t="b">
        <v>0</v>
      </c>
      <c r="Q286" t="b">
        <v>0</v>
      </c>
      <c r="R286" t="s">
        <v>28</v>
      </c>
      <c r="S286" t="s">
        <v>2036</v>
      </c>
      <c r="T286" t="s">
        <v>2037</v>
      </c>
    </row>
    <row r="287" spans="1:20" ht="15.75" customHeight="1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>Table1[[#This Row],[pledged]]/Table1[[#This Row],[goal]]</f>
        <v>7.0633333333333335</v>
      </c>
      <c r="G287" t="s">
        <v>20</v>
      </c>
      <c r="H287">
        <v>254</v>
      </c>
      <c r="I287" t="s">
        <v>21</v>
      </c>
      <c r="J287" t="s">
        <v>22</v>
      </c>
      <c r="K287" s="12">
        <f>IF(OR(E287=0, H287=0), 0, E287/H287)</f>
        <v>25.027559055118111</v>
      </c>
      <c r="L287">
        <v>1473483600</v>
      </c>
      <c r="M287" s="10">
        <f>(((L287/60)/60)/24)+DATE(1970,1,1)</f>
        <v>42623.208333333328</v>
      </c>
      <c r="N287">
        <v>1476766800</v>
      </c>
      <c r="O287" s="10">
        <f>(((N287/60)/60)/24)+DATE(1970,1,1)</f>
        <v>42661.208333333328</v>
      </c>
      <c r="P287" t="b">
        <v>0</v>
      </c>
      <c r="Q287" t="b">
        <v>0</v>
      </c>
      <c r="R287" t="s">
        <v>33</v>
      </c>
      <c r="S287" t="s">
        <v>2038</v>
      </c>
      <c r="T287" t="s">
        <v>2039</v>
      </c>
    </row>
    <row r="288" spans="1:20" ht="15.75" customHeight="1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>Table1[[#This Row],[pledged]]/Table1[[#This Row],[goal]]</f>
        <v>0.17446030330062445</v>
      </c>
      <c r="G288" t="s">
        <v>74</v>
      </c>
      <c r="H288">
        <v>184</v>
      </c>
      <c r="I288" t="s">
        <v>21</v>
      </c>
      <c r="J288" t="s">
        <v>22</v>
      </c>
      <c r="K288" s="12">
        <f>IF(OR(E288=0, H288=0), 0, E288/H288)</f>
        <v>106.28804347826087</v>
      </c>
      <c r="L288">
        <v>1479880800</v>
      </c>
      <c r="M288" s="10">
        <f>(((L288/60)/60)/24)+DATE(1970,1,1)</f>
        <v>42697.25</v>
      </c>
      <c r="N288">
        <v>1480485600</v>
      </c>
      <c r="O288" s="10">
        <f>(((N288/60)/60)/24)+DATE(1970,1,1)</f>
        <v>42704.25</v>
      </c>
      <c r="P288" t="b">
        <v>0</v>
      </c>
      <c r="Q288" t="b">
        <v>0</v>
      </c>
      <c r="R288" t="s">
        <v>33</v>
      </c>
      <c r="S288" t="s">
        <v>2038</v>
      </c>
      <c r="T288" t="s">
        <v>2039</v>
      </c>
    </row>
    <row r="289" spans="1:20" ht="15.75" customHeight="1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>Table1[[#This Row],[pledged]]/Table1[[#This Row],[goal]]</f>
        <v>2.0973015873015872</v>
      </c>
      <c r="G289" t="s">
        <v>20</v>
      </c>
      <c r="H289">
        <v>176</v>
      </c>
      <c r="I289" t="s">
        <v>21</v>
      </c>
      <c r="J289" t="s">
        <v>22</v>
      </c>
      <c r="K289" s="12">
        <f>IF(OR(E289=0, H289=0), 0, E289/H289)</f>
        <v>75.07386363636364</v>
      </c>
      <c r="L289">
        <v>1430197200</v>
      </c>
      <c r="M289" s="10">
        <f>(((L289/60)/60)/24)+DATE(1970,1,1)</f>
        <v>42122.208333333328</v>
      </c>
      <c r="N289">
        <v>1430197200</v>
      </c>
      <c r="O289" s="10">
        <f>(((N289/60)/60)/24)+DATE(1970,1,1)</f>
        <v>42122.208333333328</v>
      </c>
      <c r="P289" t="b">
        <v>0</v>
      </c>
      <c r="Q289" t="b">
        <v>0</v>
      </c>
      <c r="R289" t="s">
        <v>50</v>
      </c>
      <c r="S289" t="s">
        <v>2034</v>
      </c>
      <c r="T289" t="s">
        <v>2042</v>
      </c>
    </row>
    <row r="290" spans="1:20" ht="15.75" customHeight="1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>Table1[[#This Row],[pledged]]/Table1[[#This Row],[goal]]</f>
        <v>0.97785714285714287</v>
      </c>
      <c r="G290" t="s">
        <v>14</v>
      </c>
      <c r="H290">
        <v>137</v>
      </c>
      <c r="I290" t="s">
        <v>36</v>
      </c>
      <c r="J290" t="s">
        <v>37</v>
      </c>
      <c r="K290" s="12">
        <f>IF(OR(E290=0, H290=0), 0, E290/H290)</f>
        <v>39.970802919708028</v>
      </c>
      <c r="L290">
        <v>1331701200</v>
      </c>
      <c r="M290" s="10">
        <f>(((L290/60)/60)/24)+DATE(1970,1,1)</f>
        <v>40982.208333333336</v>
      </c>
      <c r="N290">
        <v>1331787600</v>
      </c>
      <c r="O290" s="10">
        <f>(((N290/60)/60)/24)+DATE(1970,1,1)</f>
        <v>40983.208333333336</v>
      </c>
      <c r="P290" t="b">
        <v>0</v>
      </c>
      <c r="Q290" t="b">
        <v>1</v>
      </c>
      <c r="R290" t="s">
        <v>148</v>
      </c>
      <c r="S290" t="s">
        <v>2034</v>
      </c>
      <c r="T290" t="s">
        <v>2056</v>
      </c>
    </row>
    <row r="291" spans="1:20" ht="15.75" customHeight="1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>Table1[[#This Row],[pledged]]/Table1[[#This Row],[goal]]</f>
        <v>16.842500000000001</v>
      </c>
      <c r="G291" t="s">
        <v>20</v>
      </c>
      <c r="H291">
        <v>337</v>
      </c>
      <c r="I291" t="s">
        <v>15</v>
      </c>
      <c r="J291" t="s">
        <v>16</v>
      </c>
      <c r="K291" s="12">
        <f>IF(OR(E291=0, H291=0), 0, E291/H291)</f>
        <v>39.982195845697326</v>
      </c>
      <c r="L291">
        <v>1438578000</v>
      </c>
      <c r="M291" s="10">
        <f>(((L291/60)/60)/24)+DATE(1970,1,1)</f>
        <v>42219.208333333328</v>
      </c>
      <c r="N291">
        <v>1438837200</v>
      </c>
      <c r="O291" s="10">
        <f>(((N291/60)/60)/24)+DATE(1970,1,1)</f>
        <v>42222.208333333328</v>
      </c>
      <c r="P291" t="b">
        <v>0</v>
      </c>
      <c r="Q291" t="b">
        <v>0</v>
      </c>
      <c r="R291" t="s">
        <v>33</v>
      </c>
      <c r="S291" t="s">
        <v>2038</v>
      </c>
      <c r="T291" t="s">
        <v>2039</v>
      </c>
    </row>
    <row r="292" spans="1:20" ht="15.75" customHeight="1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>Table1[[#This Row],[pledged]]/Table1[[#This Row],[goal]]</f>
        <v>0.54402135231316728</v>
      </c>
      <c r="G292" t="s">
        <v>14</v>
      </c>
      <c r="H292">
        <v>908</v>
      </c>
      <c r="I292" t="s">
        <v>21</v>
      </c>
      <c r="J292" t="s">
        <v>22</v>
      </c>
      <c r="K292" s="12">
        <f>IF(OR(E292=0, H292=0), 0, E292/H292)</f>
        <v>101.01541850220265</v>
      </c>
      <c r="L292">
        <v>1368162000</v>
      </c>
      <c r="M292" s="10">
        <f>(((L292/60)/60)/24)+DATE(1970,1,1)</f>
        <v>41404.208333333336</v>
      </c>
      <c r="N292">
        <v>1370926800</v>
      </c>
      <c r="O292" s="10">
        <f>(((N292/60)/60)/24)+DATE(1970,1,1)</f>
        <v>41436.208333333336</v>
      </c>
      <c r="P292" t="b">
        <v>0</v>
      </c>
      <c r="Q292" t="b">
        <v>1</v>
      </c>
      <c r="R292" t="s">
        <v>42</v>
      </c>
      <c r="S292" t="s">
        <v>2040</v>
      </c>
      <c r="T292" t="s">
        <v>2041</v>
      </c>
    </row>
    <row r="293" spans="1:20" ht="15.75" customHeight="1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>Table1[[#This Row],[pledged]]/Table1[[#This Row],[goal]]</f>
        <v>4.5661111111111108</v>
      </c>
      <c r="G293" t="s">
        <v>20</v>
      </c>
      <c r="H293">
        <v>107</v>
      </c>
      <c r="I293" t="s">
        <v>21</v>
      </c>
      <c r="J293" t="s">
        <v>22</v>
      </c>
      <c r="K293" s="12">
        <f>IF(OR(E293=0, H293=0), 0, E293/H293)</f>
        <v>76.813084112149539</v>
      </c>
      <c r="L293">
        <v>1318654800</v>
      </c>
      <c r="M293" s="10">
        <f>(((L293/60)/60)/24)+DATE(1970,1,1)</f>
        <v>40831.208333333336</v>
      </c>
      <c r="N293">
        <v>1319000400</v>
      </c>
      <c r="O293" s="10">
        <f>(((N293/60)/60)/24)+DATE(1970,1,1)</f>
        <v>40835.208333333336</v>
      </c>
      <c r="P293" t="b">
        <v>1</v>
      </c>
      <c r="Q293" t="b">
        <v>0</v>
      </c>
      <c r="R293" t="s">
        <v>28</v>
      </c>
      <c r="S293" t="s">
        <v>2036</v>
      </c>
      <c r="T293" t="s">
        <v>2037</v>
      </c>
    </row>
    <row r="294" spans="1:20" ht="15.75" customHeight="1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>Table1[[#This Row],[pledged]]/Table1[[#This Row],[goal]]</f>
        <v>9.8219178082191785E-2</v>
      </c>
      <c r="G294" t="s">
        <v>14</v>
      </c>
      <c r="H294">
        <v>10</v>
      </c>
      <c r="I294" t="s">
        <v>21</v>
      </c>
      <c r="J294" t="s">
        <v>22</v>
      </c>
      <c r="K294" s="12">
        <f>IF(OR(E294=0, H294=0), 0, E294/H294)</f>
        <v>71.7</v>
      </c>
      <c r="L294">
        <v>1331874000</v>
      </c>
      <c r="M294" s="10">
        <f>(((L294/60)/60)/24)+DATE(1970,1,1)</f>
        <v>40984.208333333336</v>
      </c>
      <c r="N294">
        <v>1333429200</v>
      </c>
      <c r="O294" s="10">
        <f>(((N294/60)/60)/24)+DATE(1970,1,1)</f>
        <v>41002.208333333336</v>
      </c>
      <c r="P294" t="b">
        <v>0</v>
      </c>
      <c r="Q294" t="b">
        <v>0</v>
      </c>
      <c r="R294" t="s">
        <v>17</v>
      </c>
      <c r="S294" t="s">
        <v>2032</v>
      </c>
      <c r="T294" t="s">
        <v>2033</v>
      </c>
    </row>
    <row r="295" spans="1:20" ht="15.75" customHeight="1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>Table1[[#This Row],[pledged]]/Table1[[#This Row],[goal]]</f>
        <v>0.16384615384615384</v>
      </c>
      <c r="G295" t="s">
        <v>74</v>
      </c>
      <c r="H295">
        <v>32</v>
      </c>
      <c r="I295" t="s">
        <v>107</v>
      </c>
      <c r="J295" t="s">
        <v>108</v>
      </c>
      <c r="K295" s="12">
        <f>IF(OR(E295=0, H295=0), 0, E295/H295)</f>
        <v>33.28125</v>
      </c>
      <c r="L295">
        <v>1286254800</v>
      </c>
      <c r="M295" s="10">
        <f>(((L295/60)/60)/24)+DATE(1970,1,1)</f>
        <v>40456.208333333336</v>
      </c>
      <c r="N295">
        <v>1287032400</v>
      </c>
      <c r="O295" s="10">
        <f>(((N295/60)/60)/24)+DATE(1970,1,1)</f>
        <v>40465.208333333336</v>
      </c>
      <c r="P295" t="b">
        <v>0</v>
      </c>
      <c r="Q295" t="b">
        <v>0</v>
      </c>
      <c r="R295" t="s">
        <v>33</v>
      </c>
      <c r="S295" t="s">
        <v>2038</v>
      </c>
      <c r="T295" t="s">
        <v>2039</v>
      </c>
    </row>
    <row r="296" spans="1:20" ht="15.75" customHeight="1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>Table1[[#This Row],[pledged]]/Table1[[#This Row],[goal]]</f>
        <v>13.396666666666667</v>
      </c>
      <c r="G296" t="s">
        <v>20</v>
      </c>
      <c r="H296">
        <v>183</v>
      </c>
      <c r="I296" t="s">
        <v>21</v>
      </c>
      <c r="J296" t="s">
        <v>22</v>
      </c>
      <c r="K296" s="12">
        <f>IF(OR(E296=0, H296=0), 0, E296/H296)</f>
        <v>43.923497267759565</v>
      </c>
      <c r="L296">
        <v>1540530000</v>
      </c>
      <c r="M296" s="10">
        <f>(((L296/60)/60)/24)+DATE(1970,1,1)</f>
        <v>43399.208333333328</v>
      </c>
      <c r="N296">
        <v>1541570400</v>
      </c>
      <c r="O296" s="10">
        <f>(((N296/60)/60)/24)+DATE(1970,1,1)</f>
        <v>43411.25</v>
      </c>
      <c r="P296" t="b">
        <v>0</v>
      </c>
      <c r="Q296" t="b">
        <v>0</v>
      </c>
      <c r="R296" t="s">
        <v>33</v>
      </c>
      <c r="S296" t="s">
        <v>2038</v>
      </c>
      <c r="T296" t="s">
        <v>2039</v>
      </c>
    </row>
    <row r="297" spans="1:20" ht="15.75" customHeight="1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>Table1[[#This Row],[pledged]]/Table1[[#This Row],[goal]]</f>
        <v>0.35650077760497667</v>
      </c>
      <c r="G297" t="s">
        <v>14</v>
      </c>
      <c r="H297">
        <v>1910</v>
      </c>
      <c r="I297" t="s">
        <v>98</v>
      </c>
      <c r="J297" t="s">
        <v>99</v>
      </c>
      <c r="K297" s="12">
        <f>IF(OR(E297=0, H297=0), 0, E297/H297)</f>
        <v>36.004712041884815</v>
      </c>
      <c r="L297">
        <v>1381813200</v>
      </c>
      <c r="M297" s="10">
        <f>(((L297/60)/60)/24)+DATE(1970,1,1)</f>
        <v>41562.208333333336</v>
      </c>
      <c r="N297">
        <v>1383976800</v>
      </c>
      <c r="O297" s="10">
        <f>(((N297/60)/60)/24)+DATE(1970,1,1)</f>
        <v>41587.25</v>
      </c>
      <c r="P297" t="b">
        <v>0</v>
      </c>
      <c r="Q297" t="b">
        <v>0</v>
      </c>
      <c r="R297" t="s">
        <v>33</v>
      </c>
      <c r="S297" t="s">
        <v>2038</v>
      </c>
      <c r="T297" t="s">
        <v>2039</v>
      </c>
    </row>
    <row r="298" spans="1:20" ht="15.75" customHeight="1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>Table1[[#This Row],[pledged]]/Table1[[#This Row],[goal]]</f>
        <v>0.54950819672131146</v>
      </c>
      <c r="G298" t="s">
        <v>14</v>
      </c>
      <c r="H298">
        <v>38</v>
      </c>
      <c r="I298" t="s">
        <v>26</v>
      </c>
      <c r="J298" t="s">
        <v>27</v>
      </c>
      <c r="K298" s="12">
        <f>IF(OR(E298=0, H298=0), 0, E298/H298)</f>
        <v>88.21052631578948</v>
      </c>
      <c r="L298">
        <v>1548655200</v>
      </c>
      <c r="M298" s="10">
        <f>(((L298/60)/60)/24)+DATE(1970,1,1)</f>
        <v>43493.25</v>
      </c>
      <c r="N298">
        <v>1550556000</v>
      </c>
      <c r="O298" s="10">
        <f>(((N298/60)/60)/24)+DATE(1970,1,1)</f>
        <v>43515.25</v>
      </c>
      <c r="P298" t="b">
        <v>0</v>
      </c>
      <c r="Q298" t="b">
        <v>0</v>
      </c>
      <c r="R298" t="s">
        <v>33</v>
      </c>
      <c r="S298" t="s">
        <v>2038</v>
      </c>
      <c r="T298" t="s">
        <v>2039</v>
      </c>
    </row>
    <row r="299" spans="1:20" ht="15.75" customHeight="1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>Table1[[#This Row],[pledged]]/Table1[[#This Row],[goal]]</f>
        <v>0.94236111111111109</v>
      </c>
      <c r="G299" t="s">
        <v>14</v>
      </c>
      <c r="H299">
        <v>104</v>
      </c>
      <c r="I299" t="s">
        <v>26</v>
      </c>
      <c r="J299" t="s">
        <v>27</v>
      </c>
      <c r="K299" s="12">
        <f>IF(OR(E299=0, H299=0), 0, E299/H299)</f>
        <v>65.240384615384613</v>
      </c>
      <c r="L299">
        <v>1389679200</v>
      </c>
      <c r="M299" s="10">
        <f>(((L299/60)/60)/24)+DATE(1970,1,1)</f>
        <v>41653.25</v>
      </c>
      <c r="N299">
        <v>1390456800</v>
      </c>
      <c r="O299" s="10">
        <f>(((N299/60)/60)/24)+DATE(1970,1,1)</f>
        <v>41662.25</v>
      </c>
      <c r="P299" t="b">
        <v>0</v>
      </c>
      <c r="Q299" t="b">
        <v>1</v>
      </c>
      <c r="R299" t="s">
        <v>33</v>
      </c>
      <c r="S299" t="s">
        <v>2038</v>
      </c>
      <c r="T299" t="s">
        <v>2039</v>
      </c>
    </row>
    <row r="300" spans="1:20" ht="15.75" customHeight="1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>Table1[[#This Row],[pledged]]/Table1[[#This Row],[goal]]</f>
        <v>1.4391428571428571</v>
      </c>
      <c r="G300" t="s">
        <v>20</v>
      </c>
      <c r="H300">
        <v>72</v>
      </c>
      <c r="I300" t="s">
        <v>21</v>
      </c>
      <c r="J300" t="s">
        <v>22</v>
      </c>
      <c r="K300" s="12">
        <f>IF(OR(E300=0, H300=0), 0, E300/H300)</f>
        <v>69.958333333333329</v>
      </c>
      <c r="L300">
        <v>1456466400</v>
      </c>
      <c r="M300" s="10">
        <f>(((L300/60)/60)/24)+DATE(1970,1,1)</f>
        <v>42426.25</v>
      </c>
      <c r="N300">
        <v>1458018000</v>
      </c>
      <c r="O300" s="10">
        <f>(((N300/60)/60)/24)+DATE(1970,1,1)</f>
        <v>42444.208333333328</v>
      </c>
      <c r="P300" t="b">
        <v>0</v>
      </c>
      <c r="Q300" t="b">
        <v>1</v>
      </c>
      <c r="R300" t="s">
        <v>23</v>
      </c>
      <c r="S300" t="s">
        <v>2034</v>
      </c>
      <c r="T300" t="s">
        <v>2035</v>
      </c>
    </row>
    <row r="301" spans="1:20" ht="15.75" customHeight="1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>Table1[[#This Row],[pledged]]/Table1[[#This Row],[goal]]</f>
        <v>0.51421052631578945</v>
      </c>
      <c r="G301" t="s">
        <v>14</v>
      </c>
      <c r="H301">
        <v>49</v>
      </c>
      <c r="I301" t="s">
        <v>21</v>
      </c>
      <c r="J301" t="s">
        <v>22</v>
      </c>
      <c r="K301" s="12">
        <f>IF(OR(E301=0, H301=0), 0, E301/H301)</f>
        <v>39.877551020408163</v>
      </c>
      <c r="L301">
        <v>1456984800</v>
      </c>
      <c r="M301" s="10">
        <f>(((L301/60)/60)/24)+DATE(1970,1,1)</f>
        <v>42432.25</v>
      </c>
      <c r="N301">
        <v>1461819600</v>
      </c>
      <c r="O301" s="10">
        <f>(((N301/60)/60)/24)+DATE(1970,1,1)</f>
        <v>42488.208333333328</v>
      </c>
      <c r="P301" t="b">
        <v>0</v>
      </c>
      <c r="Q301" t="b">
        <v>0</v>
      </c>
      <c r="R301" t="s">
        <v>17</v>
      </c>
      <c r="S301" t="s">
        <v>2032</v>
      </c>
      <c r="T301" t="s">
        <v>2033</v>
      </c>
    </row>
    <row r="302" spans="1:20" ht="15.75" customHeight="1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>Table1[[#This Row],[pledged]]/Table1[[#This Row],[goal]]</f>
        <v>0.05</v>
      </c>
      <c r="G302" t="s">
        <v>14</v>
      </c>
      <c r="H302">
        <v>1</v>
      </c>
      <c r="I302" t="s">
        <v>36</v>
      </c>
      <c r="J302" t="s">
        <v>37</v>
      </c>
      <c r="K302" s="12">
        <f>IF(OR(E302=0, H302=0), 0, E302/H302)</f>
        <v>5</v>
      </c>
      <c r="L302">
        <v>1504069200</v>
      </c>
      <c r="M302" s="10">
        <f>(((L302/60)/60)/24)+DATE(1970,1,1)</f>
        <v>42977.208333333328</v>
      </c>
      <c r="N302">
        <v>1504155600</v>
      </c>
      <c r="O302" s="10">
        <f>(((N302/60)/60)/24)+DATE(1970,1,1)</f>
        <v>42978.208333333328</v>
      </c>
      <c r="P302" t="b">
        <v>0</v>
      </c>
      <c r="Q302" t="b">
        <v>1</v>
      </c>
      <c r="R302" t="s">
        <v>68</v>
      </c>
      <c r="S302" t="s">
        <v>2046</v>
      </c>
      <c r="T302" t="s">
        <v>2047</v>
      </c>
    </row>
    <row r="303" spans="1:20" ht="15.75" customHeight="1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>Table1[[#This Row],[pledged]]/Table1[[#This Row],[goal]]</f>
        <v>13.446666666666667</v>
      </c>
      <c r="G303" t="s">
        <v>20</v>
      </c>
      <c r="H303">
        <v>295</v>
      </c>
      <c r="I303" t="s">
        <v>21</v>
      </c>
      <c r="J303" t="s">
        <v>22</v>
      </c>
      <c r="K303" s="12">
        <f>IF(OR(E303=0, H303=0), 0, E303/H303)</f>
        <v>41.023728813559323</v>
      </c>
      <c r="L303">
        <v>1424930400</v>
      </c>
      <c r="M303" s="10">
        <f>(((L303/60)/60)/24)+DATE(1970,1,1)</f>
        <v>42061.25</v>
      </c>
      <c r="N303">
        <v>1426395600</v>
      </c>
      <c r="O303" s="10">
        <f>(((N303/60)/60)/24)+DATE(1970,1,1)</f>
        <v>42078.208333333328</v>
      </c>
      <c r="P303" t="b">
        <v>0</v>
      </c>
      <c r="Q303" t="b">
        <v>0</v>
      </c>
      <c r="R303" t="s">
        <v>42</v>
      </c>
      <c r="S303" t="s">
        <v>2040</v>
      </c>
      <c r="T303" t="s">
        <v>2041</v>
      </c>
    </row>
    <row r="304" spans="1:20" ht="15.75" customHeight="1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>Table1[[#This Row],[pledged]]/Table1[[#This Row],[goal]]</f>
        <v>0.31844940867279897</v>
      </c>
      <c r="G304" t="s">
        <v>14</v>
      </c>
      <c r="H304">
        <v>245</v>
      </c>
      <c r="I304" t="s">
        <v>21</v>
      </c>
      <c r="J304" t="s">
        <v>22</v>
      </c>
      <c r="K304" s="12">
        <f>IF(OR(E304=0, H304=0), 0, E304/H304)</f>
        <v>98.914285714285711</v>
      </c>
      <c r="L304">
        <v>1535864400</v>
      </c>
      <c r="M304" s="10">
        <f>(((L304/60)/60)/24)+DATE(1970,1,1)</f>
        <v>43345.208333333328</v>
      </c>
      <c r="N304">
        <v>1537074000</v>
      </c>
      <c r="O304" s="10">
        <f>(((N304/60)/60)/24)+DATE(1970,1,1)</f>
        <v>43359.208333333328</v>
      </c>
      <c r="P304" t="b">
        <v>0</v>
      </c>
      <c r="Q304" t="b">
        <v>0</v>
      </c>
      <c r="R304" t="s">
        <v>33</v>
      </c>
      <c r="S304" t="s">
        <v>2038</v>
      </c>
      <c r="T304" t="s">
        <v>2039</v>
      </c>
    </row>
    <row r="305" spans="1:20" ht="15.75" customHeight="1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>Table1[[#This Row],[pledged]]/Table1[[#This Row],[goal]]</f>
        <v>0.82617647058823529</v>
      </c>
      <c r="G305" t="s">
        <v>14</v>
      </c>
      <c r="H305">
        <v>32</v>
      </c>
      <c r="I305" t="s">
        <v>21</v>
      </c>
      <c r="J305" t="s">
        <v>22</v>
      </c>
      <c r="K305" s="12">
        <f>IF(OR(E305=0, H305=0), 0, E305/H305)</f>
        <v>87.78125</v>
      </c>
      <c r="L305">
        <v>1452146400</v>
      </c>
      <c r="M305" s="10">
        <f>(((L305/60)/60)/24)+DATE(1970,1,1)</f>
        <v>42376.25</v>
      </c>
      <c r="N305">
        <v>1452578400</v>
      </c>
      <c r="O305" s="10">
        <f>(((N305/60)/60)/24)+DATE(1970,1,1)</f>
        <v>42381.25</v>
      </c>
      <c r="P305" t="b">
        <v>0</v>
      </c>
      <c r="Q305" t="b">
        <v>0</v>
      </c>
      <c r="R305" t="s">
        <v>60</v>
      </c>
      <c r="S305" t="s">
        <v>2034</v>
      </c>
      <c r="T305" t="s">
        <v>2044</v>
      </c>
    </row>
    <row r="306" spans="1:20" ht="15.75" customHeight="1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>Table1[[#This Row],[pledged]]/Table1[[#This Row],[goal]]</f>
        <v>5.4614285714285717</v>
      </c>
      <c r="G306" t="s">
        <v>20</v>
      </c>
      <c r="H306">
        <v>142</v>
      </c>
      <c r="I306" t="s">
        <v>21</v>
      </c>
      <c r="J306" t="s">
        <v>22</v>
      </c>
      <c r="K306" s="12">
        <f>IF(OR(E306=0, H306=0), 0, E306/H306)</f>
        <v>80.767605633802816</v>
      </c>
      <c r="L306">
        <v>1470546000</v>
      </c>
      <c r="M306" s="10">
        <f>(((L306/60)/60)/24)+DATE(1970,1,1)</f>
        <v>42589.208333333328</v>
      </c>
      <c r="N306">
        <v>1474088400</v>
      </c>
      <c r="O306" s="10">
        <f>(((N306/60)/60)/24)+DATE(1970,1,1)</f>
        <v>42630.208333333328</v>
      </c>
      <c r="P306" t="b">
        <v>0</v>
      </c>
      <c r="Q306" t="b">
        <v>0</v>
      </c>
      <c r="R306" t="s">
        <v>42</v>
      </c>
      <c r="S306" t="s">
        <v>2040</v>
      </c>
      <c r="T306" t="s">
        <v>2041</v>
      </c>
    </row>
    <row r="307" spans="1:20" ht="15.75" customHeight="1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>Table1[[#This Row],[pledged]]/Table1[[#This Row],[goal]]</f>
        <v>2.8621428571428571</v>
      </c>
      <c r="G307" t="s">
        <v>20</v>
      </c>
      <c r="H307">
        <v>85</v>
      </c>
      <c r="I307" t="s">
        <v>21</v>
      </c>
      <c r="J307" t="s">
        <v>22</v>
      </c>
      <c r="K307" s="12">
        <f>IF(OR(E307=0, H307=0), 0, E307/H307)</f>
        <v>94.28235294117647</v>
      </c>
      <c r="L307">
        <v>1458363600</v>
      </c>
      <c r="M307" s="10">
        <f>(((L307/60)/60)/24)+DATE(1970,1,1)</f>
        <v>42448.208333333328</v>
      </c>
      <c r="N307">
        <v>1461906000</v>
      </c>
      <c r="O307" s="10">
        <f>(((N307/60)/60)/24)+DATE(1970,1,1)</f>
        <v>42489.208333333328</v>
      </c>
      <c r="P307" t="b">
        <v>0</v>
      </c>
      <c r="Q307" t="b">
        <v>0</v>
      </c>
      <c r="R307" t="s">
        <v>33</v>
      </c>
      <c r="S307" t="s">
        <v>2038</v>
      </c>
      <c r="T307" t="s">
        <v>2039</v>
      </c>
    </row>
    <row r="308" spans="1:20" ht="15.75" customHeight="1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>Table1[[#This Row],[pledged]]/Table1[[#This Row],[goal]]</f>
        <v>7.9076923076923072E-2</v>
      </c>
      <c r="G308" t="s">
        <v>14</v>
      </c>
      <c r="H308">
        <v>7</v>
      </c>
      <c r="I308" t="s">
        <v>21</v>
      </c>
      <c r="J308" t="s">
        <v>22</v>
      </c>
      <c r="K308" s="12">
        <f>IF(OR(E308=0, H308=0), 0, E308/H308)</f>
        <v>73.428571428571431</v>
      </c>
      <c r="L308">
        <v>1500008400</v>
      </c>
      <c r="M308" s="10">
        <f>(((L308/60)/60)/24)+DATE(1970,1,1)</f>
        <v>42930.208333333328</v>
      </c>
      <c r="N308">
        <v>1500267600</v>
      </c>
      <c r="O308" s="10">
        <f>(((N308/60)/60)/24)+DATE(1970,1,1)</f>
        <v>42933.208333333328</v>
      </c>
      <c r="P308" t="b">
        <v>0</v>
      </c>
      <c r="Q308" t="b">
        <v>1</v>
      </c>
      <c r="R308" t="s">
        <v>33</v>
      </c>
      <c r="S308" t="s">
        <v>2038</v>
      </c>
      <c r="T308" t="s">
        <v>2039</v>
      </c>
    </row>
    <row r="309" spans="1:20" ht="15.75" customHeight="1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>Table1[[#This Row],[pledged]]/Table1[[#This Row],[goal]]</f>
        <v>1.3213677811550153</v>
      </c>
      <c r="G309" t="s">
        <v>20</v>
      </c>
      <c r="H309">
        <v>659</v>
      </c>
      <c r="I309" t="s">
        <v>36</v>
      </c>
      <c r="J309" t="s">
        <v>37</v>
      </c>
      <c r="K309" s="12">
        <f>IF(OR(E309=0, H309=0), 0, E309/H309)</f>
        <v>65.968133535660087</v>
      </c>
      <c r="L309">
        <v>1338958800</v>
      </c>
      <c r="M309" s="10">
        <f>(((L309/60)/60)/24)+DATE(1970,1,1)</f>
        <v>41066.208333333336</v>
      </c>
      <c r="N309">
        <v>1340686800</v>
      </c>
      <c r="O309" s="10">
        <f>(((N309/60)/60)/24)+DATE(1970,1,1)</f>
        <v>41086.208333333336</v>
      </c>
      <c r="P309" t="b">
        <v>0</v>
      </c>
      <c r="Q309" t="b">
        <v>1</v>
      </c>
      <c r="R309" t="s">
        <v>119</v>
      </c>
      <c r="S309" t="s">
        <v>2046</v>
      </c>
      <c r="T309" t="s">
        <v>2052</v>
      </c>
    </row>
    <row r="310" spans="1:20" ht="15.75" customHeight="1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>Table1[[#This Row],[pledged]]/Table1[[#This Row],[goal]]</f>
        <v>0.74077834179357027</v>
      </c>
      <c r="G310" t="s">
        <v>14</v>
      </c>
      <c r="H310">
        <v>803</v>
      </c>
      <c r="I310" t="s">
        <v>21</v>
      </c>
      <c r="J310" t="s">
        <v>22</v>
      </c>
      <c r="K310" s="12">
        <f>IF(OR(E310=0, H310=0), 0, E310/H310)</f>
        <v>109.04109589041096</v>
      </c>
      <c r="L310">
        <v>1303102800</v>
      </c>
      <c r="M310" s="10">
        <f>(((L310/60)/60)/24)+DATE(1970,1,1)</f>
        <v>40651.208333333336</v>
      </c>
      <c r="N310">
        <v>1303189200</v>
      </c>
      <c r="O310" s="10">
        <f>(((N310/60)/60)/24)+DATE(1970,1,1)</f>
        <v>40652.208333333336</v>
      </c>
      <c r="P310" t="b">
        <v>0</v>
      </c>
      <c r="Q310" t="b">
        <v>0</v>
      </c>
      <c r="R310" t="s">
        <v>33</v>
      </c>
      <c r="S310" t="s">
        <v>2038</v>
      </c>
      <c r="T310" t="s">
        <v>2039</v>
      </c>
    </row>
    <row r="311" spans="1:20" ht="15.75" customHeight="1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>Table1[[#This Row],[pledged]]/Table1[[#This Row],[goal]]</f>
        <v>0.75292682926829269</v>
      </c>
      <c r="G311" t="s">
        <v>74</v>
      </c>
      <c r="H311">
        <v>75</v>
      </c>
      <c r="I311" t="s">
        <v>21</v>
      </c>
      <c r="J311" t="s">
        <v>22</v>
      </c>
      <c r="K311" s="12">
        <f>IF(OR(E311=0, H311=0), 0, E311/H311)</f>
        <v>41.16</v>
      </c>
      <c r="L311">
        <v>1316581200</v>
      </c>
      <c r="M311" s="10">
        <f>(((L311/60)/60)/24)+DATE(1970,1,1)</f>
        <v>40807.208333333336</v>
      </c>
      <c r="N311">
        <v>1318309200</v>
      </c>
      <c r="O311" s="10">
        <f>(((N311/60)/60)/24)+DATE(1970,1,1)</f>
        <v>40827.208333333336</v>
      </c>
      <c r="P311" t="b">
        <v>0</v>
      </c>
      <c r="Q311" t="b">
        <v>1</v>
      </c>
      <c r="R311" t="s">
        <v>60</v>
      </c>
      <c r="S311" t="s">
        <v>2034</v>
      </c>
      <c r="T311" t="s">
        <v>2044</v>
      </c>
    </row>
    <row r="312" spans="1:20" ht="15.75" customHeight="1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>Table1[[#This Row],[pledged]]/Table1[[#This Row],[goal]]</f>
        <v>0.20333333333333334</v>
      </c>
      <c r="G312" t="s">
        <v>14</v>
      </c>
      <c r="H312">
        <v>16</v>
      </c>
      <c r="I312" t="s">
        <v>21</v>
      </c>
      <c r="J312" t="s">
        <v>22</v>
      </c>
      <c r="K312" s="12">
        <f>IF(OR(E312=0, H312=0), 0, E312/H312)</f>
        <v>99.125</v>
      </c>
      <c r="L312">
        <v>1270789200</v>
      </c>
      <c r="M312" s="10">
        <f>(((L312/60)/60)/24)+DATE(1970,1,1)</f>
        <v>40277.208333333336</v>
      </c>
      <c r="N312">
        <v>1272171600</v>
      </c>
      <c r="O312" s="10">
        <f>(((N312/60)/60)/24)+DATE(1970,1,1)</f>
        <v>40293.208333333336</v>
      </c>
      <c r="P312" t="b">
        <v>0</v>
      </c>
      <c r="Q312" t="b">
        <v>0</v>
      </c>
      <c r="R312" t="s">
        <v>89</v>
      </c>
      <c r="S312" t="s">
        <v>2049</v>
      </c>
      <c r="T312" t="s">
        <v>2050</v>
      </c>
    </row>
    <row r="313" spans="1:20" ht="15.75" customHeight="1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>Table1[[#This Row],[pledged]]/Table1[[#This Row],[goal]]</f>
        <v>2.0336507936507937</v>
      </c>
      <c r="G313" t="s">
        <v>20</v>
      </c>
      <c r="H313">
        <v>121</v>
      </c>
      <c r="I313" t="s">
        <v>21</v>
      </c>
      <c r="J313" t="s">
        <v>22</v>
      </c>
      <c r="K313" s="12">
        <f>IF(OR(E313=0, H313=0), 0, E313/H313)</f>
        <v>105.88429752066116</v>
      </c>
      <c r="L313">
        <v>1297836000</v>
      </c>
      <c r="M313" s="10">
        <f>(((L313/60)/60)/24)+DATE(1970,1,1)</f>
        <v>40590.25</v>
      </c>
      <c r="N313">
        <v>1298872800</v>
      </c>
      <c r="O313" s="10">
        <f>(((N313/60)/60)/24)+DATE(1970,1,1)</f>
        <v>40602.25</v>
      </c>
      <c r="P313" t="b">
        <v>0</v>
      </c>
      <c r="Q313" t="b">
        <v>0</v>
      </c>
      <c r="R313" t="s">
        <v>33</v>
      </c>
      <c r="S313" t="s">
        <v>2038</v>
      </c>
      <c r="T313" t="s">
        <v>2039</v>
      </c>
    </row>
    <row r="314" spans="1:20" ht="15.75" customHeight="1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>Table1[[#This Row],[pledged]]/Table1[[#This Row],[goal]]</f>
        <v>3.1022842639593908</v>
      </c>
      <c r="G314" t="s">
        <v>20</v>
      </c>
      <c r="H314">
        <v>3742</v>
      </c>
      <c r="I314" t="s">
        <v>21</v>
      </c>
      <c r="J314" t="s">
        <v>22</v>
      </c>
      <c r="K314" s="12">
        <f>IF(OR(E314=0, H314=0), 0, E314/H314)</f>
        <v>48.996525921966864</v>
      </c>
      <c r="L314">
        <v>1382677200</v>
      </c>
      <c r="M314" s="10">
        <f>(((L314/60)/60)/24)+DATE(1970,1,1)</f>
        <v>41572.208333333336</v>
      </c>
      <c r="N314">
        <v>1383282000</v>
      </c>
      <c r="O314" s="10">
        <f>(((N314/60)/60)/24)+DATE(1970,1,1)</f>
        <v>41579.208333333336</v>
      </c>
      <c r="P314" t="b">
        <v>0</v>
      </c>
      <c r="Q314" t="b">
        <v>0</v>
      </c>
      <c r="R314" t="s">
        <v>33</v>
      </c>
      <c r="S314" t="s">
        <v>2038</v>
      </c>
      <c r="T314" t="s">
        <v>2039</v>
      </c>
    </row>
    <row r="315" spans="1:20" ht="15.75" customHeight="1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>Table1[[#This Row],[pledged]]/Table1[[#This Row],[goal]]</f>
        <v>3.9531818181818181</v>
      </c>
      <c r="G315" t="s">
        <v>20</v>
      </c>
      <c r="H315">
        <v>223</v>
      </c>
      <c r="I315" t="s">
        <v>21</v>
      </c>
      <c r="J315" t="s">
        <v>22</v>
      </c>
      <c r="K315" s="12">
        <f>IF(OR(E315=0, H315=0), 0, E315/H315)</f>
        <v>39</v>
      </c>
      <c r="L315">
        <v>1330322400</v>
      </c>
      <c r="M315" s="10">
        <f>(((L315/60)/60)/24)+DATE(1970,1,1)</f>
        <v>40966.25</v>
      </c>
      <c r="N315">
        <v>1330495200</v>
      </c>
      <c r="O315" s="10">
        <f>(((N315/60)/60)/24)+DATE(1970,1,1)</f>
        <v>40968.25</v>
      </c>
      <c r="P315" t="b">
        <v>0</v>
      </c>
      <c r="Q315" t="b">
        <v>0</v>
      </c>
      <c r="R315" t="s">
        <v>23</v>
      </c>
      <c r="S315" t="s">
        <v>2034</v>
      </c>
      <c r="T315" t="s">
        <v>2035</v>
      </c>
    </row>
    <row r="316" spans="1:20" ht="15.75" customHeight="1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>Table1[[#This Row],[pledged]]/Table1[[#This Row],[goal]]</f>
        <v>2.9471428571428571</v>
      </c>
      <c r="G316" t="s">
        <v>20</v>
      </c>
      <c r="H316">
        <v>133</v>
      </c>
      <c r="I316" t="s">
        <v>21</v>
      </c>
      <c r="J316" t="s">
        <v>22</v>
      </c>
      <c r="K316" s="12">
        <f>IF(OR(E316=0, H316=0), 0, E316/H316)</f>
        <v>31.022556390977442</v>
      </c>
      <c r="L316">
        <v>1552366800</v>
      </c>
      <c r="M316" s="10">
        <f>(((L316/60)/60)/24)+DATE(1970,1,1)</f>
        <v>43536.208333333328</v>
      </c>
      <c r="N316">
        <v>1552798800</v>
      </c>
      <c r="O316" s="10">
        <f>(((N316/60)/60)/24)+DATE(1970,1,1)</f>
        <v>43541.208333333328</v>
      </c>
      <c r="P316" t="b">
        <v>0</v>
      </c>
      <c r="Q316" t="b">
        <v>1</v>
      </c>
      <c r="R316" t="s">
        <v>42</v>
      </c>
      <c r="S316" t="s">
        <v>2040</v>
      </c>
      <c r="T316" t="s">
        <v>2041</v>
      </c>
    </row>
    <row r="317" spans="1:20" ht="15.75" customHeight="1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>Table1[[#This Row],[pledged]]/Table1[[#This Row],[goal]]</f>
        <v>0.33894736842105261</v>
      </c>
      <c r="G317" t="s">
        <v>14</v>
      </c>
      <c r="H317">
        <v>31</v>
      </c>
      <c r="I317" t="s">
        <v>21</v>
      </c>
      <c r="J317" t="s">
        <v>22</v>
      </c>
      <c r="K317" s="12">
        <f>IF(OR(E317=0, H317=0), 0, E317/H317)</f>
        <v>103.87096774193549</v>
      </c>
      <c r="L317">
        <v>1400907600</v>
      </c>
      <c r="M317" s="10">
        <f>(((L317/60)/60)/24)+DATE(1970,1,1)</f>
        <v>41783.208333333336</v>
      </c>
      <c r="N317">
        <v>1403413200</v>
      </c>
      <c r="O317" s="10">
        <f>(((N317/60)/60)/24)+DATE(1970,1,1)</f>
        <v>41812.208333333336</v>
      </c>
      <c r="P317" t="b">
        <v>0</v>
      </c>
      <c r="Q317" t="b">
        <v>0</v>
      </c>
      <c r="R317" t="s">
        <v>33</v>
      </c>
      <c r="S317" t="s">
        <v>2038</v>
      </c>
      <c r="T317" t="s">
        <v>2039</v>
      </c>
    </row>
    <row r="318" spans="1:20" ht="15.75" customHeight="1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>Table1[[#This Row],[pledged]]/Table1[[#This Row],[goal]]</f>
        <v>0.66677083333333331</v>
      </c>
      <c r="G318" t="s">
        <v>14</v>
      </c>
      <c r="H318">
        <v>108</v>
      </c>
      <c r="I318" t="s">
        <v>107</v>
      </c>
      <c r="J318" t="s">
        <v>108</v>
      </c>
      <c r="K318" s="12">
        <f>IF(OR(E318=0, H318=0), 0, E318/H318)</f>
        <v>59.268518518518519</v>
      </c>
      <c r="L318">
        <v>1574143200</v>
      </c>
      <c r="M318" s="10">
        <f>(((L318/60)/60)/24)+DATE(1970,1,1)</f>
        <v>43788.25</v>
      </c>
      <c r="N318">
        <v>1574229600</v>
      </c>
      <c r="O318" s="10">
        <f>(((N318/60)/60)/24)+DATE(1970,1,1)</f>
        <v>43789.25</v>
      </c>
      <c r="P318" t="b">
        <v>0</v>
      </c>
      <c r="Q318" t="b">
        <v>1</v>
      </c>
      <c r="R318" t="s">
        <v>17</v>
      </c>
      <c r="S318" t="s">
        <v>2032</v>
      </c>
      <c r="T318" t="s">
        <v>2033</v>
      </c>
    </row>
    <row r="319" spans="1:20" ht="15.75" customHeight="1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>Table1[[#This Row],[pledged]]/Table1[[#This Row],[goal]]</f>
        <v>0.19227272727272726</v>
      </c>
      <c r="G319" t="s">
        <v>14</v>
      </c>
      <c r="H319">
        <v>30</v>
      </c>
      <c r="I319" t="s">
        <v>21</v>
      </c>
      <c r="J319" t="s">
        <v>22</v>
      </c>
      <c r="K319" s="12">
        <f>IF(OR(E319=0, H319=0), 0, E319/H319)</f>
        <v>42.3</v>
      </c>
      <c r="L319">
        <v>1494738000</v>
      </c>
      <c r="M319" s="10">
        <f>(((L319/60)/60)/24)+DATE(1970,1,1)</f>
        <v>42869.208333333328</v>
      </c>
      <c r="N319">
        <v>1495861200</v>
      </c>
      <c r="O319" s="10">
        <f>(((N319/60)/60)/24)+DATE(1970,1,1)</f>
        <v>42882.208333333328</v>
      </c>
      <c r="P319" t="b">
        <v>0</v>
      </c>
      <c r="Q319" t="b">
        <v>0</v>
      </c>
      <c r="R319" t="s">
        <v>33</v>
      </c>
      <c r="S319" t="s">
        <v>2038</v>
      </c>
      <c r="T319" t="s">
        <v>2039</v>
      </c>
    </row>
    <row r="320" spans="1:20" ht="15.75" customHeight="1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>Table1[[#This Row],[pledged]]/Table1[[#This Row],[goal]]</f>
        <v>0.15842105263157893</v>
      </c>
      <c r="G320" t="s">
        <v>14</v>
      </c>
      <c r="H320">
        <v>17</v>
      </c>
      <c r="I320" t="s">
        <v>21</v>
      </c>
      <c r="J320" t="s">
        <v>22</v>
      </c>
      <c r="K320" s="12">
        <f>IF(OR(E320=0, H320=0), 0, E320/H320)</f>
        <v>53.117647058823529</v>
      </c>
      <c r="L320">
        <v>1392357600</v>
      </c>
      <c r="M320" s="10">
        <f>(((L320/60)/60)/24)+DATE(1970,1,1)</f>
        <v>41684.25</v>
      </c>
      <c r="N320">
        <v>1392530400</v>
      </c>
      <c r="O320" s="10">
        <f>(((N320/60)/60)/24)+DATE(1970,1,1)</f>
        <v>41686.25</v>
      </c>
      <c r="P320" t="b">
        <v>0</v>
      </c>
      <c r="Q320" t="b">
        <v>0</v>
      </c>
      <c r="R320" t="s">
        <v>23</v>
      </c>
      <c r="S320" t="s">
        <v>2034</v>
      </c>
      <c r="T320" t="s">
        <v>2035</v>
      </c>
    </row>
    <row r="321" spans="1:20" ht="15.75" customHeight="1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>Table1[[#This Row],[pledged]]/Table1[[#This Row],[goal]]</f>
        <v>0.38702380952380955</v>
      </c>
      <c r="G321" t="s">
        <v>74</v>
      </c>
      <c r="H321">
        <v>64</v>
      </c>
      <c r="I321" t="s">
        <v>21</v>
      </c>
      <c r="J321" t="s">
        <v>22</v>
      </c>
      <c r="K321" s="12">
        <f>IF(OR(E321=0, H321=0), 0, E321/H321)</f>
        <v>50.796875</v>
      </c>
      <c r="L321">
        <v>1281589200</v>
      </c>
      <c r="M321" s="10">
        <f>(((L321/60)/60)/24)+DATE(1970,1,1)</f>
        <v>40402.208333333336</v>
      </c>
      <c r="N321">
        <v>1283662800</v>
      </c>
      <c r="O321" s="10">
        <f>(((N321/60)/60)/24)+DATE(1970,1,1)</f>
        <v>40426.208333333336</v>
      </c>
      <c r="P321" t="b">
        <v>0</v>
      </c>
      <c r="Q321" t="b">
        <v>0</v>
      </c>
      <c r="R321" t="s">
        <v>28</v>
      </c>
      <c r="S321" t="s">
        <v>2036</v>
      </c>
      <c r="T321" t="s">
        <v>2037</v>
      </c>
    </row>
    <row r="322" spans="1:20" ht="15.75" customHeight="1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>Table1[[#This Row],[pledged]]/Table1[[#This Row],[goal]]</f>
        <v>9.5876777251184833E-2</v>
      </c>
      <c r="G322" t="s">
        <v>14</v>
      </c>
      <c r="H322">
        <v>80</v>
      </c>
      <c r="I322" t="s">
        <v>21</v>
      </c>
      <c r="J322" t="s">
        <v>22</v>
      </c>
      <c r="K322" s="12">
        <f>IF(OR(E322=0, H322=0), 0, E322/H322)</f>
        <v>101.15</v>
      </c>
      <c r="L322">
        <v>1305003600</v>
      </c>
      <c r="M322" s="10">
        <f>(((L322/60)/60)/24)+DATE(1970,1,1)</f>
        <v>40673.208333333336</v>
      </c>
      <c r="N322">
        <v>1305781200</v>
      </c>
      <c r="O322" s="10">
        <f>(((N322/60)/60)/24)+DATE(1970,1,1)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2046</v>
      </c>
      <c r="T322" t="s">
        <v>2052</v>
      </c>
    </row>
    <row r="323" spans="1:20" ht="15.75" customHeight="1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>Table1[[#This Row],[pledged]]/Table1[[#This Row],[goal]]</f>
        <v>0.94144366197183094</v>
      </c>
      <c r="G323" t="s">
        <v>14</v>
      </c>
      <c r="H323">
        <v>2468</v>
      </c>
      <c r="I323" t="s">
        <v>21</v>
      </c>
      <c r="J323" t="s">
        <v>22</v>
      </c>
      <c r="K323" s="12">
        <f>IF(OR(E323=0, H323=0), 0, E323/H323)</f>
        <v>65.000810372771468</v>
      </c>
      <c r="L323">
        <v>1301634000</v>
      </c>
      <c r="M323" s="10">
        <f>(((L323/60)/60)/24)+DATE(1970,1,1)</f>
        <v>40634.208333333336</v>
      </c>
      <c r="N323">
        <v>1302325200</v>
      </c>
      <c r="O323" s="10">
        <f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2040</v>
      </c>
      <c r="T323" t="s">
        <v>2051</v>
      </c>
    </row>
    <row r="324" spans="1:20" ht="15.75" customHeight="1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>Table1[[#This Row],[pledged]]/Table1[[#This Row],[goal]]</f>
        <v>1.6656234096692113</v>
      </c>
      <c r="G324" t="s">
        <v>20</v>
      </c>
      <c r="H324">
        <v>5168</v>
      </c>
      <c r="I324" t="s">
        <v>21</v>
      </c>
      <c r="J324" t="s">
        <v>22</v>
      </c>
      <c r="K324" s="12">
        <f>IF(OR(E324=0, H324=0), 0, E324/H324)</f>
        <v>37.998645510835914</v>
      </c>
      <c r="L324">
        <v>1290664800</v>
      </c>
      <c r="M324" s="10">
        <f>(((L324/60)/60)/24)+DATE(1970,1,1)</f>
        <v>40507.25</v>
      </c>
      <c r="N324">
        <v>1291788000</v>
      </c>
      <c r="O324" s="10">
        <f>(((N324/60)/60)/24)+DATE(1970,1,1)</f>
        <v>40520.25</v>
      </c>
      <c r="P324" t="b">
        <v>0</v>
      </c>
      <c r="Q324" t="b">
        <v>0</v>
      </c>
      <c r="R324" t="s">
        <v>33</v>
      </c>
      <c r="S324" t="s">
        <v>2038</v>
      </c>
      <c r="T324" t="s">
        <v>2039</v>
      </c>
    </row>
    <row r="325" spans="1:20" ht="15.75" customHeight="1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>Table1[[#This Row],[pledged]]/Table1[[#This Row],[goal]]</f>
        <v>0.24134831460674158</v>
      </c>
      <c r="G325" t="s">
        <v>14</v>
      </c>
      <c r="H325">
        <v>26</v>
      </c>
      <c r="I325" t="s">
        <v>40</v>
      </c>
      <c r="J325" t="s">
        <v>41</v>
      </c>
      <c r="K325" s="12">
        <f>IF(OR(E325=0, H325=0), 0, E325/H325)</f>
        <v>82.615384615384613</v>
      </c>
      <c r="L325">
        <v>1395896400</v>
      </c>
      <c r="M325" s="10">
        <f>(((L325/60)/60)/24)+DATE(1970,1,1)</f>
        <v>41725.208333333336</v>
      </c>
      <c r="N325">
        <v>1396069200</v>
      </c>
      <c r="O325" s="10">
        <f>(((N325/60)/60)/24)+DATE(1970,1,1)</f>
        <v>41727.208333333336</v>
      </c>
      <c r="P325" t="b">
        <v>0</v>
      </c>
      <c r="Q325" t="b">
        <v>0</v>
      </c>
      <c r="R325" t="s">
        <v>42</v>
      </c>
      <c r="S325" t="s">
        <v>2040</v>
      </c>
      <c r="T325" t="s">
        <v>2041</v>
      </c>
    </row>
    <row r="326" spans="1:20" ht="15.75" customHeight="1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>Table1[[#This Row],[pledged]]/Table1[[#This Row],[goal]]</f>
        <v>1.6405633802816901</v>
      </c>
      <c r="G326" t="s">
        <v>20</v>
      </c>
      <c r="H326">
        <v>307</v>
      </c>
      <c r="I326" t="s">
        <v>21</v>
      </c>
      <c r="J326" t="s">
        <v>22</v>
      </c>
      <c r="K326" s="12">
        <f>IF(OR(E326=0, H326=0), 0, E326/H326)</f>
        <v>37.941368078175898</v>
      </c>
      <c r="L326">
        <v>1434862800</v>
      </c>
      <c r="M326" s="10">
        <f>(((L326/60)/60)/24)+DATE(1970,1,1)</f>
        <v>42176.208333333328</v>
      </c>
      <c r="N326">
        <v>1435899600</v>
      </c>
      <c r="O326" s="10">
        <f>(((N326/60)/60)/24)+DATE(1970,1,1)</f>
        <v>42188.208333333328</v>
      </c>
      <c r="P326" t="b">
        <v>0</v>
      </c>
      <c r="Q326" t="b">
        <v>1</v>
      </c>
      <c r="R326" t="s">
        <v>33</v>
      </c>
      <c r="S326" t="s">
        <v>2038</v>
      </c>
      <c r="T326" t="s">
        <v>2039</v>
      </c>
    </row>
    <row r="327" spans="1:20" ht="15.75" customHeight="1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>Table1[[#This Row],[pledged]]/Table1[[#This Row],[goal]]</f>
        <v>0.90723076923076929</v>
      </c>
      <c r="G327" t="s">
        <v>14</v>
      </c>
      <c r="H327">
        <v>73</v>
      </c>
      <c r="I327" t="s">
        <v>21</v>
      </c>
      <c r="J327" t="s">
        <v>22</v>
      </c>
      <c r="K327" s="12">
        <f>IF(OR(E327=0, H327=0), 0, E327/H327)</f>
        <v>80.780821917808225</v>
      </c>
      <c r="L327">
        <v>1529125200</v>
      </c>
      <c r="M327" s="10">
        <f>(((L327/60)/60)/24)+DATE(1970,1,1)</f>
        <v>43267.208333333328</v>
      </c>
      <c r="N327">
        <v>1531112400</v>
      </c>
      <c r="O327" s="10">
        <f>(((N327/60)/60)/24)+DATE(1970,1,1)</f>
        <v>43290.208333333328</v>
      </c>
      <c r="P327" t="b">
        <v>0</v>
      </c>
      <c r="Q327" t="b">
        <v>1</v>
      </c>
      <c r="R327" t="s">
        <v>33</v>
      </c>
      <c r="S327" t="s">
        <v>2038</v>
      </c>
      <c r="T327" t="s">
        <v>2039</v>
      </c>
    </row>
    <row r="328" spans="1:20" ht="15.75" customHeight="1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>Table1[[#This Row],[pledged]]/Table1[[#This Row],[goal]]</f>
        <v>0.46194444444444444</v>
      </c>
      <c r="G328" t="s">
        <v>14</v>
      </c>
      <c r="H328">
        <v>128</v>
      </c>
      <c r="I328" t="s">
        <v>21</v>
      </c>
      <c r="J328" t="s">
        <v>22</v>
      </c>
      <c r="K328" s="12">
        <f>IF(OR(E328=0, H328=0), 0, E328/H328)</f>
        <v>25.984375</v>
      </c>
      <c r="L328">
        <v>1451109600</v>
      </c>
      <c r="M328" s="10">
        <f>(((L328/60)/60)/24)+DATE(1970,1,1)</f>
        <v>42364.25</v>
      </c>
      <c r="N328">
        <v>1451628000</v>
      </c>
      <c r="O328" s="10">
        <f>(((N328/60)/60)/24)+DATE(1970,1,1)</f>
        <v>42370.25</v>
      </c>
      <c r="P328" t="b">
        <v>0</v>
      </c>
      <c r="Q328" t="b">
        <v>0</v>
      </c>
      <c r="R328" t="s">
        <v>71</v>
      </c>
      <c r="S328" t="s">
        <v>2040</v>
      </c>
      <c r="T328" t="s">
        <v>2048</v>
      </c>
    </row>
    <row r="329" spans="1:20" ht="15.75" customHeight="1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>Table1[[#This Row],[pledged]]/Table1[[#This Row],[goal]]</f>
        <v>0.38538461538461538</v>
      </c>
      <c r="G329" t="s">
        <v>14</v>
      </c>
      <c r="H329">
        <v>33</v>
      </c>
      <c r="I329" t="s">
        <v>21</v>
      </c>
      <c r="J329" t="s">
        <v>22</v>
      </c>
      <c r="K329" s="12">
        <f>IF(OR(E329=0, H329=0), 0, E329/H329)</f>
        <v>30.363636363636363</v>
      </c>
      <c r="L329">
        <v>1566968400</v>
      </c>
      <c r="M329" s="10">
        <f>(((L329/60)/60)/24)+DATE(1970,1,1)</f>
        <v>43705.208333333328</v>
      </c>
      <c r="N329">
        <v>1567314000</v>
      </c>
      <c r="O329" s="10">
        <f>(((N329/60)/60)/24)+DATE(1970,1,1)</f>
        <v>43709.208333333328</v>
      </c>
      <c r="P329" t="b">
        <v>0</v>
      </c>
      <c r="Q329" t="b">
        <v>1</v>
      </c>
      <c r="R329" t="s">
        <v>33</v>
      </c>
      <c r="S329" t="s">
        <v>2038</v>
      </c>
      <c r="T329" t="s">
        <v>2039</v>
      </c>
    </row>
    <row r="330" spans="1:20" ht="15.75" customHeight="1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>Table1[[#This Row],[pledged]]/Table1[[#This Row],[goal]]</f>
        <v>1.3356231003039514</v>
      </c>
      <c r="G330" t="s">
        <v>20</v>
      </c>
      <c r="H330">
        <v>2441</v>
      </c>
      <c r="I330" t="s">
        <v>21</v>
      </c>
      <c r="J330" t="s">
        <v>22</v>
      </c>
      <c r="K330" s="12">
        <f>IF(OR(E330=0, H330=0), 0, E330/H330)</f>
        <v>54.004916018025398</v>
      </c>
      <c r="L330">
        <v>1543557600</v>
      </c>
      <c r="M330" s="10">
        <f>(((L330/60)/60)/24)+DATE(1970,1,1)</f>
        <v>43434.25</v>
      </c>
      <c r="N330">
        <v>1544508000</v>
      </c>
      <c r="O330" s="10">
        <f>(((N330/60)/60)/24)+DATE(1970,1,1)</f>
        <v>43445.25</v>
      </c>
      <c r="P330" t="b">
        <v>0</v>
      </c>
      <c r="Q330" t="b">
        <v>0</v>
      </c>
      <c r="R330" t="s">
        <v>23</v>
      </c>
      <c r="S330" t="s">
        <v>2034</v>
      </c>
      <c r="T330" t="s">
        <v>2035</v>
      </c>
    </row>
    <row r="331" spans="1:20" ht="15.75" customHeight="1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>Table1[[#This Row],[pledged]]/Table1[[#This Row],[goal]]</f>
        <v>0.22896588486140726</v>
      </c>
      <c r="G331" t="s">
        <v>47</v>
      </c>
      <c r="H331">
        <v>211</v>
      </c>
      <c r="I331" t="s">
        <v>21</v>
      </c>
      <c r="J331" t="s">
        <v>22</v>
      </c>
      <c r="K331" s="12">
        <f>IF(OR(E331=0, H331=0), 0, E331/H331)</f>
        <v>101.78672985781991</v>
      </c>
      <c r="L331">
        <v>1481522400</v>
      </c>
      <c r="M331" s="10">
        <f>(((L331/60)/60)/24)+DATE(1970,1,1)</f>
        <v>42716.25</v>
      </c>
      <c r="N331">
        <v>1482472800</v>
      </c>
      <c r="O331" s="10">
        <f>(((N331/60)/60)/24)+DATE(1970,1,1)</f>
        <v>42727.25</v>
      </c>
      <c r="P331" t="b">
        <v>0</v>
      </c>
      <c r="Q331" t="b">
        <v>0</v>
      </c>
      <c r="R331" t="s">
        <v>89</v>
      </c>
      <c r="S331" t="s">
        <v>2049</v>
      </c>
      <c r="T331" t="s">
        <v>2050</v>
      </c>
    </row>
    <row r="332" spans="1:20" ht="15.75" customHeight="1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>Table1[[#This Row],[pledged]]/Table1[[#This Row],[goal]]</f>
        <v>1.8495548961424333</v>
      </c>
      <c r="G332" t="s">
        <v>20</v>
      </c>
      <c r="H332">
        <v>1385</v>
      </c>
      <c r="I332" t="s">
        <v>40</v>
      </c>
      <c r="J332" t="s">
        <v>41</v>
      </c>
      <c r="K332" s="12">
        <f>IF(OR(E332=0, H332=0), 0, E332/H332)</f>
        <v>45.003610108303249</v>
      </c>
      <c r="L332">
        <v>1512712800</v>
      </c>
      <c r="M332" s="10">
        <f>(((L332/60)/60)/24)+DATE(1970,1,1)</f>
        <v>43077.25</v>
      </c>
      <c r="N332">
        <v>1512799200</v>
      </c>
      <c r="O332" s="10">
        <f>(((N332/60)/60)/24)+DATE(1970,1,1)</f>
        <v>43078.25</v>
      </c>
      <c r="P332" t="b">
        <v>0</v>
      </c>
      <c r="Q332" t="b">
        <v>0</v>
      </c>
      <c r="R332" t="s">
        <v>42</v>
      </c>
      <c r="S332" t="s">
        <v>2040</v>
      </c>
      <c r="T332" t="s">
        <v>2041</v>
      </c>
    </row>
    <row r="333" spans="1:20" ht="15.75" customHeight="1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>Table1[[#This Row],[pledged]]/Table1[[#This Row],[goal]]</f>
        <v>4.4372727272727275</v>
      </c>
      <c r="G333" t="s">
        <v>20</v>
      </c>
      <c r="H333">
        <v>190</v>
      </c>
      <c r="I333" t="s">
        <v>21</v>
      </c>
      <c r="J333" t="s">
        <v>22</v>
      </c>
      <c r="K333" s="12">
        <f>IF(OR(E333=0, H333=0), 0, E333/H333)</f>
        <v>77.068421052631578</v>
      </c>
      <c r="L333">
        <v>1324274400</v>
      </c>
      <c r="M333" s="10">
        <f>(((L333/60)/60)/24)+DATE(1970,1,1)</f>
        <v>40896.25</v>
      </c>
      <c r="N333">
        <v>1324360800</v>
      </c>
      <c r="O333" s="10">
        <f>(((N333/60)/60)/24)+DATE(1970,1,1)</f>
        <v>40897.25</v>
      </c>
      <c r="P333" t="b">
        <v>0</v>
      </c>
      <c r="Q333" t="b">
        <v>0</v>
      </c>
      <c r="R333" t="s">
        <v>17</v>
      </c>
      <c r="S333" t="s">
        <v>2032</v>
      </c>
      <c r="T333" t="s">
        <v>2033</v>
      </c>
    </row>
    <row r="334" spans="1:20" ht="15.75" customHeight="1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>Table1[[#This Row],[pledged]]/Table1[[#This Row],[goal]]</f>
        <v>1.999806763285024</v>
      </c>
      <c r="G334" t="s">
        <v>20</v>
      </c>
      <c r="H334">
        <v>470</v>
      </c>
      <c r="I334" t="s">
        <v>21</v>
      </c>
      <c r="J334" t="s">
        <v>22</v>
      </c>
      <c r="K334" s="12">
        <f>IF(OR(E334=0, H334=0), 0, E334/H334)</f>
        <v>88.076595744680844</v>
      </c>
      <c r="L334">
        <v>1364446800</v>
      </c>
      <c r="M334" s="10">
        <f>(((L334/60)/60)/24)+DATE(1970,1,1)</f>
        <v>41361.208333333336</v>
      </c>
      <c r="N334">
        <v>1364533200</v>
      </c>
      <c r="O334" s="10">
        <f>(((N334/60)/60)/24)+DATE(1970,1,1)</f>
        <v>41362.208333333336</v>
      </c>
      <c r="P334" t="b">
        <v>0</v>
      </c>
      <c r="Q334" t="b">
        <v>0</v>
      </c>
      <c r="R334" t="s">
        <v>65</v>
      </c>
      <c r="S334" t="s">
        <v>2036</v>
      </c>
      <c r="T334" t="s">
        <v>2045</v>
      </c>
    </row>
    <row r="335" spans="1:20" ht="15.75" customHeight="1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>Table1[[#This Row],[pledged]]/Table1[[#This Row],[goal]]</f>
        <v>1.2395833333333333</v>
      </c>
      <c r="G335" t="s">
        <v>20</v>
      </c>
      <c r="H335">
        <v>253</v>
      </c>
      <c r="I335" t="s">
        <v>21</v>
      </c>
      <c r="J335" t="s">
        <v>22</v>
      </c>
      <c r="K335" s="12">
        <f>IF(OR(E335=0, H335=0), 0, E335/H335)</f>
        <v>47.035573122529641</v>
      </c>
      <c r="L335">
        <v>1542693600</v>
      </c>
      <c r="M335" s="10">
        <f>(((L335/60)/60)/24)+DATE(1970,1,1)</f>
        <v>43424.25</v>
      </c>
      <c r="N335">
        <v>1545112800</v>
      </c>
      <c r="O335" s="10">
        <f>(((N335/60)/60)/24)+DATE(1970,1,1)</f>
        <v>43452.25</v>
      </c>
      <c r="P335" t="b">
        <v>0</v>
      </c>
      <c r="Q335" t="b">
        <v>0</v>
      </c>
      <c r="R335" t="s">
        <v>33</v>
      </c>
      <c r="S335" t="s">
        <v>2038</v>
      </c>
      <c r="T335" t="s">
        <v>2039</v>
      </c>
    </row>
    <row r="336" spans="1:20" ht="15.75" customHeight="1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>Table1[[#This Row],[pledged]]/Table1[[#This Row],[goal]]</f>
        <v>1.8661329305135952</v>
      </c>
      <c r="G336" t="s">
        <v>20</v>
      </c>
      <c r="H336">
        <v>1113</v>
      </c>
      <c r="I336" t="s">
        <v>21</v>
      </c>
      <c r="J336" t="s">
        <v>22</v>
      </c>
      <c r="K336" s="12">
        <f>IF(OR(E336=0, H336=0), 0, E336/H336)</f>
        <v>110.99550763701707</v>
      </c>
      <c r="L336">
        <v>1515564000</v>
      </c>
      <c r="M336" s="10">
        <f>(((L336/60)/60)/24)+DATE(1970,1,1)</f>
        <v>43110.25</v>
      </c>
      <c r="N336">
        <v>1516168800</v>
      </c>
      <c r="O336" s="10">
        <f>(((N336/60)/60)/24)+DATE(1970,1,1)</f>
        <v>43117.25</v>
      </c>
      <c r="P336" t="b">
        <v>0</v>
      </c>
      <c r="Q336" t="b">
        <v>0</v>
      </c>
      <c r="R336" t="s">
        <v>23</v>
      </c>
      <c r="S336" t="s">
        <v>2034</v>
      </c>
      <c r="T336" t="s">
        <v>2035</v>
      </c>
    </row>
    <row r="337" spans="1:20" ht="15.75" customHeight="1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>Table1[[#This Row],[pledged]]/Table1[[#This Row],[goal]]</f>
        <v>1.1428538550057536</v>
      </c>
      <c r="G337" t="s">
        <v>20</v>
      </c>
      <c r="H337">
        <v>2283</v>
      </c>
      <c r="I337" t="s">
        <v>21</v>
      </c>
      <c r="J337" t="s">
        <v>22</v>
      </c>
      <c r="K337" s="12">
        <f>IF(OR(E337=0, H337=0), 0, E337/H337)</f>
        <v>87.003066141042481</v>
      </c>
      <c r="L337">
        <v>1573797600</v>
      </c>
      <c r="M337" s="10">
        <f>(((L337/60)/60)/24)+DATE(1970,1,1)</f>
        <v>43784.25</v>
      </c>
      <c r="N337">
        <v>1574920800</v>
      </c>
      <c r="O337" s="10">
        <f>(((N337/60)/60)/24)+DATE(1970,1,1)</f>
        <v>43797.25</v>
      </c>
      <c r="P337" t="b">
        <v>0</v>
      </c>
      <c r="Q337" t="b">
        <v>0</v>
      </c>
      <c r="R337" t="s">
        <v>23</v>
      </c>
      <c r="S337" t="s">
        <v>2034</v>
      </c>
      <c r="T337" t="s">
        <v>2035</v>
      </c>
    </row>
    <row r="338" spans="1:20" ht="15.75" customHeight="1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>Table1[[#This Row],[pledged]]/Table1[[#This Row],[goal]]</f>
        <v>0.97032531824611035</v>
      </c>
      <c r="G338" t="s">
        <v>14</v>
      </c>
      <c r="H338">
        <v>1072</v>
      </c>
      <c r="I338" t="s">
        <v>21</v>
      </c>
      <c r="J338" t="s">
        <v>22</v>
      </c>
      <c r="K338" s="12">
        <f>IF(OR(E338=0, H338=0), 0, E338/H338)</f>
        <v>63.994402985074629</v>
      </c>
      <c r="L338">
        <v>1292392800</v>
      </c>
      <c r="M338" s="10">
        <f>(((L338/60)/60)/24)+DATE(1970,1,1)</f>
        <v>40527.25</v>
      </c>
      <c r="N338">
        <v>1292479200</v>
      </c>
      <c r="O338" s="10">
        <f>(((N338/60)/60)/24)+DATE(1970,1,1)</f>
        <v>40528.25</v>
      </c>
      <c r="P338" t="b">
        <v>0</v>
      </c>
      <c r="Q338" t="b">
        <v>1</v>
      </c>
      <c r="R338" t="s">
        <v>23</v>
      </c>
      <c r="S338" t="s">
        <v>2034</v>
      </c>
      <c r="T338" t="s">
        <v>2035</v>
      </c>
    </row>
    <row r="339" spans="1:20" ht="15.75" customHeight="1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>Table1[[#This Row],[pledged]]/Table1[[#This Row],[goal]]</f>
        <v>1.2281904761904763</v>
      </c>
      <c r="G339" t="s">
        <v>20</v>
      </c>
      <c r="H339">
        <v>1095</v>
      </c>
      <c r="I339" t="s">
        <v>21</v>
      </c>
      <c r="J339" t="s">
        <v>22</v>
      </c>
      <c r="K339" s="12">
        <f>IF(OR(E339=0, H339=0), 0, E339/H339)</f>
        <v>105.9945205479452</v>
      </c>
      <c r="L339">
        <v>1573452000</v>
      </c>
      <c r="M339" s="10">
        <f>(((L339/60)/60)/24)+DATE(1970,1,1)</f>
        <v>43780.25</v>
      </c>
      <c r="N339">
        <v>1573538400</v>
      </c>
      <c r="O339" s="10">
        <f>(((N339/60)/60)/24)+DATE(1970,1,1)</f>
        <v>43781.25</v>
      </c>
      <c r="P339" t="b">
        <v>0</v>
      </c>
      <c r="Q339" t="b">
        <v>0</v>
      </c>
      <c r="R339" t="s">
        <v>33</v>
      </c>
      <c r="S339" t="s">
        <v>2038</v>
      </c>
      <c r="T339" t="s">
        <v>2039</v>
      </c>
    </row>
    <row r="340" spans="1:20" ht="15.75" customHeight="1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>Table1[[#This Row],[pledged]]/Table1[[#This Row],[goal]]</f>
        <v>1.7914326647564469</v>
      </c>
      <c r="G340" t="s">
        <v>20</v>
      </c>
      <c r="H340">
        <v>1690</v>
      </c>
      <c r="I340" t="s">
        <v>21</v>
      </c>
      <c r="J340" t="s">
        <v>22</v>
      </c>
      <c r="K340" s="12">
        <f>IF(OR(E340=0, H340=0), 0, E340/H340)</f>
        <v>73.989349112426041</v>
      </c>
      <c r="L340">
        <v>1317790800</v>
      </c>
      <c r="M340" s="10">
        <f>(((L340/60)/60)/24)+DATE(1970,1,1)</f>
        <v>40821.208333333336</v>
      </c>
      <c r="N340">
        <v>1320382800</v>
      </c>
      <c r="O340" s="10">
        <f>(((N340/60)/60)/24)+DATE(1970,1,1)</f>
        <v>40851.208333333336</v>
      </c>
      <c r="P340" t="b">
        <v>0</v>
      </c>
      <c r="Q340" t="b">
        <v>0</v>
      </c>
      <c r="R340" t="s">
        <v>33</v>
      </c>
      <c r="S340" t="s">
        <v>2038</v>
      </c>
      <c r="T340" t="s">
        <v>2039</v>
      </c>
    </row>
    <row r="341" spans="1:20" ht="15.75" customHeight="1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>Table1[[#This Row],[pledged]]/Table1[[#This Row],[goal]]</f>
        <v>0.79951577402787966</v>
      </c>
      <c r="G341" t="s">
        <v>74</v>
      </c>
      <c r="H341">
        <v>1297</v>
      </c>
      <c r="I341" t="s">
        <v>15</v>
      </c>
      <c r="J341" t="s">
        <v>16</v>
      </c>
      <c r="K341" s="12">
        <f>IF(OR(E341=0, H341=0), 0, E341/H341)</f>
        <v>84.02004626060139</v>
      </c>
      <c r="L341">
        <v>1501650000</v>
      </c>
      <c r="M341" s="10">
        <f>(((L341/60)/60)/24)+DATE(1970,1,1)</f>
        <v>42949.208333333328</v>
      </c>
      <c r="N341">
        <v>1502859600</v>
      </c>
      <c r="O341" s="10">
        <f>(((N341/60)/60)/24)+DATE(1970,1,1)</f>
        <v>42963.208333333328</v>
      </c>
      <c r="P341" t="b">
        <v>0</v>
      </c>
      <c r="Q341" t="b">
        <v>0</v>
      </c>
      <c r="R341" t="s">
        <v>33</v>
      </c>
      <c r="S341" t="s">
        <v>2038</v>
      </c>
      <c r="T341" t="s">
        <v>2039</v>
      </c>
    </row>
    <row r="342" spans="1:20" ht="15.75" customHeight="1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>Table1[[#This Row],[pledged]]/Table1[[#This Row],[goal]]</f>
        <v>0.94242587601078165</v>
      </c>
      <c r="G342" t="s">
        <v>14</v>
      </c>
      <c r="H342">
        <v>393</v>
      </c>
      <c r="I342" t="s">
        <v>21</v>
      </c>
      <c r="J342" t="s">
        <v>22</v>
      </c>
      <c r="K342" s="12">
        <f>IF(OR(E342=0, H342=0), 0, E342/H342)</f>
        <v>88.966921119592882</v>
      </c>
      <c r="L342">
        <v>1323669600</v>
      </c>
      <c r="M342" s="10">
        <f>(((L342/60)/60)/24)+DATE(1970,1,1)</f>
        <v>40889.25</v>
      </c>
      <c r="N342">
        <v>1323756000</v>
      </c>
      <c r="O342" s="10">
        <f>(((N342/60)/60)/24)+DATE(1970,1,1)</f>
        <v>40890.25</v>
      </c>
      <c r="P342" t="b">
        <v>0</v>
      </c>
      <c r="Q342" t="b">
        <v>0</v>
      </c>
      <c r="R342" t="s">
        <v>122</v>
      </c>
      <c r="S342" t="s">
        <v>2053</v>
      </c>
      <c r="T342" t="s">
        <v>2054</v>
      </c>
    </row>
    <row r="343" spans="1:20" ht="15.75" customHeight="1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>Table1[[#This Row],[pledged]]/Table1[[#This Row],[goal]]</f>
        <v>0.84669291338582675</v>
      </c>
      <c r="G343" t="s">
        <v>14</v>
      </c>
      <c r="H343">
        <v>1257</v>
      </c>
      <c r="I343" t="s">
        <v>21</v>
      </c>
      <c r="J343" t="s">
        <v>22</v>
      </c>
      <c r="K343" s="12">
        <f>IF(OR(E343=0, H343=0), 0, E343/H343)</f>
        <v>76.990453460620529</v>
      </c>
      <c r="L343">
        <v>1440738000</v>
      </c>
      <c r="M343" s="10">
        <f>(((L343/60)/60)/24)+DATE(1970,1,1)</f>
        <v>42244.208333333328</v>
      </c>
      <c r="N343">
        <v>1441342800</v>
      </c>
      <c r="O343" s="10">
        <f>(((N343/60)/60)/24)+DATE(1970,1,1)</f>
        <v>42251.208333333328</v>
      </c>
      <c r="P343" t="b">
        <v>0</v>
      </c>
      <c r="Q343" t="b">
        <v>0</v>
      </c>
      <c r="R343" t="s">
        <v>60</v>
      </c>
      <c r="S343" t="s">
        <v>2034</v>
      </c>
      <c r="T343" t="s">
        <v>2044</v>
      </c>
    </row>
    <row r="344" spans="1:20" ht="15.75" customHeight="1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>Table1[[#This Row],[pledged]]/Table1[[#This Row],[goal]]</f>
        <v>0.66521920668058454</v>
      </c>
      <c r="G344" t="s">
        <v>14</v>
      </c>
      <c r="H344">
        <v>328</v>
      </c>
      <c r="I344" t="s">
        <v>21</v>
      </c>
      <c r="J344" t="s">
        <v>22</v>
      </c>
      <c r="K344" s="12">
        <f>IF(OR(E344=0, H344=0), 0, E344/H344)</f>
        <v>97.146341463414629</v>
      </c>
      <c r="L344">
        <v>1374296400</v>
      </c>
      <c r="M344" s="10">
        <f>(((L344/60)/60)/24)+DATE(1970,1,1)</f>
        <v>41475.208333333336</v>
      </c>
      <c r="N344">
        <v>1375333200</v>
      </c>
      <c r="O344" s="10">
        <f>(((N344/60)/60)/24)+DATE(1970,1,1)</f>
        <v>41487.208333333336</v>
      </c>
      <c r="P344" t="b">
        <v>0</v>
      </c>
      <c r="Q344" t="b">
        <v>0</v>
      </c>
      <c r="R344" t="s">
        <v>33</v>
      </c>
      <c r="S344" t="s">
        <v>2038</v>
      </c>
      <c r="T344" t="s">
        <v>2039</v>
      </c>
    </row>
    <row r="345" spans="1:20" ht="15.75" customHeight="1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>Table1[[#This Row],[pledged]]/Table1[[#This Row],[goal]]</f>
        <v>0.53922222222222227</v>
      </c>
      <c r="G345" t="s">
        <v>14</v>
      </c>
      <c r="H345">
        <v>147</v>
      </c>
      <c r="I345" t="s">
        <v>21</v>
      </c>
      <c r="J345" t="s">
        <v>22</v>
      </c>
      <c r="K345" s="12">
        <f>IF(OR(E345=0, H345=0), 0, E345/H345)</f>
        <v>33.013605442176868</v>
      </c>
      <c r="L345">
        <v>1384840800</v>
      </c>
      <c r="M345" s="10">
        <f>(((L345/60)/60)/24)+DATE(1970,1,1)</f>
        <v>41597.25</v>
      </c>
      <c r="N345">
        <v>1389420000</v>
      </c>
      <c r="O345" s="10">
        <f>(((N345/60)/60)/24)+DATE(1970,1,1)</f>
        <v>41650.25</v>
      </c>
      <c r="P345" t="b">
        <v>0</v>
      </c>
      <c r="Q345" t="b">
        <v>0</v>
      </c>
      <c r="R345" t="s">
        <v>33</v>
      </c>
      <c r="S345" t="s">
        <v>2038</v>
      </c>
      <c r="T345" t="s">
        <v>2039</v>
      </c>
    </row>
    <row r="346" spans="1:20" ht="15.75" customHeight="1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>Table1[[#This Row],[pledged]]/Table1[[#This Row],[goal]]</f>
        <v>0.41983299595141699</v>
      </c>
      <c r="G346" t="s">
        <v>14</v>
      </c>
      <c r="H346">
        <v>830</v>
      </c>
      <c r="I346" t="s">
        <v>21</v>
      </c>
      <c r="J346" t="s">
        <v>22</v>
      </c>
      <c r="K346" s="12">
        <f>IF(OR(E346=0, H346=0), 0, E346/H346)</f>
        <v>99.950602409638549</v>
      </c>
      <c r="L346">
        <v>1516600800</v>
      </c>
      <c r="M346" s="10">
        <f>(((L346/60)/60)/24)+DATE(1970,1,1)</f>
        <v>43122.25</v>
      </c>
      <c r="N346">
        <v>1520056800</v>
      </c>
      <c r="O346" s="10">
        <f>(((N346/60)/60)/24)+DATE(1970,1,1)</f>
        <v>43162.25</v>
      </c>
      <c r="P346" t="b">
        <v>0</v>
      </c>
      <c r="Q346" t="b">
        <v>0</v>
      </c>
      <c r="R346" t="s">
        <v>89</v>
      </c>
      <c r="S346" t="s">
        <v>2049</v>
      </c>
      <c r="T346" t="s">
        <v>2050</v>
      </c>
    </row>
    <row r="347" spans="1:20" ht="15.75" customHeight="1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>Table1[[#This Row],[pledged]]/Table1[[#This Row],[goal]]</f>
        <v>0.14694796954314721</v>
      </c>
      <c r="G347" t="s">
        <v>14</v>
      </c>
      <c r="H347">
        <v>331</v>
      </c>
      <c r="I347" t="s">
        <v>40</v>
      </c>
      <c r="J347" t="s">
        <v>41</v>
      </c>
      <c r="K347" s="12">
        <f>IF(OR(E347=0, H347=0), 0, E347/H347)</f>
        <v>69.966767371601208</v>
      </c>
      <c r="L347">
        <v>1436418000</v>
      </c>
      <c r="M347" s="10">
        <f>(((L347/60)/60)/24)+DATE(1970,1,1)</f>
        <v>42194.208333333328</v>
      </c>
      <c r="N347">
        <v>1436504400</v>
      </c>
      <c r="O347" s="10">
        <f>(((N347/60)/60)/24)+DATE(1970,1,1)</f>
        <v>42195.208333333328</v>
      </c>
      <c r="P347" t="b">
        <v>0</v>
      </c>
      <c r="Q347" t="b">
        <v>0</v>
      </c>
      <c r="R347" t="s">
        <v>53</v>
      </c>
      <c r="S347" t="s">
        <v>2040</v>
      </c>
      <c r="T347" t="s">
        <v>2043</v>
      </c>
    </row>
    <row r="348" spans="1:20" ht="15.75" customHeight="1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>Table1[[#This Row],[pledged]]/Table1[[#This Row],[goal]]</f>
        <v>0.34475</v>
      </c>
      <c r="G348" t="s">
        <v>14</v>
      </c>
      <c r="H348">
        <v>25</v>
      </c>
      <c r="I348" t="s">
        <v>21</v>
      </c>
      <c r="J348" t="s">
        <v>22</v>
      </c>
      <c r="K348" s="12">
        <f>IF(OR(E348=0, H348=0), 0, E348/H348)</f>
        <v>110.32</v>
      </c>
      <c r="L348">
        <v>1503550800</v>
      </c>
      <c r="M348" s="10">
        <f>(((L348/60)/60)/24)+DATE(1970,1,1)</f>
        <v>42971.208333333328</v>
      </c>
      <c r="N348">
        <v>1508302800</v>
      </c>
      <c r="O348" s="10">
        <f>(((N348/60)/60)/24)+DATE(1970,1,1)</f>
        <v>43026.208333333328</v>
      </c>
      <c r="P348" t="b">
        <v>0</v>
      </c>
      <c r="Q348" t="b">
        <v>1</v>
      </c>
      <c r="R348" t="s">
        <v>60</v>
      </c>
      <c r="S348" t="s">
        <v>2034</v>
      </c>
      <c r="T348" t="s">
        <v>2044</v>
      </c>
    </row>
    <row r="349" spans="1:20" ht="15.75" customHeight="1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>Table1[[#This Row],[pledged]]/Table1[[#This Row],[goal]]</f>
        <v>14.007777777777777</v>
      </c>
      <c r="G349" t="s">
        <v>20</v>
      </c>
      <c r="H349">
        <v>191</v>
      </c>
      <c r="I349" t="s">
        <v>21</v>
      </c>
      <c r="J349" t="s">
        <v>22</v>
      </c>
      <c r="K349" s="12">
        <f>IF(OR(E349=0, H349=0), 0, E349/H349)</f>
        <v>66.005235602094245</v>
      </c>
      <c r="L349">
        <v>1423634400</v>
      </c>
      <c r="M349" s="10">
        <f>(((L349/60)/60)/24)+DATE(1970,1,1)</f>
        <v>42046.25</v>
      </c>
      <c r="N349">
        <v>1425708000</v>
      </c>
      <c r="O349" s="10">
        <f>(((N349/60)/60)/24)+DATE(1970,1,1)</f>
        <v>42070.25</v>
      </c>
      <c r="P349" t="b">
        <v>0</v>
      </c>
      <c r="Q349" t="b">
        <v>0</v>
      </c>
      <c r="R349" t="s">
        <v>28</v>
      </c>
      <c r="S349" t="s">
        <v>2036</v>
      </c>
      <c r="T349" t="s">
        <v>2037</v>
      </c>
    </row>
    <row r="350" spans="1:20" ht="15.75" customHeight="1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>Table1[[#This Row],[pledged]]/Table1[[#This Row],[goal]]</f>
        <v>0.71770351758793971</v>
      </c>
      <c r="G350" t="s">
        <v>14</v>
      </c>
      <c r="H350">
        <v>3483</v>
      </c>
      <c r="I350" t="s">
        <v>21</v>
      </c>
      <c r="J350" t="s">
        <v>22</v>
      </c>
      <c r="K350" s="12">
        <f>IF(OR(E350=0, H350=0), 0, E350/H350)</f>
        <v>41.005742176284812</v>
      </c>
      <c r="L350">
        <v>1487224800</v>
      </c>
      <c r="M350" s="10">
        <f>(((L350/60)/60)/24)+DATE(1970,1,1)</f>
        <v>42782.25</v>
      </c>
      <c r="N350">
        <v>1488348000</v>
      </c>
      <c r="O350" s="10">
        <f>(((N350/60)/60)/24)+DATE(1970,1,1)</f>
        <v>42795.25</v>
      </c>
      <c r="P350" t="b">
        <v>0</v>
      </c>
      <c r="Q350" t="b">
        <v>0</v>
      </c>
      <c r="R350" t="s">
        <v>17</v>
      </c>
      <c r="S350" t="s">
        <v>2032</v>
      </c>
      <c r="T350" t="s">
        <v>2033</v>
      </c>
    </row>
    <row r="351" spans="1:20" ht="15.75" customHeight="1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>Table1[[#This Row],[pledged]]/Table1[[#This Row],[goal]]</f>
        <v>0.53074115044247783</v>
      </c>
      <c r="G351" t="s">
        <v>14</v>
      </c>
      <c r="H351">
        <v>923</v>
      </c>
      <c r="I351" t="s">
        <v>21</v>
      </c>
      <c r="J351" t="s">
        <v>22</v>
      </c>
      <c r="K351" s="12">
        <f>IF(OR(E351=0, H351=0), 0, E351/H351)</f>
        <v>103.96316359696641</v>
      </c>
      <c r="L351">
        <v>1500008400</v>
      </c>
      <c r="M351" s="10">
        <f>(((L351/60)/60)/24)+DATE(1970,1,1)</f>
        <v>42930.208333333328</v>
      </c>
      <c r="N351">
        <v>1502600400</v>
      </c>
      <c r="O351" s="10">
        <f>(((N351/60)/60)/24)+DATE(1970,1,1)</f>
        <v>42960.208333333328</v>
      </c>
      <c r="P351" t="b">
        <v>0</v>
      </c>
      <c r="Q351" t="b">
        <v>0</v>
      </c>
      <c r="R351" t="s">
        <v>33</v>
      </c>
      <c r="S351" t="s">
        <v>2038</v>
      </c>
      <c r="T351" t="s">
        <v>2039</v>
      </c>
    </row>
    <row r="352" spans="1:20" ht="15.75" customHeight="1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>Table1[[#This Row],[pledged]]/Table1[[#This Row],[goal]]</f>
        <v>0.05</v>
      </c>
      <c r="G352" t="s">
        <v>14</v>
      </c>
      <c r="H352">
        <v>1</v>
      </c>
      <c r="I352" t="s">
        <v>21</v>
      </c>
      <c r="J352" t="s">
        <v>22</v>
      </c>
      <c r="K352" s="12">
        <f>IF(OR(E352=0, H352=0), 0, E352/H352)</f>
        <v>5</v>
      </c>
      <c r="L352">
        <v>1432098000</v>
      </c>
      <c r="M352" s="10">
        <f>(((L352/60)/60)/24)+DATE(1970,1,1)</f>
        <v>42144.208333333328</v>
      </c>
      <c r="N352">
        <v>1433653200</v>
      </c>
      <c r="O352" s="10">
        <f>(((N352/60)/60)/24)+DATE(1970,1,1)</f>
        <v>42162.208333333328</v>
      </c>
      <c r="P352" t="b">
        <v>0</v>
      </c>
      <c r="Q352" t="b">
        <v>1</v>
      </c>
      <c r="R352" t="s">
        <v>159</v>
      </c>
      <c r="S352" t="s">
        <v>2034</v>
      </c>
      <c r="T352" t="s">
        <v>2057</v>
      </c>
    </row>
    <row r="353" spans="1:20" ht="15.75" customHeight="1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>Table1[[#This Row],[pledged]]/Table1[[#This Row],[goal]]</f>
        <v>1.2770715249662619</v>
      </c>
      <c r="G353" t="s">
        <v>20</v>
      </c>
      <c r="H353">
        <v>2013</v>
      </c>
      <c r="I353" t="s">
        <v>21</v>
      </c>
      <c r="J353" t="s">
        <v>22</v>
      </c>
      <c r="K353" s="12">
        <f>IF(OR(E353=0, H353=0), 0, E353/H353)</f>
        <v>47.009935419771487</v>
      </c>
      <c r="L353">
        <v>1440392400</v>
      </c>
      <c r="M353" s="10">
        <f>(((L353/60)/60)/24)+DATE(1970,1,1)</f>
        <v>42240.208333333328</v>
      </c>
      <c r="N353">
        <v>1441602000</v>
      </c>
      <c r="O353" s="10">
        <f>(((N353/60)/60)/24)+DATE(1970,1,1)</f>
        <v>42254.208333333328</v>
      </c>
      <c r="P353" t="b">
        <v>0</v>
      </c>
      <c r="Q353" t="b">
        <v>0</v>
      </c>
      <c r="R353" t="s">
        <v>23</v>
      </c>
      <c r="S353" t="s">
        <v>2034</v>
      </c>
      <c r="T353" t="s">
        <v>2035</v>
      </c>
    </row>
    <row r="354" spans="1:20" ht="15.75" customHeight="1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>Table1[[#This Row],[pledged]]/Table1[[#This Row],[goal]]</f>
        <v>0.34892857142857142</v>
      </c>
      <c r="G354" t="s">
        <v>14</v>
      </c>
      <c r="H354">
        <v>33</v>
      </c>
      <c r="I354" t="s">
        <v>15</v>
      </c>
      <c r="J354" t="s">
        <v>16</v>
      </c>
      <c r="K354" s="12">
        <f>IF(OR(E354=0, H354=0), 0, E354/H354)</f>
        <v>29.606060606060606</v>
      </c>
      <c r="L354">
        <v>1446876000</v>
      </c>
      <c r="M354" s="10">
        <f>(((L354/60)/60)/24)+DATE(1970,1,1)</f>
        <v>42315.25</v>
      </c>
      <c r="N354">
        <v>1447567200</v>
      </c>
      <c r="O354" s="10">
        <f>(((N354/60)/60)/24)+DATE(1970,1,1)</f>
        <v>42323.25</v>
      </c>
      <c r="P354" t="b">
        <v>0</v>
      </c>
      <c r="Q354" t="b">
        <v>0</v>
      </c>
      <c r="R354" t="s">
        <v>33</v>
      </c>
      <c r="S354" t="s">
        <v>2038</v>
      </c>
      <c r="T354" t="s">
        <v>2039</v>
      </c>
    </row>
    <row r="355" spans="1:20" ht="15.75" customHeight="1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>Table1[[#This Row],[pledged]]/Table1[[#This Row],[goal]]</f>
        <v>4.105982142857143</v>
      </c>
      <c r="G355" t="s">
        <v>20</v>
      </c>
      <c r="H355">
        <v>1703</v>
      </c>
      <c r="I355" t="s">
        <v>21</v>
      </c>
      <c r="J355" t="s">
        <v>22</v>
      </c>
      <c r="K355" s="12">
        <f>IF(OR(E355=0, H355=0), 0, E355/H355)</f>
        <v>81.010569583088667</v>
      </c>
      <c r="L355">
        <v>1562302800</v>
      </c>
      <c r="M355" s="10">
        <f>(((L355/60)/60)/24)+DATE(1970,1,1)</f>
        <v>43651.208333333328</v>
      </c>
      <c r="N355">
        <v>1562389200</v>
      </c>
      <c r="O355" s="10">
        <f>(((N355/60)/60)/24)+DATE(1970,1,1)</f>
        <v>43652.208333333328</v>
      </c>
      <c r="P355" t="b">
        <v>0</v>
      </c>
      <c r="Q355" t="b">
        <v>0</v>
      </c>
      <c r="R355" t="s">
        <v>33</v>
      </c>
      <c r="S355" t="s">
        <v>2038</v>
      </c>
      <c r="T355" t="s">
        <v>2039</v>
      </c>
    </row>
    <row r="356" spans="1:20" ht="15.75" customHeight="1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>Table1[[#This Row],[pledged]]/Table1[[#This Row],[goal]]</f>
        <v>1.2373770491803278</v>
      </c>
      <c r="G356" t="s">
        <v>20</v>
      </c>
      <c r="H356">
        <v>80</v>
      </c>
      <c r="I356" t="s">
        <v>36</v>
      </c>
      <c r="J356" t="s">
        <v>37</v>
      </c>
      <c r="K356" s="12">
        <f>IF(OR(E356=0, H356=0), 0, E356/H356)</f>
        <v>94.35</v>
      </c>
      <c r="L356">
        <v>1378184400</v>
      </c>
      <c r="M356" s="10">
        <f>(((L356/60)/60)/24)+DATE(1970,1,1)</f>
        <v>41520.208333333336</v>
      </c>
      <c r="N356">
        <v>1378789200</v>
      </c>
      <c r="O356" s="10">
        <f>(((N356/60)/60)/24)+DATE(1970,1,1)</f>
        <v>41527.208333333336</v>
      </c>
      <c r="P356" t="b">
        <v>0</v>
      </c>
      <c r="Q356" t="b">
        <v>0</v>
      </c>
      <c r="R356" t="s">
        <v>42</v>
      </c>
      <c r="S356" t="s">
        <v>2040</v>
      </c>
      <c r="T356" t="s">
        <v>2041</v>
      </c>
    </row>
    <row r="357" spans="1:20" ht="15.75" customHeight="1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>Table1[[#This Row],[pledged]]/Table1[[#This Row],[goal]]</f>
        <v>0.58973684210526311</v>
      </c>
      <c r="G357" t="s">
        <v>47</v>
      </c>
      <c r="H357">
        <v>86</v>
      </c>
      <c r="I357" t="s">
        <v>21</v>
      </c>
      <c r="J357" t="s">
        <v>22</v>
      </c>
      <c r="K357" s="12">
        <f>IF(OR(E357=0, H357=0), 0, E357/H357)</f>
        <v>26.058139534883722</v>
      </c>
      <c r="L357">
        <v>1485064800</v>
      </c>
      <c r="M357" s="10">
        <f>(((L357/60)/60)/24)+DATE(1970,1,1)</f>
        <v>42757.25</v>
      </c>
      <c r="N357">
        <v>1488520800</v>
      </c>
      <c r="O357" s="10">
        <f>(((N357/60)/60)/24)+DATE(1970,1,1)</f>
        <v>42797.25</v>
      </c>
      <c r="P357" t="b">
        <v>0</v>
      </c>
      <c r="Q357" t="b">
        <v>0</v>
      </c>
      <c r="R357" t="s">
        <v>65</v>
      </c>
      <c r="S357" t="s">
        <v>2036</v>
      </c>
      <c r="T357" t="s">
        <v>2045</v>
      </c>
    </row>
    <row r="358" spans="1:20" ht="15.75" customHeight="1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>Table1[[#This Row],[pledged]]/Table1[[#This Row],[goal]]</f>
        <v>0.36892473118279567</v>
      </c>
      <c r="G358" t="s">
        <v>14</v>
      </c>
      <c r="H358">
        <v>40</v>
      </c>
      <c r="I358" t="s">
        <v>107</v>
      </c>
      <c r="J358" t="s">
        <v>108</v>
      </c>
      <c r="K358" s="12">
        <f>IF(OR(E358=0, H358=0), 0, E358/H358)</f>
        <v>85.775000000000006</v>
      </c>
      <c r="L358">
        <v>1326520800</v>
      </c>
      <c r="M358" s="10">
        <f>(((L358/60)/60)/24)+DATE(1970,1,1)</f>
        <v>40922.25</v>
      </c>
      <c r="N358">
        <v>1327298400</v>
      </c>
      <c r="O358" s="10">
        <f>(((N358/60)/60)/24)+DATE(1970,1,1)</f>
        <v>40931.25</v>
      </c>
      <c r="P358" t="b">
        <v>0</v>
      </c>
      <c r="Q358" t="b">
        <v>0</v>
      </c>
      <c r="R358" t="s">
        <v>33</v>
      </c>
      <c r="S358" t="s">
        <v>2038</v>
      </c>
      <c r="T358" t="s">
        <v>2039</v>
      </c>
    </row>
    <row r="359" spans="1:20" ht="15.75" customHeight="1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>Table1[[#This Row],[pledged]]/Table1[[#This Row],[goal]]</f>
        <v>1.8491304347826087</v>
      </c>
      <c r="G359" t="s">
        <v>20</v>
      </c>
      <c r="H359">
        <v>41</v>
      </c>
      <c r="I359" t="s">
        <v>21</v>
      </c>
      <c r="J359" t="s">
        <v>22</v>
      </c>
      <c r="K359" s="12">
        <f>IF(OR(E359=0, H359=0), 0, E359/H359)</f>
        <v>103.73170731707317</v>
      </c>
      <c r="L359">
        <v>1441256400</v>
      </c>
      <c r="M359" s="10">
        <f>(((L359/60)/60)/24)+DATE(1970,1,1)</f>
        <v>42250.208333333328</v>
      </c>
      <c r="N359">
        <v>1443416400</v>
      </c>
      <c r="O359" s="10">
        <f>(((N359/60)/60)/24)+DATE(1970,1,1)</f>
        <v>42275.208333333328</v>
      </c>
      <c r="P359" t="b">
        <v>0</v>
      </c>
      <c r="Q359" t="b">
        <v>0</v>
      </c>
      <c r="R359" t="s">
        <v>89</v>
      </c>
      <c r="S359" t="s">
        <v>2049</v>
      </c>
      <c r="T359" t="s">
        <v>2050</v>
      </c>
    </row>
    <row r="360" spans="1:20" ht="15.75" customHeight="1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>Table1[[#This Row],[pledged]]/Table1[[#This Row],[goal]]</f>
        <v>0.11814432989690722</v>
      </c>
      <c r="G360" t="s">
        <v>14</v>
      </c>
      <c r="H360">
        <v>23</v>
      </c>
      <c r="I360" t="s">
        <v>15</v>
      </c>
      <c r="J360" t="s">
        <v>16</v>
      </c>
      <c r="K360" s="12">
        <f>IF(OR(E360=0, H360=0), 0, E360/H360)</f>
        <v>49.826086956521742</v>
      </c>
      <c r="L360">
        <v>1533877200</v>
      </c>
      <c r="M360" s="10">
        <f>(((L360/60)/60)/24)+DATE(1970,1,1)</f>
        <v>43322.208333333328</v>
      </c>
      <c r="N360">
        <v>1534136400</v>
      </c>
      <c r="O360" s="10">
        <f>(((N360/60)/60)/24)+DATE(1970,1,1)</f>
        <v>43325.208333333328</v>
      </c>
      <c r="P360" t="b">
        <v>1</v>
      </c>
      <c r="Q360" t="b">
        <v>0</v>
      </c>
      <c r="R360" t="s">
        <v>122</v>
      </c>
      <c r="S360" t="s">
        <v>2053</v>
      </c>
      <c r="T360" t="s">
        <v>2054</v>
      </c>
    </row>
    <row r="361" spans="1:20" ht="15.75" customHeight="1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>Table1[[#This Row],[pledged]]/Table1[[#This Row],[goal]]</f>
        <v>2.9870000000000001</v>
      </c>
      <c r="G361" t="s">
        <v>20</v>
      </c>
      <c r="H361">
        <v>187</v>
      </c>
      <c r="I361" t="s">
        <v>21</v>
      </c>
      <c r="J361" t="s">
        <v>22</v>
      </c>
      <c r="K361" s="12">
        <f>IF(OR(E361=0, H361=0), 0, E361/H361)</f>
        <v>63.893048128342244</v>
      </c>
      <c r="L361">
        <v>1314421200</v>
      </c>
      <c r="M361" s="10">
        <f>(((L361/60)/60)/24)+DATE(1970,1,1)</f>
        <v>40782.208333333336</v>
      </c>
      <c r="N361">
        <v>1315026000</v>
      </c>
      <c r="O361" s="10">
        <f>(((N361/60)/60)/24)+DATE(1970,1,1)</f>
        <v>40789.208333333336</v>
      </c>
      <c r="P361" t="b">
        <v>0</v>
      </c>
      <c r="Q361" t="b">
        <v>0</v>
      </c>
      <c r="R361" t="s">
        <v>71</v>
      </c>
      <c r="S361" t="s">
        <v>2040</v>
      </c>
      <c r="T361" t="s">
        <v>2048</v>
      </c>
    </row>
    <row r="362" spans="1:20" ht="15.75" customHeight="1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>Table1[[#This Row],[pledged]]/Table1[[#This Row],[goal]]</f>
        <v>2.2635175879396985</v>
      </c>
      <c r="G362" t="s">
        <v>20</v>
      </c>
      <c r="H362">
        <v>2875</v>
      </c>
      <c r="I362" t="s">
        <v>40</v>
      </c>
      <c r="J362" t="s">
        <v>41</v>
      </c>
      <c r="K362" s="12">
        <f>IF(OR(E362=0, H362=0), 0, E362/H362)</f>
        <v>47.002434782608695</v>
      </c>
      <c r="L362">
        <v>1293861600</v>
      </c>
      <c r="M362" s="10">
        <f>(((L362/60)/60)/24)+DATE(1970,1,1)</f>
        <v>40544.25</v>
      </c>
      <c r="N362">
        <v>1295071200</v>
      </c>
      <c r="O362" s="10">
        <f>(((N362/60)/60)/24)+DATE(1970,1,1)</f>
        <v>40558.25</v>
      </c>
      <c r="P362" t="b">
        <v>0</v>
      </c>
      <c r="Q362" t="b">
        <v>1</v>
      </c>
      <c r="R362" t="s">
        <v>33</v>
      </c>
      <c r="S362" t="s">
        <v>2038</v>
      </c>
      <c r="T362" t="s">
        <v>2039</v>
      </c>
    </row>
    <row r="363" spans="1:20" ht="15.75" customHeight="1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>Table1[[#This Row],[pledged]]/Table1[[#This Row],[goal]]</f>
        <v>1.7356363636363636</v>
      </c>
      <c r="G363" t="s">
        <v>20</v>
      </c>
      <c r="H363">
        <v>88</v>
      </c>
      <c r="I363" t="s">
        <v>21</v>
      </c>
      <c r="J363" t="s">
        <v>22</v>
      </c>
      <c r="K363" s="12">
        <f>IF(OR(E363=0, H363=0), 0, E363/H363)</f>
        <v>108.47727272727273</v>
      </c>
      <c r="L363">
        <v>1507352400</v>
      </c>
      <c r="M363" s="10">
        <f>(((L363/60)/60)/24)+DATE(1970,1,1)</f>
        <v>43015.208333333328</v>
      </c>
      <c r="N363">
        <v>1509426000</v>
      </c>
      <c r="O363" s="10">
        <f>(((N363/60)/60)/24)+DATE(1970,1,1)</f>
        <v>43039.208333333328</v>
      </c>
      <c r="P363" t="b">
        <v>0</v>
      </c>
      <c r="Q363" t="b">
        <v>0</v>
      </c>
      <c r="R363" t="s">
        <v>33</v>
      </c>
      <c r="S363" t="s">
        <v>2038</v>
      </c>
      <c r="T363" t="s">
        <v>2039</v>
      </c>
    </row>
    <row r="364" spans="1:20" ht="15.75" customHeight="1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>Table1[[#This Row],[pledged]]/Table1[[#This Row],[goal]]</f>
        <v>3.7175675675675675</v>
      </c>
      <c r="G364" t="s">
        <v>20</v>
      </c>
      <c r="H364">
        <v>191</v>
      </c>
      <c r="I364" t="s">
        <v>21</v>
      </c>
      <c r="J364" t="s">
        <v>22</v>
      </c>
      <c r="K364" s="12">
        <f>IF(OR(E364=0, H364=0), 0, E364/H364)</f>
        <v>72.015706806282722</v>
      </c>
      <c r="L364">
        <v>1296108000</v>
      </c>
      <c r="M364" s="10">
        <f>(((L364/60)/60)/24)+DATE(1970,1,1)</f>
        <v>40570.25</v>
      </c>
      <c r="N364">
        <v>1299391200</v>
      </c>
      <c r="O364" s="10">
        <f>(((N364/60)/60)/24)+DATE(1970,1,1)</f>
        <v>40608.25</v>
      </c>
      <c r="P364" t="b">
        <v>0</v>
      </c>
      <c r="Q364" t="b">
        <v>0</v>
      </c>
      <c r="R364" t="s">
        <v>23</v>
      </c>
      <c r="S364" t="s">
        <v>2034</v>
      </c>
      <c r="T364" t="s">
        <v>2035</v>
      </c>
    </row>
    <row r="365" spans="1:20" ht="15.75" customHeight="1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>Table1[[#This Row],[pledged]]/Table1[[#This Row],[goal]]</f>
        <v>1.601923076923077</v>
      </c>
      <c r="G365" t="s">
        <v>20</v>
      </c>
      <c r="H365">
        <v>139</v>
      </c>
      <c r="I365" t="s">
        <v>21</v>
      </c>
      <c r="J365" t="s">
        <v>22</v>
      </c>
      <c r="K365" s="12">
        <f>IF(OR(E365=0, H365=0), 0, E365/H365)</f>
        <v>59.928057553956833</v>
      </c>
      <c r="L365">
        <v>1324965600</v>
      </c>
      <c r="M365" s="10">
        <f>(((L365/60)/60)/24)+DATE(1970,1,1)</f>
        <v>40904.25</v>
      </c>
      <c r="N365">
        <v>1325052000</v>
      </c>
      <c r="O365" s="10">
        <f>(((N365/60)/60)/24)+DATE(1970,1,1)</f>
        <v>40905.25</v>
      </c>
      <c r="P365" t="b">
        <v>0</v>
      </c>
      <c r="Q365" t="b">
        <v>0</v>
      </c>
      <c r="R365" t="s">
        <v>23</v>
      </c>
      <c r="S365" t="s">
        <v>2034</v>
      </c>
      <c r="T365" t="s">
        <v>2035</v>
      </c>
    </row>
    <row r="366" spans="1:20" ht="15.75" customHeight="1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>Table1[[#This Row],[pledged]]/Table1[[#This Row],[goal]]</f>
        <v>16.163333333333334</v>
      </c>
      <c r="G366" t="s">
        <v>20</v>
      </c>
      <c r="H366">
        <v>186</v>
      </c>
      <c r="I366" t="s">
        <v>21</v>
      </c>
      <c r="J366" t="s">
        <v>22</v>
      </c>
      <c r="K366" s="12">
        <f>IF(OR(E366=0, H366=0), 0, E366/H366)</f>
        <v>78.209677419354833</v>
      </c>
      <c r="L366">
        <v>1520229600</v>
      </c>
      <c r="M366" s="10">
        <f>(((L366/60)/60)/24)+DATE(1970,1,1)</f>
        <v>43164.25</v>
      </c>
      <c r="N366">
        <v>1522818000</v>
      </c>
      <c r="O366" s="10">
        <f>(((N366/60)/60)/24)+DATE(1970,1,1)</f>
        <v>43194.208333333328</v>
      </c>
      <c r="P366" t="b">
        <v>0</v>
      </c>
      <c r="Q366" t="b">
        <v>0</v>
      </c>
      <c r="R366" t="s">
        <v>60</v>
      </c>
      <c r="S366" t="s">
        <v>2034</v>
      </c>
      <c r="T366" t="s">
        <v>2044</v>
      </c>
    </row>
    <row r="367" spans="1:20" ht="15.75" customHeight="1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>Table1[[#This Row],[pledged]]/Table1[[#This Row],[goal]]</f>
        <v>7.3343749999999996</v>
      </c>
      <c r="G367" t="s">
        <v>20</v>
      </c>
      <c r="H367">
        <v>112</v>
      </c>
      <c r="I367" t="s">
        <v>26</v>
      </c>
      <c r="J367" t="s">
        <v>27</v>
      </c>
      <c r="K367" s="12">
        <f>IF(OR(E367=0, H367=0), 0, E367/H367)</f>
        <v>104.77678571428571</v>
      </c>
      <c r="L367">
        <v>1482991200</v>
      </c>
      <c r="M367" s="10">
        <f>(((L367/60)/60)/24)+DATE(1970,1,1)</f>
        <v>42733.25</v>
      </c>
      <c r="N367">
        <v>1485324000</v>
      </c>
      <c r="O367" s="10">
        <f>(((N367/60)/60)/24)+DATE(1970,1,1)</f>
        <v>42760.25</v>
      </c>
      <c r="P367" t="b">
        <v>0</v>
      </c>
      <c r="Q367" t="b">
        <v>0</v>
      </c>
      <c r="R367" t="s">
        <v>33</v>
      </c>
      <c r="S367" t="s">
        <v>2038</v>
      </c>
      <c r="T367" t="s">
        <v>2039</v>
      </c>
    </row>
    <row r="368" spans="1:20" ht="15.75" customHeight="1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>Table1[[#This Row],[pledged]]/Table1[[#This Row],[goal]]</f>
        <v>5.9211111111111112</v>
      </c>
      <c r="G368" t="s">
        <v>20</v>
      </c>
      <c r="H368">
        <v>101</v>
      </c>
      <c r="I368" t="s">
        <v>21</v>
      </c>
      <c r="J368" t="s">
        <v>22</v>
      </c>
      <c r="K368" s="12">
        <f>IF(OR(E368=0, H368=0), 0, E368/H368)</f>
        <v>105.52475247524752</v>
      </c>
      <c r="L368">
        <v>1294034400</v>
      </c>
      <c r="M368" s="10">
        <f>(((L368/60)/60)/24)+DATE(1970,1,1)</f>
        <v>40546.25</v>
      </c>
      <c r="N368">
        <v>1294120800</v>
      </c>
      <c r="O368" s="10">
        <f>(((N368/60)/60)/24)+DATE(1970,1,1)</f>
        <v>40547.25</v>
      </c>
      <c r="P368" t="b">
        <v>0</v>
      </c>
      <c r="Q368" t="b">
        <v>1</v>
      </c>
      <c r="R368" t="s">
        <v>33</v>
      </c>
      <c r="S368" t="s">
        <v>2038</v>
      </c>
      <c r="T368" t="s">
        <v>2039</v>
      </c>
    </row>
    <row r="369" spans="1:20" ht="15.75" customHeight="1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>Table1[[#This Row],[pledged]]/Table1[[#This Row],[goal]]</f>
        <v>0.18888888888888888</v>
      </c>
      <c r="G369" t="s">
        <v>14</v>
      </c>
      <c r="H369">
        <v>75</v>
      </c>
      <c r="I369" t="s">
        <v>21</v>
      </c>
      <c r="J369" t="s">
        <v>22</v>
      </c>
      <c r="K369" s="12">
        <f>IF(OR(E369=0, H369=0), 0, E369/H369)</f>
        <v>24.933333333333334</v>
      </c>
      <c r="L369">
        <v>1413608400</v>
      </c>
      <c r="M369" s="10">
        <f>(((L369/60)/60)/24)+DATE(1970,1,1)</f>
        <v>41930.208333333336</v>
      </c>
      <c r="N369">
        <v>1415685600</v>
      </c>
      <c r="O369" s="10">
        <f>(((N369/60)/60)/24)+DATE(1970,1,1)</f>
        <v>41954.25</v>
      </c>
      <c r="P369" t="b">
        <v>0</v>
      </c>
      <c r="Q369" t="b">
        <v>1</v>
      </c>
      <c r="R369" t="s">
        <v>33</v>
      </c>
      <c r="S369" t="s">
        <v>2038</v>
      </c>
      <c r="T369" t="s">
        <v>2039</v>
      </c>
    </row>
    <row r="370" spans="1:20" ht="15.75" customHeight="1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>Table1[[#This Row],[pledged]]/Table1[[#This Row],[goal]]</f>
        <v>2.7680769230769231</v>
      </c>
      <c r="G370" t="s">
        <v>20</v>
      </c>
      <c r="H370">
        <v>206</v>
      </c>
      <c r="I370" t="s">
        <v>40</v>
      </c>
      <c r="J370" t="s">
        <v>41</v>
      </c>
      <c r="K370" s="12">
        <f>IF(OR(E370=0, H370=0), 0, E370/H370)</f>
        <v>69.873786407766985</v>
      </c>
      <c r="L370">
        <v>1286946000</v>
      </c>
      <c r="M370" s="10">
        <f>(((L370/60)/60)/24)+DATE(1970,1,1)</f>
        <v>40464.208333333336</v>
      </c>
      <c r="N370">
        <v>1288933200</v>
      </c>
      <c r="O370" s="10">
        <f>(((N370/60)/60)/24)+DATE(1970,1,1)</f>
        <v>40487.208333333336</v>
      </c>
      <c r="P370" t="b">
        <v>0</v>
      </c>
      <c r="Q370" t="b">
        <v>1</v>
      </c>
      <c r="R370" t="s">
        <v>42</v>
      </c>
      <c r="S370" t="s">
        <v>2040</v>
      </c>
      <c r="T370" t="s">
        <v>2041</v>
      </c>
    </row>
    <row r="371" spans="1:20" ht="15.75" customHeight="1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>Table1[[#This Row],[pledged]]/Table1[[#This Row],[goal]]</f>
        <v>2.730185185185185</v>
      </c>
      <c r="G371" t="s">
        <v>20</v>
      </c>
      <c r="H371">
        <v>154</v>
      </c>
      <c r="I371" t="s">
        <v>21</v>
      </c>
      <c r="J371" t="s">
        <v>22</v>
      </c>
      <c r="K371" s="12">
        <f>IF(OR(E371=0, H371=0), 0, E371/H371)</f>
        <v>95.733766233766232</v>
      </c>
      <c r="L371">
        <v>1359871200</v>
      </c>
      <c r="M371" s="10">
        <f>(((L371/60)/60)/24)+DATE(1970,1,1)</f>
        <v>41308.25</v>
      </c>
      <c r="N371">
        <v>1363237200</v>
      </c>
      <c r="O371" s="10">
        <f>(((N371/60)/60)/24)+DATE(1970,1,1)</f>
        <v>41347.208333333336</v>
      </c>
      <c r="P371" t="b">
        <v>0</v>
      </c>
      <c r="Q371" t="b">
        <v>1</v>
      </c>
      <c r="R371" t="s">
        <v>269</v>
      </c>
      <c r="S371" t="s">
        <v>2040</v>
      </c>
      <c r="T371" t="s">
        <v>2059</v>
      </c>
    </row>
    <row r="372" spans="1:20" ht="15.75" customHeight="1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>Table1[[#This Row],[pledged]]/Table1[[#This Row],[goal]]</f>
        <v>1.593633125556545</v>
      </c>
      <c r="G372" t="s">
        <v>20</v>
      </c>
      <c r="H372">
        <v>5966</v>
      </c>
      <c r="I372" t="s">
        <v>21</v>
      </c>
      <c r="J372" t="s">
        <v>22</v>
      </c>
      <c r="K372" s="12">
        <f>IF(OR(E372=0, H372=0), 0, E372/H372)</f>
        <v>29.997485752598056</v>
      </c>
      <c r="L372">
        <v>1555304400</v>
      </c>
      <c r="M372" s="10">
        <f>(((L372/60)/60)/24)+DATE(1970,1,1)</f>
        <v>43570.208333333328</v>
      </c>
      <c r="N372">
        <v>1555822800</v>
      </c>
      <c r="O372" s="10">
        <f>(((N372/60)/60)/24)+DATE(1970,1,1)</f>
        <v>43576.208333333328</v>
      </c>
      <c r="P372" t="b">
        <v>0</v>
      </c>
      <c r="Q372" t="b">
        <v>0</v>
      </c>
      <c r="R372" t="s">
        <v>33</v>
      </c>
      <c r="S372" t="s">
        <v>2038</v>
      </c>
      <c r="T372" t="s">
        <v>2039</v>
      </c>
    </row>
    <row r="373" spans="1:20" ht="15.75" customHeight="1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>Table1[[#This Row],[pledged]]/Table1[[#This Row],[goal]]</f>
        <v>0.67869978858350954</v>
      </c>
      <c r="G373" t="s">
        <v>14</v>
      </c>
      <c r="H373">
        <v>2176</v>
      </c>
      <c r="I373" t="s">
        <v>21</v>
      </c>
      <c r="J373" t="s">
        <v>22</v>
      </c>
      <c r="K373" s="12">
        <f>IF(OR(E373=0, H373=0), 0, E373/H373)</f>
        <v>59.011948529411768</v>
      </c>
      <c r="L373">
        <v>1423375200</v>
      </c>
      <c r="M373" s="10">
        <f>(((L373/60)/60)/24)+DATE(1970,1,1)</f>
        <v>42043.25</v>
      </c>
      <c r="N373">
        <v>1427778000</v>
      </c>
      <c r="O373" s="10">
        <f>(((N373/60)/60)/24)+DATE(1970,1,1)</f>
        <v>42094.208333333328</v>
      </c>
      <c r="P373" t="b">
        <v>0</v>
      </c>
      <c r="Q373" t="b">
        <v>0</v>
      </c>
      <c r="R373" t="s">
        <v>33</v>
      </c>
      <c r="S373" t="s">
        <v>2038</v>
      </c>
      <c r="T373" t="s">
        <v>2039</v>
      </c>
    </row>
    <row r="374" spans="1:20" ht="15.75" customHeight="1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>Table1[[#This Row],[pledged]]/Table1[[#This Row],[goal]]</f>
        <v>15.915555555555555</v>
      </c>
      <c r="G374" t="s">
        <v>20</v>
      </c>
      <c r="H374">
        <v>169</v>
      </c>
      <c r="I374" t="s">
        <v>21</v>
      </c>
      <c r="J374" t="s">
        <v>22</v>
      </c>
      <c r="K374" s="12">
        <f>IF(OR(E374=0, H374=0), 0, E374/H374)</f>
        <v>84.757396449704146</v>
      </c>
      <c r="L374">
        <v>1420696800</v>
      </c>
      <c r="M374" s="10">
        <f>(((L374/60)/60)/24)+DATE(1970,1,1)</f>
        <v>42012.25</v>
      </c>
      <c r="N374">
        <v>1422424800</v>
      </c>
      <c r="O374" s="10">
        <f>(((N374/60)/60)/24)+DATE(1970,1,1)</f>
        <v>42032.25</v>
      </c>
      <c r="P374" t="b">
        <v>0</v>
      </c>
      <c r="Q374" t="b">
        <v>1</v>
      </c>
      <c r="R374" t="s">
        <v>42</v>
      </c>
      <c r="S374" t="s">
        <v>2040</v>
      </c>
      <c r="T374" t="s">
        <v>2041</v>
      </c>
    </row>
    <row r="375" spans="1:20" ht="15.75" customHeight="1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>Table1[[#This Row],[pledged]]/Table1[[#This Row],[goal]]</f>
        <v>7.3018222222222224</v>
      </c>
      <c r="G375" t="s">
        <v>20</v>
      </c>
      <c r="H375">
        <v>2106</v>
      </c>
      <c r="I375" t="s">
        <v>21</v>
      </c>
      <c r="J375" t="s">
        <v>22</v>
      </c>
      <c r="K375" s="12">
        <f>IF(OR(E375=0, H375=0), 0, E375/H375)</f>
        <v>78.010921177587846</v>
      </c>
      <c r="L375">
        <v>1502946000</v>
      </c>
      <c r="M375" s="10">
        <f>(((L375/60)/60)/24)+DATE(1970,1,1)</f>
        <v>42964.208333333328</v>
      </c>
      <c r="N375">
        <v>1503637200</v>
      </c>
      <c r="O375" s="10">
        <f>(((N375/60)/60)/24)+DATE(1970,1,1)</f>
        <v>42972.208333333328</v>
      </c>
      <c r="P375" t="b">
        <v>0</v>
      </c>
      <c r="Q375" t="b">
        <v>0</v>
      </c>
      <c r="R375" t="s">
        <v>33</v>
      </c>
      <c r="S375" t="s">
        <v>2038</v>
      </c>
      <c r="T375" t="s">
        <v>2039</v>
      </c>
    </row>
    <row r="376" spans="1:20" ht="15.75" customHeight="1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>Table1[[#This Row],[pledged]]/Table1[[#This Row],[goal]]</f>
        <v>0.13185782556750297</v>
      </c>
      <c r="G376" t="s">
        <v>14</v>
      </c>
      <c r="H376">
        <v>441</v>
      </c>
      <c r="I376" t="s">
        <v>21</v>
      </c>
      <c r="J376" t="s">
        <v>22</v>
      </c>
      <c r="K376" s="12">
        <f>IF(OR(E376=0, H376=0), 0, E376/H376)</f>
        <v>50.05215419501134</v>
      </c>
      <c r="L376">
        <v>1547186400</v>
      </c>
      <c r="M376" s="10">
        <f>(((L376/60)/60)/24)+DATE(1970,1,1)</f>
        <v>43476.25</v>
      </c>
      <c r="N376">
        <v>1547618400</v>
      </c>
      <c r="O376" s="10">
        <f>(((N376/60)/60)/24)+DATE(1970,1,1)</f>
        <v>43481.25</v>
      </c>
      <c r="P376" t="b">
        <v>0</v>
      </c>
      <c r="Q376" t="b">
        <v>1</v>
      </c>
      <c r="R376" t="s">
        <v>42</v>
      </c>
      <c r="S376" t="s">
        <v>2040</v>
      </c>
      <c r="T376" t="s">
        <v>2041</v>
      </c>
    </row>
    <row r="377" spans="1:20" ht="15.75" customHeight="1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>Table1[[#This Row],[pledged]]/Table1[[#This Row],[goal]]</f>
        <v>0.54777777777777781</v>
      </c>
      <c r="G377" t="s">
        <v>14</v>
      </c>
      <c r="H377">
        <v>25</v>
      </c>
      <c r="I377" t="s">
        <v>21</v>
      </c>
      <c r="J377" t="s">
        <v>22</v>
      </c>
      <c r="K377" s="12">
        <f>IF(OR(E377=0, H377=0), 0, E377/H377)</f>
        <v>59.16</v>
      </c>
      <c r="L377">
        <v>1444971600</v>
      </c>
      <c r="M377" s="10">
        <f>(((L377/60)/60)/24)+DATE(1970,1,1)</f>
        <v>42293.208333333328</v>
      </c>
      <c r="N377">
        <v>1449900000</v>
      </c>
      <c r="O377" s="10">
        <f>(((N377/60)/60)/24)+DATE(1970,1,1)</f>
        <v>42350.25</v>
      </c>
      <c r="P377" t="b">
        <v>0</v>
      </c>
      <c r="Q377" t="b">
        <v>0</v>
      </c>
      <c r="R377" t="s">
        <v>60</v>
      </c>
      <c r="S377" t="s">
        <v>2034</v>
      </c>
      <c r="T377" t="s">
        <v>2044</v>
      </c>
    </row>
    <row r="378" spans="1:20" ht="15.75" customHeight="1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>Table1[[#This Row],[pledged]]/Table1[[#This Row],[goal]]</f>
        <v>3.6102941176470589</v>
      </c>
      <c r="G378" t="s">
        <v>20</v>
      </c>
      <c r="H378">
        <v>131</v>
      </c>
      <c r="I378" t="s">
        <v>21</v>
      </c>
      <c r="J378" t="s">
        <v>22</v>
      </c>
      <c r="K378" s="12">
        <f>IF(OR(E378=0, H378=0), 0, E378/H378)</f>
        <v>93.702290076335885</v>
      </c>
      <c r="L378">
        <v>1404622800</v>
      </c>
      <c r="M378" s="10">
        <f>(((L378/60)/60)/24)+DATE(1970,1,1)</f>
        <v>41826.208333333336</v>
      </c>
      <c r="N378">
        <v>1405141200</v>
      </c>
      <c r="O378" s="10">
        <f>(((N378/60)/60)/24)+DATE(1970,1,1)</f>
        <v>41832.208333333336</v>
      </c>
      <c r="P378" t="b">
        <v>0</v>
      </c>
      <c r="Q378" t="b">
        <v>0</v>
      </c>
      <c r="R378" t="s">
        <v>23</v>
      </c>
      <c r="S378" t="s">
        <v>2034</v>
      </c>
      <c r="T378" t="s">
        <v>2035</v>
      </c>
    </row>
    <row r="379" spans="1:20" ht="15.75" customHeight="1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>Table1[[#This Row],[pledged]]/Table1[[#This Row],[goal]]</f>
        <v>0.10257545271629778</v>
      </c>
      <c r="G379" t="s">
        <v>14</v>
      </c>
      <c r="H379">
        <v>127</v>
      </c>
      <c r="I379" t="s">
        <v>21</v>
      </c>
      <c r="J379" t="s">
        <v>22</v>
      </c>
      <c r="K379" s="12">
        <f>IF(OR(E379=0, H379=0), 0, E379/H379)</f>
        <v>40.14173228346457</v>
      </c>
      <c r="L379">
        <v>1571720400</v>
      </c>
      <c r="M379" s="10">
        <f>(((L379/60)/60)/24)+DATE(1970,1,1)</f>
        <v>43760.208333333328</v>
      </c>
      <c r="N379">
        <v>1572933600</v>
      </c>
      <c r="O379" s="10">
        <f>(((N379/60)/60)/24)+DATE(1970,1,1)</f>
        <v>43774.25</v>
      </c>
      <c r="P379" t="b">
        <v>0</v>
      </c>
      <c r="Q379" t="b">
        <v>0</v>
      </c>
      <c r="R379" t="s">
        <v>33</v>
      </c>
      <c r="S379" t="s">
        <v>2038</v>
      </c>
      <c r="T379" t="s">
        <v>2039</v>
      </c>
    </row>
    <row r="380" spans="1:20" ht="15.75" customHeight="1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>Table1[[#This Row],[pledged]]/Table1[[#This Row],[goal]]</f>
        <v>0.13962962962962963</v>
      </c>
      <c r="G380" t="s">
        <v>14</v>
      </c>
      <c r="H380">
        <v>355</v>
      </c>
      <c r="I380" t="s">
        <v>21</v>
      </c>
      <c r="J380" t="s">
        <v>22</v>
      </c>
      <c r="K380" s="12">
        <f>IF(OR(E380=0, H380=0), 0, E380/H380)</f>
        <v>70.090140845070422</v>
      </c>
      <c r="L380">
        <v>1526878800</v>
      </c>
      <c r="M380" s="10">
        <f>(((L380/60)/60)/24)+DATE(1970,1,1)</f>
        <v>43241.208333333328</v>
      </c>
      <c r="N380">
        <v>1530162000</v>
      </c>
      <c r="O380" s="10">
        <f>(((N380/60)/60)/24)+DATE(1970,1,1)</f>
        <v>43279.208333333328</v>
      </c>
      <c r="P380" t="b">
        <v>0</v>
      </c>
      <c r="Q380" t="b">
        <v>0</v>
      </c>
      <c r="R380" t="s">
        <v>42</v>
      </c>
      <c r="S380" t="s">
        <v>2040</v>
      </c>
      <c r="T380" t="s">
        <v>2041</v>
      </c>
    </row>
    <row r="381" spans="1:20" ht="15.75" customHeight="1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>Table1[[#This Row],[pledged]]/Table1[[#This Row],[goal]]</f>
        <v>0.40444444444444444</v>
      </c>
      <c r="G381" t="s">
        <v>14</v>
      </c>
      <c r="H381">
        <v>44</v>
      </c>
      <c r="I381" t="s">
        <v>40</v>
      </c>
      <c r="J381" t="s">
        <v>41</v>
      </c>
      <c r="K381" s="12">
        <f>IF(OR(E381=0, H381=0), 0, E381/H381)</f>
        <v>66.181818181818187</v>
      </c>
      <c r="L381">
        <v>1319691600</v>
      </c>
      <c r="M381" s="10">
        <f>(((L381/60)/60)/24)+DATE(1970,1,1)</f>
        <v>40843.208333333336</v>
      </c>
      <c r="N381">
        <v>1320904800</v>
      </c>
      <c r="O381" s="10">
        <f>(((N381/60)/60)/24)+DATE(1970,1,1)</f>
        <v>40857.25</v>
      </c>
      <c r="P381" t="b">
        <v>0</v>
      </c>
      <c r="Q381" t="b">
        <v>0</v>
      </c>
      <c r="R381" t="s">
        <v>33</v>
      </c>
      <c r="S381" t="s">
        <v>2038</v>
      </c>
      <c r="T381" t="s">
        <v>2039</v>
      </c>
    </row>
    <row r="382" spans="1:20" ht="15.75" customHeight="1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>Table1[[#This Row],[pledged]]/Table1[[#This Row],[goal]]</f>
        <v>1.6032</v>
      </c>
      <c r="G382" t="s">
        <v>20</v>
      </c>
      <c r="H382">
        <v>84</v>
      </c>
      <c r="I382" t="s">
        <v>21</v>
      </c>
      <c r="J382" t="s">
        <v>22</v>
      </c>
      <c r="K382" s="12">
        <f>IF(OR(E382=0, H382=0), 0, E382/H382)</f>
        <v>47.714285714285715</v>
      </c>
      <c r="L382">
        <v>1371963600</v>
      </c>
      <c r="M382" s="10">
        <f>(((L382/60)/60)/24)+DATE(1970,1,1)</f>
        <v>41448.208333333336</v>
      </c>
      <c r="N382">
        <v>1372395600</v>
      </c>
      <c r="O382" s="10">
        <f>(((N382/60)/60)/24)+DATE(1970,1,1)</f>
        <v>41453.208333333336</v>
      </c>
      <c r="P382" t="b">
        <v>0</v>
      </c>
      <c r="Q382" t="b">
        <v>0</v>
      </c>
      <c r="R382" t="s">
        <v>33</v>
      </c>
      <c r="S382" t="s">
        <v>2038</v>
      </c>
      <c r="T382" t="s">
        <v>2039</v>
      </c>
    </row>
    <row r="383" spans="1:20" ht="15.75" customHeight="1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>Table1[[#This Row],[pledged]]/Table1[[#This Row],[goal]]</f>
        <v>1.8394339622641509</v>
      </c>
      <c r="G383" t="s">
        <v>20</v>
      </c>
      <c r="H383">
        <v>155</v>
      </c>
      <c r="I383" t="s">
        <v>21</v>
      </c>
      <c r="J383" t="s">
        <v>22</v>
      </c>
      <c r="K383" s="12">
        <f>IF(OR(E383=0, H383=0), 0, E383/H383)</f>
        <v>62.896774193548389</v>
      </c>
      <c r="L383">
        <v>1433739600</v>
      </c>
      <c r="M383" s="10">
        <f>(((L383/60)/60)/24)+DATE(1970,1,1)</f>
        <v>42163.208333333328</v>
      </c>
      <c r="N383">
        <v>1437714000</v>
      </c>
      <c r="O383" s="10">
        <f>(((N383/60)/60)/24)+DATE(1970,1,1)</f>
        <v>42209.208333333328</v>
      </c>
      <c r="P383" t="b">
        <v>0</v>
      </c>
      <c r="Q383" t="b">
        <v>0</v>
      </c>
      <c r="R383" t="s">
        <v>33</v>
      </c>
      <c r="S383" t="s">
        <v>2038</v>
      </c>
      <c r="T383" t="s">
        <v>2039</v>
      </c>
    </row>
    <row r="384" spans="1:20" ht="15.75" customHeight="1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>Table1[[#This Row],[pledged]]/Table1[[#This Row],[goal]]</f>
        <v>0.63769230769230767</v>
      </c>
      <c r="G384" t="s">
        <v>14</v>
      </c>
      <c r="H384">
        <v>67</v>
      </c>
      <c r="I384" t="s">
        <v>21</v>
      </c>
      <c r="J384" t="s">
        <v>22</v>
      </c>
      <c r="K384" s="12">
        <f>IF(OR(E384=0, H384=0), 0, E384/H384)</f>
        <v>86.611940298507463</v>
      </c>
      <c r="L384">
        <v>1508130000</v>
      </c>
      <c r="M384" s="10">
        <f>(((L384/60)/60)/24)+DATE(1970,1,1)</f>
        <v>43024.208333333328</v>
      </c>
      <c r="N384">
        <v>1509771600</v>
      </c>
      <c r="O384" s="10">
        <f>(((N384/60)/60)/24)+DATE(1970,1,1)</f>
        <v>43043.208333333328</v>
      </c>
      <c r="P384" t="b">
        <v>0</v>
      </c>
      <c r="Q384" t="b">
        <v>0</v>
      </c>
      <c r="R384" t="s">
        <v>122</v>
      </c>
      <c r="S384" t="s">
        <v>2053</v>
      </c>
      <c r="T384" t="s">
        <v>2054</v>
      </c>
    </row>
    <row r="385" spans="1:20" ht="15.75" customHeight="1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>Table1[[#This Row],[pledged]]/Table1[[#This Row],[goal]]</f>
        <v>2.2538095238095237</v>
      </c>
      <c r="G385" t="s">
        <v>20</v>
      </c>
      <c r="H385">
        <v>189</v>
      </c>
      <c r="I385" t="s">
        <v>21</v>
      </c>
      <c r="J385" t="s">
        <v>22</v>
      </c>
      <c r="K385" s="12">
        <f>IF(OR(E385=0, H385=0), 0, E385/H385)</f>
        <v>75.126984126984127</v>
      </c>
      <c r="L385">
        <v>1550037600</v>
      </c>
      <c r="M385" s="10">
        <f>(((L385/60)/60)/24)+DATE(1970,1,1)</f>
        <v>43509.25</v>
      </c>
      <c r="N385">
        <v>1550556000</v>
      </c>
      <c r="O385" s="10">
        <f>(((N385/60)/60)/24)+DATE(1970,1,1)</f>
        <v>43515.25</v>
      </c>
      <c r="P385" t="b">
        <v>0</v>
      </c>
      <c r="Q385" t="b">
        <v>1</v>
      </c>
      <c r="R385" t="s">
        <v>17</v>
      </c>
      <c r="S385" t="s">
        <v>2032</v>
      </c>
      <c r="T385" t="s">
        <v>2033</v>
      </c>
    </row>
    <row r="386" spans="1:20" ht="15.75" customHeight="1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>Table1[[#This Row],[pledged]]/Table1[[#This Row],[goal]]</f>
        <v>1.7200961538461539</v>
      </c>
      <c r="G386" t="s">
        <v>20</v>
      </c>
      <c r="H386">
        <v>4799</v>
      </c>
      <c r="I386" t="s">
        <v>21</v>
      </c>
      <c r="J386" t="s">
        <v>22</v>
      </c>
      <c r="K386" s="12">
        <f>IF(OR(E386=0, H386=0), 0, E386/H386)</f>
        <v>41.004167534903104</v>
      </c>
      <c r="L386">
        <v>1486706400</v>
      </c>
      <c r="M386" s="10">
        <f>(((L386/60)/60)/24)+DATE(1970,1,1)</f>
        <v>42776.25</v>
      </c>
      <c r="N386">
        <v>1489039200</v>
      </c>
      <c r="O386" s="10">
        <f>(((N386/60)/60)/24)+DATE(1970,1,1)</f>
        <v>42803.25</v>
      </c>
      <c r="P386" t="b">
        <v>1</v>
      </c>
      <c r="Q386" t="b">
        <v>1</v>
      </c>
      <c r="R386" t="s">
        <v>42</v>
      </c>
      <c r="S386" t="s">
        <v>2040</v>
      </c>
      <c r="T386" t="s">
        <v>2041</v>
      </c>
    </row>
    <row r="387" spans="1:20" ht="15.75" customHeight="1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>Table1[[#This Row],[pledged]]/Table1[[#This Row],[goal]]</f>
        <v>1.4616709511568124</v>
      </c>
      <c r="G387" t="s">
        <v>20</v>
      </c>
      <c r="H387">
        <v>1137</v>
      </c>
      <c r="I387" t="s">
        <v>21</v>
      </c>
      <c r="J387" t="s">
        <v>22</v>
      </c>
      <c r="K387" s="12">
        <f>IF(OR(E387=0, H387=0), 0, E387/H387)</f>
        <v>50.007915567282325</v>
      </c>
      <c r="L387">
        <v>1553835600</v>
      </c>
      <c r="M387" s="10">
        <f>(((L387/60)/60)/24)+DATE(1970,1,1)</f>
        <v>43553.208333333328</v>
      </c>
      <c r="N387">
        <v>1556600400</v>
      </c>
      <c r="O387" s="10">
        <f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2046</v>
      </c>
      <c r="T387" t="s">
        <v>2047</v>
      </c>
    </row>
    <row r="388" spans="1:20" ht="15.75" customHeight="1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>Table1[[#This Row],[pledged]]/Table1[[#This Row],[goal]]</f>
        <v>0.76423616236162362</v>
      </c>
      <c r="G388" t="s">
        <v>14</v>
      </c>
      <c r="H388">
        <v>1068</v>
      </c>
      <c r="I388" t="s">
        <v>21</v>
      </c>
      <c r="J388" t="s">
        <v>22</v>
      </c>
      <c r="K388" s="12">
        <f>IF(OR(E388=0, H388=0), 0, E388/H388)</f>
        <v>96.960674157303373</v>
      </c>
      <c r="L388">
        <v>1277528400</v>
      </c>
      <c r="M388" s="10">
        <f>(((L388/60)/60)/24)+DATE(1970,1,1)</f>
        <v>40355.208333333336</v>
      </c>
      <c r="N388">
        <v>1278565200</v>
      </c>
      <c r="O388" s="10">
        <f>(((N388/60)/60)/24)+DATE(1970,1,1)</f>
        <v>40367.208333333336</v>
      </c>
      <c r="P388" t="b">
        <v>0</v>
      </c>
      <c r="Q388" t="b">
        <v>0</v>
      </c>
      <c r="R388" t="s">
        <v>33</v>
      </c>
      <c r="S388" t="s">
        <v>2038</v>
      </c>
      <c r="T388" t="s">
        <v>2039</v>
      </c>
    </row>
    <row r="389" spans="1:20" ht="15.75" customHeight="1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>Table1[[#This Row],[pledged]]/Table1[[#This Row],[goal]]</f>
        <v>0.39261467889908258</v>
      </c>
      <c r="G389" t="s">
        <v>14</v>
      </c>
      <c r="H389">
        <v>424</v>
      </c>
      <c r="I389" t="s">
        <v>21</v>
      </c>
      <c r="J389" t="s">
        <v>22</v>
      </c>
      <c r="K389" s="12">
        <f>IF(OR(E389=0, H389=0), 0, E389/H389)</f>
        <v>100.93160377358491</v>
      </c>
      <c r="L389">
        <v>1339477200</v>
      </c>
      <c r="M389" s="10">
        <f>(((L389/60)/60)/24)+DATE(1970,1,1)</f>
        <v>41072.208333333336</v>
      </c>
      <c r="N389">
        <v>1339909200</v>
      </c>
      <c r="O389" s="10">
        <f>(((N389/60)/60)/24)+DATE(1970,1,1)</f>
        <v>41077.208333333336</v>
      </c>
      <c r="P389" t="b">
        <v>0</v>
      </c>
      <c r="Q389" t="b">
        <v>0</v>
      </c>
      <c r="R389" t="s">
        <v>65</v>
      </c>
      <c r="S389" t="s">
        <v>2036</v>
      </c>
      <c r="T389" t="s">
        <v>2045</v>
      </c>
    </row>
    <row r="390" spans="1:20" ht="15.75" customHeight="1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>Table1[[#This Row],[pledged]]/Table1[[#This Row],[goal]]</f>
        <v>0.11270034843205574</v>
      </c>
      <c r="G390" t="s">
        <v>74</v>
      </c>
      <c r="H390">
        <v>145</v>
      </c>
      <c r="I390" t="s">
        <v>98</v>
      </c>
      <c r="J390" t="s">
        <v>99</v>
      </c>
      <c r="K390" s="12">
        <f>IF(OR(E390=0, H390=0), 0, E390/H390)</f>
        <v>89.227586206896547</v>
      </c>
      <c r="L390">
        <v>1325656800</v>
      </c>
      <c r="M390" s="10">
        <f>(((L390/60)/60)/24)+DATE(1970,1,1)</f>
        <v>40912.25</v>
      </c>
      <c r="N390">
        <v>1325829600</v>
      </c>
      <c r="O390" s="10">
        <f>(((N390/60)/60)/24)+DATE(1970,1,1)</f>
        <v>40914.25</v>
      </c>
      <c r="P390" t="b">
        <v>0</v>
      </c>
      <c r="Q390" t="b">
        <v>0</v>
      </c>
      <c r="R390" t="s">
        <v>60</v>
      </c>
      <c r="S390" t="s">
        <v>2034</v>
      </c>
      <c r="T390" t="s">
        <v>2044</v>
      </c>
    </row>
    <row r="391" spans="1:20" ht="15.75" customHeight="1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>Table1[[#This Row],[pledged]]/Table1[[#This Row],[goal]]</f>
        <v>1.2211084337349398</v>
      </c>
      <c r="G391" t="s">
        <v>20</v>
      </c>
      <c r="H391">
        <v>1152</v>
      </c>
      <c r="I391" t="s">
        <v>21</v>
      </c>
      <c r="J391" t="s">
        <v>22</v>
      </c>
      <c r="K391" s="12">
        <f>IF(OR(E391=0, H391=0), 0, E391/H391)</f>
        <v>87.979166666666671</v>
      </c>
      <c r="L391">
        <v>1288242000</v>
      </c>
      <c r="M391" s="10">
        <f>(((L391/60)/60)/24)+DATE(1970,1,1)</f>
        <v>40479.208333333336</v>
      </c>
      <c r="N391">
        <v>1290578400</v>
      </c>
      <c r="O391" s="10">
        <f>(((N391/60)/60)/24)+DATE(1970,1,1)</f>
        <v>40506.25</v>
      </c>
      <c r="P391" t="b">
        <v>0</v>
      </c>
      <c r="Q391" t="b">
        <v>0</v>
      </c>
      <c r="R391" t="s">
        <v>33</v>
      </c>
      <c r="S391" t="s">
        <v>2038</v>
      </c>
      <c r="T391" t="s">
        <v>2039</v>
      </c>
    </row>
    <row r="392" spans="1:20" ht="15.75" customHeight="1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>Table1[[#This Row],[pledged]]/Table1[[#This Row],[goal]]</f>
        <v>1.8654166666666667</v>
      </c>
      <c r="G392" t="s">
        <v>20</v>
      </c>
      <c r="H392">
        <v>50</v>
      </c>
      <c r="I392" t="s">
        <v>21</v>
      </c>
      <c r="J392" t="s">
        <v>22</v>
      </c>
      <c r="K392" s="12">
        <f>IF(OR(E392=0, H392=0), 0, E392/H392)</f>
        <v>89.54</v>
      </c>
      <c r="L392">
        <v>1379048400</v>
      </c>
      <c r="M392" s="10">
        <f>(((L392/60)/60)/24)+DATE(1970,1,1)</f>
        <v>41530.208333333336</v>
      </c>
      <c r="N392">
        <v>1380344400</v>
      </c>
      <c r="O392" s="10">
        <f>(((N392/60)/60)/24)+DATE(1970,1,1)</f>
        <v>41545.208333333336</v>
      </c>
      <c r="P392" t="b">
        <v>0</v>
      </c>
      <c r="Q392" t="b">
        <v>0</v>
      </c>
      <c r="R392" t="s">
        <v>122</v>
      </c>
      <c r="S392" t="s">
        <v>2053</v>
      </c>
      <c r="T392" t="s">
        <v>2054</v>
      </c>
    </row>
    <row r="393" spans="1:20" ht="15.75" customHeight="1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>Table1[[#This Row],[pledged]]/Table1[[#This Row],[goal]]</f>
        <v>7.27317880794702E-2</v>
      </c>
      <c r="G393" t="s">
        <v>14</v>
      </c>
      <c r="H393">
        <v>151</v>
      </c>
      <c r="I393" t="s">
        <v>21</v>
      </c>
      <c r="J393" t="s">
        <v>22</v>
      </c>
      <c r="K393" s="12">
        <f>IF(OR(E393=0, H393=0), 0, E393/H393)</f>
        <v>29.09271523178808</v>
      </c>
      <c r="L393">
        <v>1389679200</v>
      </c>
      <c r="M393" s="10">
        <f>(((L393/60)/60)/24)+DATE(1970,1,1)</f>
        <v>41653.25</v>
      </c>
      <c r="N393">
        <v>1389852000</v>
      </c>
      <c r="O393" s="10">
        <f>(((N393/60)/60)/24)+DATE(1970,1,1)</f>
        <v>41655.25</v>
      </c>
      <c r="P393" t="b">
        <v>0</v>
      </c>
      <c r="Q393" t="b">
        <v>0</v>
      </c>
      <c r="R393" t="s">
        <v>68</v>
      </c>
      <c r="S393" t="s">
        <v>2046</v>
      </c>
      <c r="T393" t="s">
        <v>2047</v>
      </c>
    </row>
    <row r="394" spans="1:20" ht="15.75" customHeight="1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>Table1[[#This Row],[pledged]]/Table1[[#This Row],[goal]]</f>
        <v>0.65642371234207963</v>
      </c>
      <c r="G394" t="s">
        <v>14</v>
      </c>
      <c r="H394">
        <v>1608</v>
      </c>
      <c r="I394" t="s">
        <v>21</v>
      </c>
      <c r="J394" t="s">
        <v>22</v>
      </c>
      <c r="K394" s="12">
        <f>IF(OR(E394=0, H394=0), 0, E394/H394)</f>
        <v>42.006218905472636</v>
      </c>
      <c r="L394">
        <v>1294293600</v>
      </c>
      <c r="M394" s="10">
        <f>(((L394/60)/60)/24)+DATE(1970,1,1)</f>
        <v>40549.25</v>
      </c>
      <c r="N394">
        <v>1294466400</v>
      </c>
      <c r="O394" s="10">
        <f>(((N394/60)/60)/24)+DATE(1970,1,1)</f>
        <v>40551.25</v>
      </c>
      <c r="P394" t="b">
        <v>0</v>
      </c>
      <c r="Q394" t="b">
        <v>0</v>
      </c>
      <c r="R394" t="s">
        <v>65</v>
      </c>
      <c r="S394" t="s">
        <v>2036</v>
      </c>
      <c r="T394" t="s">
        <v>2045</v>
      </c>
    </row>
    <row r="395" spans="1:20" ht="15.75" customHeight="1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>Table1[[#This Row],[pledged]]/Table1[[#This Row],[goal]]</f>
        <v>2.2896178343949045</v>
      </c>
      <c r="G395" t="s">
        <v>20</v>
      </c>
      <c r="H395">
        <v>3059</v>
      </c>
      <c r="I395" t="s">
        <v>15</v>
      </c>
      <c r="J395" t="s">
        <v>16</v>
      </c>
      <c r="K395" s="12">
        <f>IF(OR(E395=0, H395=0), 0, E395/H395)</f>
        <v>47.004903563255965</v>
      </c>
      <c r="L395">
        <v>1500267600</v>
      </c>
      <c r="M395" s="10">
        <f>(((L395/60)/60)/24)+DATE(1970,1,1)</f>
        <v>42933.208333333328</v>
      </c>
      <c r="N395">
        <v>1500354000</v>
      </c>
      <c r="O395" s="10">
        <f>(((N395/60)/60)/24)+DATE(1970,1,1)</f>
        <v>42934.208333333328</v>
      </c>
      <c r="P395" t="b">
        <v>0</v>
      </c>
      <c r="Q395" t="b">
        <v>0</v>
      </c>
      <c r="R395" t="s">
        <v>159</v>
      </c>
      <c r="S395" t="s">
        <v>2034</v>
      </c>
      <c r="T395" t="s">
        <v>2057</v>
      </c>
    </row>
    <row r="396" spans="1:20" ht="15.75" customHeight="1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>Table1[[#This Row],[pledged]]/Table1[[#This Row],[goal]]</f>
        <v>4.6937499999999996</v>
      </c>
      <c r="G396" t="s">
        <v>20</v>
      </c>
      <c r="H396">
        <v>34</v>
      </c>
      <c r="I396" t="s">
        <v>21</v>
      </c>
      <c r="J396" t="s">
        <v>22</v>
      </c>
      <c r="K396" s="12">
        <f>IF(OR(E396=0, H396=0), 0, E396/H396)</f>
        <v>110.44117647058823</v>
      </c>
      <c r="L396">
        <v>1375074000</v>
      </c>
      <c r="M396" s="10">
        <f>(((L396/60)/60)/24)+DATE(1970,1,1)</f>
        <v>41484.208333333336</v>
      </c>
      <c r="N396">
        <v>1375938000</v>
      </c>
      <c r="O396" s="10">
        <f>(((N396/60)/60)/24)+DATE(1970,1,1)</f>
        <v>41494.208333333336</v>
      </c>
      <c r="P396" t="b">
        <v>0</v>
      </c>
      <c r="Q396" t="b">
        <v>1</v>
      </c>
      <c r="R396" t="s">
        <v>42</v>
      </c>
      <c r="S396" t="s">
        <v>2040</v>
      </c>
      <c r="T396" t="s">
        <v>2041</v>
      </c>
    </row>
    <row r="397" spans="1:20" ht="15.75" customHeight="1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>Table1[[#This Row],[pledged]]/Table1[[#This Row],[goal]]</f>
        <v>1.3011267605633803</v>
      </c>
      <c r="G397" t="s">
        <v>20</v>
      </c>
      <c r="H397">
        <v>220</v>
      </c>
      <c r="I397" t="s">
        <v>21</v>
      </c>
      <c r="J397" t="s">
        <v>22</v>
      </c>
      <c r="K397" s="12">
        <f>IF(OR(E397=0, H397=0), 0, E397/H397)</f>
        <v>41.990909090909092</v>
      </c>
      <c r="L397">
        <v>1323324000</v>
      </c>
      <c r="M397" s="10">
        <f>(((L397/60)/60)/24)+DATE(1970,1,1)</f>
        <v>40885.25</v>
      </c>
      <c r="N397">
        <v>1323410400</v>
      </c>
      <c r="O397" s="10">
        <f>(((N397/60)/60)/24)+DATE(1970,1,1)</f>
        <v>40886.25</v>
      </c>
      <c r="P397" t="b">
        <v>1</v>
      </c>
      <c r="Q397" t="b">
        <v>0</v>
      </c>
      <c r="R397" t="s">
        <v>33</v>
      </c>
      <c r="S397" t="s">
        <v>2038</v>
      </c>
      <c r="T397" t="s">
        <v>2039</v>
      </c>
    </row>
    <row r="398" spans="1:20" ht="15.75" customHeight="1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>Table1[[#This Row],[pledged]]/Table1[[#This Row],[goal]]</f>
        <v>1.6705422993492407</v>
      </c>
      <c r="G398" t="s">
        <v>20</v>
      </c>
      <c r="H398">
        <v>1604</v>
      </c>
      <c r="I398" t="s">
        <v>26</v>
      </c>
      <c r="J398" t="s">
        <v>27</v>
      </c>
      <c r="K398" s="12">
        <f>IF(OR(E398=0, H398=0), 0, E398/H398)</f>
        <v>48.012468827930178</v>
      </c>
      <c r="L398">
        <v>1538715600</v>
      </c>
      <c r="M398" s="10">
        <f>(((L398/60)/60)/24)+DATE(1970,1,1)</f>
        <v>43378.208333333328</v>
      </c>
      <c r="N398">
        <v>1539406800</v>
      </c>
      <c r="O398" s="10">
        <f>(((N398/60)/60)/24)+DATE(1970,1,1)</f>
        <v>43386.208333333328</v>
      </c>
      <c r="P398" t="b">
        <v>0</v>
      </c>
      <c r="Q398" t="b">
        <v>0</v>
      </c>
      <c r="R398" t="s">
        <v>53</v>
      </c>
      <c r="S398" t="s">
        <v>2040</v>
      </c>
      <c r="T398" t="s">
        <v>2043</v>
      </c>
    </row>
    <row r="399" spans="1:20" ht="15.75" customHeight="1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>Table1[[#This Row],[pledged]]/Table1[[#This Row],[goal]]</f>
        <v>1.738641975308642</v>
      </c>
      <c r="G399" t="s">
        <v>20</v>
      </c>
      <c r="H399">
        <v>454</v>
      </c>
      <c r="I399" t="s">
        <v>21</v>
      </c>
      <c r="J399" t="s">
        <v>22</v>
      </c>
      <c r="K399" s="12">
        <f>IF(OR(E399=0, H399=0), 0, E399/H399)</f>
        <v>31.019823788546255</v>
      </c>
      <c r="L399">
        <v>1369285200</v>
      </c>
      <c r="M399" s="10">
        <f>(((L399/60)/60)/24)+DATE(1970,1,1)</f>
        <v>41417.208333333336</v>
      </c>
      <c r="N399">
        <v>1369803600</v>
      </c>
      <c r="O399" s="10">
        <f>(((N399/60)/60)/24)+DATE(1970,1,1)</f>
        <v>41423.208333333336</v>
      </c>
      <c r="P399" t="b">
        <v>0</v>
      </c>
      <c r="Q399" t="b">
        <v>0</v>
      </c>
      <c r="R399" t="s">
        <v>23</v>
      </c>
      <c r="S399" t="s">
        <v>2034</v>
      </c>
      <c r="T399" t="s">
        <v>2035</v>
      </c>
    </row>
    <row r="400" spans="1:20" ht="15.75" customHeight="1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>Table1[[#This Row],[pledged]]/Table1[[#This Row],[goal]]</f>
        <v>7.1776470588235295</v>
      </c>
      <c r="G400" t="s">
        <v>20</v>
      </c>
      <c r="H400">
        <v>123</v>
      </c>
      <c r="I400" t="s">
        <v>107</v>
      </c>
      <c r="J400" t="s">
        <v>108</v>
      </c>
      <c r="K400" s="12">
        <f>IF(OR(E400=0, H400=0), 0, E400/H400)</f>
        <v>99.203252032520325</v>
      </c>
      <c r="L400">
        <v>1525755600</v>
      </c>
      <c r="M400" s="10">
        <f>(((L400/60)/60)/24)+DATE(1970,1,1)</f>
        <v>43228.208333333328</v>
      </c>
      <c r="N400">
        <v>1525928400</v>
      </c>
      <c r="O400" s="10">
        <f>(((N400/60)/60)/24)+DATE(1970,1,1)</f>
        <v>43230.208333333328</v>
      </c>
      <c r="P400" t="b">
        <v>0</v>
      </c>
      <c r="Q400" t="b">
        <v>1</v>
      </c>
      <c r="R400" t="s">
        <v>71</v>
      </c>
      <c r="S400" t="s">
        <v>2040</v>
      </c>
      <c r="T400" t="s">
        <v>2048</v>
      </c>
    </row>
    <row r="401" spans="1:20" ht="15.75" customHeight="1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>Table1[[#This Row],[pledged]]/Table1[[#This Row],[goal]]</f>
        <v>0.63850976361767731</v>
      </c>
      <c r="G401" t="s">
        <v>14</v>
      </c>
      <c r="H401">
        <v>941</v>
      </c>
      <c r="I401" t="s">
        <v>21</v>
      </c>
      <c r="J401" t="s">
        <v>22</v>
      </c>
      <c r="K401" s="12">
        <f>IF(OR(E401=0, H401=0), 0, E401/H401)</f>
        <v>66.022316684378325</v>
      </c>
      <c r="L401">
        <v>1296626400</v>
      </c>
      <c r="M401" s="10">
        <f>(((L401/60)/60)/24)+DATE(1970,1,1)</f>
        <v>40576.25</v>
      </c>
      <c r="N401">
        <v>1297231200</v>
      </c>
      <c r="O401" s="10">
        <f>(((N401/60)/60)/24)+DATE(1970,1,1)</f>
        <v>40583.25</v>
      </c>
      <c r="P401" t="b">
        <v>0</v>
      </c>
      <c r="Q401" t="b">
        <v>0</v>
      </c>
      <c r="R401" t="s">
        <v>60</v>
      </c>
      <c r="S401" t="s">
        <v>2034</v>
      </c>
      <c r="T401" t="s">
        <v>2044</v>
      </c>
    </row>
    <row r="402" spans="1:20" ht="15.75" customHeight="1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>Table1[[#This Row],[pledged]]/Table1[[#This Row],[goal]]</f>
        <v>0.02</v>
      </c>
      <c r="G402" t="s">
        <v>14</v>
      </c>
      <c r="H402">
        <v>1</v>
      </c>
      <c r="I402" t="s">
        <v>21</v>
      </c>
      <c r="J402" t="s">
        <v>22</v>
      </c>
      <c r="K402" s="12">
        <f>IF(OR(E402=0, H402=0), 0, E402/H402)</f>
        <v>2</v>
      </c>
      <c r="L402">
        <v>1376629200</v>
      </c>
      <c r="M402" s="10">
        <f>(((L402/60)/60)/24)+DATE(1970,1,1)</f>
        <v>41502.208333333336</v>
      </c>
      <c r="N402">
        <v>1378530000</v>
      </c>
      <c r="O402" s="10">
        <f>(((N402/60)/60)/24)+DATE(1970,1,1)</f>
        <v>41524.208333333336</v>
      </c>
      <c r="P402" t="b">
        <v>0</v>
      </c>
      <c r="Q402" t="b">
        <v>1</v>
      </c>
      <c r="R402" t="s">
        <v>122</v>
      </c>
      <c r="S402" t="s">
        <v>2053</v>
      </c>
      <c r="T402" t="s">
        <v>2054</v>
      </c>
    </row>
    <row r="403" spans="1:20" ht="15.75" customHeight="1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>Table1[[#This Row],[pledged]]/Table1[[#This Row],[goal]]</f>
        <v>15.302222222222222</v>
      </c>
      <c r="G403" t="s">
        <v>20</v>
      </c>
      <c r="H403">
        <v>299</v>
      </c>
      <c r="I403" t="s">
        <v>21</v>
      </c>
      <c r="J403" t="s">
        <v>22</v>
      </c>
      <c r="K403" s="12">
        <f>IF(OR(E403=0, H403=0), 0, E403/H403)</f>
        <v>46.060200668896321</v>
      </c>
      <c r="L403">
        <v>1572152400</v>
      </c>
      <c r="M403" s="10">
        <f>(((L403/60)/60)/24)+DATE(1970,1,1)</f>
        <v>43765.208333333328</v>
      </c>
      <c r="N403">
        <v>1572152400</v>
      </c>
      <c r="O403" s="10">
        <f>(((N403/60)/60)/24)+DATE(1970,1,1)</f>
        <v>43765.208333333328</v>
      </c>
      <c r="P403" t="b">
        <v>0</v>
      </c>
      <c r="Q403" t="b">
        <v>0</v>
      </c>
      <c r="R403" t="s">
        <v>33</v>
      </c>
      <c r="S403" t="s">
        <v>2038</v>
      </c>
      <c r="T403" t="s">
        <v>2039</v>
      </c>
    </row>
    <row r="404" spans="1:20" ht="15.75" customHeight="1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>Table1[[#This Row],[pledged]]/Table1[[#This Row],[goal]]</f>
        <v>0.40356164383561643</v>
      </c>
      <c r="G404" t="s">
        <v>14</v>
      </c>
      <c r="H404">
        <v>40</v>
      </c>
      <c r="I404" t="s">
        <v>21</v>
      </c>
      <c r="J404" t="s">
        <v>22</v>
      </c>
      <c r="K404" s="12">
        <f>IF(OR(E404=0, H404=0), 0, E404/H404)</f>
        <v>73.650000000000006</v>
      </c>
      <c r="L404">
        <v>1325829600</v>
      </c>
      <c r="M404" s="10">
        <f>(((L404/60)/60)/24)+DATE(1970,1,1)</f>
        <v>40914.25</v>
      </c>
      <c r="N404">
        <v>1329890400</v>
      </c>
      <c r="O404" s="10">
        <f>(((N404/60)/60)/24)+DATE(1970,1,1)</f>
        <v>40961.25</v>
      </c>
      <c r="P404" t="b">
        <v>0</v>
      </c>
      <c r="Q404" t="b">
        <v>1</v>
      </c>
      <c r="R404" t="s">
        <v>100</v>
      </c>
      <c r="S404" t="s">
        <v>2040</v>
      </c>
      <c r="T404" t="s">
        <v>2051</v>
      </c>
    </row>
    <row r="405" spans="1:20" ht="15.75" customHeight="1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>Table1[[#This Row],[pledged]]/Table1[[#This Row],[goal]]</f>
        <v>0.86220633299284988</v>
      </c>
      <c r="G405" t="s">
        <v>14</v>
      </c>
      <c r="H405">
        <v>3015</v>
      </c>
      <c r="I405" t="s">
        <v>15</v>
      </c>
      <c r="J405" t="s">
        <v>16</v>
      </c>
      <c r="K405" s="12">
        <f>IF(OR(E405=0, H405=0), 0, E405/H405)</f>
        <v>55.99336650082919</v>
      </c>
      <c r="L405">
        <v>1273640400</v>
      </c>
      <c r="M405" s="10">
        <f>(((L405/60)/60)/24)+DATE(1970,1,1)</f>
        <v>40310.208333333336</v>
      </c>
      <c r="N405">
        <v>1276750800</v>
      </c>
      <c r="O405" s="10">
        <f>(((N405/60)/60)/24)+DATE(1970,1,1)</f>
        <v>40346.208333333336</v>
      </c>
      <c r="P405" t="b">
        <v>0</v>
      </c>
      <c r="Q405" t="b">
        <v>1</v>
      </c>
      <c r="R405" t="s">
        <v>33</v>
      </c>
      <c r="S405" t="s">
        <v>2038</v>
      </c>
      <c r="T405" t="s">
        <v>2039</v>
      </c>
    </row>
    <row r="406" spans="1:20" ht="15.75" customHeight="1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>Table1[[#This Row],[pledged]]/Table1[[#This Row],[goal]]</f>
        <v>3.1558486707566464</v>
      </c>
      <c r="G406" t="s">
        <v>20</v>
      </c>
      <c r="H406">
        <v>2237</v>
      </c>
      <c r="I406" t="s">
        <v>21</v>
      </c>
      <c r="J406" t="s">
        <v>22</v>
      </c>
      <c r="K406" s="12">
        <f>IF(OR(E406=0, H406=0), 0, E406/H406)</f>
        <v>68.985695127402778</v>
      </c>
      <c r="L406">
        <v>1510639200</v>
      </c>
      <c r="M406" s="10">
        <f>(((L406/60)/60)/24)+DATE(1970,1,1)</f>
        <v>43053.25</v>
      </c>
      <c r="N406">
        <v>1510898400</v>
      </c>
      <c r="O406" s="10">
        <f>(((N406/60)/60)/24)+DATE(1970,1,1)</f>
        <v>43056.25</v>
      </c>
      <c r="P406" t="b">
        <v>0</v>
      </c>
      <c r="Q406" t="b">
        <v>0</v>
      </c>
      <c r="R406" t="s">
        <v>33</v>
      </c>
      <c r="S406" t="s">
        <v>2038</v>
      </c>
      <c r="T406" t="s">
        <v>2039</v>
      </c>
    </row>
    <row r="407" spans="1:20" ht="15.75" customHeight="1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>Table1[[#This Row],[pledged]]/Table1[[#This Row],[goal]]</f>
        <v>0.89618243243243245</v>
      </c>
      <c r="G407" t="s">
        <v>14</v>
      </c>
      <c r="H407">
        <v>435</v>
      </c>
      <c r="I407" t="s">
        <v>21</v>
      </c>
      <c r="J407" t="s">
        <v>22</v>
      </c>
      <c r="K407" s="12">
        <f>IF(OR(E407=0, H407=0), 0, E407/H407)</f>
        <v>60.981609195402299</v>
      </c>
      <c r="L407">
        <v>1528088400</v>
      </c>
      <c r="M407" s="10">
        <f>(((L407/60)/60)/24)+DATE(1970,1,1)</f>
        <v>43255.208333333328</v>
      </c>
      <c r="N407">
        <v>1532408400</v>
      </c>
      <c r="O407" s="10">
        <f>(((N407/60)/60)/24)+DATE(1970,1,1)</f>
        <v>43305.208333333328</v>
      </c>
      <c r="P407" t="b">
        <v>0</v>
      </c>
      <c r="Q407" t="b">
        <v>0</v>
      </c>
      <c r="R407" t="s">
        <v>33</v>
      </c>
      <c r="S407" t="s">
        <v>2038</v>
      </c>
      <c r="T407" t="s">
        <v>2039</v>
      </c>
    </row>
    <row r="408" spans="1:20" ht="15.75" customHeight="1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>Table1[[#This Row],[pledged]]/Table1[[#This Row],[goal]]</f>
        <v>1.8214503816793892</v>
      </c>
      <c r="G408" t="s">
        <v>20</v>
      </c>
      <c r="H408">
        <v>645</v>
      </c>
      <c r="I408" t="s">
        <v>21</v>
      </c>
      <c r="J408" t="s">
        <v>22</v>
      </c>
      <c r="K408" s="12">
        <f>IF(OR(E408=0, H408=0), 0, E408/H408)</f>
        <v>110.98139534883721</v>
      </c>
      <c r="L408">
        <v>1359525600</v>
      </c>
      <c r="M408" s="10">
        <f>(((L408/60)/60)/24)+DATE(1970,1,1)</f>
        <v>41304.25</v>
      </c>
      <c r="N408">
        <v>1360562400</v>
      </c>
      <c r="O408" s="10">
        <f>(((N408/60)/60)/24)+DATE(1970,1,1)</f>
        <v>41316.25</v>
      </c>
      <c r="P408" t="b">
        <v>1</v>
      </c>
      <c r="Q408" t="b">
        <v>0</v>
      </c>
      <c r="R408" t="s">
        <v>42</v>
      </c>
      <c r="S408" t="s">
        <v>2040</v>
      </c>
      <c r="T408" t="s">
        <v>2041</v>
      </c>
    </row>
    <row r="409" spans="1:20" ht="15.75" customHeight="1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>Table1[[#This Row],[pledged]]/Table1[[#This Row],[goal]]</f>
        <v>3.5588235294117645</v>
      </c>
      <c r="G409" t="s">
        <v>20</v>
      </c>
      <c r="H409">
        <v>484</v>
      </c>
      <c r="I409" t="s">
        <v>36</v>
      </c>
      <c r="J409" t="s">
        <v>37</v>
      </c>
      <c r="K409" s="12">
        <f>IF(OR(E409=0, H409=0), 0, E409/H409)</f>
        <v>25</v>
      </c>
      <c r="L409">
        <v>1570942800</v>
      </c>
      <c r="M409" s="10">
        <f>(((L409/60)/60)/24)+DATE(1970,1,1)</f>
        <v>43751.208333333328</v>
      </c>
      <c r="N409">
        <v>1571547600</v>
      </c>
      <c r="O409" s="10">
        <f>(((N409/60)/60)/24)+DATE(1970,1,1)</f>
        <v>43758.208333333328</v>
      </c>
      <c r="P409" t="b">
        <v>0</v>
      </c>
      <c r="Q409" t="b">
        <v>0</v>
      </c>
      <c r="R409" t="s">
        <v>33</v>
      </c>
      <c r="S409" t="s">
        <v>2038</v>
      </c>
      <c r="T409" t="s">
        <v>2039</v>
      </c>
    </row>
    <row r="410" spans="1:20" ht="15.75" customHeight="1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>Table1[[#This Row],[pledged]]/Table1[[#This Row],[goal]]</f>
        <v>1.3183695652173912</v>
      </c>
      <c r="G410" t="s">
        <v>20</v>
      </c>
      <c r="H410">
        <v>154</v>
      </c>
      <c r="I410" t="s">
        <v>15</v>
      </c>
      <c r="J410" t="s">
        <v>16</v>
      </c>
      <c r="K410" s="12">
        <f>IF(OR(E410=0, H410=0), 0, E410/H410)</f>
        <v>78.759740259740255</v>
      </c>
      <c r="L410">
        <v>1466398800</v>
      </c>
      <c r="M410" s="10">
        <f>(((L410/60)/60)/24)+DATE(1970,1,1)</f>
        <v>42541.208333333328</v>
      </c>
      <c r="N410">
        <v>1468126800</v>
      </c>
      <c r="O410" s="10">
        <f>(((N410/60)/60)/24)+DATE(1970,1,1)</f>
        <v>42561.208333333328</v>
      </c>
      <c r="P410" t="b">
        <v>0</v>
      </c>
      <c r="Q410" t="b">
        <v>0</v>
      </c>
      <c r="R410" t="s">
        <v>42</v>
      </c>
      <c r="S410" t="s">
        <v>2040</v>
      </c>
      <c r="T410" t="s">
        <v>2041</v>
      </c>
    </row>
    <row r="411" spans="1:20" ht="15.75" customHeight="1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>Table1[[#This Row],[pledged]]/Table1[[#This Row],[goal]]</f>
        <v>0.46315634218289087</v>
      </c>
      <c r="G411" t="s">
        <v>14</v>
      </c>
      <c r="H411">
        <v>714</v>
      </c>
      <c r="I411" t="s">
        <v>21</v>
      </c>
      <c r="J411" t="s">
        <v>22</v>
      </c>
      <c r="K411" s="12">
        <f>IF(OR(E411=0, H411=0), 0, E411/H411)</f>
        <v>87.960784313725483</v>
      </c>
      <c r="L411">
        <v>1492491600</v>
      </c>
      <c r="M411" s="10">
        <f>(((L411/60)/60)/24)+DATE(1970,1,1)</f>
        <v>42843.208333333328</v>
      </c>
      <c r="N411">
        <v>1492837200</v>
      </c>
      <c r="O411" s="10">
        <f>(((N411/60)/60)/24)+DATE(1970,1,1)</f>
        <v>42847.208333333328</v>
      </c>
      <c r="P411" t="b">
        <v>0</v>
      </c>
      <c r="Q411" t="b">
        <v>0</v>
      </c>
      <c r="R411" t="s">
        <v>23</v>
      </c>
      <c r="S411" t="s">
        <v>2034</v>
      </c>
      <c r="T411" t="s">
        <v>2035</v>
      </c>
    </row>
    <row r="412" spans="1:20" ht="15.75" customHeight="1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>Table1[[#This Row],[pledged]]/Table1[[#This Row],[goal]]</f>
        <v>0.36132726089785294</v>
      </c>
      <c r="G412" t="s">
        <v>47</v>
      </c>
      <c r="H412">
        <v>1111</v>
      </c>
      <c r="I412" t="s">
        <v>21</v>
      </c>
      <c r="J412" t="s">
        <v>22</v>
      </c>
      <c r="K412" s="12">
        <f>IF(OR(E412=0, H412=0), 0, E412/H412)</f>
        <v>49.987398739873989</v>
      </c>
      <c r="L412">
        <v>1430197200</v>
      </c>
      <c r="M412" s="10">
        <f>(((L412/60)/60)/24)+DATE(1970,1,1)</f>
        <v>42122.208333333328</v>
      </c>
      <c r="N412">
        <v>1430197200</v>
      </c>
      <c r="O412" s="10">
        <f>(((N412/60)/60)/24)+DATE(1970,1,1)</f>
        <v>42122.208333333328</v>
      </c>
      <c r="P412" t="b">
        <v>0</v>
      </c>
      <c r="Q412" t="b">
        <v>0</v>
      </c>
      <c r="R412" t="s">
        <v>292</v>
      </c>
      <c r="S412" t="s">
        <v>2049</v>
      </c>
      <c r="T412" t="s">
        <v>2060</v>
      </c>
    </row>
    <row r="413" spans="1:20" ht="15.75" customHeight="1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>Table1[[#This Row],[pledged]]/Table1[[#This Row],[goal]]</f>
        <v>1.0462820512820512</v>
      </c>
      <c r="G413" t="s">
        <v>20</v>
      </c>
      <c r="H413">
        <v>82</v>
      </c>
      <c r="I413" t="s">
        <v>21</v>
      </c>
      <c r="J413" t="s">
        <v>22</v>
      </c>
      <c r="K413" s="12">
        <f>IF(OR(E413=0, H413=0), 0, E413/H413)</f>
        <v>99.524390243902445</v>
      </c>
      <c r="L413">
        <v>1496034000</v>
      </c>
      <c r="M413" s="10">
        <f>(((L413/60)/60)/24)+DATE(1970,1,1)</f>
        <v>42884.208333333328</v>
      </c>
      <c r="N413">
        <v>1496206800</v>
      </c>
      <c r="O413" s="10">
        <f>(((N413/60)/60)/24)+DATE(1970,1,1)</f>
        <v>42886.208333333328</v>
      </c>
      <c r="P413" t="b">
        <v>0</v>
      </c>
      <c r="Q413" t="b">
        <v>0</v>
      </c>
      <c r="R413" t="s">
        <v>33</v>
      </c>
      <c r="S413" t="s">
        <v>2038</v>
      </c>
      <c r="T413" t="s">
        <v>2039</v>
      </c>
    </row>
    <row r="414" spans="1:20" ht="15.75" customHeight="1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>Table1[[#This Row],[pledged]]/Table1[[#This Row],[goal]]</f>
        <v>6.6885714285714286</v>
      </c>
      <c r="G414" t="s">
        <v>20</v>
      </c>
      <c r="H414">
        <v>134</v>
      </c>
      <c r="I414" t="s">
        <v>21</v>
      </c>
      <c r="J414" t="s">
        <v>22</v>
      </c>
      <c r="K414" s="12">
        <f>IF(OR(E414=0, H414=0), 0, E414/H414)</f>
        <v>104.82089552238806</v>
      </c>
      <c r="L414">
        <v>1388728800</v>
      </c>
      <c r="M414" s="10">
        <f>(((L414/60)/60)/24)+DATE(1970,1,1)</f>
        <v>41642.25</v>
      </c>
      <c r="N414">
        <v>1389592800</v>
      </c>
      <c r="O414" s="10">
        <f>(((N414/60)/60)/24)+DATE(1970,1,1)</f>
        <v>41652.25</v>
      </c>
      <c r="P414" t="b">
        <v>0</v>
      </c>
      <c r="Q414" t="b">
        <v>0</v>
      </c>
      <c r="R414" t="s">
        <v>119</v>
      </c>
      <c r="S414" t="s">
        <v>2046</v>
      </c>
      <c r="T414" t="s">
        <v>2052</v>
      </c>
    </row>
    <row r="415" spans="1:20" ht="15.75" customHeight="1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>Table1[[#This Row],[pledged]]/Table1[[#This Row],[goal]]</f>
        <v>0.62072823218997364</v>
      </c>
      <c r="G415" t="s">
        <v>47</v>
      </c>
      <c r="H415">
        <v>1089</v>
      </c>
      <c r="I415" t="s">
        <v>21</v>
      </c>
      <c r="J415" t="s">
        <v>22</v>
      </c>
      <c r="K415" s="12">
        <f>IF(OR(E415=0, H415=0), 0, E415/H415)</f>
        <v>108.01469237832875</v>
      </c>
      <c r="L415">
        <v>1543298400</v>
      </c>
      <c r="M415" s="10">
        <f>(((L415/60)/60)/24)+DATE(1970,1,1)</f>
        <v>43431.25</v>
      </c>
      <c r="N415">
        <v>1545631200</v>
      </c>
      <c r="O415" s="10">
        <f>(((N415/60)/60)/24)+DATE(1970,1,1)</f>
        <v>43458.25</v>
      </c>
      <c r="P415" t="b">
        <v>0</v>
      </c>
      <c r="Q415" t="b">
        <v>0</v>
      </c>
      <c r="R415" t="s">
        <v>71</v>
      </c>
      <c r="S415" t="s">
        <v>2040</v>
      </c>
      <c r="T415" t="s">
        <v>2048</v>
      </c>
    </row>
    <row r="416" spans="1:20" ht="15.75" customHeight="1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>Table1[[#This Row],[pledged]]/Table1[[#This Row],[goal]]</f>
        <v>0.84699787460148779</v>
      </c>
      <c r="G416" t="s">
        <v>14</v>
      </c>
      <c r="H416">
        <v>5497</v>
      </c>
      <c r="I416" t="s">
        <v>21</v>
      </c>
      <c r="J416" t="s">
        <v>22</v>
      </c>
      <c r="K416" s="12">
        <f>IF(OR(E416=0, H416=0), 0, E416/H416)</f>
        <v>28.998544660724033</v>
      </c>
      <c r="L416">
        <v>1271739600</v>
      </c>
      <c r="M416" s="10">
        <f>(((L416/60)/60)/24)+DATE(1970,1,1)</f>
        <v>40288.208333333336</v>
      </c>
      <c r="N416">
        <v>1272430800</v>
      </c>
      <c r="O416" s="10">
        <f>(((N416/60)/60)/24)+DATE(1970,1,1)</f>
        <v>40296.208333333336</v>
      </c>
      <c r="P416" t="b">
        <v>0</v>
      </c>
      <c r="Q416" t="b">
        <v>1</v>
      </c>
      <c r="R416" t="s">
        <v>17</v>
      </c>
      <c r="S416" t="s">
        <v>2032</v>
      </c>
      <c r="T416" t="s">
        <v>2033</v>
      </c>
    </row>
    <row r="417" spans="1:20" ht="15.75" customHeight="1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>Table1[[#This Row],[pledged]]/Table1[[#This Row],[goal]]</f>
        <v>0.11059030837004405</v>
      </c>
      <c r="G417" t="s">
        <v>14</v>
      </c>
      <c r="H417">
        <v>418</v>
      </c>
      <c r="I417" t="s">
        <v>21</v>
      </c>
      <c r="J417" t="s">
        <v>22</v>
      </c>
      <c r="K417" s="12">
        <f>IF(OR(E417=0, H417=0), 0, E417/H417)</f>
        <v>30.028708133971293</v>
      </c>
      <c r="L417">
        <v>1326434400</v>
      </c>
      <c r="M417" s="10">
        <f>(((L417/60)/60)/24)+DATE(1970,1,1)</f>
        <v>40921.25</v>
      </c>
      <c r="N417">
        <v>1327903200</v>
      </c>
      <c r="O417" s="10">
        <f>(((N417/60)/60)/24)+DATE(1970,1,1)</f>
        <v>40938.25</v>
      </c>
      <c r="P417" t="b">
        <v>0</v>
      </c>
      <c r="Q417" t="b">
        <v>0</v>
      </c>
      <c r="R417" t="s">
        <v>33</v>
      </c>
      <c r="S417" t="s">
        <v>2038</v>
      </c>
      <c r="T417" t="s">
        <v>2039</v>
      </c>
    </row>
    <row r="418" spans="1:20" ht="15.75" customHeight="1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>Table1[[#This Row],[pledged]]/Table1[[#This Row],[goal]]</f>
        <v>0.43838781575037145</v>
      </c>
      <c r="G418" t="s">
        <v>14</v>
      </c>
      <c r="H418">
        <v>1439</v>
      </c>
      <c r="I418" t="s">
        <v>21</v>
      </c>
      <c r="J418" t="s">
        <v>22</v>
      </c>
      <c r="K418" s="12">
        <f>IF(OR(E418=0, H418=0), 0, E418/H418)</f>
        <v>41.005559416261292</v>
      </c>
      <c r="L418">
        <v>1295244000</v>
      </c>
      <c r="M418" s="10">
        <f>(((L418/60)/60)/24)+DATE(1970,1,1)</f>
        <v>40560.25</v>
      </c>
      <c r="N418">
        <v>1296021600</v>
      </c>
      <c r="O418" s="10">
        <f>(((N418/60)/60)/24)+DATE(1970,1,1)</f>
        <v>40569.25</v>
      </c>
      <c r="P418" t="b">
        <v>0</v>
      </c>
      <c r="Q418" t="b">
        <v>1</v>
      </c>
      <c r="R418" t="s">
        <v>42</v>
      </c>
      <c r="S418" t="s">
        <v>2040</v>
      </c>
      <c r="T418" t="s">
        <v>2041</v>
      </c>
    </row>
    <row r="419" spans="1:20" ht="15.75" customHeight="1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>Table1[[#This Row],[pledged]]/Table1[[#This Row],[goal]]</f>
        <v>0.55470588235294116</v>
      </c>
      <c r="G419" t="s">
        <v>14</v>
      </c>
      <c r="H419">
        <v>15</v>
      </c>
      <c r="I419" t="s">
        <v>21</v>
      </c>
      <c r="J419" t="s">
        <v>22</v>
      </c>
      <c r="K419" s="12">
        <f>IF(OR(E419=0, H419=0), 0, E419/H419)</f>
        <v>62.866666666666667</v>
      </c>
      <c r="L419">
        <v>1541221200</v>
      </c>
      <c r="M419" s="10">
        <f>(((L419/60)/60)/24)+DATE(1970,1,1)</f>
        <v>43407.208333333328</v>
      </c>
      <c r="N419">
        <v>1543298400</v>
      </c>
      <c r="O419" s="10">
        <f>(((N419/60)/60)/24)+DATE(1970,1,1)</f>
        <v>43431.25</v>
      </c>
      <c r="P419" t="b">
        <v>0</v>
      </c>
      <c r="Q419" t="b">
        <v>0</v>
      </c>
      <c r="R419" t="s">
        <v>33</v>
      </c>
      <c r="S419" t="s">
        <v>2038</v>
      </c>
      <c r="T419" t="s">
        <v>2039</v>
      </c>
    </row>
    <row r="420" spans="1:20" ht="15.75" customHeight="1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>Table1[[#This Row],[pledged]]/Table1[[#This Row],[goal]]</f>
        <v>0.57399511301160655</v>
      </c>
      <c r="G420" t="s">
        <v>14</v>
      </c>
      <c r="H420">
        <v>1999</v>
      </c>
      <c r="I420" t="s">
        <v>15</v>
      </c>
      <c r="J420" t="s">
        <v>16</v>
      </c>
      <c r="K420" s="12">
        <f>IF(OR(E420=0, H420=0), 0, E420/H420)</f>
        <v>47.005002501250623</v>
      </c>
      <c r="L420">
        <v>1336280400</v>
      </c>
      <c r="M420" s="10">
        <f>(((L420/60)/60)/24)+DATE(1970,1,1)</f>
        <v>41035.208333333336</v>
      </c>
      <c r="N420">
        <v>1336366800</v>
      </c>
      <c r="O420" s="10">
        <f>(((N420/60)/60)/24)+DATE(1970,1,1)</f>
        <v>41036.208333333336</v>
      </c>
      <c r="P420" t="b">
        <v>0</v>
      </c>
      <c r="Q420" t="b">
        <v>0</v>
      </c>
      <c r="R420" t="s">
        <v>42</v>
      </c>
      <c r="S420" t="s">
        <v>2040</v>
      </c>
      <c r="T420" t="s">
        <v>2041</v>
      </c>
    </row>
    <row r="421" spans="1:20" ht="15.75" customHeight="1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>Table1[[#This Row],[pledged]]/Table1[[#This Row],[goal]]</f>
        <v>1.2343497363796134</v>
      </c>
      <c r="G421" t="s">
        <v>20</v>
      </c>
      <c r="H421">
        <v>5203</v>
      </c>
      <c r="I421" t="s">
        <v>21</v>
      </c>
      <c r="J421" t="s">
        <v>22</v>
      </c>
      <c r="K421" s="12">
        <f>IF(OR(E421=0, H421=0), 0, E421/H421)</f>
        <v>26.997693638285604</v>
      </c>
      <c r="L421">
        <v>1324533600</v>
      </c>
      <c r="M421" s="10">
        <f>(((L421/60)/60)/24)+DATE(1970,1,1)</f>
        <v>40899.25</v>
      </c>
      <c r="N421">
        <v>1325052000</v>
      </c>
      <c r="O421" s="10">
        <f>(((N421/60)/60)/24)+DATE(1970,1,1)</f>
        <v>40905.25</v>
      </c>
      <c r="P421" t="b">
        <v>0</v>
      </c>
      <c r="Q421" t="b">
        <v>0</v>
      </c>
      <c r="R421" t="s">
        <v>28</v>
      </c>
      <c r="S421" t="s">
        <v>2036</v>
      </c>
      <c r="T421" t="s">
        <v>2037</v>
      </c>
    </row>
    <row r="422" spans="1:20" ht="15.75" customHeight="1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>Table1[[#This Row],[pledged]]/Table1[[#This Row],[goal]]</f>
        <v>1.2846</v>
      </c>
      <c r="G422" t="s">
        <v>20</v>
      </c>
      <c r="H422">
        <v>94</v>
      </c>
      <c r="I422" t="s">
        <v>21</v>
      </c>
      <c r="J422" t="s">
        <v>22</v>
      </c>
      <c r="K422" s="12">
        <f>IF(OR(E422=0, H422=0), 0, E422/H422)</f>
        <v>68.329787234042556</v>
      </c>
      <c r="L422">
        <v>1498366800</v>
      </c>
      <c r="M422" s="10">
        <f>(((L422/60)/60)/24)+DATE(1970,1,1)</f>
        <v>42911.208333333328</v>
      </c>
      <c r="N422">
        <v>1499576400</v>
      </c>
      <c r="O422" s="10">
        <f>(((N422/60)/60)/24)+DATE(1970,1,1)</f>
        <v>42925.208333333328</v>
      </c>
      <c r="P422" t="b">
        <v>0</v>
      </c>
      <c r="Q422" t="b">
        <v>0</v>
      </c>
      <c r="R422" t="s">
        <v>33</v>
      </c>
      <c r="S422" t="s">
        <v>2038</v>
      </c>
      <c r="T422" t="s">
        <v>2039</v>
      </c>
    </row>
    <row r="423" spans="1:20" ht="15.75" customHeight="1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>Table1[[#This Row],[pledged]]/Table1[[#This Row],[goal]]</f>
        <v>0.63989361702127656</v>
      </c>
      <c r="G423" t="s">
        <v>14</v>
      </c>
      <c r="H423">
        <v>118</v>
      </c>
      <c r="I423" t="s">
        <v>21</v>
      </c>
      <c r="J423" t="s">
        <v>22</v>
      </c>
      <c r="K423" s="12">
        <f>IF(OR(E423=0, H423=0), 0, E423/H423)</f>
        <v>50.974576271186443</v>
      </c>
      <c r="L423">
        <v>1498712400</v>
      </c>
      <c r="M423" s="10">
        <f>(((L423/60)/60)/24)+DATE(1970,1,1)</f>
        <v>42915.208333333328</v>
      </c>
      <c r="N423">
        <v>1501304400</v>
      </c>
      <c r="O423" s="10">
        <f>(((N423/60)/60)/24)+DATE(1970,1,1)</f>
        <v>42945.208333333328</v>
      </c>
      <c r="P423" t="b">
        <v>0</v>
      </c>
      <c r="Q423" t="b">
        <v>1</v>
      </c>
      <c r="R423" t="s">
        <v>65</v>
      </c>
      <c r="S423" t="s">
        <v>2036</v>
      </c>
      <c r="T423" t="s">
        <v>2045</v>
      </c>
    </row>
    <row r="424" spans="1:20" ht="15.75" customHeight="1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>Table1[[#This Row],[pledged]]/Table1[[#This Row],[goal]]</f>
        <v>1.2729885057471264</v>
      </c>
      <c r="G424" t="s">
        <v>20</v>
      </c>
      <c r="H424">
        <v>205</v>
      </c>
      <c r="I424" t="s">
        <v>21</v>
      </c>
      <c r="J424" t="s">
        <v>22</v>
      </c>
      <c r="K424" s="12">
        <f>IF(OR(E424=0, H424=0), 0, E424/H424)</f>
        <v>54.024390243902438</v>
      </c>
      <c r="L424">
        <v>1271480400</v>
      </c>
      <c r="M424" s="10">
        <f>(((L424/60)/60)/24)+DATE(1970,1,1)</f>
        <v>40285.208333333336</v>
      </c>
      <c r="N424">
        <v>1273208400</v>
      </c>
      <c r="O424" s="10">
        <f>(((N424/60)/60)/24)+DATE(1970,1,1)</f>
        <v>40305.208333333336</v>
      </c>
      <c r="P424" t="b">
        <v>0</v>
      </c>
      <c r="Q424" t="b">
        <v>1</v>
      </c>
      <c r="R424" t="s">
        <v>33</v>
      </c>
      <c r="S424" t="s">
        <v>2038</v>
      </c>
      <c r="T424" t="s">
        <v>2039</v>
      </c>
    </row>
    <row r="425" spans="1:20" ht="15.75" customHeight="1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>Table1[[#This Row],[pledged]]/Table1[[#This Row],[goal]]</f>
        <v>0.10638024357239513</v>
      </c>
      <c r="G425" t="s">
        <v>14</v>
      </c>
      <c r="H425">
        <v>162</v>
      </c>
      <c r="I425" t="s">
        <v>21</v>
      </c>
      <c r="J425" t="s">
        <v>22</v>
      </c>
      <c r="K425" s="12">
        <f>IF(OR(E425=0, H425=0), 0, E425/H425)</f>
        <v>97.055555555555557</v>
      </c>
      <c r="L425">
        <v>1316667600</v>
      </c>
      <c r="M425" s="10">
        <f>(((L425/60)/60)/24)+DATE(1970,1,1)</f>
        <v>40808.208333333336</v>
      </c>
      <c r="N425">
        <v>1316840400</v>
      </c>
      <c r="O425" s="10">
        <f>(((N425/60)/60)/24)+DATE(1970,1,1)</f>
        <v>40810.208333333336</v>
      </c>
      <c r="P425" t="b">
        <v>0</v>
      </c>
      <c r="Q425" t="b">
        <v>1</v>
      </c>
      <c r="R425" t="s">
        <v>17</v>
      </c>
      <c r="S425" t="s">
        <v>2032</v>
      </c>
      <c r="T425" t="s">
        <v>2033</v>
      </c>
    </row>
    <row r="426" spans="1:20" ht="15.75" customHeight="1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>Table1[[#This Row],[pledged]]/Table1[[#This Row],[goal]]</f>
        <v>0.40470588235294119</v>
      </c>
      <c r="G426" t="s">
        <v>14</v>
      </c>
      <c r="H426">
        <v>83</v>
      </c>
      <c r="I426" t="s">
        <v>21</v>
      </c>
      <c r="J426" t="s">
        <v>22</v>
      </c>
      <c r="K426" s="12">
        <f>IF(OR(E426=0, H426=0), 0, E426/H426)</f>
        <v>24.867469879518072</v>
      </c>
      <c r="L426">
        <v>1524027600</v>
      </c>
      <c r="M426" s="10">
        <f>(((L426/60)/60)/24)+DATE(1970,1,1)</f>
        <v>43208.208333333328</v>
      </c>
      <c r="N426">
        <v>1524546000</v>
      </c>
      <c r="O426" s="10">
        <f>(((N426/60)/60)/24)+DATE(1970,1,1)</f>
        <v>43214.208333333328</v>
      </c>
      <c r="P426" t="b">
        <v>0</v>
      </c>
      <c r="Q426" t="b">
        <v>0</v>
      </c>
      <c r="R426" t="s">
        <v>60</v>
      </c>
      <c r="S426" t="s">
        <v>2034</v>
      </c>
      <c r="T426" t="s">
        <v>2044</v>
      </c>
    </row>
    <row r="427" spans="1:20" ht="15.75" customHeight="1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>Table1[[#This Row],[pledged]]/Table1[[#This Row],[goal]]</f>
        <v>2.8766666666666665</v>
      </c>
      <c r="G427" t="s">
        <v>20</v>
      </c>
      <c r="H427">
        <v>92</v>
      </c>
      <c r="I427" t="s">
        <v>21</v>
      </c>
      <c r="J427" t="s">
        <v>22</v>
      </c>
      <c r="K427" s="12">
        <f>IF(OR(E427=0, H427=0), 0, E427/H427)</f>
        <v>84.423913043478265</v>
      </c>
      <c r="L427">
        <v>1438059600</v>
      </c>
      <c r="M427" s="10">
        <f>(((L427/60)/60)/24)+DATE(1970,1,1)</f>
        <v>42213.208333333328</v>
      </c>
      <c r="N427">
        <v>1438578000</v>
      </c>
      <c r="O427" s="10">
        <f>(((N427/60)/60)/24)+DATE(1970,1,1)</f>
        <v>42219.208333333328</v>
      </c>
      <c r="P427" t="b">
        <v>0</v>
      </c>
      <c r="Q427" t="b">
        <v>0</v>
      </c>
      <c r="R427" t="s">
        <v>122</v>
      </c>
      <c r="S427" t="s">
        <v>2053</v>
      </c>
      <c r="T427" t="s">
        <v>2054</v>
      </c>
    </row>
    <row r="428" spans="1:20" ht="15.75" customHeight="1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>Table1[[#This Row],[pledged]]/Table1[[#This Row],[goal]]</f>
        <v>5.7294444444444448</v>
      </c>
      <c r="G428" t="s">
        <v>20</v>
      </c>
      <c r="H428">
        <v>219</v>
      </c>
      <c r="I428" t="s">
        <v>21</v>
      </c>
      <c r="J428" t="s">
        <v>22</v>
      </c>
      <c r="K428" s="12">
        <f>IF(OR(E428=0, H428=0), 0, E428/H428)</f>
        <v>47.091324200913242</v>
      </c>
      <c r="L428">
        <v>1361944800</v>
      </c>
      <c r="M428" s="10">
        <f>(((L428/60)/60)/24)+DATE(1970,1,1)</f>
        <v>41332.25</v>
      </c>
      <c r="N428">
        <v>1362549600</v>
      </c>
      <c r="O428" s="10">
        <f>(((N428/60)/60)/24)+DATE(1970,1,1)</f>
        <v>41339.25</v>
      </c>
      <c r="P428" t="b">
        <v>0</v>
      </c>
      <c r="Q428" t="b">
        <v>0</v>
      </c>
      <c r="R428" t="s">
        <v>33</v>
      </c>
      <c r="S428" t="s">
        <v>2038</v>
      </c>
      <c r="T428" t="s">
        <v>2039</v>
      </c>
    </row>
    <row r="429" spans="1:20" ht="15.75" customHeight="1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>Table1[[#This Row],[pledged]]/Table1[[#This Row],[goal]]</f>
        <v>1.1290429799426933</v>
      </c>
      <c r="G429" t="s">
        <v>20</v>
      </c>
      <c r="H429">
        <v>2526</v>
      </c>
      <c r="I429" t="s">
        <v>21</v>
      </c>
      <c r="J429" t="s">
        <v>22</v>
      </c>
      <c r="K429" s="12">
        <f>IF(OR(E429=0, H429=0), 0, E429/H429)</f>
        <v>77.996041171813147</v>
      </c>
      <c r="L429">
        <v>1410584400</v>
      </c>
      <c r="M429" s="10">
        <f>(((L429/60)/60)/24)+DATE(1970,1,1)</f>
        <v>41895.208333333336</v>
      </c>
      <c r="N429">
        <v>1413349200</v>
      </c>
      <c r="O429" s="10">
        <f>(((N429/60)/60)/24)+DATE(1970,1,1)</f>
        <v>41927.208333333336</v>
      </c>
      <c r="P429" t="b">
        <v>0</v>
      </c>
      <c r="Q429" t="b">
        <v>1</v>
      </c>
      <c r="R429" t="s">
        <v>33</v>
      </c>
      <c r="S429" t="s">
        <v>2038</v>
      </c>
      <c r="T429" t="s">
        <v>2039</v>
      </c>
    </row>
    <row r="430" spans="1:20" ht="15.75" customHeight="1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>Table1[[#This Row],[pledged]]/Table1[[#This Row],[goal]]</f>
        <v>0.46387573964497042</v>
      </c>
      <c r="G430" t="s">
        <v>14</v>
      </c>
      <c r="H430">
        <v>747</v>
      </c>
      <c r="I430" t="s">
        <v>21</v>
      </c>
      <c r="J430" t="s">
        <v>22</v>
      </c>
      <c r="K430" s="12">
        <f>IF(OR(E430=0, H430=0), 0, E430/H430)</f>
        <v>62.967871485943775</v>
      </c>
      <c r="L430">
        <v>1297404000</v>
      </c>
      <c r="M430" s="10">
        <f>(((L430/60)/60)/24)+DATE(1970,1,1)</f>
        <v>40585.25</v>
      </c>
      <c r="N430">
        <v>1298008800</v>
      </c>
      <c r="O430" s="10">
        <f>(((N430/60)/60)/24)+DATE(1970,1,1)</f>
        <v>40592.25</v>
      </c>
      <c r="P430" t="b">
        <v>0</v>
      </c>
      <c r="Q430" t="b">
        <v>0</v>
      </c>
      <c r="R430" t="s">
        <v>71</v>
      </c>
      <c r="S430" t="s">
        <v>2040</v>
      </c>
      <c r="T430" t="s">
        <v>2048</v>
      </c>
    </row>
    <row r="431" spans="1:20" ht="15.75" customHeight="1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>Table1[[#This Row],[pledged]]/Table1[[#This Row],[goal]]</f>
        <v>0.90675916230366493</v>
      </c>
      <c r="G431" t="s">
        <v>74</v>
      </c>
      <c r="H431">
        <v>2138</v>
      </c>
      <c r="I431" t="s">
        <v>21</v>
      </c>
      <c r="J431" t="s">
        <v>22</v>
      </c>
      <c r="K431" s="12">
        <f>IF(OR(E431=0, H431=0), 0, E431/H431)</f>
        <v>81.006080449017773</v>
      </c>
      <c r="L431">
        <v>1392012000</v>
      </c>
      <c r="M431" s="10">
        <f>(((L431/60)/60)/24)+DATE(1970,1,1)</f>
        <v>41680.25</v>
      </c>
      <c r="N431">
        <v>1394427600</v>
      </c>
      <c r="O431" s="10">
        <f>(((N431/60)/60)/24)+DATE(1970,1,1)</f>
        <v>41708.208333333336</v>
      </c>
      <c r="P431" t="b">
        <v>0</v>
      </c>
      <c r="Q431" t="b">
        <v>1</v>
      </c>
      <c r="R431" t="s">
        <v>122</v>
      </c>
      <c r="S431" t="s">
        <v>2053</v>
      </c>
      <c r="T431" t="s">
        <v>2054</v>
      </c>
    </row>
    <row r="432" spans="1:20" ht="15.75" customHeight="1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>Table1[[#This Row],[pledged]]/Table1[[#This Row],[goal]]</f>
        <v>0.67740740740740746</v>
      </c>
      <c r="G432" t="s">
        <v>14</v>
      </c>
      <c r="H432">
        <v>84</v>
      </c>
      <c r="I432" t="s">
        <v>21</v>
      </c>
      <c r="J432" t="s">
        <v>22</v>
      </c>
      <c r="K432" s="12">
        <f>IF(OR(E432=0, H432=0), 0, E432/H432)</f>
        <v>65.321428571428569</v>
      </c>
      <c r="L432">
        <v>1569733200</v>
      </c>
      <c r="M432" s="10">
        <f>(((L432/60)/60)/24)+DATE(1970,1,1)</f>
        <v>43737.208333333328</v>
      </c>
      <c r="N432">
        <v>1572670800</v>
      </c>
      <c r="O432" s="10">
        <f>(((N432/60)/60)/24)+DATE(1970,1,1)</f>
        <v>43771.208333333328</v>
      </c>
      <c r="P432" t="b">
        <v>0</v>
      </c>
      <c r="Q432" t="b">
        <v>0</v>
      </c>
      <c r="R432" t="s">
        <v>33</v>
      </c>
      <c r="S432" t="s">
        <v>2038</v>
      </c>
      <c r="T432" t="s">
        <v>2039</v>
      </c>
    </row>
    <row r="433" spans="1:20" ht="15.75" customHeight="1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>Table1[[#This Row],[pledged]]/Table1[[#This Row],[goal]]</f>
        <v>1.9249019607843136</v>
      </c>
      <c r="G433" t="s">
        <v>20</v>
      </c>
      <c r="H433">
        <v>94</v>
      </c>
      <c r="I433" t="s">
        <v>21</v>
      </c>
      <c r="J433" t="s">
        <v>22</v>
      </c>
      <c r="K433" s="12">
        <f>IF(OR(E433=0, H433=0), 0, E433/H433)</f>
        <v>104.43617021276596</v>
      </c>
      <c r="L433">
        <v>1529643600</v>
      </c>
      <c r="M433" s="10">
        <f>(((L433/60)/60)/24)+DATE(1970,1,1)</f>
        <v>43273.208333333328</v>
      </c>
      <c r="N433">
        <v>1531112400</v>
      </c>
      <c r="O433" s="10">
        <f>(((N433/60)/60)/24)+DATE(1970,1,1)</f>
        <v>43290.208333333328</v>
      </c>
      <c r="P433" t="b">
        <v>1</v>
      </c>
      <c r="Q433" t="b">
        <v>0</v>
      </c>
      <c r="R433" t="s">
        <v>33</v>
      </c>
      <c r="S433" t="s">
        <v>2038</v>
      </c>
      <c r="T433" t="s">
        <v>2039</v>
      </c>
    </row>
    <row r="434" spans="1:20" ht="15.75" customHeight="1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>Table1[[#This Row],[pledged]]/Table1[[#This Row],[goal]]</f>
        <v>0.82714285714285718</v>
      </c>
      <c r="G434" t="s">
        <v>14</v>
      </c>
      <c r="H434">
        <v>91</v>
      </c>
      <c r="I434" t="s">
        <v>21</v>
      </c>
      <c r="J434" t="s">
        <v>22</v>
      </c>
      <c r="K434" s="12">
        <f>IF(OR(E434=0, H434=0), 0, E434/H434)</f>
        <v>69.989010989010993</v>
      </c>
      <c r="L434">
        <v>1399006800</v>
      </c>
      <c r="M434" s="10">
        <f>(((L434/60)/60)/24)+DATE(1970,1,1)</f>
        <v>41761.208333333336</v>
      </c>
      <c r="N434">
        <v>1400734800</v>
      </c>
      <c r="O434" s="10">
        <f>(((N434/60)/60)/24)+DATE(1970,1,1)</f>
        <v>41781.208333333336</v>
      </c>
      <c r="P434" t="b">
        <v>0</v>
      </c>
      <c r="Q434" t="b">
        <v>0</v>
      </c>
      <c r="R434" t="s">
        <v>33</v>
      </c>
      <c r="S434" t="s">
        <v>2038</v>
      </c>
      <c r="T434" t="s">
        <v>2039</v>
      </c>
    </row>
    <row r="435" spans="1:20" ht="15.75" customHeight="1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>Table1[[#This Row],[pledged]]/Table1[[#This Row],[goal]]</f>
        <v>0.54163920922570019</v>
      </c>
      <c r="G435" t="s">
        <v>14</v>
      </c>
      <c r="H435">
        <v>792</v>
      </c>
      <c r="I435" t="s">
        <v>21</v>
      </c>
      <c r="J435" t="s">
        <v>22</v>
      </c>
      <c r="K435" s="12">
        <f>IF(OR(E435=0, H435=0), 0, E435/H435)</f>
        <v>83.023989898989896</v>
      </c>
      <c r="L435">
        <v>1385359200</v>
      </c>
      <c r="M435" s="10">
        <f>(((L435/60)/60)/24)+DATE(1970,1,1)</f>
        <v>41603.25</v>
      </c>
      <c r="N435">
        <v>1386741600</v>
      </c>
      <c r="O435" s="10">
        <f>(((N435/60)/60)/24)+DATE(1970,1,1)</f>
        <v>41619.25</v>
      </c>
      <c r="P435" t="b">
        <v>0</v>
      </c>
      <c r="Q435" t="b">
        <v>1</v>
      </c>
      <c r="R435" t="s">
        <v>42</v>
      </c>
      <c r="S435" t="s">
        <v>2040</v>
      </c>
      <c r="T435" t="s">
        <v>2041</v>
      </c>
    </row>
    <row r="436" spans="1:20" ht="15.75" customHeight="1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>Table1[[#This Row],[pledged]]/Table1[[#This Row],[goal]]</f>
        <v>0.16722222222222222</v>
      </c>
      <c r="G436" t="s">
        <v>74</v>
      </c>
      <c r="H436">
        <v>10</v>
      </c>
      <c r="I436" t="s">
        <v>15</v>
      </c>
      <c r="J436" t="s">
        <v>16</v>
      </c>
      <c r="K436" s="12">
        <f>IF(OR(E436=0, H436=0), 0, E436/H436)</f>
        <v>90.3</v>
      </c>
      <c r="L436">
        <v>1480572000</v>
      </c>
      <c r="M436" s="10">
        <f>(((L436/60)/60)/24)+DATE(1970,1,1)</f>
        <v>42705.25</v>
      </c>
      <c r="N436">
        <v>1481781600</v>
      </c>
      <c r="O436" s="10">
        <f>(((N436/60)/60)/24)+DATE(1970,1,1)</f>
        <v>42719.25</v>
      </c>
      <c r="P436" t="b">
        <v>1</v>
      </c>
      <c r="Q436" t="b">
        <v>0</v>
      </c>
      <c r="R436" t="s">
        <v>33</v>
      </c>
      <c r="S436" t="s">
        <v>2038</v>
      </c>
      <c r="T436" t="s">
        <v>2039</v>
      </c>
    </row>
    <row r="437" spans="1:20" ht="15.75" customHeight="1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>Table1[[#This Row],[pledged]]/Table1[[#This Row],[goal]]</f>
        <v>1.168766404199475</v>
      </c>
      <c r="G437" t="s">
        <v>20</v>
      </c>
      <c r="H437">
        <v>1713</v>
      </c>
      <c r="I437" t="s">
        <v>107</v>
      </c>
      <c r="J437" t="s">
        <v>108</v>
      </c>
      <c r="K437" s="12">
        <f>IF(OR(E437=0, H437=0), 0, E437/H437)</f>
        <v>103.98131932282546</v>
      </c>
      <c r="L437">
        <v>1418623200</v>
      </c>
      <c r="M437" s="10">
        <f>(((L437/60)/60)/24)+DATE(1970,1,1)</f>
        <v>41988.25</v>
      </c>
      <c r="N437">
        <v>1419660000</v>
      </c>
      <c r="O437" s="10">
        <f>(((N437/60)/60)/24)+DATE(1970,1,1)</f>
        <v>42000.25</v>
      </c>
      <c r="P437" t="b">
        <v>0</v>
      </c>
      <c r="Q437" t="b">
        <v>1</v>
      </c>
      <c r="R437" t="s">
        <v>33</v>
      </c>
      <c r="S437" t="s">
        <v>2038</v>
      </c>
      <c r="T437" t="s">
        <v>2039</v>
      </c>
    </row>
    <row r="438" spans="1:20" ht="15.75" customHeight="1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>Table1[[#This Row],[pledged]]/Table1[[#This Row],[goal]]</f>
        <v>10.521538461538462</v>
      </c>
      <c r="G438" t="s">
        <v>20</v>
      </c>
      <c r="H438">
        <v>249</v>
      </c>
      <c r="I438" t="s">
        <v>21</v>
      </c>
      <c r="J438" t="s">
        <v>22</v>
      </c>
      <c r="K438" s="12">
        <f>IF(OR(E438=0, H438=0), 0, E438/H438)</f>
        <v>54.931726907630519</v>
      </c>
      <c r="L438">
        <v>1555736400</v>
      </c>
      <c r="M438" s="10">
        <f>(((L438/60)/60)/24)+DATE(1970,1,1)</f>
        <v>43575.208333333328</v>
      </c>
      <c r="N438">
        <v>1555822800</v>
      </c>
      <c r="O438" s="10">
        <f>(((N438/60)/60)/24)+DATE(1970,1,1)</f>
        <v>43576.208333333328</v>
      </c>
      <c r="P438" t="b">
        <v>0</v>
      </c>
      <c r="Q438" t="b">
        <v>0</v>
      </c>
      <c r="R438" t="s">
        <v>159</v>
      </c>
      <c r="S438" t="s">
        <v>2034</v>
      </c>
      <c r="T438" t="s">
        <v>2057</v>
      </c>
    </row>
    <row r="439" spans="1:20" ht="15.75" customHeight="1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>Table1[[#This Row],[pledged]]/Table1[[#This Row],[goal]]</f>
        <v>1.2307407407407407</v>
      </c>
      <c r="G439" t="s">
        <v>20</v>
      </c>
      <c r="H439">
        <v>192</v>
      </c>
      <c r="I439" t="s">
        <v>21</v>
      </c>
      <c r="J439" t="s">
        <v>22</v>
      </c>
      <c r="K439" s="12">
        <f>IF(OR(E439=0, H439=0), 0, E439/H439)</f>
        <v>51.921875</v>
      </c>
      <c r="L439">
        <v>1442120400</v>
      </c>
      <c r="M439" s="10">
        <f>(((L439/60)/60)/24)+DATE(1970,1,1)</f>
        <v>42260.208333333328</v>
      </c>
      <c r="N439">
        <v>1442379600</v>
      </c>
      <c r="O439" s="10">
        <f>(((N439/60)/60)/24)+DATE(1970,1,1)</f>
        <v>42263.208333333328</v>
      </c>
      <c r="P439" t="b">
        <v>0</v>
      </c>
      <c r="Q439" t="b">
        <v>1</v>
      </c>
      <c r="R439" t="s">
        <v>71</v>
      </c>
      <c r="S439" t="s">
        <v>2040</v>
      </c>
      <c r="T439" t="s">
        <v>2048</v>
      </c>
    </row>
    <row r="440" spans="1:20" ht="15.75" customHeight="1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>Table1[[#This Row],[pledged]]/Table1[[#This Row],[goal]]</f>
        <v>1.7863855421686747</v>
      </c>
      <c r="G440" t="s">
        <v>20</v>
      </c>
      <c r="H440">
        <v>247</v>
      </c>
      <c r="I440" t="s">
        <v>21</v>
      </c>
      <c r="J440" t="s">
        <v>22</v>
      </c>
      <c r="K440" s="12">
        <f>IF(OR(E440=0, H440=0), 0, E440/H440)</f>
        <v>60.02834008097166</v>
      </c>
      <c r="L440">
        <v>1362376800</v>
      </c>
      <c r="M440" s="10">
        <f>(((L440/60)/60)/24)+DATE(1970,1,1)</f>
        <v>41337.25</v>
      </c>
      <c r="N440">
        <v>1364965200</v>
      </c>
      <c r="O440" s="10">
        <f>(((N440/60)/60)/24)+DATE(1970,1,1)</f>
        <v>41367.208333333336</v>
      </c>
      <c r="P440" t="b">
        <v>0</v>
      </c>
      <c r="Q440" t="b">
        <v>0</v>
      </c>
      <c r="R440" t="s">
        <v>33</v>
      </c>
      <c r="S440" t="s">
        <v>2038</v>
      </c>
      <c r="T440" t="s">
        <v>2039</v>
      </c>
    </row>
    <row r="441" spans="1:20" ht="15.75" customHeight="1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>Table1[[#This Row],[pledged]]/Table1[[#This Row],[goal]]</f>
        <v>3.5528169014084505</v>
      </c>
      <c r="G441" t="s">
        <v>20</v>
      </c>
      <c r="H441">
        <v>2293</v>
      </c>
      <c r="I441" t="s">
        <v>21</v>
      </c>
      <c r="J441" t="s">
        <v>22</v>
      </c>
      <c r="K441" s="12">
        <f>IF(OR(E441=0, H441=0), 0, E441/H441)</f>
        <v>44.003488879197555</v>
      </c>
      <c r="L441">
        <v>1478408400</v>
      </c>
      <c r="M441" s="10">
        <f>(((L441/60)/60)/24)+DATE(1970,1,1)</f>
        <v>42680.208333333328</v>
      </c>
      <c r="N441">
        <v>1479016800</v>
      </c>
      <c r="O441" s="10">
        <f>(((N441/60)/60)/24)+DATE(1970,1,1)</f>
        <v>42687.25</v>
      </c>
      <c r="P441" t="b">
        <v>0</v>
      </c>
      <c r="Q441" t="b">
        <v>0</v>
      </c>
      <c r="R441" t="s">
        <v>474</v>
      </c>
      <c r="S441" t="s">
        <v>2040</v>
      </c>
      <c r="T441" t="s">
        <v>2062</v>
      </c>
    </row>
    <row r="442" spans="1:20" ht="15.75" customHeight="1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>Table1[[#This Row],[pledged]]/Table1[[#This Row],[goal]]</f>
        <v>1.6190634146341463</v>
      </c>
      <c r="G442" t="s">
        <v>20</v>
      </c>
      <c r="H442">
        <v>3131</v>
      </c>
      <c r="I442" t="s">
        <v>21</v>
      </c>
      <c r="J442" t="s">
        <v>22</v>
      </c>
      <c r="K442" s="12">
        <f>IF(OR(E442=0, H442=0), 0, E442/H442)</f>
        <v>53.003513254551258</v>
      </c>
      <c r="L442">
        <v>1498798800</v>
      </c>
      <c r="M442" s="10">
        <f>(((L442/60)/60)/24)+DATE(1970,1,1)</f>
        <v>42916.208333333328</v>
      </c>
      <c r="N442">
        <v>1499662800</v>
      </c>
      <c r="O442" s="10">
        <f>(((N442/60)/60)/24)+DATE(1970,1,1)</f>
        <v>42926.208333333328</v>
      </c>
      <c r="P442" t="b">
        <v>0</v>
      </c>
      <c r="Q442" t="b">
        <v>0</v>
      </c>
      <c r="R442" t="s">
        <v>269</v>
      </c>
      <c r="S442" t="s">
        <v>2040</v>
      </c>
      <c r="T442" t="s">
        <v>2059</v>
      </c>
    </row>
    <row r="443" spans="1:20" ht="15.75" customHeight="1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>Table1[[#This Row],[pledged]]/Table1[[#This Row],[goal]]</f>
        <v>0.24914285714285714</v>
      </c>
      <c r="G443" t="s">
        <v>14</v>
      </c>
      <c r="H443">
        <v>32</v>
      </c>
      <c r="I443" t="s">
        <v>21</v>
      </c>
      <c r="J443" t="s">
        <v>22</v>
      </c>
      <c r="K443" s="12">
        <f>IF(OR(E443=0, H443=0), 0, E443/H443)</f>
        <v>54.5</v>
      </c>
      <c r="L443">
        <v>1335416400</v>
      </c>
      <c r="M443" s="10">
        <f>(((L443/60)/60)/24)+DATE(1970,1,1)</f>
        <v>41025.208333333336</v>
      </c>
      <c r="N443">
        <v>1337835600</v>
      </c>
      <c r="O443" s="10">
        <f>(((N443/60)/60)/24)+DATE(1970,1,1)</f>
        <v>41053.208333333336</v>
      </c>
      <c r="P443" t="b">
        <v>0</v>
      </c>
      <c r="Q443" t="b">
        <v>0</v>
      </c>
      <c r="R443" t="s">
        <v>65</v>
      </c>
      <c r="S443" t="s">
        <v>2036</v>
      </c>
      <c r="T443" t="s">
        <v>2045</v>
      </c>
    </row>
    <row r="444" spans="1:20" ht="15.75" customHeight="1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>Table1[[#This Row],[pledged]]/Table1[[#This Row],[goal]]</f>
        <v>1.9872222222222222</v>
      </c>
      <c r="G444" t="s">
        <v>20</v>
      </c>
      <c r="H444">
        <v>143</v>
      </c>
      <c r="I444" t="s">
        <v>107</v>
      </c>
      <c r="J444" t="s">
        <v>108</v>
      </c>
      <c r="K444" s="12">
        <f>IF(OR(E444=0, H444=0), 0, E444/H444)</f>
        <v>75.04195804195804</v>
      </c>
      <c r="L444">
        <v>1504328400</v>
      </c>
      <c r="M444" s="10">
        <f>(((L444/60)/60)/24)+DATE(1970,1,1)</f>
        <v>42980.208333333328</v>
      </c>
      <c r="N444">
        <v>1505710800</v>
      </c>
      <c r="O444" s="10">
        <f>(((N444/60)/60)/24)+DATE(1970,1,1)</f>
        <v>42996.208333333328</v>
      </c>
      <c r="P444" t="b">
        <v>0</v>
      </c>
      <c r="Q444" t="b">
        <v>0</v>
      </c>
      <c r="R444" t="s">
        <v>33</v>
      </c>
      <c r="S444" t="s">
        <v>2038</v>
      </c>
      <c r="T444" t="s">
        <v>2039</v>
      </c>
    </row>
    <row r="445" spans="1:20" ht="15.75" customHeight="1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>Table1[[#This Row],[pledged]]/Table1[[#This Row],[goal]]</f>
        <v>0.34752688172043011</v>
      </c>
      <c r="G445" t="s">
        <v>74</v>
      </c>
      <c r="H445">
        <v>90</v>
      </c>
      <c r="I445" t="s">
        <v>21</v>
      </c>
      <c r="J445" t="s">
        <v>22</v>
      </c>
      <c r="K445" s="12">
        <f>IF(OR(E445=0, H445=0), 0, E445/H445)</f>
        <v>35.911111111111111</v>
      </c>
      <c r="L445">
        <v>1285822800</v>
      </c>
      <c r="M445" s="10">
        <f>(((L445/60)/60)/24)+DATE(1970,1,1)</f>
        <v>40451.208333333336</v>
      </c>
      <c r="N445">
        <v>1287464400</v>
      </c>
      <c r="O445" s="10">
        <f>(((N445/60)/60)/24)+DATE(1970,1,1)</f>
        <v>40470.208333333336</v>
      </c>
      <c r="P445" t="b">
        <v>0</v>
      </c>
      <c r="Q445" t="b">
        <v>0</v>
      </c>
      <c r="R445" t="s">
        <v>33</v>
      </c>
      <c r="S445" t="s">
        <v>2038</v>
      </c>
      <c r="T445" t="s">
        <v>2039</v>
      </c>
    </row>
    <row r="446" spans="1:20" ht="15.75" customHeight="1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>Table1[[#This Row],[pledged]]/Table1[[#This Row],[goal]]</f>
        <v>1.7641935483870967</v>
      </c>
      <c r="G446" t="s">
        <v>20</v>
      </c>
      <c r="H446">
        <v>296</v>
      </c>
      <c r="I446" t="s">
        <v>21</v>
      </c>
      <c r="J446" t="s">
        <v>22</v>
      </c>
      <c r="K446" s="12">
        <f>IF(OR(E446=0, H446=0), 0, E446/H446)</f>
        <v>36.952702702702702</v>
      </c>
      <c r="L446">
        <v>1311483600</v>
      </c>
      <c r="M446" s="10">
        <f>(((L446/60)/60)/24)+DATE(1970,1,1)</f>
        <v>40748.208333333336</v>
      </c>
      <c r="N446">
        <v>1311656400</v>
      </c>
      <c r="O446" s="10">
        <f>(((N446/60)/60)/24)+DATE(1970,1,1)</f>
        <v>40750.208333333336</v>
      </c>
      <c r="P446" t="b">
        <v>0</v>
      </c>
      <c r="Q446" t="b">
        <v>1</v>
      </c>
      <c r="R446" t="s">
        <v>60</v>
      </c>
      <c r="S446" t="s">
        <v>2034</v>
      </c>
      <c r="T446" t="s">
        <v>2044</v>
      </c>
    </row>
    <row r="447" spans="1:20" ht="15.75" customHeight="1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>Table1[[#This Row],[pledged]]/Table1[[#This Row],[goal]]</f>
        <v>5.1138095238095236</v>
      </c>
      <c r="G447" t="s">
        <v>20</v>
      </c>
      <c r="H447">
        <v>170</v>
      </c>
      <c r="I447" t="s">
        <v>21</v>
      </c>
      <c r="J447" t="s">
        <v>22</v>
      </c>
      <c r="K447" s="12">
        <f>IF(OR(E447=0, H447=0), 0, E447/H447)</f>
        <v>63.170588235294119</v>
      </c>
      <c r="L447">
        <v>1291356000</v>
      </c>
      <c r="M447" s="10">
        <f>(((L447/60)/60)/24)+DATE(1970,1,1)</f>
        <v>40515.25</v>
      </c>
      <c r="N447">
        <v>1293170400</v>
      </c>
      <c r="O447" s="10">
        <f>(((N447/60)/60)/24)+DATE(1970,1,1)</f>
        <v>40536.25</v>
      </c>
      <c r="P447" t="b">
        <v>0</v>
      </c>
      <c r="Q447" t="b">
        <v>1</v>
      </c>
      <c r="R447" t="s">
        <v>33</v>
      </c>
      <c r="S447" t="s">
        <v>2038</v>
      </c>
      <c r="T447" t="s">
        <v>2039</v>
      </c>
    </row>
    <row r="448" spans="1:20" ht="15.75" customHeight="1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>Table1[[#This Row],[pledged]]/Table1[[#This Row],[goal]]</f>
        <v>0.82044117647058823</v>
      </c>
      <c r="G448" t="s">
        <v>14</v>
      </c>
      <c r="H448">
        <v>186</v>
      </c>
      <c r="I448" t="s">
        <v>21</v>
      </c>
      <c r="J448" t="s">
        <v>22</v>
      </c>
      <c r="K448" s="12">
        <f>IF(OR(E448=0, H448=0), 0, E448/H448)</f>
        <v>29.99462365591398</v>
      </c>
      <c r="L448">
        <v>1355810400</v>
      </c>
      <c r="M448" s="10">
        <f>(((L448/60)/60)/24)+DATE(1970,1,1)</f>
        <v>41261.25</v>
      </c>
      <c r="N448">
        <v>1355983200</v>
      </c>
      <c r="O448" s="10">
        <f>(((N448/60)/60)/24)+DATE(1970,1,1)</f>
        <v>41263.25</v>
      </c>
      <c r="P448" t="b">
        <v>0</v>
      </c>
      <c r="Q448" t="b">
        <v>0</v>
      </c>
      <c r="R448" t="s">
        <v>65</v>
      </c>
      <c r="S448" t="s">
        <v>2036</v>
      </c>
      <c r="T448" t="s">
        <v>2045</v>
      </c>
    </row>
    <row r="449" spans="1:20" ht="15.75" customHeight="1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>Table1[[#This Row],[pledged]]/Table1[[#This Row],[goal]]</f>
        <v>0.24326030927835052</v>
      </c>
      <c r="G449" t="s">
        <v>74</v>
      </c>
      <c r="H449">
        <v>439</v>
      </c>
      <c r="I449" t="s">
        <v>40</v>
      </c>
      <c r="J449" t="s">
        <v>41</v>
      </c>
      <c r="K449" s="12">
        <f>IF(OR(E449=0, H449=0), 0, E449/H449)</f>
        <v>86</v>
      </c>
      <c r="L449">
        <v>1513663200</v>
      </c>
      <c r="M449" s="10">
        <f>(((L449/60)/60)/24)+DATE(1970,1,1)</f>
        <v>43088.25</v>
      </c>
      <c r="N449">
        <v>1515045600</v>
      </c>
      <c r="O449" s="10">
        <f>(((N449/60)/60)/24)+DATE(1970,1,1)</f>
        <v>43104.25</v>
      </c>
      <c r="P449" t="b">
        <v>0</v>
      </c>
      <c r="Q449" t="b">
        <v>0</v>
      </c>
      <c r="R449" t="s">
        <v>269</v>
      </c>
      <c r="S449" t="s">
        <v>2040</v>
      </c>
      <c r="T449" t="s">
        <v>2059</v>
      </c>
    </row>
    <row r="450" spans="1:20" ht="15.75" customHeight="1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>Table1[[#This Row],[pledged]]/Table1[[#This Row],[goal]]</f>
        <v>0.50482758620689661</v>
      </c>
      <c r="G450" t="s">
        <v>14</v>
      </c>
      <c r="H450">
        <v>605</v>
      </c>
      <c r="I450" t="s">
        <v>21</v>
      </c>
      <c r="J450" t="s">
        <v>22</v>
      </c>
      <c r="K450" s="12">
        <f>IF(OR(E450=0, H450=0), 0, E450/H450)</f>
        <v>75.014876033057845</v>
      </c>
      <c r="L450">
        <v>1365915600</v>
      </c>
      <c r="M450" s="10">
        <f>(((L450/60)/60)/24)+DATE(1970,1,1)</f>
        <v>41378.208333333336</v>
      </c>
      <c r="N450">
        <v>1366088400</v>
      </c>
      <c r="O450" s="10">
        <f>(((N450/60)/60)/24)+DATE(1970,1,1)</f>
        <v>41380.208333333336</v>
      </c>
      <c r="P450" t="b">
        <v>0</v>
      </c>
      <c r="Q450" t="b">
        <v>1</v>
      </c>
      <c r="R450" t="s">
        <v>89</v>
      </c>
      <c r="S450" t="s">
        <v>2049</v>
      </c>
      <c r="T450" t="s">
        <v>2050</v>
      </c>
    </row>
    <row r="451" spans="1:20" ht="15.75" customHeight="1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>Table1[[#This Row],[pledged]]/Table1[[#This Row],[goal]]</f>
        <v>9.67</v>
      </c>
      <c r="G451" t="s">
        <v>20</v>
      </c>
      <c r="H451">
        <v>86</v>
      </c>
      <c r="I451" t="s">
        <v>36</v>
      </c>
      <c r="J451" t="s">
        <v>37</v>
      </c>
      <c r="K451" s="12">
        <f>IF(OR(E451=0, H451=0), 0, E451/H451)</f>
        <v>101.19767441860465</v>
      </c>
      <c r="L451">
        <v>1551852000</v>
      </c>
      <c r="M451" s="10">
        <f>(((L451/60)/60)/24)+DATE(1970,1,1)</f>
        <v>43530.25</v>
      </c>
      <c r="N451">
        <v>1553317200</v>
      </c>
      <c r="O451" s="10">
        <f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2049</v>
      </c>
      <c r="T451" t="s">
        <v>2050</v>
      </c>
    </row>
    <row r="452" spans="1:20" ht="15.75" customHeight="1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>Table1[[#This Row],[pledged]]/Table1[[#This Row],[goal]]</f>
        <v>0.04</v>
      </c>
      <c r="G452" t="s">
        <v>14</v>
      </c>
      <c r="H452">
        <v>1</v>
      </c>
      <c r="I452" t="s">
        <v>15</v>
      </c>
      <c r="J452" t="s">
        <v>16</v>
      </c>
      <c r="K452" s="12">
        <f>IF(OR(E452=0, H452=0), 0, E452/H452)</f>
        <v>4</v>
      </c>
      <c r="L452">
        <v>1540098000</v>
      </c>
      <c r="M452" s="10">
        <f>(((L452/60)/60)/24)+DATE(1970,1,1)</f>
        <v>43394.208333333328</v>
      </c>
      <c r="N452">
        <v>1542088800</v>
      </c>
      <c r="O452" s="10">
        <f>(((N452/60)/60)/24)+DATE(1970,1,1)</f>
        <v>43417.25</v>
      </c>
      <c r="P452" t="b">
        <v>0</v>
      </c>
      <c r="Q452" t="b">
        <v>0</v>
      </c>
      <c r="R452" t="s">
        <v>71</v>
      </c>
      <c r="S452" t="s">
        <v>2040</v>
      </c>
      <c r="T452" t="s">
        <v>2048</v>
      </c>
    </row>
    <row r="453" spans="1:20" ht="15.75" customHeight="1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>Table1[[#This Row],[pledged]]/Table1[[#This Row],[goal]]</f>
        <v>1.2284501347708894</v>
      </c>
      <c r="G453" t="s">
        <v>20</v>
      </c>
      <c r="H453">
        <v>6286</v>
      </c>
      <c r="I453" t="s">
        <v>21</v>
      </c>
      <c r="J453" t="s">
        <v>22</v>
      </c>
      <c r="K453" s="12">
        <f>IF(OR(E453=0, H453=0), 0, E453/H453)</f>
        <v>29.001272669424118</v>
      </c>
      <c r="L453">
        <v>1500440400</v>
      </c>
      <c r="M453" s="10">
        <f>(((L453/60)/60)/24)+DATE(1970,1,1)</f>
        <v>42935.208333333328</v>
      </c>
      <c r="N453">
        <v>1503118800</v>
      </c>
      <c r="O453" s="10">
        <f>(((N453/60)/60)/24)+DATE(1970,1,1)</f>
        <v>42966.208333333328</v>
      </c>
      <c r="P453" t="b">
        <v>0</v>
      </c>
      <c r="Q453" t="b">
        <v>0</v>
      </c>
      <c r="R453" t="s">
        <v>23</v>
      </c>
      <c r="S453" t="s">
        <v>2034</v>
      </c>
      <c r="T453" t="s">
        <v>2035</v>
      </c>
    </row>
    <row r="454" spans="1:20" ht="15.75" customHeight="1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>Table1[[#This Row],[pledged]]/Table1[[#This Row],[goal]]</f>
        <v>0.63437500000000002</v>
      </c>
      <c r="G454" t="s">
        <v>14</v>
      </c>
      <c r="H454">
        <v>31</v>
      </c>
      <c r="I454" t="s">
        <v>21</v>
      </c>
      <c r="J454" t="s">
        <v>22</v>
      </c>
      <c r="K454" s="12">
        <f>IF(OR(E454=0, H454=0), 0, E454/H454)</f>
        <v>98.225806451612897</v>
      </c>
      <c r="L454">
        <v>1278392400</v>
      </c>
      <c r="M454" s="10">
        <f>(((L454/60)/60)/24)+DATE(1970,1,1)</f>
        <v>40365.208333333336</v>
      </c>
      <c r="N454">
        <v>1278478800</v>
      </c>
      <c r="O454" s="10">
        <f>(((N454/60)/60)/24)+DATE(1970,1,1)</f>
        <v>40366.208333333336</v>
      </c>
      <c r="P454" t="b">
        <v>0</v>
      </c>
      <c r="Q454" t="b">
        <v>0</v>
      </c>
      <c r="R454" t="s">
        <v>53</v>
      </c>
      <c r="S454" t="s">
        <v>2040</v>
      </c>
      <c r="T454" t="s">
        <v>2043</v>
      </c>
    </row>
    <row r="455" spans="1:20" ht="15.75" customHeight="1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>Table1[[#This Row],[pledged]]/Table1[[#This Row],[goal]]</f>
        <v>0.56331688596491225</v>
      </c>
      <c r="G455" t="s">
        <v>14</v>
      </c>
      <c r="H455">
        <v>1181</v>
      </c>
      <c r="I455" t="s">
        <v>21</v>
      </c>
      <c r="J455" t="s">
        <v>22</v>
      </c>
      <c r="K455" s="12">
        <f>IF(OR(E455=0, H455=0), 0, E455/H455)</f>
        <v>87.001693480101608</v>
      </c>
      <c r="L455">
        <v>1480572000</v>
      </c>
      <c r="M455" s="10">
        <f>(((L455/60)/60)/24)+DATE(1970,1,1)</f>
        <v>42705.25</v>
      </c>
      <c r="N455">
        <v>1484114400</v>
      </c>
      <c r="O455" s="10">
        <f>(((N455/60)/60)/24)+DATE(1970,1,1)</f>
        <v>42746.25</v>
      </c>
      <c r="P455" t="b">
        <v>0</v>
      </c>
      <c r="Q455" t="b">
        <v>0</v>
      </c>
      <c r="R455" t="s">
        <v>474</v>
      </c>
      <c r="S455" t="s">
        <v>2040</v>
      </c>
      <c r="T455" t="s">
        <v>2062</v>
      </c>
    </row>
    <row r="456" spans="1:20" ht="15.75" customHeight="1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>Table1[[#This Row],[pledged]]/Table1[[#This Row],[goal]]</f>
        <v>0.44074999999999998</v>
      </c>
      <c r="G456" t="s">
        <v>14</v>
      </c>
      <c r="H456">
        <v>39</v>
      </c>
      <c r="I456" t="s">
        <v>21</v>
      </c>
      <c r="J456" t="s">
        <v>22</v>
      </c>
      <c r="K456" s="12">
        <f>IF(OR(E456=0, H456=0), 0, E456/H456)</f>
        <v>45.205128205128204</v>
      </c>
      <c r="L456">
        <v>1382331600</v>
      </c>
      <c r="M456" s="10">
        <f>(((L456/60)/60)/24)+DATE(1970,1,1)</f>
        <v>41568.208333333336</v>
      </c>
      <c r="N456">
        <v>1385445600</v>
      </c>
      <c r="O456" s="10">
        <f>(((N456/60)/60)/24)+DATE(1970,1,1)</f>
        <v>41604.25</v>
      </c>
      <c r="P456" t="b">
        <v>0</v>
      </c>
      <c r="Q456" t="b">
        <v>1</v>
      </c>
      <c r="R456" t="s">
        <v>53</v>
      </c>
      <c r="S456" t="s">
        <v>2040</v>
      </c>
      <c r="T456" t="s">
        <v>2043</v>
      </c>
    </row>
    <row r="457" spans="1:20" ht="15.75" customHeight="1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>Table1[[#This Row],[pledged]]/Table1[[#This Row],[goal]]</f>
        <v>1.1837253218884121</v>
      </c>
      <c r="G457" t="s">
        <v>20</v>
      </c>
      <c r="H457">
        <v>3727</v>
      </c>
      <c r="I457" t="s">
        <v>21</v>
      </c>
      <c r="J457" t="s">
        <v>22</v>
      </c>
      <c r="K457" s="12">
        <f>IF(OR(E457=0, H457=0), 0, E457/H457)</f>
        <v>37.001341561577675</v>
      </c>
      <c r="L457">
        <v>1316754000</v>
      </c>
      <c r="M457" s="10">
        <f>(((L457/60)/60)/24)+DATE(1970,1,1)</f>
        <v>40809.208333333336</v>
      </c>
      <c r="N457">
        <v>1318741200</v>
      </c>
      <c r="O457" s="10">
        <f>(((N457/60)/60)/24)+DATE(1970,1,1)</f>
        <v>40832.208333333336</v>
      </c>
      <c r="P457" t="b">
        <v>0</v>
      </c>
      <c r="Q457" t="b">
        <v>0</v>
      </c>
      <c r="R457" t="s">
        <v>33</v>
      </c>
      <c r="S457" t="s">
        <v>2038</v>
      </c>
      <c r="T457" t="s">
        <v>2039</v>
      </c>
    </row>
    <row r="458" spans="1:20" ht="15.75" customHeight="1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>Table1[[#This Row],[pledged]]/Table1[[#This Row],[goal]]</f>
        <v>1.041243169398907</v>
      </c>
      <c r="G458" t="s">
        <v>20</v>
      </c>
      <c r="H458">
        <v>1605</v>
      </c>
      <c r="I458" t="s">
        <v>21</v>
      </c>
      <c r="J458" t="s">
        <v>22</v>
      </c>
      <c r="K458" s="12">
        <f>IF(OR(E458=0, H458=0), 0, E458/H458)</f>
        <v>94.976947040498445</v>
      </c>
      <c r="L458">
        <v>1518242400</v>
      </c>
      <c r="M458" s="10">
        <f>(((L458/60)/60)/24)+DATE(1970,1,1)</f>
        <v>43141.25</v>
      </c>
      <c r="N458">
        <v>1518242400</v>
      </c>
      <c r="O458" s="10">
        <f>(((N458/60)/60)/24)+DATE(1970,1,1)</f>
        <v>43141.25</v>
      </c>
      <c r="P458" t="b">
        <v>0</v>
      </c>
      <c r="Q458" t="b">
        <v>1</v>
      </c>
      <c r="R458" t="s">
        <v>60</v>
      </c>
      <c r="S458" t="s">
        <v>2034</v>
      </c>
      <c r="T458" t="s">
        <v>2044</v>
      </c>
    </row>
    <row r="459" spans="1:20" ht="15.75" customHeight="1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>Table1[[#This Row],[pledged]]/Table1[[#This Row],[goal]]</f>
        <v>0.26640000000000003</v>
      </c>
      <c r="G459" t="s">
        <v>14</v>
      </c>
      <c r="H459">
        <v>46</v>
      </c>
      <c r="I459" t="s">
        <v>21</v>
      </c>
      <c r="J459" t="s">
        <v>22</v>
      </c>
      <c r="K459" s="12">
        <f>IF(OR(E459=0, H459=0), 0, E459/H459)</f>
        <v>28.956521739130434</v>
      </c>
      <c r="L459">
        <v>1476421200</v>
      </c>
      <c r="M459" s="10">
        <f>(((L459/60)/60)/24)+DATE(1970,1,1)</f>
        <v>42657.208333333328</v>
      </c>
      <c r="N459">
        <v>1476594000</v>
      </c>
      <c r="O459" s="10">
        <f>(((N459/60)/60)/24)+DATE(1970,1,1)</f>
        <v>42659.208333333328</v>
      </c>
      <c r="P459" t="b">
        <v>0</v>
      </c>
      <c r="Q459" t="b">
        <v>0</v>
      </c>
      <c r="R459" t="s">
        <v>33</v>
      </c>
      <c r="S459" t="s">
        <v>2038</v>
      </c>
      <c r="T459" t="s">
        <v>2039</v>
      </c>
    </row>
    <row r="460" spans="1:20" ht="15.75" customHeight="1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>Table1[[#This Row],[pledged]]/Table1[[#This Row],[goal]]</f>
        <v>3.5120118343195266</v>
      </c>
      <c r="G460" t="s">
        <v>20</v>
      </c>
      <c r="H460">
        <v>2120</v>
      </c>
      <c r="I460" t="s">
        <v>21</v>
      </c>
      <c r="J460" t="s">
        <v>22</v>
      </c>
      <c r="K460" s="12">
        <f>IF(OR(E460=0, H460=0), 0, E460/H460)</f>
        <v>55.993396226415094</v>
      </c>
      <c r="L460">
        <v>1269752400</v>
      </c>
      <c r="M460" s="10">
        <f>(((L460/60)/60)/24)+DATE(1970,1,1)</f>
        <v>40265.208333333336</v>
      </c>
      <c r="N460">
        <v>1273554000</v>
      </c>
      <c r="O460" s="10">
        <f>(((N460/60)/60)/24)+DATE(1970,1,1)</f>
        <v>40309.208333333336</v>
      </c>
      <c r="P460" t="b">
        <v>0</v>
      </c>
      <c r="Q460" t="b">
        <v>0</v>
      </c>
      <c r="R460" t="s">
        <v>33</v>
      </c>
      <c r="S460" t="s">
        <v>2038</v>
      </c>
      <c r="T460" t="s">
        <v>2039</v>
      </c>
    </row>
    <row r="461" spans="1:20" ht="15.75" customHeight="1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>Table1[[#This Row],[pledged]]/Table1[[#This Row],[goal]]</f>
        <v>0.90063492063492068</v>
      </c>
      <c r="G461" t="s">
        <v>14</v>
      </c>
      <c r="H461">
        <v>105</v>
      </c>
      <c r="I461" t="s">
        <v>21</v>
      </c>
      <c r="J461" t="s">
        <v>22</v>
      </c>
      <c r="K461" s="12">
        <f>IF(OR(E461=0, H461=0), 0, E461/H461)</f>
        <v>54.038095238095238</v>
      </c>
      <c r="L461">
        <v>1419746400</v>
      </c>
      <c r="M461" s="10">
        <f>(((L461/60)/60)/24)+DATE(1970,1,1)</f>
        <v>42001.25</v>
      </c>
      <c r="N461">
        <v>1421906400</v>
      </c>
      <c r="O461" s="10">
        <f>(((N461/60)/60)/24)+DATE(1970,1,1)</f>
        <v>42026.25</v>
      </c>
      <c r="P461" t="b">
        <v>0</v>
      </c>
      <c r="Q461" t="b">
        <v>0</v>
      </c>
      <c r="R461" t="s">
        <v>42</v>
      </c>
      <c r="S461" t="s">
        <v>2040</v>
      </c>
      <c r="T461" t="s">
        <v>2041</v>
      </c>
    </row>
    <row r="462" spans="1:20" ht="15.75" customHeight="1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>Table1[[#This Row],[pledged]]/Table1[[#This Row],[goal]]</f>
        <v>1.7162500000000001</v>
      </c>
      <c r="G462" t="s">
        <v>20</v>
      </c>
      <c r="H462">
        <v>50</v>
      </c>
      <c r="I462" t="s">
        <v>21</v>
      </c>
      <c r="J462" t="s">
        <v>22</v>
      </c>
      <c r="K462" s="12">
        <f>IF(OR(E462=0, H462=0), 0, E462/H462)</f>
        <v>82.38</v>
      </c>
      <c r="L462">
        <v>1281330000</v>
      </c>
      <c r="M462" s="10">
        <f>(((L462/60)/60)/24)+DATE(1970,1,1)</f>
        <v>40399.208333333336</v>
      </c>
      <c r="N462">
        <v>1281589200</v>
      </c>
      <c r="O462" s="10">
        <f>(((N462/60)/60)/24)+DATE(1970,1,1)</f>
        <v>40402.208333333336</v>
      </c>
      <c r="P462" t="b">
        <v>0</v>
      </c>
      <c r="Q462" t="b">
        <v>0</v>
      </c>
      <c r="R462" t="s">
        <v>33</v>
      </c>
      <c r="S462" t="s">
        <v>2038</v>
      </c>
      <c r="T462" t="s">
        <v>2039</v>
      </c>
    </row>
    <row r="463" spans="1:20" ht="15.75" customHeight="1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>Table1[[#This Row],[pledged]]/Table1[[#This Row],[goal]]</f>
        <v>1.4104655870445344</v>
      </c>
      <c r="G463" t="s">
        <v>20</v>
      </c>
      <c r="H463">
        <v>2080</v>
      </c>
      <c r="I463" t="s">
        <v>21</v>
      </c>
      <c r="J463" t="s">
        <v>22</v>
      </c>
      <c r="K463" s="12">
        <f>IF(OR(E463=0, H463=0), 0, E463/H463)</f>
        <v>66.997115384615384</v>
      </c>
      <c r="L463">
        <v>1398661200</v>
      </c>
      <c r="M463" s="10">
        <f>(((L463/60)/60)/24)+DATE(1970,1,1)</f>
        <v>41757.208333333336</v>
      </c>
      <c r="N463">
        <v>1400389200</v>
      </c>
      <c r="O463" s="10">
        <f>(((N463/60)/60)/24)+DATE(1970,1,1)</f>
        <v>41777.208333333336</v>
      </c>
      <c r="P463" t="b">
        <v>0</v>
      </c>
      <c r="Q463" t="b">
        <v>0</v>
      </c>
      <c r="R463" t="s">
        <v>53</v>
      </c>
      <c r="S463" t="s">
        <v>2040</v>
      </c>
      <c r="T463" t="s">
        <v>2043</v>
      </c>
    </row>
    <row r="464" spans="1:20" ht="15.75" customHeight="1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>Table1[[#This Row],[pledged]]/Table1[[#This Row],[goal]]</f>
        <v>0.30579449152542371</v>
      </c>
      <c r="G464" t="s">
        <v>14</v>
      </c>
      <c r="H464">
        <v>535</v>
      </c>
      <c r="I464" t="s">
        <v>21</v>
      </c>
      <c r="J464" t="s">
        <v>22</v>
      </c>
      <c r="K464" s="12">
        <f>IF(OR(E464=0, H464=0), 0, E464/H464)</f>
        <v>107.91401869158878</v>
      </c>
      <c r="L464">
        <v>1359525600</v>
      </c>
      <c r="M464" s="10">
        <f>(((L464/60)/60)/24)+DATE(1970,1,1)</f>
        <v>41304.25</v>
      </c>
      <c r="N464">
        <v>1362808800</v>
      </c>
      <c r="O464" s="10">
        <f>(((N464/60)/60)/24)+DATE(1970,1,1)</f>
        <v>41342.25</v>
      </c>
      <c r="P464" t="b">
        <v>0</v>
      </c>
      <c r="Q464" t="b">
        <v>0</v>
      </c>
      <c r="R464" t="s">
        <v>292</v>
      </c>
      <c r="S464" t="s">
        <v>2049</v>
      </c>
      <c r="T464" t="s">
        <v>2060</v>
      </c>
    </row>
    <row r="465" spans="1:20" ht="15.75" customHeight="1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>Table1[[#This Row],[pledged]]/Table1[[#This Row],[goal]]</f>
        <v>1.0816455696202532</v>
      </c>
      <c r="G465" t="s">
        <v>20</v>
      </c>
      <c r="H465">
        <v>2105</v>
      </c>
      <c r="I465" t="s">
        <v>21</v>
      </c>
      <c r="J465" t="s">
        <v>22</v>
      </c>
      <c r="K465" s="12">
        <f>IF(OR(E465=0, H465=0), 0, E465/H465)</f>
        <v>69.009501187648453</v>
      </c>
      <c r="L465">
        <v>1388469600</v>
      </c>
      <c r="M465" s="10">
        <f>(((L465/60)/60)/24)+DATE(1970,1,1)</f>
        <v>41639.25</v>
      </c>
      <c r="N465">
        <v>1388815200</v>
      </c>
      <c r="O465" s="10">
        <f>(((N465/60)/60)/24)+DATE(1970,1,1)</f>
        <v>41643.25</v>
      </c>
      <c r="P465" t="b">
        <v>0</v>
      </c>
      <c r="Q465" t="b">
        <v>0</v>
      </c>
      <c r="R465" t="s">
        <v>71</v>
      </c>
      <c r="S465" t="s">
        <v>2040</v>
      </c>
      <c r="T465" t="s">
        <v>2048</v>
      </c>
    </row>
    <row r="466" spans="1:20" ht="15.75" customHeight="1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>Table1[[#This Row],[pledged]]/Table1[[#This Row],[goal]]</f>
        <v>1.3345505617977529</v>
      </c>
      <c r="G466" t="s">
        <v>20</v>
      </c>
      <c r="H466">
        <v>2436</v>
      </c>
      <c r="I466" t="s">
        <v>21</v>
      </c>
      <c r="J466" t="s">
        <v>22</v>
      </c>
      <c r="K466" s="12">
        <f>IF(OR(E466=0, H466=0), 0, E466/H466)</f>
        <v>39.006568144499177</v>
      </c>
      <c r="L466">
        <v>1518328800</v>
      </c>
      <c r="M466" s="10">
        <f>(((L466/60)/60)/24)+DATE(1970,1,1)</f>
        <v>43142.25</v>
      </c>
      <c r="N466">
        <v>1519538400</v>
      </c>
      <c r="O466" s="10">
        <f>(((N466/60)/60)/24)+DATE(1970,1,1)</f>
        <v>43156.25</v>
      </c>
      <c r="P466" t="b">
        <v>0</v>
      </c>
      <c r="Q466" t="b">
        <v>0</v>
      </c>
      <c r="R466" t="s">
        <v>33</v>
      </c>
      <c r="S466" t="s">
        <v>2038</v>
      </c>
      <c r="T466" t="s">
        <v>2039</v>
      </c>
    </row>
    <row r="467" spans="1:20" ht="15.75" customHeight="1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>Table1[[#This Row],[pledged]]/Table1[[#This Row],[goal]]</f>
        <v>1.8785106382978722</v>
      </c>
      <c r="G467" t="s">
        <v>20</v>
      </c>
      <c r="H467">
        <v>80</v>
      </c>
      <c r="I467" t="s">
        <v>21</v>
      </c>
      <c r="J467" t="s">
        <v>22</v>
      </c>
      <c r="K467" s="12">
        <f>IF(OR(E467=0, H467=0), 0, E467/H467)</f>
        <v>110.3625</v>
      </c>
      <c r="L467">
        <v>1517032800</v>
      </c>
      <c r="M467" s="10">
        <f>(((L467/60)/60)/24)+DATE(1970,1,1)</f>
        <v>43127.25</v>
      </c>
      <c r="N467">
        <v>1517810400</v>
      </c>
      <c r="O467" s="10">
        <f>(((N467/60)/60)/24)+DATE(1970,1,1)</f>
        <v>43136.25</v>
      </c>
      <c r="P467" t="b">
        <v>0</v>
      </c>
      <c r="Q467" t="b">
        <v>0</v>
      </c>
      <c r="R467" t="s">
        <v>206</v>
      </c>
      <c r="S467" t="s">
        <v>2046</v>
      </c>
      <c r="T467" t="s">
        <v>2058</v>
      </c>
    </row>
    <row r="468" spans="1:20" ht="15.75" customHeight="1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>Table1[[#This Row],[pledged]]/Table1[[#This Row],[goal]]</f>
        <v>3.32</v>
      </c>
      <c r="G468" t="s">
        <v>20</v>
      </c>
      <c r="H468">
        <v>42</v>
      </c>
      <c r="I468" t="s">
        <v>21</v>
      </c>
      <c r="J468" t="s">
        <v>22</v>
      </c>
      <c r="K468" s="12">
        <f>IF(OR(E468=0, H468=0), 0, E468/H468)</f>
        <v>94.857142857142861</v>
      </c>
      <c r="L468">
        <v>1368594000</v>
      </c>
      <c r="M468" s="10">
        <f>(((L468/60)/60)/24)+DATE(1970,1,1)</f>
        <v>41409.208333333336</v>
      </c>
      <c r="N468">
        <v>1370581200</v>
      </c>
      <c r="O468" s="10">
        <f>(((N468/60)/60)/24)+DATE(1970,1,1)</f>
        <v>41432.208333333336</v>
      </c>
      <c r="P468" t="b">
        <v>0</v>
      </c>
      <c r="Q468" t="b">
        <v>1</v>
      </c>
      <c r="R468" t="s">
        <v>65</v>
      </c>
      <c r="S468" t="s">
        <v>2036</v>
      </c>
      <c r="T468" t="s">
        <v>2045</v>
      </c>
    </row>
    <row r="469" spans="1:20" ht="15.75" customHeight="1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>Table1[[#This Row],[pledged]]/Table1[[#This Row],[goal]]</f>
        <v>5.7521428571428572</v>
      </c>
      <c r="G469" t="s">
        <v>20</v>
      </c>
      <c r="H469">
        <v>139</v>
      </c>
      <c r="I469" t="s">
        <v>15</v>
      </c>
      <c r="J469" t="s">
        <v>16</v>
      </c>
      <c r="K469" s="12">
        <f>IF(OR(E469=0, H469=0), 0, E469/H469)</f>
        <v>57.935251798561154</v>
      </c>
      <c r="L469">
        <v>1448258400</v>
      </c>
      <c r="M469" s="10">
        <f>(((L469/60)/60)/24)+DATE(1970,1,1)</f>
        <v>42331.25</v>
      </c>
      <c r="N469">
        <v>1448863200</v>
      </c>
      <c r="O469" s="10">
        <f>(((N469/60)/60)/24)+DATE(1970,1,1)</f>
        <v>42338.25</v>
      </c>
      <c r="P469" t="b">
        <v>0</v>
      </c>
      <c r="Q469" t="b">
        <v>1</v>
      </c>
      <c r="R469" t="s">
        <v>28</v>
      </c>
      <c r="S469" t="s">
        <v>2036</v>
      </c>
      <c r="T469" t="s">
        <v>2037</v>
      </c>
    </row>
    <row r="470" spans="1:20" ht="15.75" customHeight="1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>Table1[[#This Row],[pledged]]/Table1[[#This Row],[goal]]</f>
        <v>0.40500000000000003</v>
      </c>
      <c r="G470" t="s">
        <v>14</v>
      </c>
      <c r="H470">
        <v>16</v>
      </c>
      <c r="I470" t="s">
        <v>21</v>
      </c>
      <c r="J470" t="s">
        <v>22</v>
      </c>
      <c r="K470" s="12">
        <f>IF(OR(E470=0, H470=0), 0, E470/H470)</f>
        <v>101.25</v>
      </c>
      <c r="L470">
        <v>1555218000</v>
      </c>
      <c r="M470" s="10">
        <f>(((L470/60)/60)/24)+DATE(1970,1,1)</f>
        <v>43569.208333333328</v>
      </c>
      <c r="N470">
        <v>1556600400</v>
      </c>
      <c r="O470" s="10">
        <f>(((N470/60)/60)/24)+DATE(1970,1,1)</f>
        <v>43585.208333333328</v>
      </c>
      <c r="P470" t="b">
        <v>0</v>
      </c>
      <c r="Q470" t="b">
        <v>0</v>
      </c>
      <c r="R470" t="s">
        <v>33</v>
      </c>
      <c r="S470" t="s">
        <v>2038</v>
      </c>
      <c r="T470" t="s">
        <v>2039</v>
      </c>
    </row>
    <row r="471" spans="1:20" ht="15.75" customHeight="1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>Table1[[#This Row],[pledged]]/Table1[[#This Row],[goal]]</f>
        <v>1.8442857142857143</v>
      </c>
      <c r="G471" t="s">
        <v>20</v>
      </c>
      <c r="H471">
        <v>159</v>
      </c>
      <c r="I471" t="s">
        <v>21</v>
      </c>
      <c r="J471" t="s">
        <v>22</v>
      </c>
      <c r="K471" s="12">
        <f>IF(OR(E471=0, H471=0), 0, E471/H471)</f>
        <v>64.95597484276729</v>
      </c>
      <c r="L471">
        <v>1431925200</v>
      </c>
      <c r="M471" s="10">
        <f>(((L471/60)/60)/24)+DATE(1970,1,1)</f>
        <v>42142.208333333328</v>
      </c>
      <c r="N471">
        <v>1432098000</v>
      </c>
      <c r="O471" s="10">
        <f>(((N471/60)/60)/24)+DATE(1970,1,1)</f>
        <v>42144.208333333328</v>
      </c>
      <c r="P471" t="b">
        <v>0</v>
      </c>
      <c r="Q471" t="b">
        <v>0</v>
      </c>
      <c r="R471" t="s">
        <v>53</v>
      </c>
      <c r="S471" t="s">
        <v>2040</v>
      </c>
      <c r="T471" t="s">
        <v>2043</v>
      </c>
    </row>
    <row r="472" spans="1:20" ht="15.75" customHeight="1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>Table1[[#This Row],[pledged]]/Table1[[#This Row],[goal]]</f>
        <v>2.8580555555555556</v>
      </c>
      <c r="G472" t="s">
        <v>20</v>
      </c>
      <c r="H472">
        <v>381</v>
      </c>
      <c r="I472" t="s">
        <v>21</v>
      </c>
      <c r="J472" t="s">
        <v>22</v>
      </c>
      <c r="K472" s="12">
        <f>IF(OR(E472=0, H472=0), 0, E472/H472)</f>
        <v>27.00524934383202</v>
      </c>
      <c r="L472">
        <v>1481522400</v>
      </c>
      <c r="M472" s="10">
        <f>(((L472/60)/60)/24)+DATE(1970,1,1)</f>
        <v>42716.25</v>
      </c>
      <c r="N472">
        <v>1482127200</v>
      </c>
      <c r="O472" s="10">
        <f>(((N472/60)/60)/24)+DATE(1970,1,1)</f>
        <v>42723.25</v>
      </c>
      <c r="P472" t="b">
        <v>0</v>
      </c>
      <c r="Q472" t="b">
        <v>0</v>
      </c>
      <c r="R472" t="s">
        <v>65</v>
      </c>
      <c r="S472" t="s">
        <v>2036</v>
      </c>
      <c r="T472" t="s">
        <v>2045</v>
      </c>
    </row>
    <row r="473" spans="1:20" ht="15.75" customHeight="1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>Table1[[#This Row],[pledged]]/Table1[[#This Row],[goal]]</f>
        <v>3.19</v>
      </c>
      <c r="G473" t="s">
        <v>20</v>
      </c>
      <c r="H473">
        <v>194</v>
      </c>
      <c r="I473" t="s">
        <v>40</v>
      </c>
      <c r="J473" t="s">
        <v>41</v>
      </c>
      <c r="K473" s="12">
        <f>IF(OR(E473=0, H473=0), 0, E473/H473)</f>
        <v>50.97422680412371</v>
      </c>
      <c r="L473">
        <v>1335934800</v>
      </c>
      <c r="M473" s="10">
        <f>(((L473/60)/60)/24)+DATE(1970,1,1)</f>
        <v>41031.208333333336</v>
      </c>
      <c r="N473">
        <v>1335934800</v>
      </c>
      <c r="O473" s="10">
        <f>(((N473/60)/60)/24)+DATE(1970,1,1)</f>
        <v>41031.208333333336</v>
      </c>
      <c r="P473" t="b">
        <v>0</v>
      </c>
      <c r="Q473" t="b">
        <v>1</v>
      </c>
      <c r="R473" t="s">
        <v>17</v>
      </c>
      <c r="S473" t="s">
        <v>2032</v>
      </c>
      <c r="T473" t="s">
        <v>2033</v>
      </c>
    </row>
    <row r="474" spans="1:20" ht="15.75" customHeight="1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>Table1[[#This Row],[pledged]]/Table1[[#This Row],[goal]]</f>
        <v>0.39234070221066319</v>
      </c>
      <c r="G474" t="s">
        <v>14</v>
      </c>
      <c r="H474">
        <v>575</v>
      </c>
      <c r="I474" t="s">
        <v>21</v>
      </c>
      <c r="J474" t="s">
        <v>22</v>
      </c>
      <c r="K474" s="12">
        <f>IF(OR(E474=0, H474=0), 0, E474/H474)</f>
        <v>104.94260869565217</v>
      </c>
      <c r="L474">
        <v>1552280400</v>
      </c>
      <c r="M474" s="10">
        <f>(((L474/60)/60)/24)+DATE(1970,1,1)</f>
        <v>43535.208333333328</v>
      </c>
      <c r="N474">
        <v>1556946000</v>
      </c>
      <c r="O474" s="10">
        <f>(((N474/60)/60)/24)+DATE(1970,1,1)</f>
        <v>43589.208333333328</v>
      </c>
      <c r="P474" t="b">
        <v>0</v>
      </c>
      <c r="Q474" t="b">
        <v>0</v>
      </c>
      <c r="R474" t="s">
        <v>23</v>
      </c>
      <c r="S474" t="s">
        <v>2034</v>
      </c>
      <c r="T474" t="s">
        <v>2035</v>
      </c>
    </row>
    <row r="475" spans="1:20" ht="15.75" customHeight="1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>Table1[[#This Row],[pledged]]/Table1[[#This Row],[goal]]</f>
        <v>1.7814000000000001</v>
      </c>
      <c r="G475" t="s">
        <v>20</v>
      </c>
      <c r="H475">
        <v>106</v>
      </c>
      <c r="I475" t="s">
        <v>21</v>
      </c>
      <c r="J475" t="s">
        <v>22</v>
      </c>
      <c r="K475" s="12">
        <f>IF(OR(E475=0, H475=0), 0, E475/H475)</f>
        <v>84.028301886792448</v>
      </c>
      <c r="L475">
        <v>1529989200</v>
      </c>
      <c r="M475" s="10">
        <f>(((L475/60)/60)/24)+DATE(1970,1,1)</f>
        <v>43277.208333333328</v>
      </c>
      <c r="N475">
        <v>1530075600</v>
      </c>
      <c r="O475" s="10">
        <f>(((N475/60)/60)/24)+DATE(1970,1,1)</f>
        <v>43278.208333333328</v>
      </c>
      <c r="P475" t="b">
        <v>0</v>
      </c>
      <c r="Q475" t="b">
        <v>0</v>
      </c>
      <c r="R475" t="s">
        <v>50</v>
      </c>
      <c r="S475" t="s">
        <v>2034</v>
      </c>
      <c r="T475" t="s">
        <v>2042</v>
      </c>
    </row>
    <row r="476" spans="1:20" ht="15.75" customHeight="1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>Table1[[#This Row],[pledged]]/Table1[[#This Row],[goal]]</f>
        <v>3.6515</v>
      </c>
      <c r="G476" t="s">
        <v>20</v>
      </c>
      <c r="H476">
        <v>142</v>
      </c>
      <c r="I476" t="s">
        <v>21</v>
      </c>
      <c r="J476" t="s">
        <v>22</v>
      </c>
      <c r="K476" s="12">
        <f>IF(OR(E476=0, H476=0), 0, E476/H476)</f>
        <v>102.85915492957747</v>
      </c>
      <c r="L476">
        <v>1418709600</v>
      </c>
      <c r="M476" s="10">
        <f>(((L476/60)/60)/24)+DATE(1970,1,1)</f>
        <v>41989.25</v>
      </c>
      <c r="N476">
        <v>1418796000</v>
      </c>
      <c r="O476" s="10">
        <f>(((N476/60)/60)/24)+DATE(1970,1,1)</f>
        <v>41990.25</v>
      </c>
      <c r="P476" t="b">
        <v>0</v>
      </c>
      <c r="Q476" t="b">
        <v>0</v>
      </c>
      <c r="R476" t="s">
        <v>269</v>
      </c>
      <c r="S476" t="s">
        <v>2040</v>
      </c>
      <c r="T476" t="s">
        <v>2059</v>
      </c>
    </row>
    <row r="477" spans="1:20" ht="15.75" customHeight="1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>Table1[[#This Row],[pledged]]/Table1[[#This Row],[goal]]</f>
        <v>1.1394594594594594</v>
      </c>
      <c r="G477" t="s">
        <v>20</v>
      </c>
      <c r="H477">
        <v>211</v>
      </c>
      <c r="I477" t="s">
        <v>21</v>
      </c>
      <c r="J477" t="s">
        <v>22</v>
      </c>
      <c r="K477" s="12">
        <f>IF(OR(E477=0, H477=0), 0, E477/H477)</f>
        <v>39.962085308056871</v>
      </c>
      <c r="L477">
        <v>1372136400</v>
      </c>
      <c r="M477" s="10">
        <f>(((L477/60)/60)/24)+DATE(1970,1,1)</f>
        <v>41450.208333333336</v>
      </c>
      <c r="N477">
        <v>1372482000</v>
      </c>
      <c r="O477" s="10">
        <f>(((N477/60)/60)/24)+DATE(1970,1,1)</f>
        <v>41454.208333333336</v>
      </c>
      <c r="P477" t="b">
        <v>0</v>
      </c>
      <c r="Q477" t="b">
        <v>1</v>
      </c>
      <c r="R477" t="s">
        <v>206</v>
      </c>
      <c r="S477" t="s">
        <v>2046</v>
      </c>
      <c r="T477" t="s">
        <v>2058</v>
      </c>
    </row>
    <row r="478" spans="1:20" ht="15.75" customHeight="1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>Table1[[#This Row],[pledged]]/Table1[[#This Row],[goal]]</f>
        <v>0.29828720626631855</v>
      </c>
      <c r="G478" t="s">
        <v>14</v>
      </c>
      <c r="H478">
        <v>1120</v>
      </c>
      <c r="I478" t="s">
        <v>21</v>
      </c>
      <c r="J478" t="s">
        <v>22</v>
      </c>
      <c r="K478" s="12">
        <f>IF(OR(E478=0, H478=0), 0, E478/H478)</f>
        <v>51.001785714285717</v>
      </c>
      <c r="L478">
        <v>1533877200</v>
      </c>
      <c r="M478" s="10">
        <f>(((L478/60)/60)/24)+DATE(1970,1,1)</f>
        <v>43322.208333333328</v>
      </c>
      <c r="N478">
        <v>1534395600</v>
      </c>
      <c r="O478" s="10">
        <f>(((N478/60)/60)/24)+DATE(1970,1,1)</f>
        <v>43328.208333333328</v>
      </c>
      <c r="P478" t="b">
        <v>0</v>
      </c>
      <c r="Q478" t="b">
        <v>0</v>
      </c>
      <c r="R478" t="s">
        <v>119</v>
      </c>
      <c r="S478" t="s">
        <v>2046</v>
      </c>
      <c r="T478" t="s">
        <v>2052</v>
      </c>
    </row>
    <row r="479" spans="1:20" ht="15.75" customHeight="1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>Table1[[#This Row],[pledged]]/Table1[[#This Row],[goal]]</f>
        <v>0.54270588235294115</v>
      </c>
      <c r="G479" t="s">
        <v>14</v>
      </c>
      <c r="H479">
        <v>113</v>
      </c>
      <c r="I479" t="s">
        <v>21</v>
      </c>
      <c r="J479" t="s">
        <v>22</v>
      </c>
      <c r="K479" s="12">
        <f>IF(OR(E479=0, H479=0), 0, E479/H479)</f>
        <v>40.823008849557525</v>
      </c>
      <c r="L479">
        <v>1309064400</v>
      </c>
      <c r="M479" s="10">
        <f>(((L479/60)/60)/24)+DATE(1970,1,1)</f>
        <v>40720.208333333336</v>
      </c>
      <c r="N479">
        <v>1311397200</v>
      </c>
      <c r="O479" s="10">
        <f>(((N479/60)/60)/24)+DATE(1970,1,1)</f>
        <v>40747.208333333336</v>
      </c>
      <c r="P479" t="b">
        <v>0</v>
      </c>
      <c r="Q479" t="b">
        <v>0</v>
      </c>
      <c r="R479" t="s">
        <v>474</v>
      </c>
      <c r="S479" t="s">
        <v>2040</v>
      </c>
      <c r="T479" t="s">
        <v>2062</v>
      </c>
    </row>
    <row r="480" spans="1:20" ht="15.75" customHeight="1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>Table1[[#This Row],[pledged]]/Table1[[#This Row],[goal]]</f>
        <v>2.3634156976744185</v>
      </c>
      <c r="G480" t="s">
        <v>20</v>
      </c>
      <c r="H480">
        <v>2756</v>
      </c>
      <c r="I480" t="s">
        <v>21</v>
      </c>
      <c r="J480" t="s">
        <v>22</v>
      </c>
      <c r="K480" s="12">
        <f>IF(OR(E480=0, H480=0), 0, E480/H480)</f>
        <v>58.999637155297535</v>
      </c>
      <c r="L480">
        <v>1425877200</v>
      </c>
      <c r="M480" s="10">
        <f>(((L480/60)/60)/24)+DATE(1970,1,1)</f>
        <v>42072.208333333328</v>
      </c>
      <c r="N480">
        <v>1426914000</v>
      </c>
      <c r="O480" s="10">
        <f>(((N480/60)/60)/24)+DATE(1970,1,1)</f>
        <v>42084.208333333328</v>
      </c>
      <c r="P480" t="b">
        <v>0</v>
      </c>
      <c r="Q480" t="b">
        <v>0</v>
      </c>
      <c r="R480" t="s">
        <v>65</v>
      </c>
      <c r="S480" t="s">
        <v>2036</v>
      </c>
      <c r="T480" t="s">
        <v>2045</v>
      </c>
    </row>
    <row r="481" spans="1:20" ht="15.75" customHeight="1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>Table1[[#This Row],[pledged]]/Table1[[#This Row],[goal]]</f>
        <v>5.1291666666666664</v>
      </c>
      <c r="G481" t="s">
        <v>20</v>
      </c>
      <c r="H481">
        <v>173</v>
      </c>
      <c r="I481" t="s">
        <v>40</v>
      </c>
      <c r="J481" t="s">
        <v>41</v>
      </c>
      <c r="K481" s="12">
        <f>IF(OR(E481=0, H481=0), 0, E481/H481)</f>
        <v>71.156069364161851</v>
      </c>
      <c r="L481">
        <v>1501304400</v>
      </c>
      <c r="M481" s="10">
        <f>(((L481/60)/60)/24)+DATE(1970,1,1)</f>
        <v>42945.208333333328</v>
      </c>
      <c r="N481">
        <v>1501477200</v>
      </c>
      <c r="O481" s="10">
        <f>(((N481/60)/60)/24)+DATE(1970,1,1)</f>
        <v>42947.208333333328</v>
      </c>
      <c r="P481" t="b">
        <v>0</v>
      </c>
      <c r="Q481" t="b">
        <v>0</v>
      </c>
      <c r="R481" t="s">
        <v>17</v>
      </c>
      <c r="S481" t="s">
        <v>2032</v>
      </c>
      <c r="T481" t="s">
        <v>2033</v>
      </c>
    </row>
    <row r="482" spans="1:20" ht="15.75" customHeight="1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>Table1[[#This Row],[pledged]]/Table1[[#This Row],[goal]]</f>
        <v>1.0065116279069768</v>
      </c>
      <c r="G482" t="s">
        <v>20</v>
      </c>
      <c r="H482">
        <v>87</v>
      </c>
      <c r="I482" t="s">
        <v>21</v>
      </c>
      <c r="J482" t="s">
        <v>22</v>
      </c>
      <c r="K482" s="12">
        <f>IF(OR(E482=0, H482=0), 0, E482/H482)</f>
        <v>99.494252873563212</v>
      </c>
      <c r="L482">
        <v>1268287200</v>
      </c>
      <c r="M482" s="10">
        <f>(((L482/60)/60)/24)+DATE(1970,1,1)</f>
        <v>40248.25</v>
      </c>
      <c r="N482">
        <v>1269061200</v>
      </c>
      <c r="O482" s="10">
        <f>(((N482/60)/60)/24)+DATE(1970,1,1)</f>
        <v>40257.208333333336</v>
      </c>
      <c r="P482" t="b">
        <v>0</v>
      </c>
      <c r="Q482" t="b">
        <v>1</v>
      </c>
      <c r="R482" t="s">
        <v>122</v>
      </c>
      <c r="S482" t="s">
        <v>2053</v>
      </c>
      <c r="T482" t="s">
        <v>2054</v>
      </c>
    </row>
    <row r="483" spans="1:20" ht="15.75" customHeight="1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>Table1[[#This Row],[pledged]]/Table1[[#This Row],[goal]]</f>
        <v>0.81348423194303154</v>
      </c>
      <c r="G483" t="s">
        <v>14</v>
      </c>
      <c r="H483">
        <v>1538</v>
      </c>
      <c r="I483" t="s">
        <v>21</v>
      </c>
      <c r="J483" t="s">
        <v>22</v>
      </c>
      <c r="K483" s="12">
        <f>IF(OR(E483=0, H483=0), 0, E483/H483)</f>
        <v>103.98634590377114</v>
      </c>
      <c r="L483">
        <v>1412139600</v>
      </c>
      <c r="M483" s="10">
        <f>(((L483/60)/60)/24)+DATE(1970,1,1)</f>
        <v>41913.208333333336</v>
      </c>
      <c r="N483">
        <v>1415772000</v>
      </c>
      <c r="O483" s="10">
        <f>(((N483/60)/60)/24)+DATE(1970,1,1)</f>
        <v>41955.25</v>
      </c>
      <c r="P483" t="b">
        <v>0</v>
      </c>
      <c r="Q483" t="b">
        <v>1</v>
      </c>
      <c r="R483" t="s">
        <v>33</v>
      </c>
      <c r="S483" t="s">
        <v>2038</v>
      </c>
      <c r="T483" t="s">
        <v>2039</v>
      </c>
    </row>
    <row r="484" spans="1:20" ht="15.75" customHeight="1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>Table1[[#This Row],[pledged]]/Table1[[#This Row],[goal]]</f>
        <v>0.16404761904761905</v>
      </c>
      <c r="G484" t="s">
        <v>14</v>
      </c>
      <c r="H484">
        <v>9</v>
      </c>
      <c r="I484" t="s">
        <v>21</v>
      </c>
      <c r="J484" t="s">
        <v>22</v>
      </c>
      <c r="K484" s="12">
        <f>IF(OR(E484=0, H484=0), 0, E484/H484)</f>
        <v>76.555555555555557</v>
      </c>
      <c r="L484">
        <v>1330063200</v>
      </c>
      <c r="M484" s="10">
        <f>(((L484/60)/60)/24)+DATE(1970,1,1)</f>
        <v>40963.25</v>
      </c>
      <c r="N484">
        <v>1331013600</v>
      </c>
      <c r="O484" s="10">
        <f>(((N484/60)/60)/24)+DATE(1970,1,1)</f>
        <v>40974.25</v>
      </c>
      <c r="P484" t="b">
        <v>0</v>
      </c>
      <c r="Q484" t="b">
        <v>1</v>
      </c>
      <c r="R484" t="s">
        <v>119</v>
      </c>
      <c r="S484" t="s">
        <v>2046</v>
      </c>
      <c r="T484" t="s">
        <v>2052</v>
      </c>
    </row>
    <row r="485" spans="1:20" ht="15.75" customHeight="1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>Table1[[#This Row],[pledged]]/Table1[[#This Row],[goal]]</f>
        <v>0.52774617067833696</v>
      </c>
      <c r="G485" t="s">
        <v>14</v>
      </c>
      <c r="H485">
        <v>554</v>
      </c>
      <c r="I485" t="s">
        <v>21</v>
      </c>
      <c r="J485" t="s">
        <v>22</v>
      </c>
      <c r="K485" s="12">
        <f>IF(OR(E485=0, H485=0), 0, E485/H485)</f>
        <v>87.068592057761734</v>
      </c>
      <c r="L485">
        <v>1576130400</v>
      </c>
      <c r="M485" s="10">
        <f>(((L485/60)/60)/24)+DATE(1970,1,1)</f>
        <v>43811.25</v>
      </c>
      <c r="N485">
        <v>1576735200</v>
      </c>
      <c r="O485" s="10">
        <f>(((N485/60)/60)/24)+DATE(1970,1,1)</f>
        <v>43818.25</v>
      </c>
      <c r="P485" t="b">
        <v>0</v>
      </c>
      <c r="Q485" t="b">
        <v>0</v>
      </c>
      <c r="R485" t="s">
        <v>33</v>
      </c>
      <c r="S485" t="s">
        <v>2038</v>
      </c>
      <c r="T485" t="s">
        <v>2039</v>
      </c>
    </row>
    <row r="486" spans="1:20" ht="15.75" customHeight="1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>Table1[[#This Row],[pledged]]/Table1[[#This Row],[goal]]</f>
        <v>2.6020608108108108</v>
      </c>
      <c r="G486" t="s">
        <v>20</v>
      </c>
      <c r="H486">
        <v>1572</v>
      </c>
      <c r="I486" t="s">
        <v>40</v>
      </c>
      <c r="J486" t="s">
        <v>41</v>
      </c>
      <c r="K486" s="12">
        <f>IF(OR(E486=0, H486=0), 0, E486/H486)</f>
        <v>48.99554707379135</v>
      </c>
      <c r="L486">
        <v>1407128400</v>
      </c>
      <c r="M486" s="10">
        <f>(((L486/60)/60)/24)+DATE(1970,1,1)</f>
        <v>41855.208333333336</v>
      </c>
      <c r="N486">
        <v>1411362000</v>
      </c>
      <c r="O486" s="10">
        <f>(((N486/60)/60)/24)+DATE(1970,1,1)</f>
        <v>41904.208333333336</v>
      </c>
      <c r="P486" t="b">
        <v>0</v>
      </c>
      <c r="Q486" t="b">
        <v>1</v>
      </c>
      <c r="R486" t="s">
        <v>17</v>
      </c>
      <c r="S486" t="s">
        <v>2032</v>
      </c>
      <c r="T486" t="s">
        <v>2033</v>
      </c>
    </row>
    <row r="487" spans="1:20" ht="15.75" customHeight="1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>Table1[[#This Row],[pledged]]/Table1[[#This Row],[goal]]</f>
        <v>0.30732891832229581</v>
      </c>
      <c r="G487" t="s">
        <v>14</v>
      </c>
      <c r="H487">
        <v>648</v>
      </c>
      <c r="I487" t="s">
        <v>40</v>
      </c>
      <c r="J487" t="s">
        <v>41</v>
      </c>
      <c r="K487" s="12">
        <f>IF(OR(E487=0, H487=0), 0, E487/H487)</f>
        <v>42.969135802469133</v>
      </c>
      <c r="L487">
        <v>1560142800</v>
      </c>
      <c r="M487" s="10">
        <f>(((L487/60)/60)/24)+DATE(1970,1,1)</f>
        <v>43626.208333333328</v>
      </c>
      <c r="N487">
        <v>1563685200</v>
      </c>
      <c r="O487" s="10">
        <f>(((N487/60)/60)/24)+DATE(1970,1,1)</f>
        <v>43667.208333333328</v>
      </c>
      <c r="P487" t="b">
        <v>0</v>
      </c>
      <c r="Q487" t="b">
        <v>0</v>
      </c>
      <c r="R487" t="s">
        <v>33</v>
      </c>
      <c r="S487" t="s">
        <v>2038</v>
      </c>
      <c r="T487" t="s">
        <v>2039</v>
      </c>
    </row>
    <row r="488" spans="1:20" ht="15.75" customHeight="1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>Table1[[#This Row],[pledged]]/Table1[[#This Row],[goal]]</f>
        <v>0.13500000000000001</v>
      </c>
      <c r="G488" t="s">
        <v>14</v>
      </c>
      <c r="H488">
        <v>21</v>
      </c>
      <c r="I488" t="s">
        <v>40</v>
      </c>
      <c r="J488" t="s">
        <v>41</v>
      </c>
      <c r="K488" s="12">
        <f>IF(OR(E488=0, H488=0), 0, E488/H488)</f>
        <v>33.428571428571431</v>
      </c>
      <c r="L488">
        <v>1520575200</v>
      </c>
      <c r="M488" s="10">
        <f>(((L488/60)/60)/24)+DATE(1970,1,1)</f>
        <v>43168.25</v>
      </c>
      <c r="N488">
        <v>1521867600</v>
      </c>
      <c r="O488" s="10">
        <f>(((N488/60)/60)/24)+DATE(1970,1,1)</f>
        <v>43183.208333333328</v>
      </c>
      <c r="P488" t="b">
        <v>0</v>
      </c>
      <c r="Q488" t="b">
        <v>1</v>
      </c>
      <c r="R488" t="s">
        <v>206</v>
      </c>
      <c r="S488" t="s">
        <v>2046</v>
      </c>
      <c r="T488" t="s">
        <v>2058</v>
      </c>
    </row>
    <row r="489" spans="1:20" ht="15.75" customHeight="1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>Table1[[#This Row],[pledged]]/Table1[[#This Row],[goal]]</f>
        <v>1.7862556663644606</v>
      </c>
      <c r="G489" t="s">
        <v>20</v>
      </c>
      <c r="H489">
        <v>2346</v>
      </c>
      <c r="I489" t="s">
        <v>21</v>
      </c>
      <c r="J489" t="s">
        <v>22</v>
      </c>
      <c r="K489" s="12">
        <f>IF(OR(E489=0, H489=0), 0, E489/H489)</f>
        <v>83.982949701619773</v>
      </c>
      <c r="L489">
        <v>1492664400</v>
      </c>
      <c r="M489" s="10">
        <f>(((L489/60)/60)/24)+DATE(1970,1,1)</f>
        <v>42845.208333333328</v>
      </c>
      <c r="N489">
        <v>1495515600</v>
      </c>
      <c r="O489" s="10">
        <f>(((N489/60)/60)/24)+DATE(1970,1,1)</f>
        <v>42878.208333333328</v>
      </c>
      <c r="P489" t="b">
        <v>0</v>
      </c>
      <c r="Q489" t="b">
        <v>0</v>
      </c>
      <c r="R489" t="s">
        <v>33</v>
      </c>
      <c r="S489" t="s">
        <v>2038</v>
      </c>
      <c r="T489" t="s">
        <v>2039</v>
      </c>
    </row>
    <row r="490" spans="1:20" ht="15.75" customHeight="1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>Table1[[#This Row],[pledged]]/Table1[[#This Row],[goal]]</f>
        <v>2.2005660377358489</v>
      </c>
      <c r="G490" t="s">
        <v>20</v>
      </c>
      <c r="H490">
        <v>115</v>
      </c>
      <c r="I490" t="s">
        <v>21</v>
      </c>
      <c r="J490" t="s">
        <v>22</v>
      </c>
      <c r="K490" s="12">
        <f>IF(OR(E490=0, H490=0), 0, E490/H490)</f>
        <v>101.41739130434783</v>
      </c>
      <c r="L490">
        <v>1454479200</v>
      </c>
      <c r="M490" s="10">
        <f>(((L490/60)/60)/24)+DATE(1970,1,1)</f>
        <v>42403.25</v>
      </c>
      <c r="N490">
        <v>1455948000</v>
      </c>
      <c r="O490" s="10">
        <f>(((N490/60)/60)/24)+DATE(1970,1,1)</f>
        <v>42420.25</v>
      </c>
      <c r="P490" t="b">
        <v>0</v>
      </c>
      <c r="Q490" t="b">
        <v>0</v>
      </c>
      <c r="R490" t="s">
        <v>33</v>
      </c>
      <c r="S490" t="s">
        <v>2038</v>
      </c>
      <c r="T490" t="s">
        <v>2039</v>
      </c>
    </row>
    <row r="491" spans="1:20" ht="15.75" customHeight="1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>Table1[[#This Row],[pledged]]/Table1[[#This Row],[goal]]</f>
        <v>1.015108695652174</v>
      </c>
      <c r="G491" t="s">
        <v>20</v>
      </c>
      <c r="H491">
        <v>85</v>
      </c>
      <c r="I491" t="s">
        <v>107</v>
      </c>
      <c r="J491" t="s">
        <v>108</v>
      </c>
      <c r="K491" s="12">
        <f>IF(OR(E491=0, H491=0), 0, E491/H491)</f>
        <v>109.87058823529412</v>
      </c>
      <c r="L491">
        <v>1281934800</v>
      </c>
      <c r="M491" s="10">
        <f>(((L491/60)/60)/24)+DATE(1970,1,1)</f>
        <v>40406.208333333336</v>
      </c>
      <c r="N491">
        <v>1282366800</v>
      </c>
      <c r="O491" s="10">
        <f>(((N491/60)/60)/24)+DATE(1970,1,1)</f>
        <v>40411.208333333336</v>
      </c>
      <c r="P491" t="b">
        <v>0</v>
      </c>
      <c r="Q491" t="b">
        <v>0</v>
      </c>
      <c r="R491" t="s">
        <v>65</v>
      </c>
      <c r="S491" t="s">
        <v>2036</v>
      </c>
      <c r="T491" t="s">
        <v>2045</v>
      </c>
    </row>
    <row r="492" spans="1:20" ht="15.75" customHeight="1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>Table1[[#This Row],[pledged]]/Table1[[#This Row],[goal]]</f>
        <v>1.915</v>
      </c>
      <c r="G492" t="s">
        <v>20</v>
      </c>
      <c r="H492">
        <v>144</v>
      </c>
      <c r="I492" t="s">
        <v>21</v>
      </c>
      <c r="J492" t="s">
        <v>22</v>
      </c>
      <c r="K492" s="12">
        <f>IF(OR(E492=0, H492=0), 0, E492/H492)</f>
        <v>31.916666666666668</v>
      </c>
      <c r="L492">
        <v>1573970400</v>
      </c>
      <c r="M492" s="10">
        <f>(((L492/60)/60)/24)+DATE(1970,1,1)</f>
        <v>43786.25</v>
      </c>
      <c r="N492">
        <v>1574575200</v>
      </c>
      <c r="O492" s="10">
        <f>(((N492/60)/60)/24)+DATE(1970,1,1)</f>
        <v>43793.25</v>
      </c>
      <c r="P492" t="b">
        <v>0</v>
      </c>
      <c r="Q492" t="b">
        <v>0</v>
      </c>
      <c r="R492" t="s">
        <v>1029</v>
      </c>
      <c r="S492" t="s">
        <v>2063</v>
      </c>
      <c r="T492" t="s">
        <v>2064</v>
      </c>
    </row>
    <row r="493" spans="1:20" ht="15.75" customHeight="1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>Table1[[#This Row],[pledged]]/Table1[[#This Row],[goal]]</f>
        <v>3.0534683098591549</v>
      </c>
      <c r="G493" t="s">
        <v>20</v>
      </c>
      <c r="H493">
        <v>2443</v>
      </c>
      <c r="I493" t="s">
        <v>21</v>
      </c>
      <c r="J493" t="s">
        <v>22</v>
      </c>
      <c r="K493" s="12">
        <f>IF(OR(E493=0, H493=0), 0, E493/H493)</f>
        <v>70.993450675399103</v>
      </c>
      <c r="L493">
        <v>1372654800</v>
      </c>
      <c r="M493" s="10">
        <f>(((L493/60)/60)/24)+DATE(1970,1,1)</f>
        <v>41456.208333333336</v>
      </c>
      <c r="N493">
        <v>1374901200</v>
      </c>
      <c r="O493" s="10">
        <f>(((N493/60)/60)/24)+DATE(1970,1,1)</f>
        <v>41482.208333333336</v>
      </c>
      <c r="P493" t="b">
        <v>0</v>
      </c>
      <c r="Q493" t="b">
        <v>1</v>
      </c>
      <c r="R493" t="s">
        <v>17</v>
      </c>
      <c r="S493" t="s">
        <v>2032</v>
      </c>
      <c r="T493" t="s">
        <v>2033</v>
      </c>
    </row>
    <row r="494" spans="1:20" ht="15.75" customHeight="1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>Table1[[#This Row],[pledged]]/Table1[[#This Row],[goal]]</f>
        <v>0.23995287958115183</v>
      </c>
      <c r="G494" t="s">
        <v>74</v>
      </c>
      <c r="H494">
        <v>595</v>
      </c>
      <c r="I494" t="s">
        <v>21</v>
      </c>
      <c r="J494" t="s">
        <v>22</v>
      </c>
      <c r="K494" s="12">
        <f>IF(OR(E494=0, H494=0), 0, E494/H494)</f>
        <v>77.026890756302521</v>
      </c>
      <c r="L494">
        <v>1275886800</v>
      </c>
      <c r="M494" s="10">
        <f>(((L494/60)/60)/24)+DATE(1970,1,1)</f>
        <v>40336.208333333336</v>
      </c>
      <c r="N494">
        <v>1278910800</v>
      </c>
      <c r="O494" s="10">
        <f>(((N494/60)/60)/24)+DATE(1970,1,1)</f>
        <v>40371.208333333336</v>
      </c>
      <c r="P494" t="b">
        <v>1</v>
      </c>
      <c r="Q494" t="b">
        <v>1</v>
      </c>
      <c r="R494" t="s">
        <v>100</v>
      </c>
      <c r="S494" t="s">
        <v>2040</v>
      </c>
      <c r="T494" t="s">
        <v>2051</v>
      </c>
    </row>
    <row r="495" spans="1:20" ht="15.75" customHeight="1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>Table1[[#This Row],[pledged]]/Table1[[#This Row],[goal]]</f>
        <v>7.2377777777777776</v>
      </c>
      <c r="G495" t="s">
        <v>20</v>
      </c>
      <c r="H495">
        <v>64</v>
      </c>
      <c r="I495" t="s">
        <v>21</v>
      </c>
      <c r="J495" t="s">
        <v>22</v>
      </c>
      <c r="K495" s="12">
        <f>IF(OR(E495=0, H495=0), 0, E495/H495)</f>
        <v>101.78125</v>
      </c>
      <c r="L495">
        <v>1561784400</v>
      </c>
      <c r="M495" s="10">
        <f>(((L495/60)/60)/24)+DATE(1970,1,1)</f>
        <v>43645.208333333328</v>
      </c>
      <c r="N495">
        <v>1562907600</v>
      </c>
      <c r="O495" s="10">
        <f>(((N495/60)/60)/24)+DATE(1970,1,1)</f>
        <v>43658.208333333328</v>
      </c>
      <c r="P495" t="b">
        <v>0</v>
      </c>
      <c r="Q495" t="b">
        <v>0</v>
      </c>
      <c r="R495" t="s">
        <v>122</v>
      </c>
      <c r="S495" t="s">
        <v>2053</v>
      </c>
      <c r="T495" t="s">
        <v>2054</v>
      </c>
    </row>
    <row r="496" spans="1:20" ht="15.75" customHeight="1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>Table1[[#This Row],[pledged]]/Table1[[#This Row],[goal]]</f>
        <v>5.4736000000000002</v>
      </c>
      <c r="G496" t="s">
        <v>20</v>
      </c>
      <c r="H496">
        <v>268</v>
      </c>
      <c r="I496" t="s">
        <v>21</v>
      </c>
      <c r="J496" t="s">
        <v>22</v>
      </c>
      <c r="K496" s="12">
        <f>IF(OR(E496=0, H496=0), 0, E496/H496)</f>
        <v>51.059701492537314</v>
      </c>
      <c r="L496">
        <v>1332392400</v>
      </c>
      <c r="M496" s="10">
        <f>(((L496/60)/60)/24)+DATE(1970,1,1)</f>
        <v>40990.208333333336</v>
      </c>
      <c r="N496">
        <v>1332478800</v>
      </c>
      <c r="O496" s="10">
        <f>(((N496/60)/60)/24)+DATE(1970,1,1)</f>
        <v>40991.208333333336</v>
      </c>
      <c r="P496" t="b">
        <v>0</v>
      </c>
      <c r="Q496" t="b">
        <v>0</v>
      </c>
      <c r="R496" t="s">
        <v>65</v>
      </c>
      <c r="S496" t="s">
        <v>2036</v>
      </c>
      <c r="T496" t="s">
        <v>2045</v>
      </c>
    </row>
    <row r="497" spans="1:20" ht="15.75" customHeight="1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>Table1[[#This Row],[pledged]]/Table1[[#This Row],[goal]]</f>
        <v>4.1449999999999996</v>
      </c>
      <c r="G497" t="s">
        <v>20</v>
      </c>
      <c r="H497">
        <v>195</v>
      </c>
      <c r="I497" t="s">
        <v>36</v>
      </c>
      <c r="J497" t="s">
        <v>37</v>
      </c>
      <c r="K497" s="12">
        <f>IF(OR(E497=0, H497=0), 0, E497/H497)</f>
        <v>68.02051282051282</v>
      </c>
      <c r="L497">
        <v>1402376400</v>
      </c>
      <c r="M497" s="10">
        <f>(((L497/60)/60)/24)+DATE(1970,1,1)</f>
        <v>41800.208333333336</v>
      </c>
      <c r="N497">
        <v>1402722000</v>
      </c>
      <c r="O497" s="10">
        <f>(((N497/60)/60)/24)+DATE(1970,1,1)</f>
        <v>41804.208333333336</v>
      </c>
      <c r="P497" t="b">
        <v>0</v>
      </c>
      <c r="Q497" t="b">
        <v>0</v>
      </c>
      <c r="R497" t="s">
        <v>33</v>
      </c>
      <c r="S497" t="s">
        <v>2038</v>
      </c>
      <c r="T497" t="s">
        <v>2039</v>
      </c>
    </row>
    <row r="498" spans="1:20" ht="15.75" customHeight="1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>Table1[[#This Row],[pledged]]/Table1[[#This Row],[goal]]</f>
        <v>9.0696409140369975E-3</v>
      </c>
      <c r="G498" t="s">
        <v>14</v>
      </c>
      <c r="H498">
        <v>54</v>
      </c>
      <c r="I498" t="s">
        <v>21</v>
      </c>
      <c r="J498" t="s">
        <v>22</v>
      </c>
      <c r="K498" s="12">
        <f>IF(OR(E498=0, H498=0), 0, E498/H498)</f>
        <v>30.87037037037037</v>
      </c>
      <c r="L498">
        <v>1495342800</v>
      </c>
      <c r="M498" s="10">
        <f>(((L498/60)/60)/24)+DATE(1970,1,1)</f>
        <v>42876.208333333328</v>
      </c>
      <c r="N498">
        <v>1496811600</v>
      </c>
      <c r="O498" s="10">
        <f>(((N498/60)/60)/24)+DATE(1970,1,1)</f>
        <v>42893.208333333328</v>
      </c>
      <c r="P498" t="b">
        <v>0</v>
      </c>
      <c r="Q498" t="b">
        <v>0</v>
      </c>
      <c r="R498" t="s">
        <v>71</v>
      </c>
      <c r="S498" t="s">
        <v>2040</v>
      </c>
      <c r="T498" t="s">
        <v>2048</v>
      </c>
    </row>
    <row r="499" spans="1:20" ht="15.75" customHeight="1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>Table1[[#This Row],[pledged]]/Table1[[#This Row],[goal]]</f>
        <v>0.34173469387755101</v>
      </c>
      <c r="G499" t="s">
        <v>14</v>
      </c>
      <c r="H499">
        <v>120</v>
      </c>
      <c r="I499" t="s">
        <v>21</v>
      </c>
      <c r="J499" t="s">
        <v>22</v>
      </c>
      <c r="K499" s="12">
        <f>IF(OR(E499=0, H499=0), 0, E499/H499)</f>
        <v>27.908333333333335</v>
      </c>
      <c r="L499">
        <v>1482213600</v>
      </c>
      <c r="M499" s="10">
        <f>(((L499/60)/60)/24)+DATE(1970,1,1)</f>
        <v>42724.25</v>
      </c>
      <c r="N499">
        <v>1482213600</v>
      </c>
      <c r="O499" s="10">
        <f>(((N499/60)/60)/24)+DATE(1970,1,1)</f>
        <v>42724.25</v>
      </c>
      <c r="P499" t="b">
        <v>0</v>
      </c>
      <c r="Q499" t="b">
        <v>1</v>
      </c>
      <c r="R499" t="s">
        <v>65</v>
      </c>
      <c r="S499" t="s">
        <v>2036</v>
      </c>
      <c r="T499" t="s">
        <v>2045</v>
      </c>
    </row>
    <row r="500" spans="1:20" ht="15.75" customHeight="1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>Table1[[#This Row],[pledged]]/Table1[[#This Row],[goal]]</f>
        <v>0.239488107549121</v>
      </c>
      <c r="G500" t="s">
        <v>14</v>
      </c>
      <c r="H500">
        <v>579</v>
      </c>
      <c r="I500" t="s">
        <v>36</v>
      </c>
      <c r="J500" t="s">
        <v>37</v>
      </c>
      <c r="K500" s="12">
        <f>IF(OR(E500=0, H500=0), 0, E500/H500)</f>
        <v>79.994818652849744</v>
      </c>
      <c r="L500">
        <v>1420092000</v>
      </c>
      <c r="M500" s="10">
        <f>(((L500/60)/60)/24)+DATE(1970,1,1)</f>
        <v>42005.25</v>
      </c>
      <c r="N500">
        <v>1420264800</v>
      </c>
      <c r="O500" s="10">
        <f>(((N500/60)/60)/24)+DATE(1970,1,1)</f>
        <v>42007.25</v>
      </c>
      <c r="P500" t="b">
        <v>0</v>
      </c>
      <c r="Q500" t="b">
        <v>0</v>
      </c>
      <c r="R500" t="s">
        <v>28</v>
      </c>
      <c r="S500" t="s">
        <v>2036</v>
      </c>
      <c r="T500" t="s">
        <v>2037</v>
      </c>
    </row>
    <row r="501" spans="1:20" ht="15.75" customHeight="1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>Table1[[#This Row],[pledged]]/Table1[[#This Row],[goal]]</f>
        <v>0.48072649572649573</v>
      </c>
      <c r="G501" t="s">
        <v>14</v>
      </c>
      <c r="H501">
        <v>2072</v>
      </c>
      <c r="I501" t="s">
        <v>21</v>
      </c>
      <c r="J501" t="s">
        <v>22</v>
      </c>
      <c r="K501" s="12">
        <f>IF(OR(E501=0, H501=0), 0, E501/H501)</f>
        <v>38.003378378378379</v>
      </c>
      <c r="L501">
        <v>1458018000</v>
      </c>
      <c r="M501" s="10">
        <f>(((L501/60)/60)/24)+DATE(1970,1,1)</f>
        <v>42444.208333333328</v>
      </c>
      <c r="N501">
        <v>1458450000</v>
      </c>
      <c r="O501" s="10">
        <f>(((N501/60)/60)/24)+DATE(1970,1,1)</f>
        <v>42449.208333333328</v>
      </c>
      <c r="P501" t="b">
        <v>0</v>
      </c>
      <c r="Q501" t="b">
        <v>1</v>
      </c>
      <c r="R501" t="s">
        <v>42</v>
      </c>
      <c r="S501" t="s">
        <v>2040</v>
      </c>
      <c r="T501" t="s">
        <v>2041</v>
      </c>
    </row>
    <row r="502" spans="1:20" ht="15.75" customHeight="1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>Table1[[#This Row],[pledged]]/Table1[[#This Row],[goal]]</f>
        <v>0</v>
      </c>
      <c r="G502" t="s">
        <v>14</v>
      </c>
      <c r="H502">
        <v>0</v>
      </c>
      <c r="I502" t="s">
        <v>21</v>
      </c>
      <c r="J502" t="s">
        <v>22</v>
      </c>
      <c r="K502" s="12">
        <f>IF(OR(E502=0, H502=0), 0, E502/H502)</f>
        <v>0</v>
      </c>
      <c r="L502">
        <v>1367384400</v>
      </c>
      <c r="M502" s="10">
        <f>(((L502/60)/60)/24)+DATE(1970,1,1)</f>
        <v>41395.208333333336</v>
      </c>
      <c r="N502">
        <v>1369803600</v>
      </c>
      <c r="O502" s="10">
        <f>(((N502/60)/60)/24)+DATE(1970,1,1)</f>
        <v>41423.208333333336</v>
      </c>
      <c r="P502" t="b">
        <v>0</v>
      </c>
      <c r="Q502" t="b">
        <v>1</v>
      </c>
      <c r="R502" t="s">
        <v>33</v>
      </c>
      <c r="S502" t="s">
        <v>2038</v>
      </c>
      <c r="T502" t="s">
        <v>2039</v>
      </c>
    </row>
    <row r="503" spans="1:20" ht="15.75" customHeight="1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>Table1[[#This Row],[pledged]]/Table1[[#This Row],[goal]]</f>
        <v>0.70145182291666663</v>
      </c>
      <c r="G503" t="s">
        <v>14</v>
      </c>
      <c r="H503">
        <v>1796</v>
      </c>
      <c r="I503" t="s">
        <v>21</v>
      </c>
      <c r="J503" t="s">
        <v>22</v>
      </c>
      <c r="K503" s="12">
        <f>IF(OR(E503=0, H503=0), 0, E503/H503)</f>
        <v>59.990534521158132</v>
      </c>
      <c r="L503">
        <v>1363064400</v>
      </c>
      <c r="M503" s="10">
        <f>(((L503/60)/60)/24)+DATE(1970,1,1)</f>
        <v>41345.208333333336</v>
      </c>
      <c r="N503">
        <v>1363237200</v>
      </c>
      <c r="O503" s="10">
        <f>(((N503/60)/60)/24)+DATE(1970,1,1)</f>
        <v>41347.208333333336</v>
      </c>
      <c r="P503" t="b">
        <v>0</v>
      </c>
      <c r="Q503" t="b">
        <v>0</v>
      </c>
      <c r="R503" t="s">
        <v>42</v>
      </c>
      <c r="S503" t="s">
        <v>2040</v>
      </c>
      <c r="T503" t="s">
        <v>2041</v>
      </c>
    </row>
    <row r="504" spans="1:20" ht="15.75" customHeight="1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>Table1[[#This Row],[pledged]]/Table1[[#This Row],[goal]]</f>
        <v>5.2992307692307694</v>
      </c>
      <c r="G504" t="s">
        <v>20</v>
      </c>
      <c r="H504">
        <v>186</v>
      </c>
      <c r="I504" t="s">
        <v>26</v>
      </c>
      <c r="J504" t="s">
        <v>27</v>
      </c>
      <c r="K504" s="12">
        <f>IF(OR(E504=0, H504=0), 0, E504/H504)</f>
        <v>37.037634408602152</v>
      </c>
      <c r="L504">
        <v>1343365200</v>
      </c>
      <c r="M504" s="10">
        <f>(((L504/60)/60)/24)+DATE(1970,1,1)</f>
        <v>41117.208333333336</v>
      </c>
      <c r="N504">
        <v>1345870800</v>
      </c>
      <c r="O504" s="10">
        <f>(((N504/60)/60)/24)+DATE(1970,1,1)</f>
        <v>41146.208333333336</v>
      </c>
      <c r="P504" t="b">
        <v>0</v>
      </c>
      <c r="Q504" t="b">
        <v>1</v>
      </c>
      <c r="R504" t="s">
        <v>89</v>
      </c>
      <c r="S504" t="s">
        <v>2049</v>
      </c>
      <c r="T504" t="s">
        <v>2050</v>
      </c>
    </row>
    <row r="505" spans="1:20" ht="15.75" customHeight="1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>Table1[[#This Row],[pledged]]/Table1[[#This Row],[goal]]</f>
        <v>1.8032549019607844</v>
      </c>
      <c r="G505" t="s">
        <v>20</v>
      </c>
      <c r="H505">
        <v>460</v>
      </c>
      <c r="I505" t="s">
        <v>21</v>
      </c>
      <c r="J505" t="s">
        <v>22</v>
      </c>
      <c r="K505" s="12">
        <f>IF(OR(E505=0, H505=0), 0, E505/H505)</f>
        <v>99.963043478260872</v>
      </c>
      <c r="L505">
        <v>1435726800</v>
      </c>
      <c r="M505" s="10">
        <f>(((L505/60)/60)/24)+DATE(1970,1,1)</f>
        <v>42186.208333333328</v>
      </c>
      <c r="N505">
        <v>1437454800</v>
      </c>
      <c r="O505" s="10">
        <f>(((N505/60)/60)/24)+DATE(1970,1,1)</f>
        <v>42206.208333333328</v>
      </c>
      <c r="P505" t="b">
        <v>0</v>
      </c>
      <c r="Q505" t="b">
        <v>0</v>
      </c>
      <c r="R505" t="s">
        <v>53</v>
      </c>
      <c r="S505" t="s">
        <v>2040</v>
      </c>
      <c r="T505" t="s">
        <v>2043</v>
      </c>
    </row>
    <row r="506" spans="1:20" ht="15.75" customHeight="1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>Table1[[#This Row],[pledged]]/Table1[[#This Row],[goal]]</f>
        <v>0.92320000000000002</v>
      </c>
      <c r="G506" t="s">
        <v>14</v>
      </c>
      <c r="H506">
        <v>62</v>
      </c>
      <c r="I506" t="s">
        <v>107</v>
      </c>
      <c r="J506" t="s">
        <v>108</v>
      </c>
      <c r="K506" s="12">
        <f>IF(OR(E506=0, H506=0), 0, E506/H506)</f>
        <v>111.6774193548387</v>
      </c>
      <c r="L506">
        <v>1431925200</v>
      </c>
      <c r="M506" s="10">
        <f>(((L506/60)/60)/24)+DATE(1970,1,1)</f>
        <v>42142.208333333328</v>
      </c>
      <c r="N506">
        <v>1432011600</v>
      </c>
      <c r="O506" s="10">
        <f>(((N506/60)/60)/24)+DATE(1970,1,1)</f>
        <v>42143.208333333328</v>
      </c>
      <c r="P506" t="b">
        <v>0</v>
      </c>
      <c r="Q506" t="b">
        <v>0</v>
      </c>
      <c r="R506" t="s">
        <v>23</v>
      </c>
      <c r="S506" t="s">
        <v>2034</v>
      </c>
      <c r="T506" t="s">
        <v>2035</v>
      </c>
    </row>
    <row r="507" spans="1:20" ht="15.75" customHeight="1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>Table1[[#This Row],[pledged]]/Table1[[#This Row],[goal]]</f>
        <v>0.13901001112347053</v>
      </c>
      <c r="G507" t="s">
        <v>14</v>
      </c>
      <c r="H507">
        <v>347</v>
      </c>
      <c r="I507" t="s">
        <v>21</v>
      </c>
      <c r="J507" t="s">
        <v>22</v>
      </c>
      <c r="K507" s="12">
        <f>IF(OR(E507=0, H507=0), 0, E507/H507)</f>
        <v>36.014409221902014</v>
      </c>
      <c r="L507">
        <v>1362722400</v>
      </c>
      <c r="M507" s="10">
        <f>(((L507/60)/60)/24)+DATE(1970,1,1)</f>
        <v>41341.25</v>
      </c>
      <c r="N507">
        <v>1366347600</v>
      </c>
      <c r="O507" s="10">
        <f>(((N507/60)/60)/24)+DATE(1970,1,1)</f>
        <v>41383.208333333336</v>
      </c>
      <c r="P507" t="b">
        <v>0</v>
      </c>
      <c r="Q507" t="b">
        <v>1</v>
      </c>
      <c r="R507" t="s">
        <v>133</v>
      </c>
      <c r="S507" t="s">
        <v>2046</v>
      </c>
      <c r="T507" t="s">
        <v>2055</v>
      </c>
    </row>
    <row r="508" spans="1:20" ht="15.75" customHeight="1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>Table1[[#This Row],[pledged]]/Table1[[#This Row],[goal]]</f>
        <v>9.2707777777777771</v>
      </c>
      <c r="G508" t="s">
        <v>20</v>
      </c>
      <c r="H508">
        <v>2528</v>
      </c>
      <c r="I508" t="s">
        <v>21</v>
      </c>
      <c r="J508" t="s">
        <v>22</v>
      </c>
      <c r="K508" s="12">
        <f>IF(OR(E508=0, H508=0), 0, E508/H508)</f>
        <v>66.010284810126578</v>
      </c>
      <c r="L508">
        <v>1511416800</v>
      </c>
      <c r="M508" s="10">
        <f>(((L508/60)/60)/24)+DATE(1970,1,1)</f>
        <v>43062.25</v>
      </c>
      <c r="N508">
        <v>1512885600</v>
      </c>
      <c r="O508" s="10">
        <f>(((N508/60)/60)/24)+DATE(1970,1,1)</f>
        <v>43079.25</v>
      </c>
      <c r="P508" t="b">
        <v>0</v>
      </c>
      <c r="Q508" t="b">
        <v>1</v>
      </c>
      <c r="R508" t="s">
        <v>33</v>
      </c>
      <c r="S508" t="s">
        <v>2038</v>
      </c>
      <c r="T508" t="s">
        <v>2039</v>
      </c>
    </row>
    <row r="509" spans="1:20" ht="15.75" customHeight="1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>Table1[[#This Row],[pledged]]/Table1[[#This Row],[goal]]</f>
        <v>0.39857142857142858</v>
      </c>
      <c r="G509" t="s">
        <v>14</v>
      </c>
      <c r="H509">
        <v>19</v>
      </c>
      <c r="I509" t="s">
        <v>21</v>
      </c>
      <c r="J509" t="s">
        <v>22</v>
      </c>
      <c r="K509" s="12">
        <f>IF(OR(E509=0, H509=0), 0, E509/H509)</f>
        <v>44.05263157894737</v>
      </c>
      <c r="L509">
        <v>1365483600</v>
      </c>
      <c r="M509" s="10">
        <f>(((L509/60)/60)/24)+DATE(1970,1,1)</f>
        <v>41373.208333333336</v>
      </c>
      <c r="N509">
        <v>1369717200</v>
      </c>
      <c r="O509" s="10">
        <f>(((N509/60)/60)/24)+DATE(1970,1,1)</f>
        <v>41422.208333333336</v>
      </c>
      <c r="P509" t="b">
        <v>0</v>
      </c>
      <c r="Q509" t="b">
        <v>1</v>
      </c>
      <c r="R509" t="s">
        <v>28</v>
      </c>
      <c r="S509" t="s">
        <v>2036</v>
      </c>
      <c r="T509" t="s">
        <v>2037</v>
      </c>
    </row>
    <row r="510" spans="1:20" ht="15.75" customHeight="1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>Table1[[#This Row],[pledged]]/Table1[[#This Row],[goal]]</f>
        <v>1.1222929936305732</v>
      </c>
      <c r="G510" t="s">
        <v>20</v>
      </c>
      <c r="H510">
        <v>3657</v>
      </c>
      <c r="I510" t="s">
        <v>21</v>
      </c>
      <c r="J510" t="s">
        <v>22</v>
      </c>
      <c r="K510" s="12">
        <f>IF(OR(E510=0, H510=0), 0, E510/H510)</f>
        <v>52.999726551818434</v>
      </c>
      <c r="L510">
        <v>1532840400</v>
      </c>
      <c r="M510" s="10">
        <f>(((L510/60)/60)/24)+DATE(1970,1,1)</f>
        <v>43310.208333333328</v>
      </c>
      <c r="N510">
        <v>1534654800</v>
      </c>
      <c r="O510" s="10">
        <f>(((N510/60)/60)/24)+DATE(1970,1,1)</f>
        <v>43331.208333333328</v>
      </c>
      <c r="P510" t="b">
        <v>0</v>
      </c>
      <c r="Q510" t="b">
        <v>0</v>
      </c>
      <c r="R510" t="s">
        <v>33</v>
      </c>
      <c r="S510" t="s">
        <v>2038</v>
      </c>
      <c r="T510" t="s">
        <v>2039</v>
      </c>
    </row>
    <row r="511" spans="1:20" ht="15.75" customHeight="1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>Table1[[#This Row],[pledged]]/Table1[[#This Row],[goal]]</f>
        <v>0.70925816023738875</v>
      </c>
      <c r="G511" t="s">
        <v>14</v>
      </c>
      <c r="H511">
        <v>1258</v>
      </c>
      <c r="I511" t="s">
        <v>21</v>
      </c>
      <c r="J511" t="s">
        <v>22</v>
      </c>
      <c r="K511" s="12">
        <f>IF(OR(E511=0, H511=0), 0, E511/H511)</f>
        <v>95</v>
      </c>
      <c r="L511">
        <v>1336194000</v>
      </c>
      <c r="M511" s="10">
        <f>(((L511/60)/60)/24)+DATE(1970,1,1)</f>
        <v>41034.208333333336</v>
      </c>
      <c r="N511">
        <v>1337058000</v>
      </c>
      <c r="O511" s="10">
        <f>(((N511/60)/60)/24)+DATE(1970,1,1)</f>
        <v>41044.208333333336</v>
      </c>
      <c r="P511" t="b">
        <v>0</v>
      </c>
      <c r="Q511" t="b">
        <v>0</v>
      </c>
      <c r="R511" t="s">
        <v>33</v>
      </c>
      <c r="S511" t="s">
        <v>2038</v>
      </c>
      <c r="T511" t="s">
        <v>2039</v>
      </c>
    </row>
    <row r="512" spans="1:20" ht="15.75" customHeight="1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>Table1[[#This Row],[pledged]]/Table1[[#This Row],[goal]]</f>
        <v>1.1908974358974358</v>
      </c>
      <c r="G512" t="s">
        <v>20</v>
      </c>
      <c r="H512">
        <v>131</v>
      </c>
      <c r="I512" t="s">
        <v>26</v>
      </c>
      <c r="J512" t="s">
        <v>27</v>
      </c>
      <c r="K512" s="12">
        <f>IF(OR(E512=0, H512=0), 0, E512/H512)</f>
        <v>70.908396946564892</v>
      </c>
      <c r="L512">
        <v>1527742800</v>
      </c>
      <c r="M512" s="10">
        <f>(((L512/60)/60)/24)+DATE(1970,1,1)</f>
        <v>43251.208333333328</v>
      </c>
      <c r="N512">
        <v>1529816400</v>
      </c>
      <c r="O512" s="10">
        <f>(((N512/60)/60)/24)+DATE(1970,1,1)</f>
        <v>43275.208333333328</v>
      </c>
      <c r="P512" t="b">
        <v>0</v>
      </c>
      <c r="Q512" t="b">
        <v>0</v>
      </c>
      <c r="R512" t="s">
        <v>53</v>
      </c>
      <c r="S512" t="s">
        <v>2040</v>
      </c>
      <c r="T512" t="s">
        <v>2043</v>
      </c>
    </row>
    <row r="513" spans="1:20" ht="15.75" customHeight="1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>Table1[[#This Row],[pledged]]/Table1[[#This Row],[goal]]</f>
        <v>0.24017591339648173</v>
      </c>
      <c r="G513" t="s">
        <v>14</v>
      </c>
      <c r="H513">
        <v>362</v>
      </c>
      <c r="I513" t="s">
        <v>21</v>
      </c>
      <c r="J513" t="s">
        <v>22</v>
      </c>
      <c r="K513" s="12">
        <f>IF(OR(E513=0, H513=0), 0, E513/H513)</f>
        <v>98.060773480662988</v>
      </c>
      <c r="L513">
        <v>1564030800</v>
      </c>
      <c r="M513" s="10">
        <f>(((L513/60)/60)/24)+DATE(1970,1,1)</f>
        <v>43671.208333333328</v>
      </c>
      <c r="N513">
        <v>1564894800</v>
      </c>
      <c r="O513" s="10">
        <f>(((N513/60)/60)/24)+DATE(1970,1,1)</f>
        <v>43681.208333333328</v>
      </c>
      <c r="P513" t="b">
        <v>0</v>
      </c>
      <c r="Q513" t="b">
        <v>0</v>
      </c>
      <c r="R513" t="s">
        <v>33</v>
      </c>
      <c r="S513" t="s">
        <v>2038</v>
      </c>
      <c r="T513" t="s">
        <v>2039</v>
      </c>
    </row>
    <row r="514" spans="1:20" ht="15.75" customHeight="1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>Table1[[#This Row],[pledged]]/Table1[[#This Row],[goal]]</f>
        <v>1.3931868131868133</v>
      </c>
      <c r="G514" t="s">
        <v>20</v>
      </c>
      <c r="H514">
        <v>239</v>
      </c>
      <c r="I514" t="s">
        <v>21</v>
      </c>
      <c r="J514" t="s">
        <v>22</v>
      </c>
      <c r="K514" s="12">
        <f>IF(OR(E514=0, H514=0), 0, E514/H514)</f>
        <v>53.046025104602514</v>
      </c>
      <c r="L514">
        <v>1404536400</v>
      </c>
      <c r="M514" s="10">
        <f>(((L514/60)/60)/24)+DATE(1970,1,1)</f>
        <v>41825.208333333336</v>
      </c>
      <c r="N514">
        <v>1404622800</v>
      </c>
      <c r="O514" s="10">
        <f>(((N514/60)/60)/24)+DATE(1970,1,1)</f>
        <v>41826.208333333336</v>
      </c>
      <c r="P514" t="b">
        <v>0</v>
      </c>
      <c r="Q514" t="b">
        <v>1</v>
      </c>
      <c r="R514" t="s">
        <v>89</v>
      </c>
      <c r="S514" t="s">
        <v>2049</v>
      </c>
      <c r="T514" t="s">
        <v>2050</v>
      </c>
    </row>
    <row r="515" spans="1:20" ht="15.75" customHeight="1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>Table1[[#This Row],[pledged]]/Table1[[#This Row],[goal]]</f>
        <v>0.39277108433734942</v>
      </c>
      <c r="G515" t="s">
        <v>74</v>
      </c>
      <c r="H515">
        <v>35</v>
      </c>
      <c r="I515" t="s">
        <v>21</v>
      </c>
      <c r="J515" t="s">
        <v>22</v>
      </c>
      <c r="K515" s="12">
        <f>IF(OR(E515=0, H515=0), 0, E515/H515)</f>
        <v>93.142857142857139</v>
      </c>
      <c r="L515">
        <v>1284008400</v>
      </c>
      <c r="M515" s="10">
        <f>(((L515/60)/60)/24)+DATE(1970,1,1)</f>
        <v>40430.208333333336</v>
      </c>
      <c r="N515">
        <v>1284181200</v>
      </c>
      <c r="O515" s="10">
        <f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2040</v>
      </c>
      <c r="T515" t="s">
        <v>2059</v>
      </c>
    </row>
    <row r="516" spans="1:20" ht="15.75" customHeight="1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>Table1[[#This Row],[pledged]]/Table1[[#This Row],[goal]]</f>
        <v>0.22439077144917088</v>
      </c>
      <c r="G516" t="s">
        <v>74</v>
      </c>
      <c r="H516">
        <v>528</v>
      </c>
      <c r="I516" t="s">
        <v>98</v>
      </c>
      <c r="J516" t="s">
        <v>99</v>
      </c>
      <c r="K516" s="12">
        <f>IF(OR(E516=0, H516=0), 0, E516/H516)</f>
        <v>58.945075757575758</v>
      </c>
      <c r="L516">
        <v>1386309600</v>
      </c>
      <c r="M516" s="10">
        <f>(((L516/60)/60)/24)+DATE(1970,1,1)</f>
        <v>41614.25</v>
      </c>
      <c r="N516">
        <v>1386741600</v>
      </c>
      <c r="O516" s="10">
        <f>(((N516/60)/60)/24)+DATE(1970,1,1)</f>
        <v>41619.25</v>
      </c>
      <c r="P516" t="b">
        <v>0</v>
      </c>
      <c r="Q516" t="b">
        <v>1</v>
      </c>
      <c r="R516" t="s">
        <v>23</v>
      </c>
      <c r="S516" t="s">
        <v>2034</v>
      </c>
      <c r="T516" t="s">
        <v>2035</v>
      </c>
    </row>
    <row r="517" spans="1:20" ht="15.75" customHeight="1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>Table1[[#This Row],[pledged]]/Table1[[#This Row],[goal]]</f>
        <v>0.55779069767441858</v>
      </c>
      <c r="G517" t="s">
        <v>14</v>
      </c>
      <c r="H517">
        <v>133</v>
      </c>
      <c r="I517" t="s">
        <v>15</v>
      </c>
      <c r="J517" t="s">
        <v>16</v>
      </c>
      <c r="K517" s="12">
        <f>IF(OR(E517=0, H517=0), 0, E517/H517)</f>
        <v>36.067669172932334</v>
      </c>
      <c r="L517">
        <v>1324620000</v>
      </c>
      <c r="M517" s="10">
        <f>(((L517/60)/60)/24)+DATE(1970,1,1)</f>
        <v>40900.25</v>
      </c>
      <c r="N517">
        <v>1324792800</v>
      </c>
      <c r="O517" s="10">
        <f>(((N517/60)/60)/24)+DATE(1970,1,1)</f>
        <v>40902.25</v>
      </c>
      <c r="P517" t="b">
        <v>0</v>
      </c>
      <c r="Q517" t="b">
        <v>1</v>
      </c>
      <c r="R517" t="s">
        <v>33</v>
      </c>
      <c r="S517" t="s">
        <v>2038</v>
      </c>
      <c r="T517" t="s">
        <v>2039</v>
      </c>
    </row>
    <row r="518" spans="1:20" ht="15.75" customHeight="1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>Table1[[#This Row],[pledged]]/Table1[[#This Row],[goal]]</f>
        <v>0.42523125996810207</v>
      </c>
      <c r="G518" t="s">
        <v>14</v>
      </c>
      <c r="H518">
        <v>846</v>
      </c>
      <c r="I518" t="s">
        <v>21</v>
      </c>
      <c r="J518" t="s">
        <v>22</v>
      </c>
      <c r="K518" s="12">
        <f>IF(OR(E518=0, H518=0), 0, E518/H518)</f>
        <v>63.030732860520096</v>
      </c>
      <c r="L518">
        <v>1281070800</v>
      </c>
      <c r="M518" s="10">
        <f>(((L518/60)/60)/24)+DATE(1970,1,1)</f>
        <v>40396.208333333336</v>
      </c>
      <c r="N518">
        <v>1284354000</v>
      </c>
      <c r="O518" s="10">
        <f>(((N518/60)/60)/24)+DATE(1970,1,1)</f>
        <v>40434.208333333336</v>
      </c>
      <c r="P518" t="b">
        <v>0</v>
      </c>
      <c r="Q518" t="b">
        <v>0</v>
      </c>
      <c r="R518" t="s">
        <v>68</v>
      </c>
      <c r="S518" t="s">
        <v>2046</v>
      </c>
      <c r="T518" t="s">
        <v>2047</v>
      </c>
    </row>
    <row r="519" spans="1:20" ht="15.75" customHeight="1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>Table1[[#This Row],[pledged]]/Table1[[#This Row],[goal]]</f>
        <v>1.1200000000000001</v>
      </c>
      <c r="G519" t="s">
        <v>20</v>
      </c>
      <c r="H519">
        <v>78</v>
      </c>
      <c r="I519" t="s">
        <v>21</v>
      </c>
      <c r="J519" t="s">
        <v>22</v>
      </c>
      <c r="K519" s="12">
        <f>IF(OR(E519=0, H519=0), 0, E519/H519)</f>
        <v>84.717948717948715</v>
      </c>
      <c r="L519">
        <v>1493960400</v>
      </c>
      <c r="M519" s="10">
        <f>(((L519/60)/60)/24)+DATE(1970,1,1)</f>
        <v>42860.208333333328</v>
      </c>
      <c r="N519">
        <v>1494392400</v>
      </c>
      <c r="O519" s="10">
        <f>(((N519/60)/60)/24)+DATE(1970,1,1)</f>
        <v>42865.208333333328</v>
      </c>
      <c r="P519" t="b">
        <v>0</v>
      </c>
      <c r="Q519" t="b">
        <v>0</v>
      </c>
      <c r="R519" t="s">
        <v>17</v>
      </c>
      <c r="S519" t="s">
        <v>2032</v>
      </c>
      <c r="T519" t="s">
        <v>2033</v>
      </c>
    </row>
    <row r="520" spans="1:20" ht="15.75" customHeight="1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>Table1[[#This Row],[pledged]]/Table1[[#This Row],[goal]]</f>
        <v>7.0681818181818179E-2</v>
      </c>
      <c r="G520" t="s">
        <v>14</v>
      </c>
      <c r="H520">
        <v>10</v>
      </c>
      <c r="I520" t="s">
        <v>21</v>
      </c>
      <c r="J520" t="s">
        <v>22</v>
      </c>
      <c r="K520" s="12">
        <f>IF(OR(E520=0, H520=0), 0, E520/H520)</f>
        <v>62.2</v>
      </c>
      <c r="L520">
        <v>1519365600</v>
      </c>
      <c r="M520" s="10">
        <f>(((L520/60)/60)/24)+DATE(1970,1,1)</f>
        <v>43154.25</v>
      </c>
      <c r="N520">
        <v>1519538400</v>
      </c>
      <c r="O520" s="10">
        <f>(((N520/60)/60)/24)+DATE(1970,1,1)</f>
        <v>43156.25</v>
      </c>
      <c r="P520" t="b">
        <v>0</v>
      </c>
      <c r="Q520" t="b">
        <v>1</v>
      </c>
      <c r="R520" t="s">
        <v>71</v>
      </c>
      <c r="S520" t="s">
        <v>2040</v>
      </c>
      <c r="T520" t="s">
        <v>2048</v>
      </c>
    </row>
    <row r="521" spans="1:20" ht="15.75" customHeight="1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>Table1[[#This Row],[pledged]]/Table1[[#This Row],[goal]]</f>
        <v>1.0174563871693867</v>
      </c>
      <c r="G521" t="s">
        <v>20</v>
      </c>
      <c r="H521">
        <v>1773</v>
      </c>
      <c r="I521" t="s">
        <v>21</v>
      </c>
      <c r="J521" t="s">
        <v>22</v>
      </c>
      <c r="K521" s="12">
        <f>IF(OR(E521=0, H521=0), 0, E521/H521)</f>
        <v>101.97518330513255</v>
      </c>
      <c r="L521">
        <v>1420696800</v>
      </c>
      <c r="M521" s="10">
        <f>(((L521/60)/60)/24)+DATE(1970,1,1)</f>
        <v>42012.25</v>
      </c>
      <c r="N521">
        <v>1421906400</v>
      </c>
      <c r="O521" s="10">
        <f>(((N521/60)/60)/24)+DATE(1970,1,1)</f>
        <v>42026.25</v>
      </c>
      <c r="P521" t="b">
        <v>0</v>
      </c>
      <c r="Q521" t="b">
        <v>1</v>
      </c>
      <c r="R521" t="s">
        <v>23</v>
      </c>
      <c r="S521" t="s">
        <v>2034</v>
      </c>
      <c r="T521" t="s">
        <v>2035</v>
      </c>
    </row>
    <row r="522" spans="1:20" ht="15.75" customHeight="1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>Table1[[#This Row],[pledged]]/Table1[[#This Row],[goal]]</f>
        <v>4.2575000000000003</v>
      </c>
      <c r="G522" t="s">
        <v>20</v>
      </c>
      <c r="H522">
        <v>32</v>
      </c>
      <c r="I522" t="s">
        <v>21</v>
      </c>
      <c r="J522" t="s">
        <v>22</v>
      </c>
      <c r="K522" s="12">
        <f>IF(OR(E522=0, H522=0), 0, E522/H522)</f>
        <v>106.4375</v>
      </c>
      <c r="L522">
        <v>1555650000</v>
      </c>
      <c r="M522" s="10">
        <f>(((L522/60)/60)/24)+DATE(1970,1,1)</f>
        <v>43574.208333333328</v>
      </c>
      <c r="N522">
        <v>1555909200</v>
      </c>
      <c r="O522" s="10">
        <f>(((N522/60)/60)/24)+DATE(1970,1,1)</f>
        <v>43577.208333333328</v>
      </c>
      <c r="P522" t="b">
        <v>0</v>
      </c>
      <c r="Q522" t="b">
        <v>0</v>
      </c>
      <c r="R522" t="s">
        <v>33</v>
      </c>
      <c r="S522" t="s">
        <v>2038</v>
      </c>
      <c r="T522" t="s">
        <v>2039</v>
      </c>
    </row>
    <row r="523" spans="1:20" ht="15.75" customHeight="1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>Table1[[#This Row],[pledged]]/Table1[[#This Row],[goal]]</f>
        <v>1.4553947368421052</v>
      </c>
      <c r="G523" t="s">
        <v>20</v>
      </c>
      <c r="H523">
        <v>369</v>
      </c>
      <c r="I523" t="s">
        <v>21</v>
      </c>
      <c r="J523" t="s">
        <v>22</v>
      </c>
      <c r="K523" s="12">
        <f>IF(OR(E523=0, H523=0), 0, E523/H523)</f>
        <v>29.975609756097562</v>
      </c>
      <c r="L523">
        <v>1471928400</v>
      </c>
      <c r="M523" s="10">
        <f>(((L523/60)/60)/24)+DATE(1970,1,1)</f>
        <v>42605.208333333328</v>
      </c>
      <c r="N523">
        <v>1472446800</v>
      </c>
      <c r="O523" s="10">
        <f>(((N523/60)/60)/24)+DATE(1970,1,1)</f>
        <v>42611.208333333328</v>
      </c>
      <c r="P523" t="b">
        <v>0</v>
      </c>
      <c r="Q523" t="b">
        <v>1</v>
      </c>
      <c r="R523" t="s">
        <v>53</v>
      </c>
      <c r="S523" t="s">
        <v>2040</v>
      </c>
      <c r="T523" t="s">
        <v>2043</v>
      </c>
    </row>
    <row r="524" spans="1:20" ht="15.75" customHeight="1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>Table1[[#This Row],[pledged]]/Table1[[#This Row],[goal]]</f>
        <v>0.32453465346534655</v>
      </c>
      <c r="G524" t="s">
        <v>14</v>
      </c>
      <c r="H524">
        <v>191</v>
      </c>
      <c r="I524" t="s">
        <v>21</v>
      </c>
      <c r="J524" t="s">
        <v>22</v>
      </c>
      <c r="K524" s="12">
        <f>IF(OR(E524=0, H524=0), 0, E524/H524)</f>
        <v>85.806282722513089</v>
      </c>
      <c r="L524">
        <v>1341291600</v>
      </c>
      <c r="M524" s="10">
        <f>(((L524/60)/60)/24)+DATE(1970,1,1)</f>
        <v>41093.208333333336</v>
      </c>
      <c r="N524">
        <v>1342328400</v>
      </c>
      <c r="O524" s="10">
        <f>(((N524/60)/60)/24)+DATE(1970,1,1)</f>
        <v>41105.208333333336</v>
      </c>
      <c r="P524" t="b">
        <v>0</v>
      </c>
      <c r="Q524" t="b">
        <v>0</v>
      </c>
      <c r="R524" t="s">
        <v>100</v>
      </c>
      <c r="S524" t="s">
        <v>2040</v>
      </c>
      <c r="T524" t="s">
        <v>2051</v>
      </c>
    </row>
    <row r="525" spans="1:20" ht="15.75" customHeight="1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>Table1[[#This Row],[pledged]]/Table1[[#This Row],[goal]]</f>
        <v>7.003333333333333</v>
      </c>
      <c r="G525" t="s">
        <v>20</v>
      </c>
      <c r="H525">
        <v>89</v>
      </c>
      <c r="I525" t="s">
        <v>21</v>
      </c>
      <c r="J525" t="s">
        <v>22</v>
      </c>
      <c r="K525" s="12">
        <f>IF(OR(E525=0, H525=0), 0, E525/H525)</f>
        <v>70.82022471910112</v>
      </c>
      <c r="L525">
        <v>1267682400</v>
      </c>
      <c r="M525" s="10">
        <f>(((L525/60)/60)/24)+DATE(1970,1,1)</f>
        <v>40241.25</v>
      </c>
      <c r="N525">
        <v>1268114400</v>
      </c>
      <c r="O525" s="10">
        <f>(((N525/60)/60)/24)+DATE(1970,1,1)</f>
        <v>40246.25</v>
      </c>
      <c r="P525" t="b">
        <v>0</v>
      </c>
      <c r="Q525" t="b">
        <v>0</v>
      </c>
      <c r="R525" t="s">
        <v>100</v>
      </c>
      <c r="S525" t="s">
        <v>2040</v>
      </c>
      <c r="T525" t="s">
        <v>2051</v>
      </c>
    </row>
    <row r="526" spans="1:20" ht="15.75" customHeight="1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>Table1[[#This Row],[pledged]]/Table1[[#This Row],[goal]]</f>
        <v>0.83904860392967939</v>
      </c>
      <c r="G526" t="s">
        <v>14</v>
      </c>
      <c r="H526">
        <v>1979</v>
      </c>
      <c r="I526" t="s">
        <v>21</v>
      </c>
      <c r="J526" t="s">
        <v>22</v>
      </c>
      <c r="K526" s="12">
        <f>IF(OR(E526=0, H526=0), 0, E526/H526)</f>
        <v>40.998484082870135</v>
      </c>
      <c r="L526">
        <v>1272258000</v>
      </c>
      <c r="M526" s="10">
        <f>(((L526/60)/60)/24)+DATE(1970,1,1)</f>
        <v>40294.208333333336</v>
      </c>
      <c r="N526">
        <v>1273381200</v>
      </c>
      <c r="O526" s="10">
        <f>(((N526/60)/60)/24)+DATE(1970,1,1)</f>
        <v>40307.208333333336</v>
      </c>
      <c r="P526" t="b">
        <v>0</v>
      </c>
      <c r="Q526" t="b">
        <v>0</v>
      </c>
      <c r="R526" t="s">
        <v>33</v>
      </c>
      <c r="S526" t="s">
        <v>2038</v>
      </c>
      <c r="T526" t="s">
        <v>2039</v>
      </c>
    </row>
    <row r="527" spans="1:20" ht="15.75" customHeight="1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>Table1[[#This Row],[pledged]]/Table1[[#This Row],[goal]]</f>
        <v>0.84190476190476193</v>
      </c>
      <c r="G527" t="s">
        <v>14</v>
      </c>
      <c r="H527">
        <v>63</v>
      </c>
      <c r="I527" t="s">
        <v>21</v>
      </c>
      <c r="J527" t="s">
        <v>22</v>
      </c>
      <c r="K527" s="12">
        <f>IF(OR(E527=0, H527=0), 0, E527/H527)</f>
        <v>28.063492063492063</v>
      </c>
      <c r="L527">
        <v>1290492000</v>
      </c>
      <c r="M527" s="10">
        <f>(((L527/60)/60)/24)+DATE(1970,1,1)</f>
        <v>40505.25</v>
      </c>
      <c r="N527">
        <v>1290837600</v>
      </c>
      <c r="O527" s="10">
        <f>(((N527/60)/60)/24)+DATE(1970,1,1)</f>
        <v>40509.25</v>
      </c>
      <c r="P527" t="b">
        <v>0</v>
      </c>
      <c r="Q527" t="b">
        <v>0</v>
      </c>
      <c r="R527" t="s">
        <v>65</v>
      </c>
      <c r="S527" t="s">
        <v>2036</v>
      </c>
      <c r="T527" t="s">
        <v>2045</v>
      </c>
    </row>
    <row r="528" spans="1:20" ht="15.75" customHeight="1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>Table1[[#This Row],[pledged]]/Table1[[#This Row],[goal]]</f>
        <v>1.5595180722891566</v>
      </c>
      <c r="G528" t="s">
        <v>20</v>
      </c>
      <c r="H528">
        <v>147</v>
      </c>
      <c r="I528" t="s">
        <v>21</v>
      </c>
      <c r="J528" t="s">
        <v>22</v>
      </c>
      <c r="K528" s="12">
        <f>IF(OR(E528=0, H528=0), 0, E528/H528)</f>
        <v>88.054421768707485</v>
      </c>
      <c r="L528">
        <v>1451109600</v>
      </c>
      <c r="M528" s="10">
        <f>(((L528/60)/60)/24)+DATE(1970,1,1)</f>
        <v>42364.25</v>
      </c>
      <c r="N528">
        <v>1454306400</v>
      </c>
      <c r="O528" s="10">
        <f>(((N528/60)/60)/24)+DATE(1970,1,1)</f>
        <v>42401.25</v>
      </c>
      <c r="P528" t="b">
        <v>0</v>
      </c>
      <c r="Q528" t="b">
        <v>1</v>
      </c>
      <c r="R528" t="s">
        <v>33</v>
      </c>
      <c r="S528" t="s">
        <v>2038</v>
      </c>
      <c r="T528" t="s">
        <v>2039</v>
      </c>
    </row>
    <row r="529" spans="1:20" ht="15.75" customHeight="1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>Table1[[#This Row],[pledged]]/Table1[[#This Row],[goal]]</f>
        <v>0.99619450317124736</v>
      </c>
      <c r="G529" t="s">
        <v>14</v>
      </c>
      <c r="H529">
        <v>6080</v>
      </c>
      <c r="I529" t="s">
        <v>15</v>
      </c>
      <c r="J529" t="s">
        <v>16</v>
      </c>
      <c r="K529" s="12">
        <f>IF(OR(E529=0, H529=0), 0, E529/H529)</f>
        <v>31</v>
      </c>
      <c r="L529">
        <v>1454652000</v>
      </c>
      <c r="M529" s="10">
        <f>(((L529/60)/60)/24)+DATE(1970,1,1)</f>
        <v>42405.25</v>
      </c>
      <c r="N529">
        <v>1457762400</v>
      </c>
      <c r="O529" s="10">
        <f>(((N529/60)/60)/24)+DATE(1970,1,1)</f>
        <v>42441.25</v>
      </c>
      <c r="P529" t="b">
        <v>0</v>
      </c>
      <c r="Q529" t="b">
        <v>0</v>
      </c>
      <c r="R529" t="s">
        <v>71</v>
      </c>
      <c r="S529" t="s">
        <v>2040</v>
      </c>
      <c r="T529" t="s">
        <v>2048</v>
      </c>
    </row>
    <row r="530" spans="1:20" ht="15.75" customHeight="1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>Table1[[#This Row],[pledged]]/Table1[[#This Row],[goal]]</f>
        <v>0.80300000000000005</v>
      </c>
      <c r="G530" t="s">
        <v>14</v>
      </c>
      <c r="H530">
        <v>80</v>
      </c>
      <c r="I530" t="s">
        <v>40</v>
      </c>
      <c r="J530" t="s">
        <v>41</v>
      </c>
      <c r="K530" s="12">
        <f>IF(OR(E530=0, H530=0), 0, E530/H530)</f>
        <v>90.337500000000006</v>
      </c>
      <c r="L530">
        <v>1385186400</v>
      </c>
      <c r="M530" s="10">
        <f>(((L530/60)/60)/24)+DATE(1970,1,1)</f>
        <v>41601.25</v>
      </c>
      <c r="N530">
        <v>1389074400</v>
      </c>
      <c r="O530" s="10">
        <f>(((N530/60)/60)/24)+DATE(1970,1,1)</f>
        <v>41646.25</v>
      </c>
      <c r="P530" t="b">
        <v>0</v>
      </c>
      <c r="Q530" t="b">
        <v>0</v>
      </c>
      <c r="R530" t="s">
        <v>60</v>
      </c>
      <c r="S530" t="s">
        <v>2034</v>
      </c>
      <c r="T530" t="s">
        <v>2044</v>
      </c>
    </row>
    <row r="531" spans="1:20" ht="15.75" customHeight="1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>Table1[[#This Row],[pledged]]/Table1[[#This Row],[goal]]</f>
        <v>0.11254901960784314</v>
      </c>
      <c r="G531" t="s">
        <v>14</v>
      </c>
      <c r="H531">
        <v>9</v>
      </c>
      <c r="I531" t="s">
        <v>21</v>
      </c>
      <c r="J531" t="s">
        <v>22</v>
      </c>
      <c r="K531" s="12">
        <f>IF(OR(E531=0, H531=0), 0, E531/H531)</f>
        <v>63.777777777777779</v>
      </c>
      <c r="L531">
        <v>1399698000</v>
      </c>
      <c r="M531" s="10">
        <f>(((L531/60)/60)/24)+DATE(1970,1,1)</f>
        <v>41769.208333333336</v>
      </c>
      <c r="N531">
        <v>1402117200</v>
      </c>
      <c r="O531" s="10">
        <f>(((N531/60)/60)/24)+DATE(1970,1,1)</f>
        <v>41797.208333333336</v>
      </c>
      <c r="P531" t="b">
        <v>0</v>
      </c>
      <c r="Q531" t="b">
        <v>0</v>
      </c>
      <c r="R531" t="s">
        <v>89</v>
      </c>
      <c r="S531" t="s">
        <v>2049</v>
      </c>
      <c r="T531" t="s">
        <v>2050</v>
      </c>
    </row>
    <row r="532" spans="1:20" ht="15.75" customHeight="1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>Table1[[#This Row],[pledged]]/Table1[[#This Row],[goal]]</f>
        <v>0.91740952380952379</v>
      </c>
      <c r="G532" t="s">
        <v>14</v>
      </c>
      <c r="H532">
        <v>1784</v>
      </c>
      <c r="I532" t="s">
        <v>21</v>
      </c>
      <c r="J532" t="s">
        <v>22</v>
      </c>
      <c r="K532" s="12">
        <f>IF(OR(E532=0, H532=0), 0, E532/H532)</f>
        <v>53.995515695067262</v>
      </c>
      <c r="L532">
        <v>1283230800</v>
      </c>
      <c r="M532" s="10">
        <f>(((L532/60)/60)/24)+DATE(1970,1,1)</f>
        <v>40421.208333333336</v>
      </c>
      <c r="N532">
        <v>1284440400</v>
      </c>
      <c r="O532" s="10">
        <f>(((N532/60)/60)/24)+DATE(1970,1,1)</f>
        <v>40435.208333333336</v>
      </c>
      <c r="P532" t="b">
        <v>0</v>
      </c>
      <c r="Q532" t="b">
        <v>1</v>
      </c>
      <c r="R532" t="s">
        <v>119</v>
      </c>
      <c r="S532" t="s">
        <v>2046</v>
      </c>
      <c r="T532" t="s">
        <v>2052</v>
      </c>
    </row>
    <row r="533" spans="1:20" ht="15.75" customHeight="1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>Table1[[#This Row],[pledged]]/Table1[[#This Row],[goal]]</f>
        <v>0.95521156936261387</v>
      </c>
      <c r="G533" t="s">
        <v>47</v>
      </c>
      <c r="H533">
        <v>3640</v>
      </c>
      <c r="I533" t="s">
        <v>98</v>
      </c>
      <c r="J533" t="s">
        <v>99</v>
      </c>
      <c r="K533" s="12">
        <f>IF(OR(E533=0, H533=0), 0, E533/H533)</f>
        <v>48.993956043956047</v>
      </c>
      <c r="L533">
        <v>1384149600</v>
      </c>
      <c r="M533" s="10">
        <f>(((L533/60)/60)/24)+DATE(1970,1,1)</f>
        <v>41589.25</v>
      </c>
      <c r="N533">
        <v>1388988000</v>
      </c>
      <c r="O533" s="10">
        <f>(((N533/60)/60)/24)+DATE(1970,1,1)</f>
        <v>41645.25</v>
      </c>
      <c r="P533" t="b">
        <v>0</v>
      </c>
      <c r="Q533" t="b">
        <v>0</v>
      </c>
      <c r="R533" t="s">
        <v>89</v>
      </c>
      <c r="S533" t="s">
        <v>2049</v>
      </c>
      <c r="T533" t="s">
        <v>2050</v>
      </c>
    </row>
    <row r="534" spans="1:20" ht="15.75" customHeight="1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>Table1[[#This Row],[pledged]]/Table1[[#This Row],[goal]]</f>
        <v>5.0287499999999996</v>
      </c>
      <c r="G534" t="s">
        <v>20</v>
      </c>
      <c r="H534">
        <v>126</v>
      </c>
      <c r="I534" t="s">
        <v>15</v>
      </c>
      <c r="J534" t="s">
        <v>16</v>
      </c>
      <c r="K534" s="12">
        <f>IF(OR(E534=0, H534=0), 0, E534/H534)</f>
        <v>63.857142857142854</v>
      </c>
      <c r="L534">
        <v>1516860000</v>
      </c>
      <c r="M534" s="10">
        <f>(((L534/60)/60)/24)+DATE(1970,1,1)</f>
        <v>43125.25</v>
      </c>
      <c r="N534">
        <v>1516946400</v>
      </c>
      <c r="O534" s="10">
        <f>(((N534/60)/60)/24)+DATE(1970,1,1)</f>
        <v>43126.25</v>
      </c>
      <c r="P534" t="b">
        <v>0</v>
      </c>
      <c r="Q534" t="b">
        <v>0</v>
      </c>
      <c r="R534" t="s">
        <v>33</v>
      </c>
      <c r="S534" t="s">
        <v>2038</v>
      </c>
      <c r="T534" t="s">
        <v>2039</v>
      </c>
    </row>
    <row r="535" spans="1:20" ht="15.75" customHeight="1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>Table1[[#This Row],[pledged]]/Table1[[#This Row],[goal]]</f>
        <v>1.5924394463667819</v>
      </c>
      <c r="G535" t="s">
        <v>20</v>
      </c>
      <c r="H535">
        <v>2218</v>
      </c>
      <c r="I535" t="s">
        <v>40</v>
      </c>
      <c r="J535" t="s">
        <v>41</v>
      </c>
      <c r="K535" s="12">
        <f>IF(OR(E535=0, H535=0), 0, E535/H535)</f>
        <v>82.996393146979258</v>
      </c>
      <c r="L535">
        <v>1374642000</v>
      </c>
      <c r="M535" s="10">
        <f>(((L535/60)/60)/24)+DATE(1970,1,1)</f>
        <v>41479.208333333336</v>
      </c>
      <c r="N535">
        <v>1377752400</v>
      </c>
      <c r="O535" s="10">
        <f>(((N535/60)/60)/24)+DATE(1970,1,1)</f>
        <v>41515.208333333336</v>
      </c>
      <c r="P535" t="b">
        <v>0</v>
      </c>
      <c r="Q535" t="b">
        <v>0</v>
      </c>
      <c r="R535" t="s">
        <v>60</v>
      </c>
      <c r="S535" t="s">
        <v>2034</v>
      </c>
      <c r="T535" t="s">
        <v>2044</v>
      </c>
    </row>
    <row r="536" spans="1:20" ht="15.75" customHeight="1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>Table1[[#This Row],[pledged]]/Table1[[#This Row],[goal]]</f>
        <v>0.15022446689113356</v>
      </c>
      <c r="G536" t="s">
        <v>14</v>
      </c>
      <c r="H536">
        <v>243</v>
      </c>
      <c r="I536" t="s">
        <v>21</v>
      </c>
      <c r="J536" t="s">
        <v>22</v>
      </c>
      <c r="K536" s="12">
        <f>IF(OR(E536=0, H536=0), 0, E536/H536)</f>
        <v>55.08230452674897</v>
      </c>
      <c r="L536">
        <v>1534482000</v>
      </c>
      <c r="M536" s="10">
        <f>(((L536/60)/60)/24)+DATE(1970,1,1)</f>
        <v>43329.208333333328</v>
      </c>
      <c r="N536">
        <v>1534568400</v>
      </c>
      <c r="O536" s="10">
        <f>(((N536/60)/60)/24)+DATE(1970,1,1)</f>
        <v>43330.208333333328</v>
      </c>
      <c r="P536" t="b">
        <v>0</v>
      </c>
      <c r="Q536" t="b">
        <v>1</v>
      </c>
      <c r="R536" t="s">
        <v>53</v>
      </c>
      <c r="S536" t="s">
        <v>2040</v>
      </c>
      <c r="T536" t="s">
        <v>2043</v>
      </c>
    </row>
    <row r="537" spans="1:20" ht="15.75" customHeight="1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>Table1[[#This Row],[pledged]]/Table1[[#This Row],[goal]]</f>
        <v>4.820384615384615</v>
      </c>
      <c r="G537" t="s">
        <v>20</v>
      </c>
      <c r="H537">
        <v>202</v>
      </c>
      <c r="I537" t="s">
        <v>107</v>
      </c>
      <c r="J537" t="s">
        <v>108</v>
      </c>
      <c r="K537" s="12">
        <f>IF(OR(E537=0, H537=0), 0, E537/H537)</f>
        <v>62.044554455445542</v>
      </c>
      <c r="L537">
        <v>1528434000</v>
      </c>
      <c r="M537" s="10">
        <f>(((L537/60)/60)/24)+DATE(1970,1,1)</f>
        <v>43259.208333333328</v>
      </c>
      <c r="N537">
        <v>1528606800</v>
      </c>
      <c r="O537" s="10">
        <f>(((N537/60)/60)/24)+DATE(1970,1,1)</f>
        <v>43261.208333333328</v>
      </c>
      <c r="P537" t="b">
        <v>0</v>
      </c>
      <c r="Q537" t="b">
        <v>1</v>
      </c>
      <c r="R537" t="s">
        <v>33</v>
      </c>
      <c r="S537" t="s">
        <v>2038</v>
      </c>
      <c r="T537" t="s">
        <v>2039</v>
      </c>
    </row>
    <row r="538" spans="1:20" ht="15.75" customHeight="1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>Table1[[#This Row],[pledged]]/Table1[[#This Row],[goal]]</f>
        <v>1.4996938775510205</v>
      </c>
      <c r="G538" t="s">
        <v>20</v>
      </c>
      <c r="H538">
        <v>140</v>
      </c>
      <c r="I538" t="s">
        <v>107</v>
      </c>
      <c r="J538" t="s">
        <v>108</v>
      </c>
      <c r="K538" s="12">
        <f>IF(OR(E538=0, H538=0), 0, E538/H538)</f>
        <v>104.97857142857143</v>
      </c>
      <c r="L538">
        <v>1282626000</v>
      </c>
      <c r="M538" s="10">
        <f>(((L538/60)/60)/24)+DATE(1970,1,1)</f>
        <v>40414.208333333336</v>
      </c>
      <c r="N538">
        <v>1284872400</v>
      </c>
      <c r="O538" s="10">
        <f>(((N538/60)/60)/24)+DATE(1970,1,1)</f>
        <v>40440.208333333336</v>
      </c>
      <c r="P538" t="b">
        <v>0</v>
      </c>
      <c r="Q538" t="b">
        <v>0</v>
      </c>
      <c r="R538" t="s">
        <v>119</v>
      </c>
      <c r="S538" t="s">
        <v>2046</v>
      </c>
      <c r="T538" t="s">
        <v>2052</v>
      </c>
    </row>
    <row r="539" spans="1:20" ht="15.75" customHeight="1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>Table1[[#This Row],[pledged]]/Table1[[#This Row],[goal]]</f>
        <v>1.1722156398104266</v>
      </c>
      <c r="G539" t="s">
        <v>20</v>
      </c>
      <c r="H539">
        <v>1052</v>
      </c>
      <c r="I539" t="s">
        <v>36</v>
      </c>
      <c r="J539" t="s">
        <v>37</v>
      </c>
      <c r="K539" s="12">
        <f>IF(OR(E539=0, H539=0), 0, E539/H539)</f>
        <v>94.044676806083643</v>
      </c>
      <c r="L539">
        <v>1535605200</v>
      </c>
      <c r="M539" s="10">
        <f>(((L539/60)/60)/24)+DATE(1970,1,1)</f>
        <v>43342.208333333328</v>
      </c>
      <c r="N539">
        <v>1537592400</v>
      </c>
      <c r="O539" s="10">
        <f>(((N539/60)/60)/24)+DATE(1970,1,1)</f>
        <v>43365.208333333328</v>
      </c>
      <c r="P539" t="b">
        <v>1</v>
      </c>
      <c r="Q539" t="b">
        <v>1</v>
      </c>
      <c r="R539" t="s">
        <v>42</v>
      </c>
      <c r="S539" t="s">
        <v>2040</v>
      </c>
      <c r="T539" t="s">
        <v>2041</v>
      </c>
    </row>
    <row r="540" spans="1:20" ht="15.75" customHeight="1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>Table1[[#This Row],[pledged]]/Table1[[#This Row],[goal]]</f>
        <v>0.37695968274950431</v>
      </c>
      <c r="G540" t="s">
        <v>14</v>
      </c>
      <c r="H540">
        <v>1296</v>
      </c>
      <c r="I540" t="s">
        <v>21</v>
      </c>
      <c r="J540" t="s">
        <v>22</v>
      </c>
      <c r="K540" s="12">
        <f>IF(OR(E540=0, H540=0), 0, E540/H540)</f>
        <v>44.007716049382715</v>
      </c>
      <c r="L540">
        <v>1379826000</v>
      </c>
      <c r="M540" s="10">
        <f>(((L540/60)/60)/24)+DATE(1970,1,1)</f>
        <v>41539.208333333336</v>
      </c>
      <c r="N540">
        <v>1381208400</v>
      </c>
      <c r="O540" s="10">
        <f>(((N540/60)/60)/24)+DATE(1970,1,1)</f>
        <v>41555.208333333336</v>
      </c>
      <c r="P540" t="b">
        <v>0</v>
      </c>
      <c r="Q540" t="b">
        <v>0</v>
      </c>
      <c r="R540" t="s">
        <v>292</v>
      </c>
      <c r="S540" t="s">
        <v>2049</v>
      </c>
      <c r="T540" t="s">
        <v>2060</v>
      </c>
    </row>
    <row r="541" spans="1:20" ht="15.75" customHeight="1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>Table1[[#This Row],[pledged]]/Table1[[#This Row],[goal]]</f>
        <v>0.72653061224489801</v>
      </c>
      <c r="G541" t="s">
        <v>14</v>
      </c>
      <c r="H541">
        <v>77</v>
      </c>
      <c r="I541" t="s">
        <v>21</v>
      </c>
      <c r="J541" t="s">
        <v>22</v>
      </c>
      <c r="K541" s="12">
        <f>IF(OR(E541=0, H541=0), 0, E541/H541)</f>
        <v>92.467532467532465</v>
      </c>
      <c r="L541">
        <v>1561957200</v>
      </c>
      <c r="M541" s="10">
        <f>(((L541/60)/60)/24)+DATE(1970,1,1)</f>
        <v>43647.208333333328</v>
      </c>
      <c r="N541">
        <v>1562475600</v>
      </c>
      <c r="O541" s="10">
        <f>(((N541/60)/60)/24)+DATE(1970,1,1)</f>
        <v>43653.208333333328</v>
      </c>
      <c r="P541" t="b">
        <v>0</v>
      </c>
      <c r="Q541" t="b">
        <v>1</v>
      </c>
      <c r="R541" t="s">
        <v>17</v>
      </c>
      <c r="S541" t="s">
        <v>2032</v>
      </c>
      <c r="T541" t="s">
        <v>2033</v>
      </c>
    </row>
    <row r="542" spans="1:20" ht="15.75" customHeight="1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>Table1[[#This Row],[pledged]]/Table1[[#This Row],[goal]]</f>
        <v>2.6598113207547169</v>
      </c>
      <c r="G542" t="s">
        <v>20</v>
      </c>
      <c r="H542">
        <v>247</v>
      </c>
      <c r="I542" t="s">
        <v>21</v>
      </c>
      <c r="J542" t="s">
        <v>22</v>
      </c>
      <c r="K542" s="12">
        <f>IF(OR(E542=0, H542=0), 0, E542/H542)</f>
        <v>57.072874493927124</v>
      </c>
      <c r="L542">
        <v>1525496400</v>
      </c>
      <c r="M542" s="10">
        <f>(((L542/60)/60)/24)+DATE(1970,1,1)</f>
        <v>43225.208333333328</v>
      </c>
      <c r="N542">
        <v>1527397200</v>
      </c>
      <c r="O542" s="10">
        <f>(((N542/60)/60)/24)+DATE(1970,1,1)</f>
        <v>43247.208333333328</v>
      </c>
      <c r="P542" t="b">
        <v>0</v>
      </c>
      <c r="Q542" t="b">
        <v>0</v>
      </c>
      <c r="R542" t="s">
        <v>122</v>
      </c>
      <c r="S542" t="s">
        <v>2053</v>
      </c>
      <c r="T542" t="s">
        <v>2054</v>
      </c>
    </row>
    <row r="543" spans="1:20" ht="15.75" customHeight="1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>Table1[[#This Row],[pledged]]/Table1[[#This Row],[goal]]</f>
        <v>0.24205617977528091</v>
      </c>
      <c r="G543" t="s">
        <v>14</v>
      </c>
      <c r="H543">
        <v>395</v>
      </c>
      <c r="I543" t="s">
        <v>107</v>
      </c>
      <c r="J543" t="s">
        <v>108</v>
      </c>
      <c r="K543" s="12">
        <f>IF(OR(E543=0, H543=0), 0, E543/H543)</f>
        <v>109.07848101265823</v>
      </c>
      <c r="L543">
        <v>1433912400</v>
      </c>
      <c r="M543" s="10">
        <f>(((L543/60)/60)/24)+DATE(1970,1,1)</f>
        <v>42165.208333333328</v>
      </c>
      <c r="N543">
        <v>1436158800</v>
      </c>
      <c r="O543" s="10">
        <f>(((N543/60)/60)/24)+DATE(1970,1,1)</f>
        <v>42191.208333333328</v>
      </c>
      <c r="P543" t="b">
        <v>0</v>
      </c>
      <c r="Q543" t="b">
        <v>0</v>
      </c>
      <c r="R543" t="s">
        <v>292</v>
      </c>
      <c r="S543" t="s">
        <v>2049</v>
      </c>
      <c r="T543" t="s">
        <v>2060</v>
      </c>
    </row>
    <row r="544" spans="1:20" ht="15.75" customHeight="1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>Table1[[#This Row],[pledged]]/Table1[[#This Row],[goal]]</f>
        <v>2.5064935064935064E-2</v>
      </c>
      <c r="G544" t="s">
        <v>14</v>
      </c>
      <c r="H544">
        <v>49</v>
      </c>
      <c r="I544" t="s">
        <v>40</v>
      </c>
      <c r="J544" t="s">
        <v>41</v>
      </c>
      <c r="K544" s="12">
        <f>IF(OR(E544=0, H544=0), 0, E544/H544)</f>
        <v>39.387755102040813</v>
      </c>
      <c r="L544">
        <v>1453442400</v>
      </c>
      <c r="M544" s="10">
        <f>(((L544/60)/60)/24)+DATE(1970,1,1)</f>
        <v>42391.25</v>
      </c>
      <c r="N544">
        <v>1456034400</v>
      </c>
      <c r="O544" s="10">
        <f>(((N544/60)/60)/24)+DATE(1970,1,1)</f>
        <v>42421.25</v>
      </c>
      <c r="P544" t="b">
        <v>0</v>
      </c>
      <c r="Q544" t="b">
        <v>0</v>
      </c>
      <c r="R544" t="s">
        <v>60</v>
      </c>
      <c r="S544" t="s">
        <v>2034</v>
      </c>
      <c r="T544" t="s">
        <v>2044</v>
      </c>
    </row>
    <row r="545" spans="1:20" ht="15.75" customHeight="1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>Table1[[#This Row],[pledged]]/Table1[[#This Row],[goal]]</f>
        <v>0.1632979976442874</v>
      </c>
      <c r="G545" t="s">
        <v>14</v>
      </c>
      <c r="H545">
        <v>180</v>
      </c>
      <c r="I545" t="s">
        <v>21</v>
      </c>
      <c r="J545" t="s">
        <v>22</v>
      </c>
      <c r="K545" s="12">
        <f>IF(OR(E545=0, H545=0), 0, E545/H545)</f>
        <v>77.022222222222226</v>
      </c>
      <c r="L545">
        <v>1378875600</v>
      </c>
      <c r="M545" s="10">
        <f>(((L545/60)/60)/24)+DATE(1970,1,1)</f>
        <v>41528.208333333336</v>
      </c>
      <c r="N545">
        <v>1380171600</v>
      </c>
      <c r="O545" s="10">
        <f>(((N545/60)/60)/24)+DATE(1970,1,1)</f>
        <v>41543.208333333336</v>
      </c>
      <c r="P545" t="b">
        <v>0</v>
      </c>
      <c r="Q545" t="b">
        <v>0</v>
      </c>
      <c r="R545" t="s">
        <v>89</v>
      </c>
      <c r="S545" t="s">
        <v>2049</v>
      </c>
      <c r="T545" t="s">
        <v>2050</v>
      </c>
    </row>
    <row r="546" spans="1:20" ht="15.75" customHeight="1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>Table1[[#This Row],[pledged]]/Table1[[#This Row],[goal]]</f>
        <v>2.7650000000000001</v>
      </c>
      <c r="G546" t="s">
        <v>20</v>
      </c>
      <c r="H546">
        <v>84</v>
      </c>
      <c r="I546" t="s">
        <v>21</v>
      </c>
      <c r="J546" t="s">
        <v>22</v>
      </c>
      <c r="K546" s="12">
        <f>IF(OR(E546=0, H546=0), 0, E546/H546)</f>
        <v>92.166666666666671</v>
      </c>
      <c r="L546">
        <v>1452232800</v>
      </c>
      <c r="M546" s="10">
        <f>(((L546/60)/60)/24)+DATE(1970,1,1)</f>
        <v>42377.25</v>
      </c>
      <c r="N546">
        <v>1453356000</v>
      </c>
      <c r="O546" s="10">
        <f>(((N546/60)/60)/24)+DATE(1970,1,1)</f>
        <v>42390.25</v>
      </c>
      <c r="P546" t="b">
        <v>0</v>
      </c>
      <c r="Q546" t="b">
        <v>0</v>
      </c>
      <c r="R546" t="s">
        <v>23</v>
      </c>
      <c r="S546" t="s">
        <v>2034</v>
      </c>
      <c r="T546" t="s">
        <v>2035</v>
      </c>
    </row>
    <row r="547" spans="1:20" ht="15.75" customHeight="1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>Table1[[#This Row],[pledged]]/Table1[[#This Row],[goal]]</f>
        <v>0.88803571428571426</v>
      </c>
      <c r="G547" t="s">
        <v>14</v>
      </c>
      <c r="H547">
        <v>2690</v>
      </c>
      <c r="I547" t="s">
        <v>21</v>
      </c>
      <c r="J547" t="s">
        <v>22</v>
      </c>
      <c r="K547" s="12">
        <f>IF(OR(E547=0, H547=0), 0, E547/H547)</f>
        <v>61.007063197026021</v>
      </c>
      <c r="L547">
        <v>1577253600</v>
      </c>
      <c r="M547" s="10">
        <f>(((L547/60)/60)/24)+DATE(1970,1,1)</f>
        <v>43824.25</v>
      </c>
      <c r="N547">
        <v>1578981600</v>
      </c>
      <c r="O547" s="10">
        <f>(((N547/60)/60)/24)+DATE(1970,1,1)</f>
        <v>43844.25</v>
      </c>
      <c r="P547" t="b">
        <v>0</v>
      </c>
      <c r="Q547" t="b">
        <v>0</v>
      </c>
      <c r="R547" t="s">
        <v>33</v>
      </c>
      <c r="S547" t="s">
        <v>2038</v>
      </c>
      <c r="T547" t="s">
        <v>2039</v>
      </c>
    </row>
    <row r="548" spans="1:20" ht="15.75" customHeight="1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>Table1[[#This Row],[pledged]]/Table1[[#This Row],[goal]]</f>
        <v>1.6357142857142857</v>
      </c>
      <c r="G548" t="s">
        <v>20</v>
      </c>
      <c r="H548">
        <v>88</v>
      </c>
      <c r="I548" t="s">
        <v>21</v>
      </c>
      <c r="J548" t="s">
        <v>22</v>
      </c>
      <c r="K548" s="12">
        <f>IF(OR(E548=0, H548=0), 0, E548/H548)</f>
        <v>78.068181818181813</v>
      </c>
      <c r="L548">
        <v>1537160400</v>
      </c>
      <c r="M548" s="10">
        <f>(((L548/60)/60)/24)+DATE(1970,1,1)</f>
        <v>43360.208333333328</v>
      </c>
      <c r="N548">
        <v>1537419600</v>
      </c>
      <c r="O548" s="10">
        <f>(((N548/60)/60)/24)+DATE(1970,1,1)</f>
        <v>43363.208333333328</v>
      </c>
      <c r="P548" t="b">
        <v>0</v>
      </c>
      <c r="Q548" t="b">
        <v>1</v>
      </c>
      <c r="R548" t="s">
        <v>33</v>
      </c>
      <c r="S548" t="s">
        <v>2038</v>
      </c>
      <c r="T548" t="s">
        <v>2039</v>
      </c>
    </row>
    <row r="549" spans="1:20" ht="15.75" customHeight="1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>Table1[[#This Row],[pledged]]/Table1[[#This Row],[goal]]</f>
        <v>9.69</v>
      </c>
      <c r="G549" t="s">
        <v>20</v>
      </c>
      <c r="H549">
        <v>156</v>
      </c>
      <c r="I549" t="s">
        <v>21</v>
      </c>
      <c r="J549" t="s">
        <v>22</v>
      </c>
      <c r="K549" s="12">
        <f>IF(OR(E549=0, H549=0), 0, E549/H549)</f>
        <v>80.75</v>
      </c>
      <c r="L549">
        <v>1422165600</v>
      </c>
      <c r="M549" s="10">
        <f>(((L549/60)/60)/24)+DATE(1970,1,1)</f>
        <v>42029.25</v>
      </c>
      <c r="N549">
        <v>1423202400</v>
      </c>
      <c r="O549" s="10">
        <f>(((N549/60)/60)/24)+DATE(1970,1,1)</f>
        <v>42041.25</v>
      </c>
      <c r="P549" t="b">
        <v>0</v>
      </c>
      <c r="Q549" t="b">
        <v>0</v>
      </c>
      <c r="R549" t="s">
        <v>53</v>
      </c>
      <c r="S549" t="s">
        <v>2040</v>
      </c>
      <c r="T549" t="s">
        <v>2043</v>
      </c>
    </row>
    <row r="550" spans="1:20" ht="15.75" customHeight="1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>Table1[[#This Row],[pledged]]/Table1[[#This Row],[goal]]</f>
        <v>2.7091376701966716</v>
      </c>
      <c r="G550" t="s">
        <v>20</v>
      </c>
      <c r="H550">
        <v>2985</v>
      </c>
      <c r="I550" t="s">
        <v>21</v>
      </c>
      <c r="J550" t="s">
        <v>22</v>
      </c>
      <c r="K550" s="12">
        <f>IF(OR(E550=0, H550=0), 0, E550/H550)</f>
        <v>59.991289782244557</v>
      </c>
      <c r="L550">
        <v>1459486800</v>
      </c>
      <c r="M550" s="10">
        <f>(((L550/60)/60)/24)+DATE(1970,1,1)</f>
        <v>42461.208333333328</v>
      </c>
      <c r="N550">
        <v>1460610000</v>
      </c>
      <c r="O550" s="10">
        <f>(((N550/60)/60)/24)+DATE(1970,1,1)</f>
        <v>42474.208333333328</v>
      </c>
      <c r="P550" t="b">
        <v>0</v>
      </c>
      <c r="Q550" t="b">
        <v>0</v>
      </c>
      <c r="R550" t="s">
        <v>33</v>
      </c>
      <c r="S550" t="s">
        <v>2038</v>
      </c>
      <c r="T550" t="s">
        <v>2039</v>
      </c>
    </row>
    <row r="551" spans="1:20" ht="15.75" customHeight="1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>Table1[[#This Row],[pledged]]/Table1[[#This Row],[goal]]</f>
        <v>2.8421355932203389</v>
      </c>
      <c r="G551" t="s">
        <v>20</v>
      </c>
      <c r="H551">
        <v>762</v>
      </c>
      <c r="I551" t="s">
        <v>21</v>
      </c>
      <c r="J551" t="s">
        <v>22</v>
      </c>
      <c r="K551" s="12">
        <f>IF(OR(E551=0, H551=0), 0, E551/H551)</f>
        <v>110.03018372703411</v>
      </c>
      <c r="L551">
        <v>1369717200</v>
      </c>
      <c r="M551" s="10">
        <f>(((L551/60)/60)/24)+DATE(1970,1,1)</f>
        <v>41422.208333333336</v>
      </c>
      <c r="N551">
        <v>1370494800</v>
      </c>
      <c r="O551" s="10">
        <f>(((N551/60)/60)/24)+DATE(1970,1,1)</f>
        <v>41431.208333333336</v>
      </c>
      <c r="P551" t="b">
        <v>0</v>
      </c>
      <c r="Q551" t="b">
        <v>0</v>
      </c>
      <c r="R551" t="s">
        <v>65</v>
      </c>
      <c r="S551" t="s">
        <v>2036</v>
      </c>
      <c r="T551" t="s">
        <v>2045</v>
      </c>
    </row>
    <row r="552" spans="1:20" ht="15.75" customHeight="1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>Table1[[#This Row],[pledged]]/Table1[[#This Row],[goal]]</f>
        <v>0.04</v>
      </c>
      <c r="G552" t="s">
        <v>74</v>
      </c>
      <c r="H552">
        <v>1</v>
      </c>
      <c r="I552" t="s">
        <v>98</v>
      </c>
      <c r="J552" t="s">
        <v>99</v>
      </c>
      <c r="K552" s="12">
        <f>IF(OR(E552=0, H552=0), 0, E552/H552)</f>
        <v>4</v>
      </c>
      <c r="L552">
        <v>1330495200</v>
      </c>
      <c r="M552" s="10">
        <f>(((L552/60)/60)/24)+DATE(1970,1,1)</f>
        <v>40968.25</v>
      </c>
      <c r="N552">
        <v>1332306000</v>
      </c>
      <c r="O552" s="10">
        <f>(((N552/60)/60)/24)+DATE(1970,1,1)</f>
        <v>40989.208333333336</v>
      </c>
      <c r="P552" t="b">
        <v>0</v>
      </c>
      <c r="Q552" t="b">
        <v>0</v>
      </c>
      <c r="R552" t="s">
        <v>60</v>
      </c>
      <c r="S552" t="s">
        <v>2034</v>
      </c>
      <c r="T552" t="s">
        <v>2044</v>
      </c>
    </row>
    <row r="553" spans="1:20" ht="15.75" customHeight="1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>Table1[[#This Row],[pledged]]/Table1[[#This Row],[goal]]</f>
        <v>0.58632981676846196</v>
      </c>
      <c r="G553" t="s">
        <v>14</v>
      </c>
      <c r="H553">
        <v>2779</v>
      </c>
      <c r="I553" t="s">
        <v>26</v>
      </c>
      <c r="J553" t="s">
        <v>27</v>
      </c>
      <c r="K553" s="12">
        <f>IF(OR(E553=0, H553=0), 0, E553/H553)</f>
        <v>37.99856063332134</v>
      </c>
      <c r="L553">
        <v>1419055200</v>
      </c>
      <c r="M553" s="10">
        <f>(((L553/60)/60)/24)+DATE(1970,1,1)</f>
        <v>41993.25</v>
      </c>
      <c r="N553">
        <v>1422511200</v>
      </c>
      <c r="O553" s="10">
        <f>(((N553/60)/60)/24)+DATE(1970,1,1)</f>
        <v>42033.25</v>
      </c>
      <c r="P553" t="b">
        <v>0</v>
      </c>
      <c r="Q553" t="b">
        <v>1</v>
      </c>
      <c r="R553" t="s">
        <v>28</v>
      </c>
      <c r="S553" t="s">
        <v>2036</v>
      </c>
      <c r="T553" t="s">
        <v>2037</v>
      </c>
    </row>
    <row r="554" spans="1:20" ht="15.75" customHeight="1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>Table1[[#This Row],[pledged]]/Table1[[#This Row],[goal]]</f>
        <v>0.98511111111111116</v>
      </c>
      <c r="G554" t="s">
        <v>14</v>
      </c>
      <c r="H554">
        <v>92</v>
      </c>
      <c r="I554" t="s">
        <v>21</v>
      </c>
      <c r="J554" t="s">
        <v>22</v>
      </c>
      <c r="K554" s="12">
        <f>IF(OR(E554=0, H554=0), 0, E554/H554)</f>
        <v>96.369565217391298</v>
      </c>
      <c r="L554">
        <v>1480140000</v>
      </c>
      <c r="M554" s="10">
        <f>(((L554/60)/60)/24)+DATE(1970,1,1)</f>
        <v>42700.25</v>
      </c>
      <c r="N554">
        <v>1480312800</v>
      </c>
      <c r="O554" s="10">
        <f>(((N554/60)/60)/24)+DATE(1970,1,1)</f>
        <v>42702.25</v>
      </c>
      <c r="P554" t="b">
        <v>0</v>
      </c>
      <c r="Q554" t="b">
        <v>0</v>
      </c>
      <c r="R554" t="s">
        <v>33</v>
      </c>
      <c r="S554" t="s">
        <v>2038</v>
      </c>
      <c r="T554" t="s">
        <v>2039</v>
      </c>
    </row>
    <row r="555" spans="1:20" ht="15.75" customHeight="1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>Table1[[#This Row],[pledged]]/Table1[[#This Row],[goal]]</f>
        <v>0.43975381008206332</v>
      </c>
      <c r="G555" t="s">
        <v>14</v>
      </c>
      <c r="H555">
        <v>1028</v>
      </c>
      <c r="I555" t="s">
        <v>21</v>
      </c>
      <c r="J555" t="s">
        <v>22</v>
      </c>
      <c r="K555" s="12">
        <f>IF(OR(E555=0, H555=0), 0, E555/H555)</f>
        <v>72.978599221789878</v>
      </c>
      <c r="L555">
        <v>1293948000</v>
      </c>
      <c r="M555" s="10">
        <f>(((L555/60)/60)/24)+DATE(1970,1,1)</f>
        <v>40545.25</v>
      </c>
      <c r="N555">
        <v>1294034400</v>
      </c>
      <c r="O555" s="10">
        <f>(((N555/60)/60)/24)+DATE(1970,1,1)</f>
        <v>40546.25</v>
      </c>
      <c r="P555" t="b">
        <v>0</v>
      </c>
      <c r="Q555" t="b">
        <v>0</v>
      </c>
      <c r="R555" t="s">
        <v>23</v>
      </c>
      <c r="S555" t="s">
        <v>2034</v>
      </c>
      <c r="T555" t="s">
        <v>2035</v>
      </c>
    </row>
    <row r="556" spans="1:20" ht="15.75" customHeight="1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>Table1[[#This Row],[pledged]]/Table1[[#This Row],[goal]]</f>
        <v>1.5166315789473683</v>
      </c>
      <c r="G556" t="s">
        <v>20</v>
      </c>
      <c r="H556">
        <v>554</v>
      </c>
      <c r="I556" t="s">
        <v>15</v>
      </c>
      <c r="J556" t="s">
        <v>16</v>
      </c>
      <c r="K556" s="12">
        <f>IF(OR(E556=0, H556=0), 0, E556/H556)</f>
        <v>26.007220216606498</v>
      </c>
      <c r="L556">
        <v>1482127200</v>
      </c>
      <c r="M556" s="10">
        <f>(((L556/60)/60)/24)+DATE(1970,1,1)</f>
        <v>42723.25</v>
      </c>
      <c r="N556">
        <v>1482645600</v>
      </c>
      <c r="O556" s="10">
        <f>(((N556/60)/60)/24)+DATE(1970,1,1)</f>
        <v>42729.25</v>
      </c>
      <c r="P556" t="b">
        <v>0</v>
      </c>
      <c r="Q556" t="b">
        <v>0</v>
      </c>
      <c r="R556" t="s">
        <v>60</v>
      </c>
      <c r="S556" t="s">
        <v>2034</v>
      </c>
      <c r="T556" t="s">
        <v>2044</v>
      </c>
    </row>
    <row r="557" spans="1:20" ht="15.75" customHeight="1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>Table1[[#This Row],[pledged]]/Table1[[#This Row],[goal]]</f>
        <v>2.2363492063492063</v>
      </c>
      <c r="G557" t="s">
        <v>20</v>
      </c>
      <c r="H557">
        <v>135</v>
      </c>
      <c r="I557" t="s">
        <v>36</v>
      </c>
      <c r="J557" t="s">
        <v>37</v>
      </c>
      <c r="K557" s="12">
        <f>IF(OR(E557=0, H557=0), 0, E557/H557)</f>
        <v>104.36296296296297</v>
      </c>
      <c r="L557">
        <v>1396414800</v>
      </c>
      <c r="M557" s="10">
        <f>(((L557/60)/60)/24)+DATE(1970,1,1)</f>
        <v>41731.208333333336</v>
      </c>
      <c r="N557">
        <v>1399093200</v>
      </c>
      <c r="O557" s="10">
        <f>(((N557/60)/60)/24)+DATE(1970,1,1)</f>
        <v>41762.208333333336</v>
      </c>
      <c r="P557" t="b">
        <v>0</v>
      </c>
      <c r="Q557" t="b">
        <v>0</v>
      </c>
      <c r="R557" t="s">
        <v>23</v>
      </c>
      <c r="S557" t="s">
        <v>2034</v>
      </c>
      <c r="T557" t="s">
        <v>2035</v>
      </c>
    </row>
    <row r="558" spans="1:20" ht="15.75" customHeight="1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>Table1[[#This Row],[pledged]]/Table1[[#This Row],[goal]]</f>
        <v>2.3975</v>
      </c>
      <c r="G558" t="s">
        <v>20</v>
      </c>
      <c r="H558">
        <v>122</v>
      </c>
      <c r="I558" t="s">
        <v>21</v>
      </c>
      <c r="J558" t="s">
        <v>22</v>
      </c>
      <c r="K558" s="12">
        <f>IF(OR(E558=0, H558=0), 0, E558/H558)</f>
        <v>102.18852459016394</v>
      </c>
      <c r="L558">
        <v>1315285200</v>
      </c>
      <c r="M558" s="10">
        <f>(((L558/60)/60)/24)+DATE(1970,1,1)</f>
        <v>40792.208333333336</v>
      </c>
      <c r="N558">
        <v>1315890000</v>
      </c>
      <c r="O558" s="10">
        <f>(((N558/60)/60)/24)+DATE(1970,1,1)</f>
        <v>40799.208333333336</v>
      </c>
      <c r="P558" t="b">
        <v>0</v>
      </c>
      <c r="Q558" t="b">
        <v>1</v>
      </c>
      <c r="R558" t="s">
        <v>206</v>
      </c>
      <c r="S558" t="s">
        <v>2046</v>
      </c>
      <c r="T558" t="s">
        <v>2058</v>
      </c>
    </row>
    <row r="559" spans="1:20" ht="15.75" customHeight="1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>Table1[[#This Row],[pledged]]/Table1[[#This Row],[goal]]</f>
        <v>1.9933333333333334</v>
      </c>
      <c r="G559" t="s">
        <v>20</v>
      </c>
      <c r="H559">
        <v>221</v>
      </c>
      <c r="I559" t="s">
        <v>21</v>
      </c>
      <c r="J559" t="s">
        <v>22</v>
      </c>
      <c r="K559" s="12">
        <f>IF(OR(E559=0, H559=0), 0, E559/H559)</f>
        <v>54.117647058823529</v>
      </c>
      <c r="L559">
        <v>1443762000</v>
      </c>
      <c r="M559" s="10">
        <f>(((L559/60)/60)/24)+DATE(1970,1,1)</f>
        <v>42279.208333333328</v>
      </c>
      <c r="N559">
        <v>1444021200</v>
      </c>
      <c r="O559" s="10">
        <f>(((N559/60)/60)/24)+DATE(1970,1,1)</f>
        <v>42282.208333333328</v>
      </c>
      <c r="P559" t="b">
        <v>0</v>
      </c>
      <c r="Q559" t="b">
        <v>1</v>
      </c>
      <c r="R559" t="s">
        <v>474</v>
      </c>
      <c r="S559" t="s">
        <v>2040</v>
      </c>
      <c r="T559" t="s">
        <v>2062</v>
      </c>
    </row>
    <row r="560" spans="1:20" ht="15.75" customHeight="1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>Table1[[#This Row],[pledged]]/Table1[[#This Row],[goal]]</f>
        <v>1.373448275862069</v>
      </c>
      <c r="G560" t="s">
        <v>20</v>
      </c>
      <c r="H560">
        <v>126</v>
      </c>
      <c r="I560" t="s">
        <v>21</v>
      </c>
      <c r="J560" t="s">
        <v>22</v>
      </c>
      <c r="K560" s="12">
        <f>IF(OR(E560=0, H560=0), 0, E560/H560)</f>
        <v>63.222222222222221</v>
      </c>
      <c r="L560">
        <v>1456293600</v>
      </c>
      <c r="M560" s="10">
        <f>(((L560/60)/60)/24)+DATE(1970,1,1)</f>
        <v>42424.25</v>
      </c>
      <c r="N560">
        <v>1460005200</v>
      </c>
      <c r="O560" s="10">
        <f>(((N560/60)/60)/24)+DATE(1970,1,1)</f>
        <v>42467.208333333328</v>
      </c>
      <c r="P560" t="b">
        <v>0</v>
      </c>
      <c r="Q560" t="b">
        <v>0</v>
      </c>
      <c r="R560" t="s">
        <v>33</v>
      </c>
      <c r="S560" t="s">
        <v>2038</v>
      </c>
      <c r="T560" t="s">
        <v>2039</v>
      </c>
    </row>
    <row r="561" spans="1:20" ht="15.75" customHeight="1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>Table1[[#This Row],[pledged]]/Table1[[#This Row],[goal]]</f>
        <v>1.009696106362773</v>
      </c>
      <c r="G561" t="s">
        <v>20</v>
      </c>
      <c r="H561">
        <v>1022</v>
      </c>
      <c r="I561" t="s">
        <v>21</v>
      </c>
      <c r="J561" t="s">
        <v>22</v>
      </c>
      <c r="K561" s="12">
        <f>IF(OR(E561=0, H561=0), 0, E561/H561)</f>
        <v>104.03228962818004</v>
      </c>
      <c r="L561">
        <v>1470114000</v>
      </c>
      <c r="M561" s="10">
        <f>(((L561/60)/60)/24)+DATE(1970,1,1)</f>
        <v>42584.208333333328</v>
      </c>
      <c r="N561">
        <v>1470718800</v>
      </c>
      <c r="O561" s="10">
        <f>(((N561/60)/60)/24)+DATE(1970,1,1)</f>
        <v>42591.208333333328</v>
      </c>
      <c r="P561" t="b">
        <v>0</v>
      </c>
      <c r="Q561" t="b">
        <v>0</v>
      </c>
      <c r="R561" t="s">
        <v>33</v>
      </c>
      <c r="S561" t="s">
        <v>2038</v>
      </c>
      <c r="T561" t="s">
        <v>2039</v>
      </c>
    </row>
    <row r="562" spans="1:20" ht="15.75" customHeight="1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>Table1[[#This Row],[pledged]]/Table1[[#This Row],[goal]]</f>
        <v>7.9416000000000002</v>
      </c>
      <c r="G562" t="s">
        <v>20</v>
      </c>
      <c r="H562">
        <v>3177</v>
      </c>
      <c r="I562" t="s">
        <v>21</v>
      </c>
      <c r="J562" t="s">
        <v>22</v>
      </c>
      <c r="K562" s="12">
        <f>IF(OR(E562=0, H562=0), 0, E562/H562)</f>
        <v>49.994334277620396</v>
      </c>
      <c r="L562">
        <v>1321596000</v>
      </c>
      <c r="M562" s="10">
        <f>(((L562/60)/60)/24)+DATE(1970,1,1)</f>
        <v>40865.25</v>
      </c>
      <c r="N562">
        <v>1325052000</v>
      </c>
      <c r="O562" s="10">
        <f>(((N562/60)/60)/24)+DATE(1970,1,1)</f>
        <v>40905.25</v>
      </c>
      <c r="P562" t="b">
        <v>0</v>
      </c>
      <c r="Q562" t="b">
        <v>0</v>
      </c>
      <c r="R562" t="s">
        <v>71</v>
      </c>
      <c r="S562" t="s">
        <v>2040</v>
      </c>
      <c r="T562" t="s">
        <v>2048</v>
      </c>
    </row>
    <row r="563" spans="1:20" ht="15.75" customHeight="1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>Table1[[#This Row],[pledged]]/Table1[[#This Row],[goal]]</f>
        <v>3.6970000000000001</v>
      </c>
      <c r="G563" t="s">
        <v>20</v>
      </c>
      <c r="H563">
        <v>198</v>
      </c>
      <c r="I563" t="s">
        <v>98</v>
      </c>
      <c r="J563" t="s">
        <v>99</v>
      </c>
      <c r="K563" s="12">
        <f>IF(OR(E563=0, H563=0), 0, E563/H563)</f>
        <v>56.015151515151516</v>
      </c>
      <c r="L563">
        <v>1318827600</v>
      </c>
      <c r="M563" s="10">
        <f>(((L563/60)/60)/24)+DATE(1970,1,1)</f>
        <v>40833.208333333336</v>
      </c>
      <c r="N563">
        <v>1319000400</v>
      </c>
      <c r="O563" s="10">
        <f>(((N563/60)/60)/24)+DATE(1970,1,1)</f>
        <v>40835.208333333336</v>
      </c>
      <c r="P563" t="b">
        <v>0</v>
      </c>
      <c r="Q563" t="b">
        <v>0</v>
      </c>
      <c r="R563" t="s">
        <v>33</v>
      </c>
      <c r="S563" t="s">
        <v>2038</v>
      </c>
      <c r="T563" t="s">
        <v>2039</v>
      </c>
    </row>
    <row r="564" spans="1:20" ht="15.75" customHeight="1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>Table1[[#This Row],[pledged]]/Table1[[#This Row],[goal]]</f>
        <v>0.12818181818181817</v>
      </c>
      <c r="G564" t="s">
        <v>14</v>
      </c>
      <c r="H564">
        <v>26</v>
      </c>
      <c r="I564" t="s">
        <v>98</v>
      </c>
      <c r="J564" t="s">
        <v>99</v>
      </c>
      <c r="K564" s="12">
        <f>IF(OR(E564=0, H564=0), 0, E564/H564)</f>
        <v>48.807692307692307</v>
      </c>
      <c r="L564">
        <v>1552366800</v>
      </c>
      <c r="M564" s="10">
        <f>(((L564/60)/60)/24)+DATE(1970,1,1)</f>
        <v>43536.208333333328</v>
      </c>
      <c r="N564">
        <v>1552539600</v>
      </c>
      <c r="O564" s="10">
        <f>(((N564/60)/60)/24)+DATE(1970,1,1)</f>
        <v>43538.208333333328</v>
      </c>
      <c r="P564" t="b">
        <v>0</v>
      </c>
      <c r="Q564" t="b">
        <v>0</v>
      </c>
      <c r="R564" t="s">
        <v>23</v>
      </c>
      <c r="S564" t="s">
        <v>2034</v>
      </c>
      <c r="T564" t="s">
        <v>2035</v>
      </c>
    </row>
    <row r="565" spans="1:20" ht="15.75" customHeight="1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>Table1[[#This Row],[pledged]]/Table1[[#This Row],[goal]]</f>
        <v>1.3802702702702703</v>
      </c>
      <c r="G565" t="s">
        <v>20</v>
      </c>
      <c r="H565">
        <v>85</v>
      </c>
      <c r="I565" t="s">
        <v>26</v>
      </c>
      <c r="J565" t="s">
        <v>27</v>
      </c>
      <c r="K565" s="12">
        <f>IF(OR(E565=0, H565=0), 0, E565/H565)</f>
        <v>60.082352941176474</v>
      </c>
      <c r="L565">
        <v>1542088800</v>
      </c>
      <c r="M565" s="10">
        <f>(((L565/60)/60)/24)+DATE(1970,1,1)</f>
        <v>43417.25</v>
      </c>
      <c r="N565">
        <v>1543816800</v>
      </c>
      <c r="O565" s="10">
        <f>(((N565/60)/60)/24)+DATE(1970,1,1)</f>
        <v>43437.25</v>
      </c>
      <c r="P565" t="b">
        <v>0</v>
      </c>
      <c r="Q565" t="b">
        <v>0</v>
      </c>
      <c r="R565" t="s">
        <v>42</v>
      </c>
      <c r="S565" t="s">
        <v>2040</v>
      </c>
      <c r="T565" t="s">
        <v>2041</v>
      </c>
    </row>
    <row r="566" spans="1:20" ht="15.75" customHeight="1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>Table1[[#This Row],[pledged]]/Table1[[#This Row],[goal]]</f>
        <v>0.83813278008298753</v>
      </c>
      <c r="G566" t="s">
        <v>14</v>
      </c>
      <c r="H566">
        <v>1790</v>
      </c>
      <c r="I566" t="s">
        <v>21</v>
      </c>
      <c r="J566" t="s">
        <v>22</v>
      </c>
      <c r="K566" s="12">
        <f>IF(OR(E566=0, H566=0), 0, E566/H566)</f>
        <v>78.990502793296088</v>
      </c>
      <c r="L566">
        <v>1426395600</v>
      </c>
      <c r="M566" s="10">
        <f>(((L566/60)/60)/24)+DATE(1970,1,1)</f>
        <v>42078.208333333328</v>
      </c>
      <c r="N566">
        <v>1427086800</v>
      </c>
      <c r="O566" s="10">
        <f>(((N566/60)/60)/24)+DATE(1970,1,1)</f>
        <v>42086.208333333328</v>
      </c>
      <c r="P566" t="b">
        <v>0</v>
      </c>
      <c r="Q566" t="b">
        <v>0</v>
      </c>
      <c r="R566" t="s">
        <v>33</v>
      </c>
      <c r="S566" t="s">
        <v>2038</v>
      </c>
      <c r="T566" t="s">
        <v>2039</v>
      </c>
    </row>
    <row r="567" spans="1:20" ht="15.75" customHeight="1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>Table1[[#This Row],[pledged]]/Table1[[#This Row],[goal]]</f>
        <v>2.0460063224446787</v>
      </c>
      <c r="G567" t="s">
        <v>20</v>
      </c>
      <c r="H567">
        <v>3596</v>
      </c>
      <c r="I567" t="s">
        <v>21</v>
      </c>
      <c r="J567" t="s">
        <v>22</v>
      </c>
      <c r="K567" s="12">
        <f>IF(OR(E567=0, H567=0), 0, E567/H567)</f>
        <v>53.99499443826474</v>
      </c>
      <c r="L567">
        <v>1321336800</v>
      </c>
      <c r="M567" s="10">
        <f>(((L567/60)/60)/24)+DATE(1970,1,1)</f>
        <v>40862.25</v>
      </c>
      <c r="N567">
        <v>1323064800</v>
      </c>
      <c r="O567" s="10">
        <f>(((N567/60)/60)/24)+DATE(1970,1,1)</f>
        <v>40882.25</v>
      </c>
      <c r="P567" t="b">
        <v>0</v>
      </c>
      <c r="Q567" t="b">
        <v>0</v>
      </c>
      <c r="R567" t="s">
        <v>33</v>
      </c>
      <c r="S567" t="s">
        <v>2038</v>
      </c>
      <c r="T567" t="s">
        <v>2039</v>
      </c>
    </row>
    <row r="568" spans="1:20" ht="15.75" customHeight="1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>Table1[[#This Row],[pledged]]/Table1[[#This Row],[goal]]</f>
        <v>0.44344086021505374</v>
      </c>
      <c r="G568" t="s">
        <v>14</v>
      </c>
      <c r="H568">
        <v>37</v>
      </c>
      <c r="I568" t="s">
        <v>21</v>
      </c>
      <c r="J568" t="s">
        <v>22</v>
      </c>
      <c r="K568" s="12">
        <f>IF(OR(E568=0, H568=0), 0, E568/H568)</f>
        <v>111.45945945945945</v>
      </c>
      <c r="L568">
        <v>1456293600</v>
      </c>
      <c r="M568" s="10">
        <f>(((L568/60)/60)/24)+DATE(1970,1,1)</f>
        <v>42424.25</v>
      </c>
      <c r="N568">
        <v>1458277200</v>
      </c>
      <c r="O568" s="10">
        <f>(((N568/60)/60)/24)+DATE(1970,1,1)</f>
        <v>42447.208333333328</v>
      </c>
      <c r="P568" t="b">
        <v>0</v>
      </c>
      <c r="Q568" t="b">
        <v>1</v>
      </c>
      <c r="R568" t="s">
        <v>50</v>
      </c>
      <c r="S568" t="s">
        <v>2034</v>
      </c>
      <c r="T568" t="s">
        <v>2042</v>
      </c>
    </row>
    <row r="569" spans="1:20" ht="15.75" customHeight="1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>Table1[[#This Row],[pledged]]/Table1[[#This Row],[goal]]</f>
        <v>2.1860294117647059</v>
      </c>
      <c r="G569" t="s">
        <v>20</v>
      </c>
      <c r="H569">
        <v>244</v>
      </c>
      <c r="I569" t="s">
        <v>21</v>
      </c>
      <c r="J569" t="s">
        <v>22</v>
      </c>
      <c r="K569" s="12">
        <f>IF(OR(E569=0, H569=0), 0, E569/H569)</f>
        <v>60.922131147540981</v>
      </c>
      <c r="L569">
        <v>1404968400</v>
      </c>
      <c r="M569" s="10">
        <f>(((L569/60)/60)/24)+DATE(1970,1,1)</f>
        <v>41830.208333333336</v>
      </c>
      <c r="N569">
        <v>1405141200</v>
      </c>
      <c r="O569" s="10">
        <f>(((N569/60)/60)/24)+DATE(1970,1,1)</f>
        <v>41832.208333333336</v>
      </c>
      <c r="P569" t="b">
        <v>0</v>
      </c>
      <c r="Q569" t="b">
        <v>0</v>
      </c>
      <c r="R569" t="s">
        <v>23</v>
      </c>
      <c r="S569" t="s">
        <v>2034</v>
      </c>
      <c r="T569" t="s">
        <v>2035</v>
      </c>
    </row>
    <row r="570" spans="1:20" ht="15.75" customHeight="1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>Table1[[#This Row],[pledged]]/Table1[[#This Row],[goal]]</f>
        <v>1.8603314917127072</v>
      </c>
      <c r="G570" t="s">
        <v>20</v>
      </c>
      <c r="H570">
        <v>5180</v>
      </c>
      <c r="I570" t="s">
        <v>21</v>
      </c>
      <c r="J570" t="s">
        <v>22</v>
      </c>
      <c r="K570" s="12">
        <f>IF(OR(E570=0, H570=0), 0, E570/H570)</f>
        <v>26.0015444015444</v>
      </c>
      <c r="L570">
        <v>1279170000</v>
      </c>
      <c r="M570" s="10">
        <f>(((L570/60)/60)/24)+DATE(1970,1,1)</f>
        <v>40374.208333333336</v>
      </c>
      <c r="N570">
        <v>1283058000</v>
      </c>
      <c r="O570" s="10">
        <f>(((N570/60)/60)/24)+DATE(1970,1,1)</f>
        <v>40419.208333333336</v>
      </c>
      <c r="P570" t="b">
        <v>0</v>
      </c>
      <c r="Q570" t="b">
        <v>0</v>
      </c>
      <c r="R570" t="s">
        <v>33</v>
      </c>
      <c r="S570" t="s">
        <v>2038</v>
      </c>
      <c r="T570" t="s">
        <v>2039</v>
      </c>
    </row>
    <row r="571" spans="1:20" ht="15.75" customHeight="1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>Table1[[#This Row],[pledged]]/Table1[[#This Row],[goal]]</f>
        <v>2.3733830845771142</v>
      </c>
      <c r="G571" t="s">
        <v>20</v>
      </c>
      <c r="H571">
        <v>589</v>
      </c>
      <c r="I571" t="s">
        <v>107</v>
      </c>
      <c r="J571" t="s">
        <v>108</v>
      </c>
      <c r="K571" s="12">
        <f>IF(OR(E571=0, H571=0), 0, E571/H571)</f>
        <v>80.993208828522924</v>
      </c>
      <c r="L571">
        <v>1294725600</v>
      </c>
      <c r="M571" s="10">
        <f>(((L571/60)/60)/24)+DATE(1970,1,1)</f>
        <v>40554.25</v>
      </c>
      <c r="N571">
        <v>1295762400</v>
      </c>
      <c r="O571" s="10">
        <f>(((N571/60)/60)/24)+DATE(1970,1,1)</f>
        <v>40566.25</v>
      </c>
      <c r="P571" t="b">
        <v>0</v>
      </c>
      <c r="Q571" t="b">
        <v>0</v>
      </c>
      <c r="R571" t="s">
        <v>71</v>
      </c>
      <c r="S571" t="s">
        <v>2040</v>
      </c>
      <c r="T571" t="s">
        <v>2048</v>
      </c>
    </row>
    <row r="572" spans="1:20" ht="15.75" customHeight="1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>Table1[[#This Row],[pledged]]/Table1[[#This Row],[goal]]</f>
        <v>3.0565384615384614</v>
      </c>
      <c r="G572" t="s">
        <v>20</v>
      </c>
      <c r="H572">
        <v>2725</v>
      </c>
      <c r="I572" t="s">
        <v>21</v>
      </c>
      <c r="J572" t="s">
        <v>22</v>
      </c>
      <c r="K572" s="12">
        <f>IF(OR(E572=0, H572=0), 0, E572/H572)</f>
        <v>34.995963302752294</v>
      </c>
      <c r="L572">
        <v>1419055200</v>
      </c>
      <c r="M572" s="10">
        <f>(((L572/60)/60)/24)+DATE(1970,1,1)</f>
        <v>41993.25</v>
      </c>
      <c r="N572">
        <v>1419573600</v>
      </c>
      <c r="O572" s="10">
        <f>(((N572/60)/60)/24)+DATE(1970,1,1)</f>
        <v>41999.25</v>
      </c>
      <c r="P572" t="b">
        <v>0</v>
      </c>
      <c r="Q572" t="b">
        <v>1</v>
      </c>
      <c r="R572" t="s">
        <v>23</v>
      </c>
      <c r="S572" t="s">
        <v>2034</v>
      </c>
      <c r="T572" t="s">
        <v>2035</v>
      </c>
    </row>
    <row r="573" spans="1:20" ht="15.75" customHeight="1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>Table1[[#This Row],[pledged]]/Table1[[#This Row],[goal]]</f>
        <v>0.94142857142857139</v>
      </c>
      <c r="G573" t="s">
        <v>14</v>
      </c>
      <c r="H573">
        <v>35</v>
      </c>
      <c r="I573" t="s">
        <v>107</v>
      </c>
      <c r="J573" t="s">
        <v>108</v>
      </c>
      <c r="K573" s="12">
        <f>IF(OR(E573=0, H573=0), 0, E573/H573)</f>
        <v>94.142857142857139</v>
      </c>
      <c r="L573">
        <v>1434690000</v>
      </c>
      <c r="M573" s="10">
        <f>(((L573/60)/60)/24)+DATE(1970,1,1)</f>
        <v>42174.208333333328</v>
      </c>
      <c r="N573">
        <v>1438750800</v>
      </c>
      <c r="O573" s="10">
        <f>(((N573/60)/60)/24)+DATE(1970,1,1)</f>
        <v>42221.208333333328</v>
      </c>
      <c r="P573" t="b">
        <v>0</v>
      </c>
      <c r="Q573" t="b">
        <v>0</v>
      </c>
      <c r="R573" t="s">
        <v>100</v>
      </c>
      <c r="S573" t="s">
        <v>2040</v>
      </c>
      <c r="T573" t="s">
        <v>2051</v>
      </c>
    </row>
    <row r="574" spans="1:20" ht="15.75" customHeight="1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>Table1[[#This Row],[pledged]]/Table1[[#This Row],[goal]]</f>
        <v>0.54400000000000004</v>
      </c>
      <c r="G574" t="s">
        <v>74</v>
      </c>
      <c r="H574">
        <v>94</v>
      </c>
      <c r="I574" t="s">
        <v>21</v>
      </c>
      <c r="J574" t="s">
        <v>22</v>
      </c>
      <c r="K574" s="12">
        <f>IF(OR(E574=0, H574=0), 0, E574/H574)</f>
        <v>52.085106382978722</v>
      </c>
      <c r="L574">
        <v>1443416400</v>
      </c>
      <c r="M574" s="10">
        <f>(((L574/60)/60)/24)+DATE(1970,1,1)</f>
        <v>42275.208333333328</v>
      </c>
      <c r="N574">
        <v>1444798800</v>
      </c>
      <c r="O574" s="10">
        <f>(((N574/60)/60)/24)+DATE(1970,1,1)</f>
        <v>42291.208333333328</v>
      </c>
      <c r="P574" t="b">
        <v>0</v>
      </c>
      <c r="Q574" t="b">
        <v>1</v>
      </c>
      <c r="R574" t="s">
        <v>23</v>
      </c>
      <c r="S574" t="s">
        <v>2034</v>
      </c>
      <c r="T574" t="s">
        <v>2035</v>
      </c>
    </row>
    <row r="575" spans="1:20" ht="15.75" customHeight="1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>Table1[[#This Row],[pledged]]/Table1[[#This Row],[goal]]</f>
        <v>1.1188059701492536</v>
      </c>
      <c r="G575" t="s">
        <v>20</v>
      </c>
      <c r="H575">
        <v>300</v>
      </c>
      <c r="I575" t="s">
        <v>21</v>
      </c>
      <c r="J575" t="s">
        <v>22</v>
      </c>
      <c r="K575" s="12">
        <f>IF(OR(E575=0, H575=0), 0, E575/H575)</f>
        <v>24.986666666666668</v>
      </c>
      <c r="L575">
        <v>1399006800</v>
      </c>
      <c r="M575" s="10">
        <f>(((L575/60)/60)/24)+DATE(1970,1,1)</f>
        <v>41761.208333333336</v>
      </c>
      <c r="N575">
        <v>1399179600</v>
      </c>
      <c r="O575" s="10">
        <f>(((N575/60)/60)/24)+DATE(1970,1,1)</f>
        <v>41763.208333333336</v>
      </c>
      <c r="P575" t="b">
        <v>0</v>
      </c>
      <c r="Q575" t="b">
        <v>0</v>
      </c>
      <c r="R575" t="s">
        <v>1029</v>
      </c>
      <c r="S575" t="s">
        <v>2063</v>
      </c>
      <c r="T575" t="s">
        <v>2064</v>
      </c>
    </row>
    <row r="576" spans="1:20" ht="15.75" customHeight="1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>Table1[[#This Row],[pledged]]/Table1[[#This Row],[goal]]</f>
        <v>3.6914814814814814</v>
      </c>
      <c r="G576" t="s">
        <v>20</v>
      </c>
      <c r="H576">
        <v>144</v>
      </c>
      <c r="I576" t="s">
        <v>21</v>
      </c>
      <c r="J576" t="s">
        <v>22</v>
      </c>
      <c r="K576" s="12">
        <f>IF(OR(E576=0, H576=0), 0, E576/H576)</f>
        <v>69.215277777777771</v>
      </c>
      <c r="L576">
        <v>1575698400</v>
      </c>
      <c r="M576" s="10">
        <f>(((L576/60)/60)/24)+DATE(1970,1,1)</f>
        <v>43806.25</v>
      </c>
      <c r="N576">
        <v>1576562400</v>
      </c>
      <c r="O576" s="10">
        <f>(((N576/60)/60)/24)+DATE(1970,1,1)</f>
        <v>43816.25</v>
      </c>
      <c r="P576" t="b">
        <v>0</v>
      </c>
      <c r="Q576" t="b">
        <v>1</v>
      </c>
      <c r="R576" t="s">
        <v>17</v>
      </c>
      <c r="S576" t="s">
        <v>2032</v>
      </c>
      <c r="T576" t="s">
        <v>2033</v>
      </c>
    </row>
    <row r="577" spans="1:20" ht="15.75" customHeight="1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>Table1[[#This Row],[pledged]]/Table1[[#This Row],[goal]]</f>
        <v>0.62930372148859548</v>
      </c>
      <c r="G577" t="s">
        <v>14</v>
      </c>
      <c r="H577">
        <v>558</v>
      </c>
      <c r="I577" t="s">
        <v>21</v>
      </c>
      <c r="J577" t="s">
        <v>22</v>
      </c>
      <c r="K577" s="12">
        <f>IF(OR(E577=0, H577=0), 0, E577/H577)</f>
        <v>93.944444444444443</v>
      </c>
      <c r="L577">
        <v>1400562000</v>
      </c>
      <c r="M577" s="10">
        <f>(((L577/60)/60)/24)+DATE(1970,1,1)</f>
        <v>41779.208333333336</v>
      </c>
      <c r="N577">
        <v>1400821200</v>
      </c>
      <c r="O577" s="10">
        <f>(((N577/60)/60)/24)+DATE(1970,1,1)</f>
        <v>41782.208333333336</v>
      </c>
      <c r="P577" t="b">
        <v>0</v>
      </c>
      <c r="Q577" t="b">
        <v>1</v>
      </c>
      <c r="R577" t="s">
        <v>33</v>
      </c>
      <c r="S577" t="s">
        <v>2038</v>
      </c>
      <c r="T577" t="s">
        <v>2039</v>
      </c>
    </row>
    <row r="578" spans="1:20" ht="15.75" customHeight="1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>Table1[[#This Row],[pledged]]/Table1[[#This Row],[goal]]</f>
        <v>0.6492783505154639</v>
      </c>
      <c r="G578" t="s">
        <v>14</v>
      </c>
      <c r="H578">
        <v>64</v>
      </c>
      <c r="I578" t="s">
        <v>21</v>
      </c>
      <c r="J578" t="s">
        <v>22</v>
      </c>
      <c r="K578" s="12">
        <f>IF(OR(E578=0, H578=0), 0, E578/H578)</f>
        <v>98.40625</v>
      </c>
      <c r="L578">
        <v>1509512400</v>
      </c>
      <c r="M578" s="10">
        <f>(((L578/60)/60)/24)+DATE(1970,1,1)</f>
        <v>43040.208333333328</v>
      </c>
      <c r="N578">
        <v>1510984800</v>
      </c>
      <c r="O578" s="10">
        <f>(((N578/60)/60)/24)+DATE(1970,1,1)</f>
        <v>43057.25</v>
      </c>
      <c r="P578" t="b">
        <v>0</v>
      </c>
      <c r="Q578" t="b">
        <v>0</v>
      </c>
      <c r="R578" t="s">
        <v>33</v>
      </c>
      <c r="S578" t="s">
        <v>2038</v>
      </c>
      <c r="T578" t="s">
        <v>2039</v>
      </c>
    </row>
    <row r="579" spans="1:20" ht="15.75" customHeight="1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>Table1[[#This Row],[pledged]]/Table1[[#This Row],[goal]]</f>
        <v>0.18853658536585366</v>
      </c>
      <c r="G579" t="s">
        <v>74</v>
      </c>
      <c r="H579">
        <v>37</v>
      </c>
      <c r="I579" t="s">
        <v>21</v>
      </c>
      <c r="J579" t="s">
        <v>22</v>
      </c>
      <c r="K579" s="12">
        <f>IF(OR(E579=0, H579=0), 0, E579/H579)</f>
        <v>41.783783783783782</v>
      </c>
      <c r="L579">
        <v>1299823200</v>
      </c>
      <c r="M579" s="10">
        <f>(((L579/60)/60)/24)+DATE(1970,1,1)</f>
        <v>40613.25</v>
      </c>
      <c r="N579">
        <v>1302066000</v>
      </c>
      <c r="O579" s="10">
        <f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2034</v>
      </c>
      <c r="T579" t="s">
        <v>2057</v>
      </c>
    </row>
    <row r="580" spans="1:20" ht="15.75" customHeight="1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>Table1[[#This Row],[pledged]]/Table1[[#This Row],[goal]]</f>
        <v>0.1675440414507772</v>
      </c>
      <c r="G580" t="s">
        <v>14</v>
      </c>
      <c r="H580">
        <v>245</v>
      </c>
      <c r="I580" t="s">
        <v>21</v>
      </c>
      <c r="J580" t="s">
        <v>22</v>
      </c>
      <c r="K580" s="12">
        <f>IF(OR(E580=0, H580=0), 0, E580/H580)</f>
        <v>65.991836734693877</v>
      </c>
      <c r="L580">
        <v>1322719200</v>
      </c>
      <c r="M580" s="10">
        <f>(((L580/60)/60)/24)+DATE(1970,1,1)</f>
        <v>40878.25</v>
      </c>
      <c r="N580">
        <v>1322978400</v>
      </c>
      <c r="O580" s="10">
        <f>(((N580/60)/60)/24)+DATE(1970,1,1)</f>
        <v>40881.25</v>
      </c>
      <c r="P580" t="b">
        <v>0</v>
      </c>
      <c r="Q580" t="b">
        <v>0</v>
      </c>
      <c r="R580" t="s">
        <v>474</v>
      </c>
      <c r="S580" t="s">
        <v>2040</v>
      </c>
      <c r="T580" t="s">
        <v>2062</v>
      </c>
    </row>
    <row r="581" spans="1:20" ht="15.75" customHeight="1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>Table1[[#This Row],[pledged]]/Table1[[#This Row],[goal]]</f>
        <v>1.0111290322580646</v>
      </c>
      <c r="G581" t="s">
        <v>20</v>
      </c>
      <c r="H581">
        <v>87</v>
      </c>
      <c r="I581" t="s">
        <v>21</v>
      </c>
      <c r="J581" t="s">
        <v>22</v>
      </c>
      <c r="K581" s="12">
        <f>IF(OR(E581=0, H581=0), 0, E581/H581)</f>
        <v>72.05747126436782</v>
      </c>
      <c r="L581">
        <v>1312693200</v>
      </c>
      <c r="M581" s="10">
        <f>(((L581/60)/60)/24)+DATE(1970,1,1)</f>
        <v>40762.208333333336</v>
      </c>
      <c r="N581">
        <v>1313730000</v>
      </c>
      <c r="O581" s="10">
        <f>(((N581/60)/60)/24)+DATE(1970,1,1)</f>
        <v>40774.208333333336</v>
      </c>
      <c r="P581" t="b">
        <v>0</v>
      </c>
      <c r="Q581" t="b">
        <v>0</v>
      </c>
      <c r="R581" t="s">
        <v>159</v>
      </c>
      <c r="S581" t="s">
        <v>2034</v>
      </c>
      <c r="T581" t="s">
        <v>2057</v>
      </c>
    </row>
    <row r="582" spans="1:20" ht="15.75" customHeight="1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>Table1[[#This Row],[pledged]]/Table1[[#This Row],[goal]]</f>
        <v>3.4150228310502282</v>
      </c>
      <c r="G582" t="s">
        <v>20</v>
      </c>
      <c r="H582">
        <v>3116</v>
      </c>
      <c r="I582" t="s">
        <v>21</v>
      </c>
      <c r="J582" t="s">
        <v>22</v>
      </c>
      <c r="K582" s="12">
        <f>IF(OR(E582=0, H582=0), 0, E582/H582)</f>
        <v>48.003209242618745</v>
      </c>
      <c r="L582">
        <v>1393394400</v>
      </c>
      <c r="M582" s="10">
        <f>(((L582/60)/60)/24)+DATE(1970,1,1)</f>
        <v>41696.25</v>
      </c>
      <c r="N582">
        <v>1394085600</v>
      </c>
      <c r="O582" s="10">
        <f>(((N582/60)/60)/24)+DATE(1970,1,1)</f>
        <v>41704.25</v>
      </c>
      <c r="P582" t="b">
        <v>0</v>
      </c>
      <c r="Q582" t="b">
        <v>0</v>
      </c>
      <c r="R582" t="s">
        <v>33</v>
      </c>
      <c r="S582" t="s">
        <v>2038</v>
      </c>
      <c r="T582" t="s">
        <v>2039</v>
      </c>
    </row>
    <row r="583" spans="1:20" ht="15.75" customHeight="1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>Table1[[#This Row],[pledged]]/Table1[[#This Row],[goal]]</f>
        <v>0.64016666666666666</v>
      </c>
      <c r="G583" t="s">
        <v>14</v>
      </c>
      <c r="H583">
        <v>71</v>
      </c>
      <c r="I583" t="s">
        <v>21</v>
      </c>
      <c r="J583" t="s">
        <v>22</v>
      </c>
      <c r="K583" s="12">
        <f>IF(OR(E583=0, H583=0), 0, E583/H583)</f>
        <v>54.098591549295776</v>
      </c>
      <c r="L583">
        <v>1304053200</v>
      </c>
      <c r="M583" s="10">
        <f>(((L583/60)/60)/24)+DATE(1970,1,1)</f>
        <v>40662.208333333336</v>
      </c>
      <c r="N583">
        <v>1305349200</v>
      </c>
      <c r="O583" s="10">
        <f>(((N583/60)/60)/24)+DATE(1970,1,1)</f>
        <v>40677.208333333336</v>
      </c>
      <c r="P583" t="b">
        <v>0</v>
      </c>
      <c r="Q583" t="b">
        <v>0</v>
      </c>
      <c r="R583" t="s">
        <v>28</v>
      </c>
      <c r="S583" t="s">
        <v>2036</v>
      </c>
      <c r="T583" t="s">
        <v>2037</v>
      </c>
    </row>
    <row r="584" spans="1:20" ht="15.75" customHeight="1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>Table1[[#This Row],[pledged]]/Table1[[#This Row],[goal]]</f>
        <v>0.5208045977011494</v>
      </c>
      <c r="G584" t="s">
        <v>14</v>
      </c>
      <c r="H584">
        <v>42</v>
      </c>
      <c r="I584" t="s">
        <v>21</v>
      </c>
      <c r="J584" t="s">
        <v>22</v>
      </c>
      <c r="K584" s="12">
        <f>IF(OR(E584=0, H584=0), 0, E584/H584)</f>
        <v>107.88095238095238</v>
      </c>
      <c r="L584">
        <v>1433912400</v>
      </c>
      <c r="M584" s="10">
        <f>(((L584/60)/60)/24)+DATE(1970,1,1)</f>
        <v>42165.208333333328</v>
      </c>
      <c r="N584">
        <v>1434344400</v>
      </c>
      <c r="O584" s="10">
        <f>(((N584/60)/60)/24)+DATE(1970,1,1)</f>
        <v>42170.208333333328</v>
      </c>
      <c r="P584" t="b">
        <v>0</v>
      </c>
      <c r="Q584" t="b">
        <v>1</v>
      </c>
      <c r="R584" t="s">
        <v>89</v>
      </c>
      <c r="S584" t="s">
        <v>2049</v>
      </c>
      <c r="T584" t="s">
        <v>2050</v>
      </c>
    </row>
    <row r="585" spans="1:20" ht="15.75" customHeight="1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>Table1[[#This Row],[pledged]]/Table1[[#This Row],[goal]]</f>
        <v>3.2240211640211642</v>
      </c>
      <c r="G585" t="s">
        <v>20</v>
      </c>
      <c r="H585">
        <v>909</v>
      </c>
      <c r="I585" t="s">
        <v>21</v>
      </c>
      <c r="J585" t="s">
        <v>22</v>
      </c>
      <c r="K585" s="12">
        <f>IF(OR(E585=0, H585=0), 0, E585/H585)</f>
        <v>67.034103410341032</v>
      </c>
      <c r="L585">
        <v>1329717600</v>
      </c>
      <c r="M585" s="10">
        <f>(((L585/60)/60)/24)+DATE(1970,1,1)</f>
        <v>40959.25</v>
      </c>
      <c r="N585">
        <v>1331186400</v>
      </c>
      <c r="O585" s="10">
        <f>(((N585/60)/60)/24)+DATE(1970,1,1)</f>
        <v>40976.25</v>
      </c>
      <c r="P585" t="b">
        <v>0</v>
      </c>
      <c r="Q585" t="b">
        <v>0</v>
      </c>
      <c r="R585" t="s">
        <v>42</v>
      </c>
      <c r="S585" t="s">
        <v>2040</v>
      </c>
      <c r="T585" t="s">
        <v>2041</v>
      </c>
    </row>
    <row r="586" spans="1:20" ht="15.75" customHeight="1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>Table1[[#This Row],[pledged]]/Table1[[#This Row],[goal]]</f>
        <v>1.1950810185185186</v>
      </c>
      <c r="G586" t="s">
        <v>20</v>
      </c>
      <c r="H586">
        <v>1613</v>
      </c>
      <c r="I586" t="s">
        <v>21</v>
      </c>
      <c r="J586" t="s">
        <v>22</v>
      </c>
      <c r="K586" s="12">
        <f>IF(OR(E586=0, H586=0), 0, E586/H586)</f>
        <v>64.01425914445133</v>
      </c>
      <c r="L586">
        <v>1335330000</v>
      </c>
      <c r="M586" s="10">
        <f>(((L586/60)/60)/24)+DATE(1970,1,1)</f>
        <v>41024.208333333336</v>
      </c>
      <c r="N586">
        <v>1336539600</v>
      </c>
      <c r="O586" s="10">
        <f>(((N586/60)/60)/24)+DATE(1970,1,1)</f>
        <v>41038.208333333336</v>
      </c>
      <c r="P586" t="b">
        <v>0</v>
      </c>
      <c r="Q586" t="b">
        <v>0</v>
      </c>
      <c r="R586" t="s">
        <v>28</v>
      </c>
      <c r="S586" t="s">
        <v>2036</v>
      </c>
      <c r="T586" t="s">
        <v>2037</v>
      </c>
    </row>
    <row r="587" spans="1:20" ht="15.75" customHeight="1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>Table1[[#This Row],[pledged]]/Table1[[#This Row],[goal]]</f>
        <v>1.4679775280898877</v>
      </c>
      <c r="G587" t="s">
        <v>20</v>
      </c>
      <c r="H587">
        <v>136</v>
      </c>
      <c r="I587" t="s">
        <v>21</v>
      </c>
      <c r="J587" t="s">
        <v>22</v>
      </c>
      <c r="K587" s="12">
        <f>IF(OR(E587=0, H587=0), 0, E587/H587)</f>
        <v>96.066176470588232</v>
      </c>
      <c r="L587">
        <v>1268888400</v>
      </c>
      <c r="M587" s="10">
        <f>(((L587/60)/60)/24)+DATE(1970,1,1)</f>
        <v>40255.208333333336</v>
      </c>
      <c r="N587">
        <v>1269752400</v>
      </c>
      <c r="O587" s="10">
        <f>(((N587/60)/60)/24)+DATE(1970,1,1)</f>
        <v>40265.208333333336</v>
      </c>
      <c r="P587" t="b">
        <v>0</v>
      </c>
      <c r="Q587" t="b">
        <v>0</v>
      </c>
      <c r="R587" t="s">
        <v>206</v>
      </c>
      <c r="S587" t="s">
        <v>2046</v>
      </c>
      <c r="T587" t="s">
        <v>2058</v>
      </c>
    </row>
    <row r="588" spans="1:20" ht="15.75" customHeight="1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>Table1[[#This Row],[pledged]]/Table1[[#This Row],[goal]]</f>
        <v>9.5057142857142853</v>
      </c>
      <c r="G588" t="s">
        <v>20</v>
      </c>
      <c r="H588">
        <v>130</v>
      </c>
      <c r="I588" t="s">
        <v>21</v>
      </c>
      <c r="J588" t="s">
        <v>22</v>
      </c>
      <c r="K588" s="12">
        <f>IF(OR(E588=0, H588=0), 0, E588/H588)</f>
        <v>51.184615384615384</v>
      </c>
      <c r="L588">
        <v>1289973600</v>
      </c>
      <c r="M588" s="10">
        <f>(((L588/60)/60)/24)+DATE(1970,1,1)</f>
        <v>40499.25</v>
      </c>
      <c r="N588">
        <v>1291615200</v>
      </c>
      <c r="O588" s="10">
        <f>(((N588/60)/60)/24)+DATE(1970,1,1)</f>
        <v>40518.25</v>
      </c>
      <c r="P588" t="b">
        <v>0</v>
      </c>
      <c r="Q588" t="b">
        <v>0</v>
      </c>
      <c r="R588" t="s">
        <v>23</v>
      </c>
      <c r="S588" t="s">
        <v>2034</v>
      </c>
      <c r="T588" t="s">
        <v>2035</v>
      </c>
    </row>
    <row r="589" spans="1:20" ht="15.75" customHeight="1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>Table1[[#This Row],[pledged]]/Table1[[#This Row],[goal]]</f>
        <v>0.72893617021276591</v>
      </c>
      <c r="G589" t="s">
        <v>14</v>
      </c>
      <c r="H589">
        <v>156</v>
      </c>
      <c r="I589" t="s">
        <v>15</v>
      </c>
      <c r="J589" t="s">
        <v>16</v>
      </c>
      <c r="K589" s="12">
        <f>IF(OR(E589=0, H589=0), 0, E589/H589)</f>
        <v>43.92307692307692</v>
      </c>
      <c r="L589">
        <v>1547877600</v>
      </c>
      <c r="M589" s="10">
        <f>(((L589/60)/60)/24)+DATE(1970,1,1)</f>
        <v>43484.25</v>
      </c>
      <c r="N589">
        <v>1552366800</v>
      </c>
      <c r="O589" s="10">
        <f>(((N589/60)/60)/24)+DATE(1970,1,1)</f>
        <v>43536.208333333328</v>
      </c>
      <c r="P589" t="b">
        <v>0</v>
      </c>
      <c r="Q589" t="b">
        <v>1</v>
      </c>
      <c r="R589" t="s">
        <v>17</v>
      </c>
      <c r="S589" t="s">
        <v>2032</v>
      </c>
      <c r="T589" t="s">
        <v>2033</v>
      </c>
    </row>
    <row r="590" spans="1:20" ht="15.75" customHeight="1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>Table1[[#This Row],[pledged]]/Table1[[#This Row],[goal]]</f>
        <v>0.7900824873096447</v>
      </c>
      <c r="G590" t="s">
        <v>14</v>
      </c>
      <c r="H590">
        <v>1368</v>
      </c>
      <c r="I590" t="s">
        <v>40</v>
      </c>
      <c r="J590" t="s">
        <v>41</v>
      </c>
      <c r="K590" s="12">
        <f>IF(OR(E590=0, H590=0), 0, E590/H590)</f>
        <v>91.021198830409361</v>
      </c>
      <c r="L590">
        <v>1269493200</v>
      </c>
      <c r="M590" s="10">
        <f>(((L590/60)/60)/24)+DATE(1970,1,1)</f>
        <v>40262.208333333336</v>
      </c>
      <c r="N590">
        <v>1272171600</v>
      </c>
      <c r="O590" s="10">
        <f>(((N590/60)/60)/24)+DATE(1970,1,1)</f>
        <v>40293.208333333336</v>
      </c>
      <c r="P590" t="b">
        <v>0</v>
      </c>
      <c r="Q590" t="b">
        <v>0</v>
      </c>
      <c r="R590" t="s">
        <v>33</v>
      </c>
      <c r="S590" t="s">
        <v>2038</v>
      </c>
      <c r="T590" t="s">
        <v>2039</v>
      </c>
    </row>
    <row r="591" spans="1:20" ht="15.75" customHeight="1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>Table1[[#This Row],[pledged]]/Table1[[#This Row],[goal]]</f>
        <v>0.64721518987341775</v>
      </c>
      <c r="G591" t="s">
        <v>14</v>
      </c>
      <c r="H591">
        <v>102</v>
      </c>
      <c r="I591" t="s">
        <v>21</v>
      </c>
      <c r="J591" t="s">
        <v>22</v>
      </c>
      <c r="K591" s="12">
        <f>IF(OR(E591=0, H591=0), 0, E591/H591)</f>
        <v>50.127450980392155</v>
      </c>
      <c r="L591">
        <v>1436072400</v>
      </c>
      <c r="M591" s="10">
        <f>(((L591/60)/60)/24)+DATE(1970,1,1)</f>
        <v>42190.208333333328</v>
      </c>
      <c r="N591">
        <v>1436677200</v>
      </c>
      <c r="O591" s="10">
        <f>(((N591/60)/60)/24)+DATE(1970,1,1)</f>
        <v>42197.208333333328</v>
      </c>
      <c r="P591" t="b">
        <v>0</v>
      </c>
      <c r="Q591" t="b">
        <v>0</v>
      </c>
      <c r="R591" t="s">
        <v>42</v>
      </c>
      <c r="S591" t="s">
        <v>2040</v>
      </c>
      <c r="T591" t="s">
        <v>2041</v>
      </c>
    </row>
    <row r="592" spans="1:20" ht="15.75" customHeight="1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>Table1[[#This Row],[pledged]]/Table1[[#This Row],[goal]]</f>
        <v>0.82028169014084507</v>
      </c>
      <c r="G592" t="s">
        <v>14</v>
      </c>
      <c r="H592">
        <v>86</v>
      </c>
      <c r="I592" t="s">
        <v>26</v>
      </c>
      <c r="J592" t="s">
        <v>27</v>
      </c>
      <c r="K592" s="12">
        <f>IF(OR(E592=0, H592=0), 0, E592/H592)</f>
        <v>67.720930232558146</v>
      </c>
      <c r="L592">
        <v>1419141600</v>
      </c>
      <c r="M592" s="10">
        <f>(((L592/60)/60)/24)+DATE(1970,1,1)</f>
        <v>41994.25</v>
      </c>
      <c r="N592">
        <v>1420092000</v>
      </c>
      <c r="O592" s="10">
        <f>(((N592/60)/60)/24)+DATE(1970,1,1)</f>
        <v>42005.25</v>
      </c>
      <c r="P592" t="b">
        <v>0</v>
      </c>
      <c r="Q592" t="b">
        <v>0</v>
      </c>
      <c r="R592" t="s">
        <v>133</v>
      </c>
      <c r="S592" t="s">
        <v>2046</v>
      </c>
      <c r="T592" t="s">
        <v>2055</v>
      </c>
    </row>
    <row r="593" spans="1:20" ht="15.75" customHeight="1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>Table1[[#This Row],[pledged]]/Table1[[#This Row],[goal]]</f>
        <v>10.376666666666667</v>
      </c>
      <c r="G593" t="s">
        <v>20</v>
      </c>
      <c r="H593">
        <v>102</v>
      </c>
      <c r="I593" t="s">
        <v>21</v>
      </c>
      <c r="J593" t="s">
        <v>22</v>
      </c>
      <c r="K593" s="12">
        <f>IF(OR(E593=0, H593=0), 0, E593/H593)</f>
        <v>61.03921568627451</v>
      </c>
      <c r="L593">
        <v>1279083600</v>
      </c>
      <c r="M593" s="10">
        <f>(((L593/60)/60)/24)+DATE(1970,1,1)</f>
        <v>40373.208333333336</v>
      </c>
      <c r="N593">
        <v>1279947600</v>
      </c>
      <c r="O593" s="10">
        <f>(((N593/60)/60)/24)+DATE(1970,1,1)</f>
        <v>40383.208333333336</v>
      </c>
      <c r="P593" t="b">
        <v>0</v>
      </c>
      <c r="Q593" t="b">
        <v>0</v>
      </c>
      <c r="R593" t="s">
        <v>89</v>
      </c>
      <c r="S593" t="s">
        <v>2049</v>
      </c>
      <c r="T593" t="s">
        <v>2050</v>
      </c>
    </row>
    <row r="594" spans="1:20" ht="15.75" customHeight="1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>Table1[[#This Row],[pledged]]/Table1[[#This Row],[goal]]</f>
        <v>0.12910076530612244</v>
      </c>
      <c r="G594" t="s">
        <v>14</v>
      </c>
      <c r="H594">
        <v>253</v>
      </c>
      <c r="I594" t="s">
        <v>21</v>
      </c>
      <c r="J594" t="s">
        <v>22</v>
      </c>
      <c r="K594" s="12">
        <f>IF(OR(E594=0, H594=0), 0, E594/H594)</f>
        <v>80.011857707509876</v>
      </c>
      <c r="L594">
        <v>1401426000</v>
      </c>
      <c r="M594" s="10">
        <f>(((L594/60)/60)/24)+DATE(1970,1,1)</f>
        <v>41789.208333333336</v>
      </c>
      <c r="N594">
        <v>1402203600</v>
      </c>
      <c r="O594" s="10">
        <f>(((N594/60)/60)/24)+DATE(1970,1,1)</f>
        <v>41798.208333333336</v>
      </c>
      <c r="P594" t="b">
        <v>0</v>
      </c>
      <c r="Q594" t="b">
        <v>0</v>
      </c>
      <c r="R594" t="s">
        <v>33</v>
      </c>
      <c r="S594" t="s">
        <v>2038</v>
      </c>
      <c r="T594" t="s">
        <v>2039</v>
      </c>
    </row>
    <row r="595" spans="1:20" ht="15.75" customHeight="1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>Table1[[#This Row],[pledged]]/Table1[[#This Row],[goal]]</f>
        <v>1.5484210526315789</v>
      </c>
      <c r="G595" t="s">
        <v>20</v>
      </c>
      <c r="H595">
        <v>4006</v>
      </c>
      <c r="I595" t="s">
        <v>21</v>
      </c>
      <c r="J595" t="s">
        <v>22</v>
      </c>
      <c r="K595" s="12">
        <f>IF(OR(E595=0, H595=0), 0, E595/H595)</f>
        <v>47.001497753369947</v>
      </c>
      <c r="L595">
        <v>1395810000</v>
      </c>
      <c r="M595" s="10">
        <f>(((L595/60)/60)/24)+DATE(1970,1,1)</f>
        <v>41724.208333333336</v>
      </c>
      <c r="N595">
        <v>1396933200</v>
      </c>
      <c r="O595" s="10">
        <f>(((N595/60)/60)/24)+DATE(1970,1,1)</f>
        <v>41737.208333333336</v>
      </c>
      <c r="P595" t="b">
        <v>0</v>
      </c>
      <c r="Q595" t="b">
        <v>0</v>
      </c>
      <c r="R595" t="s">
        <v>71</v>
      </c>
      <c r="S595" t="s">
        <v>2040</v>
      </c>
      <c r="T595" t="s">
        <v>2048</v>
      </c>
    </row>
    <row r="596" spans="1:20" ht="15.75" customHeight="1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>Table1[[#This Row],[pledged]]/Table1[[#This Row],[goal]]</f>
        <v>7.0991735537190084E-2</v>
      </c>
      <c r="G596" t="s">
        <v>14</v>
      </c>
      <c r="H596">
        <v>157</v>
      </c>
      <c r="I596" t="s">
        <v>21</v>
      </c>
      <c r="J596" t="s">
        <v>22</v>
      </c>
      <c r="K596" s="12">
        <f>IF(OR(E596=0, H596=0), 0, E596/H596)</f>
        <v>71.127388535031841</v>
      </c>
      <c r="L596">
        <v>1467003600</v>
      </c>
      <c r="M596" s="10">
        <f>(((L596/60)/60)/24)+DATE(1970,1,1)</f>
        <v>42548.208333333328</v>
      </c>
      <c r="N596">
        <v>1467262800</v>
      </c>
      <c r="O596" s="10">
        <f>(((N596/60)/60)/24)+DATE(1970,1,1)</f>
        <v>42551.208333333328</v>
      </c>
      <c r="P596" t="b">
        <v>0</v>
      </c>
      <c r="Q596" t="b">
        <v>1</v>
      </c>
      <c r="R596" t="s">
        <v>33</v>
      </c>
      <c r="S596" t="s">
        <v>2038</v>
      </c>
      <c r="T596" t="s">
        <v>2039</v>
      </c>
    </row>
    <row r="597" spans="1:20" ht="15.75" customHeight="1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>Table1[[#This Row],[pledged]]/Table1[[#This Row],[goal]]</f>
        <v>2.0852773826458035</v>
      </c>
      <c r="G597" t="s">
        <v>20</v>
      </c>
      <c r="H597">
        <v>1629</v>
      </c>
      <c r="I597" t="s">
        <v>21</v>
      </c>
      <c r="J597" t="s">
        <v>22</v>
      </c>
      <c r="K597" s="12">
        <f>IF(OR(E597=0, H597=0), 0, E597/H597)</f>
        <v>89.99079189686924</v>
      </c>
      <c r="L597">
        <v>1268715600</v>
      </c>
      <c r="M597" s="10">
        <f>(((L597/60)/60)/24)+DATE(1970,1,1)</f>
        <v>40253.208333333336</v>
      </c>
      <c r="N597">
        <v>1270530000</v>
      </c>
      <c r="O597" s="10">
        <f>(((N597/60)/60)/24)+DATE(1970,1,1)</f>
        <v>40274.208333333336</v>
      </c>
      <c r="P597" t="b">
        <v>0</v>
      </c>
      <c r="Q597" t="b">
        <v>1</v>
      </c>
      <c r="R597" t="s">
        <v>33</v>
      </c>
      <c r="S597" t="s">
        <v>2038</v>
      </c>
      <c r="T597" t="s">
        <v>2039</v>
      </c>
    </row>
    <row r="598" spans="1:20" ht="15.75" customHeight="1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>Table1[[#This Row],[pledged]]/Table1[[#This Row],[goal]]</f>
        <v>0.99683544303797467</v>
      </c>
      <c r="G598" t="s">
        <v>14</v>
      </c>
      <c r="H598">
        <v>183</v>
      </c>
      <c r="I598" t="s">
        <v>21</v>
      </c>
      <c r="J598" t="s">
        <v>22</v>
      </c>
      <c r="K598" s="12">
        <f>IF(OR(E598=0, H598=0), 0, E598/H598)</f>
        <v>43.032786885245905</v>
      </c>
      <c r="L598">
        <v>1457157600</v>
      </c>
      <c r="M598" s="10">
        <f>(((L598/60)/60)/24)+DATE(1970,1,1)</f>
        <v>42434.25</v>
      </c>
      <c r="N598">
        <v>1457762400</v>
      </c>
      <c r="O598" s="10">
        <f>(((N598/60)/60)/24)+DATE(1970,1,1)</f>
        <v>42441.25</v>
      </c>
      <c r="P598" t="b">
        <v>0</v>
      </c>
      <c r="Q598" t="b">
        <v>1</v>
      </c>
      <c r="R598" t="s">
        <v>53</v>
      </c>
      <c r="S598" t="s">
        <v>2040</v>
      </c>
      <c r="T598" t="s">
        <v>2043</v>
      </c>
    </row>
    <row r="599" spans="1:20" ht="15.75" customHeight="1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>Table1[[#This Row],[pledged]]/Table1[[#This Row],[goal]]</f>
        <v>2.0159756097560977</v>
      </c>
      <c r="G599" t="s">
        <v>20</v>
      </c>
      <c r="H599">
        <v>2188</v>
      </c>
      <c r="I599" t="s">
        <v>21</v>
      </c>
      <c r="J599" t="s">
        <v>22</v>
      </c>
      <c r="K599" s="12">
        <f>IF(OR(E599=0, H599=0), 0, E599/H599)</f>
        <v>67.997714808043881</v>
      </c>
      <c r="L599">
        <v>1573970400</v>
      </c>
      <c r="M599" s="10">
        <f>(((L599/60)/60)/24)+DATE(1970,1,1)</f>
        <v>43786.25</v>
      </c>
      <c r="N599">
        <v>1575525600</v>
      </c>
      <c r="O599" s="10">
        <f>(((N599/60)/60)/24)+DATE(1970,1,1)</f>
        <v>43804.25</v>
      </c>
      <c r="P599" t="b">
        <v>0</v>
      </c>
      <c r="Q599" t="b">
        <v>0</v>
      </c>
      <c r="R599" t="s">
        <v>33</v>
      </c>
      <c r="S599" t="s">
        <v>2038</v>
      </c>
      <c r="T599" t="s">
        <v>2039</v>
      </c>
    </row>
    <row r="600" spans="1:20" ht="15.75" customHeight="1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>Table1[[#This Row],[pledged]]/Table1[[#This Row],[goal]]</f>
        <v>1.6209032258064515</v>
      </c>
      <c r="G600" t="s">
        <v>20</v>
      </c>
      <c r="H600">
        <v>2409</v>
      </c>
      <c r="I600" t="s">
        <v>107</v>
      </c>
      <c r="J600" t="s">
        <v>108</v>
      </c>
      <c r="K600" s="12">
        <f>IF(OR(E600=0, H600=0), 0, E600/H600)</f>
        <v>73.004566210045667</v>
      </c>
      <c r="L600">
        <v>1276578000</v>
      </c>
      <c r="M600" s="10">
        <f>(((L600/60)/60)/24)+DATE(1970,1,1)</f>
        <v>40344.208333333336</v>
      </c>
      <c r="N600">
        <v>1279083600</v>
      </c>
      <c r="O600" s="10">
        <f>(((N600/60)/60)/24)+DATE(1970,1,1)</f>
        <v>40373.208333333336</v>
      </c>
      <c r="P600" t="b">
        <v>0</v>
      </c>
      <c r="Q600" t="b">
        <v>0</v>
      </c>
      <c r="R600" t="s">
        <v>23</v>
      </c>
      <c r="S600" t="s">
        <v>2034</v>
      </c>
      <c r="T600" t="s">
        <v>2035</v>
      </c>
    </row>
    <row r="601" spans="1:20" ht="15.75" customHeight="1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>Table1[[#This Row],[pledged]]/Table1[[#This Row],[goal]]</f>
        <v>3.6436208125445471E-2</v>
      </c>
      <c r="G601" t="s">
        <v>14</v>
      </c>
      <c r="H601">
        <v>82</v>
      </c>
      <c r="I601" t="s">
        <v>36</v>
      </c>
      <c r="J601" t="s">
        <v>37</v>
      </c>
      <c r="K601" s="12">
        <f>IF(OR(E601=0, H601=0), 0, E601/H601)</f>
        <v>62.341463414634148</v>
      </c>
      <c r="L601">
        <v>1423720800</v>
      </c>
      <c r="M601" s="10">
        <f>(((L601/60)/60)/24)+DATE(1970,1,1)</f>
        <v>42047.25</v>
      </c>
      <c r="N601">
        <v>1424412000</v>
      </c>
      <c r="O601" s="10">
        <f>(((N601/60)/60)/24)+DATE(1970,1,1)</f>
        <v>42055.25</v>
      </c>
      <c r="P601" t="b">
        <v>0</v>
      </c>
      <c r="Q601" t="b">
        <v>0</v>
      </c>
      <c r="R601" t="s">
        <v>42</v>
      </c>
      <c r="S601" t="s">
        <v>2040</v>
      </c>
      <c r="T601" t="s">
        <v>2041</v>
      </c>
    </row>
    <row r="602" spans="1:20" ht="15.75" customHeight="1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>Table1[[#This Row],[pledged]]/Table1[[#This Row],[goal]]</f>
        <v>0.05</v>
      </c>
      <c r="G602" t="s">
        <v>14</v>
      </c>
      <c r="H602">
        <v>1</v>
      </c>
      <c r="I602" t="s">
        <v>40</v>
      </c>
      <c r="J602" t="s">
        <v>41</v>
      </c>
      <c r="K602" s="12">
        <f>IF(OR(E602=0, H602=0), 0, E602/H602)</f>
        <v>5</v>
      </c>
      <c r="L602">
        <v>1375160400</v>
      </c>
      <c r="M602" s="10">
        <f>(((L602/60)/60)/24)+DATE(1970,1,1)</f>
        <v>41485.208333333336</v>
      </c>
      <c r="N602">
        <v>1376197200</v>
      </c>
      <c r="O602" s="10">
        <f>(((N602/60)/60)/24)+DATE(1970,1,1)</f>
        <v>41497.208333333336</v>
      </c>
      <c r="P602" t="b">
        <v>0</v>
      </c>
      <c r="Q602" t="b">
        <v>0</v>
      </c>
      <c r="R602" t="s">
        <v>17</v>
      </c>
      <c r="S602" t="s">
        <v>2032</v>
      </c>
      <c r="T602" t="s">
        <v>2033</v>
      </c>
    </row>
    <row r="603" spans="1:20" ht="15.75" customHeight="1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>Table1[[#This Row],[pledged]]/Table1[[#This Row],[goal]]</f>
        <v>2.0663492063492064</v>
      </c>
      <c r="G603" t="s">
        <v>20</v>
      </c>
      <c r="H603">
        <v>194</v>
      </c>
      <c r="I603" t="s">
        <v>21</v>
      </c>
      <c r="J603" t="s">
        <v>22</v>
      </c>
      <c r="K603" s="12">
        <f>IF(OR(E603=0, H603=0), 0, E603/H603)</f>
        <v>67.103092783505161</v>
      </c>
      <c r="L603">
        <v>1401426000</v>
      </c>
      <c r="M603" s="10">
        <f>(((L603/60)/60)/24)+DATE(1970,1,1)</f>
        <v>41789.208333333336</v>
      </c>
      <c r="N603">
        <v>1402894800</v>
      </c>
      <c r="O603" s="10">
        <f>(((N603/60)/60)/24)+DATE(1970,1,1)</f>
        <v>41806.208333333336</v>
      </c>
      <c r="P603" t="b">
        <v>1</v>
      </c>
      <c r="Q603" t="b">
        <v>0</v>
      </c>
      <c r="R603" t="s">
        <v>65</v>
      </c>
      <c r="S603" t="s">
        <v>2036</v>
      </c>
      <c r="T603" t="s">
        <v>2045</v>
      </c>
    </row>
    <row r="604" spans="1:20" ht="15.75" customHeight="1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>Table1[[#This Row],[pledged]]/Table1[[#This Row],[goal]]</f>
        <v>1.2823628691983122</v>
      </c>
      <c r="G604" t="s">
        <v>20</v>
      </c>
      <c r="H604">
        <v>1140</v>
      </c>
      <c r="I604" t="s">
        <v>21</v>
      </c>
      <c r="J604" t="s">
        <v>22</v>
      </c>
      <c r="K604" s="12">
        <f>IF(OR(E604=0, H604=0), 0, E604/H604)</f>
        <v>79.978947368421046</v>
      </c>
      <c r="L604">
        <v>1433480400</v>
      </c>
      <c r="M604" s="10">
        <f>(((L604/60)/60)/24)+DATE(1970,1,1)</f>
        <v>42160.208333333328</v>
      </c>
      <c r="N604">
        <v>1434430800</v>
      </c>
      <c r="O604" s="10">
        <f>(((N604/60)/60)/24)+DATE(1970,1,1)</f>
        <v>42171.208333333328</v>
      </c>
      <c r="P604" t="b">
        <v>0</v>
      </c>
      <c r="Q604" t="b">
        <v>0</v>
      </c>
      <c r="R604" t="s">
        <v>33</v>
      </c>
      <c r="S604" t="s">
        <v>2038</v>
      </c>
      <c r="T604" t="s">
        <v>2039</v>
      </c>
    </row>
    <row r="605" spans="1:20" ht="15.75" customHeight="1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>Table1[[#This Row],[pledged]]/Table1[[#This Row],[goal]]</f>
        <v>1.1966037735849056</v>
      </c>
      <c r="G605" t="s">
        <v>20</v>
      </c>
      <c r="H605">
        <v>102</v>
      </c>
      <c r="I605" t="s">
        <v>21</v>
      </c>
      <c r="J605" t="s">
        <v>22</v>
      </c>
      <c r="K605" s="12">
        <f>IF(OR(E605=0, H605=0), 0, E605/H605)</f>
        <v>62.176470588235297</v>
      </c>
      <c r="L605">
        <v>1555563600</v>
      </c>
      <c r="M605" s="10">
        <f>(((L605/60)/60)/24)+DATE(1970,1,1)</f>
        <v>43573.208333333328</v>
      </c>
      <c r="N605">
        <v>1557896400</v>
      </c>
      <c r="O605" s="10">
        <f>(((N605/60)/60)/24)+DATE(1970,1,1)</f>
        <v>43600.208333333328</v>
      </c>
      <c r="P605" t="b">
        <v>0</v>
      </c>
      <c r="Q605" t="b">
        <v>0</v>
      </c>
      <c r="R605" t="s">
        <v>33</v>
      </c>
      <c r="S605" t="s">
        <v>2038</v>
      </c>
      <c r="T605" t="s">
        <v>2039</v>
      </c>
    </row>
    <row r="606" spans="1:20" ht="15.75" customHeight="1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>Table1[[#This Row],[pledged]]/Table1[[#This Row],[goal]]</f>
        <v>1.7073055242390078</v>
      </c>
      <c r="G606" t="s">
        <v>20</v>
      </c>
      <c r="H606">
        <v>2857</v>
      </c>
      <c r="I606" t="s">
        <v>21</v>
      </c>
      <c r="J606" t="s">
        <v>22</v>
      </c>
      <c r="K606" s="12">
        <f>IF(OR(E606=0, H606=0), 0, E606/H606)</f>
        <v>53.005950297514879</v>
      </c>
      <c r="L606">
        <v>1295676000</v>
      </c>
      <c r="M606" s="10">
        <f>(((L606/60)/60)/24)+DATE(1970,1,1)</f>
        <v>40565.25</v>
      </c>
      <c r="N606">
        <v>1297490400</v>
      </c>
      <c r="O606" s="10">
        <f>(((N606/60)/60)/24)+DATE(1970,1,1)</f>
        <v>40586.25</v>
      </c>
      <c r="P606" t="b">
        <v>0</v>
      </c>
      <c r="Q606" t="b">
        <v>0</v>
      </c>
      <c r="R606" t="s">
        <v>33</v>
      </c>
      <c r="S606" t="s">
        <v>2038</v>
      </c>
      <c r="T606" t="s">
        <v>2039</v>
      </c>
    </row>
    <row r="607" spans="1:20" ht="15.75" customHeight="1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>Table1[[#This Row],[pledged]]/Table1[[#This Row],[goal]]</f>
        <v>1.8721212121212121</v>
      </c>
      <c r="G607" t="s">
        <v>20</v>
      </c>
      <c r="H607">
        <v>107</v>
      </c>
      <c r="I607" t="s">
        <v>21</v>
      </c>
      <c r="J607" t="s">
        <v>22</v>
      </c>
      <c r="K607" s="12">
        <f>IF(OR(E607=0, H607=0), 0, E607/H607)</f>
        <v>57.738317757009348</v>
      </c>
      <c r="L607">
        <v>1443848400</v>
      </c>
      <c r="M607" s="10">
        <f>(((L607/60)/60)/24)+DATE(1970,1,1)</f>
        <v>42280.208333333328</v>
      </c>
      <c r="N607">
        <v>1447394400</v>
      </c>
      <c r="O607" s="10">
        <f>(((N607/60)/60)/24)+DATE(1970,1,1)</f>
        <v>42321.25</v>
      </c>
      <c r="P607" t="b">
        <v>0</v>
      </c>
      <c r="Q607" t="b">
        <v>0</v>
      </c>
      <c r="R607" t="s">
        <v>68</v>
      </c>
      <c r="S607" t="s">
        <v>2046</v>
      </c>
      <c r="T607" t="s">
        <v>2047</v>
      </c>
    </row>
    <row r="608" spans="1:20" ht="15.75" customHeight="1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>Table1[[#This Row],[pledged]]/Table1[[#This Row],[goal]]</f>
        <v>1.8838235294117647</v>
      </c>
      <c r="G608" t="s">
        <v>20</v>
      </c>
      <c r="H608">
        <v>160</v>
      </c>
      <c r="I608" t="s">
        <v>40</v>
      </c>
      <c r="J608" t="s">
        <v>41</v>
      </c>
      <c r="K608" s="12">
        <f>IF(OR(E608=0, H608=0), 0, E608/H608)</f>
        <v>40.03125</v>
      </c>
      <c r="L608">
        <v>1457330400</v>
      </c>
      <c r="M608" s="10">
        <f>(((L608/60)/60)/24)+DATE(1970,1,1)</f>
        <v>42436.25</v>
      </c>
      <c r="N608">
        <v>1458277200</v>
      </c>
      <c r="O608" s="10">
        <f>(((N608/60)/60)/24)+DATE(1970,1,1)</f>
        <v>42447.208333333328</v>
      </c>
      <c r="P608" t="b">
        <v>0</v>
      </c>
      <c r="Q608" t="b">
        <v>0</v>
      </c>
      <c r="R608" t="s">
        <v>23</v>
      </c>
      <c r="S608" t="s">
        <v>2034</v>
      </c>
      <c r="T608" t="s">
        <v>2035</v>
      </c>
    </row>
    <row r="609" spans="1:20" ht="15.75" customHeight="1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>Table1[[#This Row],[pledged]]/Table1[[#This Row],[goal]]</f>
        <v>1.3129869186046512</v>
      </c>
      <c r="G609" t="s">
        <v>20</v>
      </c>
      <c r="H609">
        <v>2230</v>
      </c>
      <c r="I609" t="s">
        <v>21</v>
      </c>
      <c r="J609" t="s">
        <v>22</v>
      </c>
      <c r="K609" s="12">
        <f>IF(OR(E609=0, H609=0), 0, E609/H609)</f>
        <v>81.016591928251117</v>
      </c>
      <c r="L609">
        <v>1395550800</v>
      </c>
      <c r="M609" s="10">
        <f>(((L609/60)/60)/24)+DATE(1970,1,1)</f>
        <v>41721.208333333336</v>
      </c>
      <c r="N609">
        <v>1395723600</v>
      </c>
      <c r="O609" s="10">
        <f>(((N609/60)/60)/24)+DATE(1970,1,1)</f>
        <v>41723.208333333336</v>
      </c>
      <c r="P609" t="b">
        <v>0</v>
      </c>
      <c r="Q609" t="b">
        <v>0</v>
      </c>
      <c r="R609" t="s">
        <v>17</v>
      </c>
      <c r="S609" t="s">
        <v>2032</v>
      </c>
      <c r="T609" t="s">
        <v>2033</v>
      </c>
    </row>
    <row r="610" spans="1:20" ht="15.75" customHeight="1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>Table1[[#This Row],[pledged]]/Table1[[#This Row],[goal]]</f>
        <v>2.8397435897435899</v>
      </c>
      <c r="G610" t="s">
        <v>20</v>
      </c>
      <c r="H610">
        <v>316</v>
      </c>
      <c r="I610" t="s">
        <v>21</v>
      </c>
      <c r="J610" t="s">
        <v>22</v>
      </c>
      <c r="K610" s="12">
        <f>IF(OR(E610=0, H610=0), 0, E610/H610)</f>
        <v>35.047468354430379</v>
      </c>
      <c r="L610">
        <v>1551852000</v>
      </c>
      <c r="M610" s="10">
        <f>(((L610/60)/60)/24)+DATE(1970,1,1)</f>
        <v>43530.25</v>
      </c>
      <c r="N610">
        <v>1552197600</v>
      </c>
      <c r="O610" s="10">
        <f>(((N610/60)/60)/24)+DATE(1970,1,1)</f>
        <v>43534.25</v>
      </c>
      <c r="P610" t="b">
        <v>0</v>
      </c>
      <c r="Q610" t="b">
        <v>1</v>
      </c>
      <c r="R610" t="s">
        <v>159</v>
      </c>
      <c r="S610" t="s">
        <v>2034</v>
      </c>
      <c r="T610" t="s">
        <v>2057</v>
      </c>
    </row>
    <row r="611" spans="1:20" ht="15.75" customHeight="1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>Table1[[#This Row],[pledged]]/Table1[[#This Row],[goal]]</f>
        <v>1.2041999999999999</v>
      </c>
      <c r="G611" t="s">
        <v>20</v>
      </c>
      <c r="H611">
        <v>117</v>
      </c>
      <c r="I611" t="s">
        <v>21</v>
      </c>
      <c r="J611" t="s">
        <v>22</v>
      </c>
      <c r="K611" s="12">
        <f>IF(OR(E611=0, H611=0), 0, E611/H611)</f>
        <v>102.92307692307692</v>
      </c>
      <c r="L611">
        <v>1547618400</v>
      </c>
      <c r="M611" s="10">
        <f>(((L611/60)/60)/24)+DATE(1970,1,1)</f>
        <v>43481.25</v>
      </c>
      <c r="N611">
        <v>1549087200</v>
      </c>
      <c r="O611" s="10">
        <f>(((N611/60)/60)/24)+DATE(1970,1,1)</f>
        <v>43498.25</v>
      </c>
      <c r="P611" t="b">
        <v>0</v>
      </c>
      <c r="Q611" t="b">
        <v>0</v>
      </c>
      <c r="R611" t="s">
        <v>474</v>
      </c>
      <c r="S611" t="s">
        <v>2040</v>
      </c>
      <c r="T611" t="s">
        <v>2062</v>
      </c>
    </row>
    <row r="612" spans="1:20" ht="15.75" customHeight="1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>Table1[[#This Row],[pledged]]/Table1[[#This Row],[goal]]</f>
        <v>4.1905607476635511</v>
      </c>
      <c r="G612" t="s">
        <v>20</v>
      </c>
      <c r="H612">
        <v>6406</v>
      </c>
      <c r="I612" t="s">
        <v>21</v>
      </c>
      <c r="J612" t="s">
        <v>22</v>
      </c>
      <c r="K612" s="12">
        <f>IF(OR(E612=0, H612=0), 0, E612/H612)</f>
        <v>27.998126756166094</v>
      </c>
      <c r="L612">
        <v>1355637600</v>
      </c>
      <c r="M612" s="10">
        <f>(((L612/60)/60)/24)+DATE(1970,1,1)</f>
        <v>41259.25</v>
      </c>
      <c r="N612">
        <v>1356847200</v>
      </c>
      <c r="O612" s="10">
        <f>(((N612/60)/60)/24)+DATE(1970,1,1)</f>
        <v>41273.25</v>
      </c>
      <c r="P612" t="b">
        <v>0</v>
      </c>
      <c r="Q612" t="b">
        <v>0</v>
      </c>
      <c r="R612" t="s">
        <v>33</v>
      </c>
      <c r="S612" t="s">
        <v>2038</v>
      </c>
      <c r="T612" t="s">
        <v>2039</v>
      </c>
    </row>
    <row r="613" spans="1:20" ht="15.75" customHeight="1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>Table1[[#This Row],[pledged]]/Table1[[#This Row],[goal]]</f>
        <v>0.13853658536585367</v>
      </c>
      <c r="G613" t="s">
        <v>74</v>
      </c>
      <c r="H613">
        <v>15</v>
      </c>
      <c r="I613" t="s">
        <v>21</v>
      </c>
      <c r="J613" t="s">
        <v>22</v>
      </c>
      <c r="K613" s="12">
        <f>IF(OR(E613=0, H613=0), 0, E613/H613)</f>
        <v>75.733333333333334</v>
      </c>
      <c r="L613">
        <v>1374728400</v>
      </c>
      <c r="M613" s="10">
        <f>(((L613/60)/60)/24)+DATE(1970,1,1)</f>
        <v>41480.208333333336</v>
      </c>
      <c r="N613">
        <v>1375765200</v>
      </c>
      <c r="O613" s="10">
        <f>(((N613/60)/60)/24)+DATE(1970,1,1)</f>
        <v>41492.208333333336</v>
      </c>
      <c r="P613" t="b">
        <v>0</v>
      </c>
      <c r="Q613" t="b">
        <v>0</v>
      </c>
      <c r="R613" t="s">
        <v>33</v>
      </c>
      <c r="S613" t="s">
        <v>2038</v>
      </c>
      <c r="T613" t="s">
        <v>2039</v>
      </c>
    </row>
    <row r="614" spans="1:20" ht="15.75" customHeight="1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>Table1[[#This Row],[pledged]]/Table1[[#This Row],[goal]]</f>
        <v>1.3943548387096774</v>
      </c>
      <c r="G614" t="s">
        <v>20</v>
      </c>
      <c r="H614">
        <v>192</v>
      </c>
      <c r="I614" t="s">
        <v>21</v>
      </c>
      <c r="J614" t="s">
        <v>22</v>
      </c>
      <c r="K614" s="12">
        <f>IF(OR(E614=0, H614=0), 0, E614/H614)</f>
        <v>45.026041666666664</v>
      </c>
      <c r="L614">
        <v>1287810000</v>
      </c>
      <c r="M614" s="10">
        <f>(((L614/60)/60)/24)+DATE(1970,1,1)</f>
        <v>40474.208333333336</v>
      </c>
      <c r="N614">
        <v>1289800800</v>
      </c>
      <c r="O614" s="10">
        <f>(((N614/60)/60)/24)+DATE(1970,1,1)</f>
        <v>40497.25</v>
      </c>
      <c r="P614" t="b">
        <v>0</v>
      </c>
      <c r="Q614" t="b">
        <v>0</v>
      </c>
      <c r="R614" t="s">
        <v>50</v>
      </c>
      <c r="S614" t="s">
        <v>2034</v>
      </c>
      <c r="T614" t="s">
        <v>2042</v>
      </c>
    </row>
    <row r="615" spans="1:20" ht="15.75" customHeight="1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>Table1[[#This Row],[pledged]]/Table1[[#This Row],[goal]]</f>
        <v>1.74</v>
      </c>
      <c r="G615" t="s">
        <v>20</v>
      </c>
      <c r="H615">
        <v>26</v>
      </c>
      <c r="I615" t="s">
        <v>15</v>
      </c>
      <c r="J615" t="s">
        <v>16</v>
      </c>
      <c r="K615" s="12">
        <f>IF(OR(E615=0, H615=0), 0, E615/H615)</f>
        <v>73.615384615384613</v>
      </c>
      <c r="L615">
        <v>1503723600</v>
      </c>
      <c r="M615" s="10">
        <f>(((L615/60)/60)/24)+DATE(1970,1,1)</f>
        <v>42973.208333333328</v>
      </c>
      <c r="N615">
        <v>1504501200</v>
      </c>
      <c r="O615" s="10">
        <f>(((N615/60)/60)/24)+DATE(1970,1,1)</f>
        <v>42982.208333333328</v>
      </c>
      <c r="P615" t="b">
        <v>0</v>
      </c>
      <c r="Q615" t="b">
        <v>0</v>
      </c>
      <c r="R615" t="s">
        <v>33</v>
      </c>
      <c r="S615" t="s">
        <v>2038</v>
      </c>
      <c r="T615" t="s">
        <v>2039</v>
      </c>
    </row>
    <row r="616" spans="1:20" ht="15.75" customHeight="1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>Table1[[#This Row],[pledged]]/Table1[[#This Row],[goal]]</f>
        <v>1.5549056603773586</v>
      </c>
      <c r="G616" t="s">
        <v>20</v>
      </c>
      <c r="H616">
        <v>723</v>
      </c>
      <c r="I616" t="s">
        <v>21</v>
      </c>
      <c r="J616" t="s">
        <v>22</v>
      </c>
      <c r="K616" s="12">
        <f>IF(OR(E616=0, H616=0), 0, E616/H616)</f>
        <v>56.991701244813278</v>
      </c>
      <c r="L616">
        <v>1484114400</v>
      </c>
      <c r="M616" s="10">
        <f>(((L616/60)/60)/24)+DATE(1970,1,1)</f>
        <v>42746.25</v>
      </c>
      <c r="N616">
        <v>1485669600</v>
      </c>
      <c r="O616" s="10">
        <f>(((N616/60)/60)/24)+DATE(1970,1,1)</f>
        <v>42764.25</v>
      </c>
      <c r="P616" t="b">
        <v>0</v>
      </c>
      <c r="Q616" t="b">
        <v>0</v>
      </c>
      <c r="R616" t="s">
        <v>33</v>
      </c>
      <c r="S616" t="s">
        <v>2038</v>
      </c>
      <c r="T616" t="s">
        <v>2039</v>
      </c>
    </row>
    <row r="617" spans="1:20" ht="15.75" customHeight="1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>Table1[[#This Row],[pledged]]/Table1[[#This Row],[goal]]</f>
        <v>1.7044705882352942</v>
      </c>
      <c r="G617" t="s">
        <v>20</v>
      </c>
      <c r="H617">
        <v>170</v>
      </c>
      <c r="I617" t="s">
        <v>107</v>
      </c>
      <c r="J617" t="s">
        <v>108</v>
      </c>
      <c r="K617" s="12">
        <f>IF(OR(E617=0, H617=0), 0, E617/H617)</f>
        <v>85.223529411764702</v>
      </c>
      <c r="L617">
        <v>1461906000</v>
      </c>
      <c r="M617" s="10">
        <f>(((L617/60)/60)/24)+DATE(1970,1,1)</f>
        <v>42489.208333333328</v>
      </c>
      <c r="N617">
        <v>1462770000</v>
      </c>
      <c r="O617" s="10">
        <f>(((N617/60)/60)/24)+DATE(1970,1,1)</f>
        <v>42499.208333333328</v>
      </c>
      <c r="P617" t="b">
        <v>0</v>
      </c>
      <c r="Q617" t="b">
        <v>0</v>
      </c>
      <c r="R617" t="s">
        <v>33</v>
      </c>
      <c r="S617" t="s">
        <v>2038</v>
      </c>
      <c r="T617" t="s">
        <v>2039</v>
      </c>
    </row>
    <row r="618" spans="1:20" ht="15.75" customHeight="1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>Table1[[#This Row],[pledged]]/Table1[[#This Row],[goal]]</f>
        <v>1.8951562500000001</v>
      </c>
      <c r="G618" t="s">
        <v>20</v>
      </c>
      <c r="H618">
        <v>238</v>
      </c>
      <c r="I618" t="s">
        <v>40</v>
      </c>
      <c r="J618" t="s">
        <v>41</v>
      </c>
      <c r="K618" s="12">
        <f>IF(OR(E618=0, H618=0), 0, E618/H618)</f>
        <v>50.962184873949582</v>
      </c>
      <c r="L618">
        <v>1379653200</v>
      </c>
      <c r="M618" s="10">
        <f>(((L618/60)/60)/24)+DATE(1970,1,1)</f>
        <v>41537.208333333336</v>
      </c>
      <c r="N618">
        <v>1379739600</v>
      </c>
      <c r="O618" s="10">
        <f>(((N618/60)/60)/24)+DATE(1970,1,1)</f>
        <v>41538.208333333336</v>
      </c>
      <c r="P618" t="b">
        <v>0</v>
      </c>
      <c r="Q618" t="b">
        <v>1</v>
      </c>
      <c r="R618" t="s">
        <v>60</v>
      </c>
      <c r="S618" t="s">
        <v>2034</v>
      </c>
      <c r="T618" t="s">
        <v>2044</v>
      </c>
    </row>
    <row r="619" spans="1:20" ht="15.75" customHeight="1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>Table1[[#This Row],[pledged]]/Table1[[#This Row],[goal]]</f>
        <v>2.4971428571428573</v>
      </c>
      <c r="G619" t="s">
        <v>20</v>
      </c>
      <c r="H619">
        <v>55</v>
      </c>
      <c r="I619" t="s">
        <v>21</v>
      </c>
      <c r="J619" t="s">
        <v>22</v>
      </c>
      <c r="K619" s="12">
        <f>IF(OR(E619=0, H619=0), 0, E619/H619)</f>
        <v>63.563636363636363</v>
      </c>
      <c r="L619">
        <v>1401858000</v>
      </c>
      <c r="M619" s="10">
        <f>(((L619/60)/60)/24)+DATE(1970,1,1)</f>
        <v>41794.208333333336</v>
      </c>
      <c r="N619">
        <v>1402722000</v>
      </c>
      <c r="O619" s="10">
        <f>(((N619/60)/60)/24)+DATE(1970,1,1)</f>
        <v>41804.208333333336</v>
      </c>
      <c r="P619" t="b">
        <v>0</v>
      </c>
      <c r="Q619" t="b">
        <v>0</v>
      </c>
      <c r="R619" t="s">
        <v>33</v>
      </c>
      <c r="S619" t="s">
        <v>2038</v>
      </c>
      <c r="T619" t="s">
        <v>2039</v>
      </c>
    </row>
    <row r="620" spans="1:20" ht="15.75" customHeight="1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>Table1[[#This Row],[pledged]]/Table1[[#This Row],[goal]]</f>
        <v>0.48860523665659616</v>
      </c>
      <c r="G620" t="s">
        <v>14</v>
      </c>
      <c r="H620">
        <v>1198</v>
      </c>
      <c r="I620" t="s">
        <v>21</v>
      </c>
      <c r="J620" t="s">
        <v>22</v>
      </c>
      <c r="K620" s="12">
        <f>IF(OR(E620=0, H620=0), 0, E620/H620)</f>
        <v>80.999165275459092</v>
      </c>
      <c r="L620">
        <v>1367470800</v>
      </c>
      <c r="M620" s="10">
        <f>(((L620/60)/60)/24)+DATE(1970,1,1)</f>
        <v>41396.208333333336</v>
      </c>
      <c r="N620">
        <v>1369285200</v>
      </c>
      <c r="O620" s="10">
        <f>(((N620/60)/60)/24)+DATE(1970,1,1)</f>
        <v>41417.208333333336</v>
      </c>
      <c r="P620" t="b">
        <v>0</v>
      </c>
      <c r="Q620" t="b">
        <v>0</v>
      </c>
      <c r="R620" t="s">
        <v>68</v>
      </c>
      <c r="S620" t="s">
        <v>2046</v>
      </c>
      <c r="T620" t="s">
        <v>2047</v>
      </c>
    </row>
    <row r="621" spans="1:20" ht="15.75" customHeight="1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>Table1[[#This Row],[pledged]]/Table1[[#This Row],[goal]]</f>
        <v>0.28461970393057684</v>
      </c>
      <c r="G621" t="s">
        <v>14</v>
      </c>
      <c r="H621">
        <v>648</v>
      </c>
      <c r="I621" t="s">
        <v>21</v>
      </c>
      <c r="J621" t="s">
        <v>22</v>
      </c>
      <c r="K621" s="12">
        <f>IF(OR(E621=0, H621=0), 0, E621/H621)</f>
        <v>86.044753086419746</v>
      </c>
      <c r="L621">
        <v>1304658000</v>
      </c>
      <c r="M621" s="10">
        <f>(((L621/60)/60)/24)+DATE(1970,1,1)</f>
        <v>40669.208333333336</v>
      </c>
      <c r="N621">
        <v>1304744400</v>
      </c>
      <c r="O621" s="10">
        <f>(((N621/60)/60)/24)+DATE(1970,1,1)</f>
        <v>40670.208333333336</v>
      </c>
      <c r="P621" t="b">
        <v>1</v>
      </c>
      <c r="Q621" t="b">
        <v>1</v>
      </c>
      <c r="R621" t="s">
        <v>33</v>
      </c>
      <c r="S621" t="s">
        <v>2038</v>
      </c>
      <c r="T621" t="s">
        <v>2039</v>
      </c>
    </row>
    <row r="622" spans="1:20" ht="15.75" customHeight="1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>Table1[[#This Row],[pledged]]/Table1[[#This Row],[goal]]</f>
        <v>2.6802325581395348</v>
      </c>
      <c r="G622" t="s">
        <v>20</v>
      </c>
      <c r="H622">
        <v>128</v>
      </c>
      <c r="I622" t="s">
        <v>26</v>
      </c>
      <c r="J622" t="s">
        <v>27</v>
      </c>
      <c r="K622" s="12">
        <f>IF(OR(E622=0, H622=0), 0, E622/H622)</f>
        <v>90.0390625</v>
      </c>
      <c r="L622">
        <v>1467954000</v>
      </c>
      <c r="M622" s="10">
        <f>(((L622/60)/60)/24)+DATE(1970,1,1)</f>
        <v>42559.208333333328</v>
      </c>
      <c r="N622">
        <v>1468299600</v>
      </c>
      <c r="O622" s="10">
        <f>(((N622/60)/60)/24)+DATE(1970,1,1)</f>
        <v>42563.208333333328</v>
      </c>
      <c r="P622" t="b">
        <v>0</v>
      </c>
      <c r="Q622" t="b">
        <v>0</v>
      </c>
      <c r="R622" t="s">
        <v>122</v>
      </c>
      <c r="S622" t="s">
        <v>2053</v>
      </c>
      <c r="T622" t="s">
        <v>2054</v>
      </c>
    </row>
    <row r="623" spans="1:20" ht="15.75" customHeight="1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>Table1[[#This Row],[pledged]]/Table1[[#This Row],[goal]]</f>
        <v>6.1980078125000002</v>
      </c>
      <c r="G623" t="s">
        <v>20</v>
      </c>
      <c r="H623">
        <v>2144</v>
      </c>
      <c r="I623" t="s">
        <v>21</v>
      </c>
      <c r="J623" t="s">
        <v>22</v>
      </c>
      <c r="K623" s="12">
        <f>IF(OR(E623=0, H623=0), 0, E623/H623)</f>
        <v>74.006063432835816</v>
      </c>
      <c r="L623">
        <v>1473742800</v>
      </c>
      <c r="M623" s="10">
        <f>(((L623/60)/60)/24)+DATE(1970,1,1)</f>
        <v>42626.208333333328</v>
      </c>
      <c r="N623">
        <v>1474174800</v>
      </c>
      <c r="O623" s="10">
        <f>(((N623/60)/60)/24)+DATE(1970,1,1)</f>
        <v>42631.208333333328</v>
      </c>
      <c r="P623" t="b">
        <v>0</v>
      </c>
      <c r="Q623" t="b">
        <v>0</v>
      </c>
      <c r="R623" t="s">
        <v>33</v>
      </c>
      <c r="S623" t="s">
        <v>2038</v>
      </c>
      <c r="T623" t="s">
        <v>2039</v>
      </c>
    </row>
    <row r="624" spans="1:20" ht="15.75" customHeight="1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>Table1[[#This Row],[pledged]]/Table1[[#This Row],[goal]]</f>
        <v>3.1301587301587303E-2</v>
      </c>
      <c r="G624" t="s">
        <v>14</v>
      </c>
      <c r="H624">
        <v>64</v>
      </c>
      <c r="I624" t="s">
        <v>21</v>
      </c>
      <c r="J624" t="s">
        <v>22</v>
      </c>
      <c r="K624" s="12">
        <f>IF(OR(E624=0, H624=0), 0, E624/H624)</f>
        <v>92.4375</v>
      </c>
      <c r="L624">
        <v>1523768400</v>
      </c>
      <c r="M624" s="10">
        <f>(((L624/60)/60)/24)+DATE(1970,1,1)</f>
        <v>43205.208333333328</v>
      </c>
      <c r="N624">
        <v>1526014800</v>
      </c>
      <c r="O624" s="10">
        <f>(((N624/60)/60)/24)+DATE(1970,1,1)</f>
        <v>43231.208333333328</v>
      </c>
      <c r="P624" t="b">
        <v>0</v>
      </c>
      <c r="Q624" t="b">
        <v>0</v>
      </c>
      <c r="R624" t="s">
        <v>60</v>
      </c>
      <c r="S624" t="s">
        <v>2034</v>
      </c>
      <c r="T624" t="s">
        <v>2044</v>
      </c>
    </row>
    <row r="625" spans="1:20" ht="15.75" customHeight="1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>Table1[[#This Row],[pledged]]/Table1[[#This Row],[goal]]</f>
        <v>1.5992152704135738</v>
      </c>
      <c r="G625" t="s">
        <v>20</v>
      </c>
      <c r="H625">
        <v>2693</v>
      </c>
      <c r="I625" t="s">
        <v>40</v>
      </c>
      <c r="J625" t="s">
        <v>41</v>
      </c>
      <c r="K625" s="12">
        <f>IF(OR(E625=0, H625=0), 0, E625/H625)</f>
        <v>55.999257333828446</v>
      </c>
      <c r="L625">
        <v>1437022800</v>
      </c>
      <c r="M625" s="10">
        <f>(((L625/60)/60)/24)+DATE(1970,1,1)</f>
        <v>42201.208333333328</v>
      </c>
      <c r="N625">
        <v>1437454800</v>
      </c>
      <c r="O625" s="10">
        <f>(((N625/60)/60)/24)+DATE(1970,1,1)</f>
        <v>42206.208333333328</v>
      </c>
      <c r="P625" t="b">
        <v>0</v>
      </c>
      <c r="Q625" t="b">
        <v>0</v>
      </c>
      <c r="R625" t="s">
        <v>33</v>
      </c>
      <c r="S625" t="s">
        <v>2038</v>
      </c>
      <c r="T625" t="s">
        <v>2039</v>
      </c>
    </row>
    <row r="626" spans="1:20" ht="15.75" customHeight="1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>Table1[[#This Row],[pledged]]/Table1[[#This Row],[goal]]</f>
        <v>2.793921568627451</v>
      </c>
      <c r="G626" t="s">
        <v>20</v>
      </c>
      <c r="H626">
        <v>432</v>
      </c>
      <c r="I626" t="s">
        <v>21</v>
      </c>
      <c r="J626" t="s">
        <v>22</v>
      </c>
      <c r="K626" s="12">
        <f>IF(OR(E626=0, H626=0), 0, E626/H626)</f>
        <v>32.983796296296298</v>
      </c>
      <c r="L626">
        <v>1422165600</v>
      </c>
      <c r="M626" s="10">
        <f>(((L626/60)/60)/24)+DATE(1970,1,1)</f>
        <v>42029.25</v>
      </c>
      <c r="N626">
        <v>1422684000</v>
      </c>
      <c r="O626" s="10">
        <f>(((N626/60)/60)/24)+DATE(1970,1,1)</f>
        <v>42035.25</v>
      </c>
      <c r="P626" t="b">
        <v>0</v>
      </c>
      <c r="Q626" t="b">
        <v>0</v>
      </c>
      <c r="R626" t="s">
        <v>122</v>
      </c>
      <c r="S626" t="s">
        <v>2053</v>
      </c>
      <c r="T626" t="s">
        <v>2054</v>
      </c>
    </row>
    <row r="627" spans="1:20" ht="15.75" customHeight="1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>Table1[[#This Row],[pledged]]/Table1[[#This Row],[goal]]</f>
        <v>0.77373333333333338</v>
      </c>
      <c r="G627" t="s">
        <v>14</v>
      </c>
      <c r="H627">
        <v>62</v>
      </c>
      <c r="I627" t="s">
        <v>21</v>
      </c>
      <c r="J627" t="s">
        <v>22</v>
      </c>
      <c r="K627" s="12">
        <f>IF(OR(E627=0, H627=0), 0, E627/H627)</f>
        <v>93.596774193548384</v>
      </c>
      <c r="L627">
        <v>1580104800</v>
      </c>
      <c r="M627" s="10">
        <f>(((L627/60)/60)/24)+DATE(1970,1,1)</f>
        <v>43857.25</v>
      </c>
      <c r="N627">
        <v>1581314400</v>
      </c>
      <c r="O627" s="10">
        <f>(((N627/60)/60)/24)+DATE(1970,1,1)</f>
        <v>43871.25</v>
      </c>
      <c r="P627" t="b">
        <v>0</v>
      </c>
      <c r="Q627" t="b">
        <v>0</v>
      </c>
      <c r="R627" t="s">
        <v>33</v>
      </c>
      <c r="S627" t="s">
        <v>2038</v>
      </c>
      <c r="T627" t="s">
        <v>2039</v>
      </c>
    </row>
    <row r="628" spans="1:20" ht="15.75" customHeight="1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>Table1[[#This Row],[pledged]]/Table1[[#This Row],[goal]]</f>
        <v>2.0632812500000002</v>
      </c>
      <c r="G628" t="s">
        <v>20</v>
      </c>
      <c r="H628">
        <v>189</v>
      </c>
      <c r="I628" t="s">
        <v>21</v>
      </c>
      <c r="J628" t="s">
        <v>22</v>
      </c>
      <c r="K628" s="12">
        <f>IF(OR(E628=0, H628=0), 0, E628/H628)</f>
        <v>69.867724867724874</v>
      </c>
      <c r="L628">
        <v>1285650000</v>
      </c>
      <c r="M628" s="10">
        <f>(((L628/60)/60)/24)+DATE(1970,1,1)</f>
        <v>40449.208333333336</v>
      </c>
      <c r="N628">
        <v>1286427600</v>
      </c>
      <c r="O628" s="10">
        <f>(((N628/60)/60)/24)+DATE(1970,1,1)</f>
        <v>40458.208333333336</v>
      </c>
      <c r="P628" t="b">
        <v>0</v>
      </c>
      <c r="Q628" t="b">
        <v>1</v>
      </c>
      <c r="R628" t="s">
        <v>33</v>
      </c>
      <c r="S628" t="s">
        <v>2038</v>
      </c>
      <c r="T628" t="s">
        <v>2039</v>
      </c>
    </row>
    <row r="629" spans="1:20" ht="15.75" customHeight="1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>Table1[[#This Row],[pledged]]/Table1[[#This Row],[goal]]</f>
        <v>6.9424999999999999</v>
      </c>
      <c r="G629" t="s">
        <v>20</v>
      </c>
      <c r="H629">
        <v>154</v>
      </c>
      <c r="I629" t="s">
        <v>40</v>
      </c>
      <c r="J629" t="s">
        <v>41</v>
      </c>
      <c r="K629" s="12">
        <f>IF(OR(E629=0, H629=0), 0, E629/H629)</f>
        <v>72.129870129870127</v>
      </c>
      <c r="L629">
        <v>1276664400</v>
      </c>
      <c r="M629" s="10">
        <f>(((L629/60)/60)/24)+DATE(1970,1,1)</f>
        <v>40345.208333333336</v>
      </c>
      <c r="N629">
        <v>1278738000</v>
      </c>
      <c r="O629" s="10">
        <f>(((N629/60)/60)/24)+DATE(1970,1,1)</f>
        <v>40369.208333333336</v>
      </c>
      <c r="P629" t="b">
        <v>1</v>
      </c>
      <c r="Q629" t="b">
        <v>0</v>
      </c>
      <c r="R629" t="s">
        <v>17</v>
      </c>
      <c r="S629" t="s">
        <v>2032</v>
      </c>
      <c r="T629" t="s">
        <v>2033</v>
      </c>
    </row>
    <row r="630" spans="1:20" ht="15.75" customHeight="1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>Table1[[#This Row],[pledged]]/Table1[[#This Row],[goal]]</f>
        <v>1.5178947368421052</v>
      </c>
      <c r="G630" t="s">
        <v>20</v>
      </c>
      <c r="H630">
        <v>96</v>
      </c>
      <c r="I630" t="s">
        <v>21</v>
      </c>
      <c r="J630" t="s">
        <v>22</v>
      </c>
      <c r="K630" s="12">
        <f>IF(OR(E630=0, H630=0), 0, E630/H630)</f>
        <v>30.041666666666668</v>
      </c>
      <c r="L630">
        <v>1286168400</v>
      </c>
      <c r="M630" s="10">
        <f>(((L630/60)/60)/24)+DATE(1970,1,1)</f>
        <v>40455.208333333336</v>
      </c>
      <c r="N630">
        <v>1286427600</v>
      </c>
      <c r="O630" s="10">
        <f>(((N630/60)/60)/24)+DATE(1970,1,1)</f>
        <v>40458.208333333336</v>
      </c>
      <c r="P630" t="b">
        <v>0</v>
      </c>
      <c r="Q630" t="b">
        <v>0</v>
      </c>
      <c r="R630" t="s">
        <v>60</v>
      </c>
      <c r="S630" t="s">
        <v>2034</v>
      </c>
      <c r="T630" t="s">
        <v>2044</v>
      </c>
    </row>
    <row r="631" spans="1:20" ht="15.75" customHeight="1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>Table1[[#This Row],[pledged]]/Table1[[#This Row],[goal]]</f>
        <v>0.64582072176949945</v>
      </c>
      <c r="G631" t="s">
        <v>14</v>
      </c>
      <c r="H631">
        <v>750</v>
      </c>
      <c r="I631" t="s">
        <v>21</v>
      </c>
      <c r="J631" t="s">
        <v>22</v>
      </c>
      <c r="K631" s="12">
        <f>IF(OR(E631=0, H631=0), 0, E631/H631)</f>
        <v>73.968000000000004</v>
      </c>
      <c r="L631">
        <v>1467781200</v>
      </c>
      <c r="M631" s="10">
        <f>(((L631/60)/60)/24)+DATE(1970,1,1)</f>
        <v>42557.208333333328</v>
      </c>
      <c r="N631">
        <v>1467954000</v>
      </c>
      <c r="O631" s="10">
        <f>(((N631/60)/60)/24)+DATE(1970,1,1)</f>
        <v>42559.208333333328</v>
      </c>
      <c r="P631" t="b">
        <v>0</v>
      </c>
      <c r="Q631" t="b">
        <v>1</v>
      </c>
      <c r="R631" t="s">
        <v>33</v>
      </c>
      <c r="S631" t="s">
        <v>2038</v>
      </c>
      <c r="T631" t="s">
        <v>2039</v>
      </c>
    </row>
    <row r="632" spans="1:20" ht="15.75" customHeight="1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>Table1[[#This Row],[pledged]]/Table1[[#This Row],[goal]]</f>
        <v>0.62873684210526315</v>
      </c>
      <c r="G632" t="s">
        <v>74</v>
      </c>
      <c r="H632">
        <v>87</v>
      </c>
      <c r="I632" t="s">
        <v>21</v>
      </c>
      <c r="J632" t="s">
        <v>22</v>
      </c>
      <c r="K632" s="12">
        <f>IF(OR(E632=0, H632=0), 0, E632/H632)</f>
        <v>68.65517241379311</v>
      </c>
      <c r="L632">
        <v>1556686800</v>
      </c>
      <c r="M632" s="10">
        <f>(((L632/60)/60)/24)+DATE(1970,1,1)</f>
        <v>43586.208333333328</v>
      </c>
      <c r="N632">
        <v>1557637200</v>
      </c>
      <c r="O632" s="10">
        <f>(((N632/60)/60)/24)+DATE(1970,1,1)</f>
        <v>43597.208333333328</v>
      </c>
      <c r="P632" t="b">
        <v>0</v>
      </c>
      <c r="Q632" t="b">
        <v>1</v>
      </c>
      <c r="R632" t="s">
        <v>33</v>
      </c>
      <c r="S632" t="s">
        <v>2038</v>
      </c>
      <c r="T632" t="s">
        <v>2039</v>
      </c>
    </row>
    <row r="633" spans="1:20" ht="15.75" customHeight="1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>Table1[[#This Row],[pledged]]/Table1[[#This Row],[goal]]</f>
        <v>3.1039864864864866</v>
      </c>
      <c r="G633" t="s">
        <v>20</v>
      </c>
      <c r="H633">
        <v>3063</v>
      </c>
      <c r="I633" t="s">
        <v>21</v>
      </c>
      <c r="J633" t="s">
        <v>22</v>
      </c>
      <c r="K633" s="12">
        <f>IF(OR(E633=0, H633=0), 0, E633/H633)</f>
        <v>59.992164544564154</v>
      </c>
      <c r="L633">
        <v>1553576400</v>
      </c>
      <c r="M633" s="10">
        <f>(((L633/60)/60)/24)+DATE(1970,1,1)</f>
        <v>43550.208333333328</v>
      </c>
      <c r="N633">
        <v>1553922000</v>
      </c>
      <c r="O633" s="10">
        <f>(((N633/60)/60)/24)+DATE(1970,1,1)</f>
        <v>43554.208333333328</v>
      </c>
      <c r="P633" t="b">
        <v>0</v>
      </c>
      <c r="Q633" t="b">
        <v>0</v>
      </c>
      <c r="R633" t="s">
        <v>33</v>
      </c>
      <c r="S633" t="s">
        <v>2038</v>
      </c>
      <c r="T633" t="s">
        <v>2039</v>
      </c>
    </row>
    <row r="634" spans="1:20" ht="15.75" customHeight="1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>Table1[[#This Row],[pledged]]/Table1[[#This Row],[goal]]</f>
        <v>0.42859916782246882</v>
      </c>
      <c r="G634" t="s">
        <v>47</v>
      </c>
      <c r="H634">
        <v>278</v>
      </c>
      <c r="I634" t="s">
        <v>21</v>
      </c>
      <c r="J634" t="s">
        <v>22</v>
      </c>
      <c r="K634" s="12">
        <f>IF(OR(E634=0, H634=0), 0, E634/H634)</f>
        <v>111.15827338129496</v>
      </c>
      <c r="L634">
        <v>1414904400</v>
      </c>
      <c r="M634" s="10">
        <f>(((L634/60)/60)/24)+DATE(1970,1,1)</f>
        <v>41945.208333333336</v>
      </c>
      <c r="N634">
        <v>1416463200</v>
      </c>
      <c r="O634" s="10">
        <f>(((N634/60)/60)/24)+DATE(1970,1,1)</f>
        <v>41963.25</v>
      </c>
      <c r="P634" t="b">
        <v>0</v>
      </c>
      <c r="Q634" t="b">
        <v>0</v>
      </c>
      <c r="R634" t="s">
        <v>33</v>
      </c>
      <c r="S634" t="s">
        <v>2038</v>
      </c>
      <c r="T634" t="s">
        <v>2039</v>
      </c>
    </row>
    <row r="635" spans="1:20" ht="15.75" customHeight="1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>Table1[[#This Row],[pledged]]/Table1[[#This Row],[goal]]</f>
        <v>0.83119402985074631</v>
      </c>
      <c r="G635" t="s">
        <v>14</v>
      </c>
      <c r="H635">
        <v>105</v>
      </c>
      <c r="I635" t="s">
        <v>21</v>
      </c>
      <c r="J635" t="s">
        <v>22</v>
      </c>
      <c r="K635" s="12">
        <f>IF(OR(E635=0, H635=0), 0, E635/H635)</f>
        <v>53.038095238095238</v>
      </c>
      <c r="L635">
        <v>1446876000</v>
      </c>
      <c r="M635" s="10">
        <f>(((L635/60)/60)/24)+DATE(1970,1,1)</f>
        <v>42315.25</v>
      </c>
      <c r="N635">
        <v>1447221600</v>
      </c>
      <c r="O635" s="10">
        <f>(((N635/60)/60)/24)+DATE(1970,1,1)</f>
        <v>42319.25</v>
      </c>
      <c r="P635" t="b">
        <v>0</v>
      </c>
      <c r="Q635" t="b">
        <v>0</v>
      </c>
      <c r="R635" t="s">
        <v>71</v>
      </c>
      <c r="S635" t="s">
        <v>2040</v>
      </c>
      <c r="T635" t="s">
        <v>2048</v>
      </c>
    </row>
    <row r="636" spans="1:20" ht="15.75" customHeight="1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>Table1[[#This Row],[pledged]]/Table1[[#This Row],[goal]]</f>
        <v>0.78531302876480547</v>
      </c>
      <c r="G636" t="s">
        <v>74</v>
      </c>
      <c r="H636">
        <v>1658</v>
      </c>
      <c r="I636" t="s">
        <v>21</v>
      </c>
      <c r="J636" t="s">
        <v>22</v>
      </c>
      <c r="K636" s="12">
        <f>IF(OR(E636=0, H636=0), 0, E636/H636)</f>
        <v>55.985524728588658</v>
      </c>
      <c r="L636">
        <v>1490418000</v>
      </c>
      <c r="M636" s="10">
        <f>(((L636/60)/60)/24)+DATE(1970,1,1)</f>
        <v>42819.208333333328</v>
      </c>
      <c r="N636">
        <v>1491627600</v>
      </c>
      <c r="O636" s="10">
        <f>(((N636/60)/60)/24)+DATE(1970,1,1)</f>
        <v>42833.208333333328</v>
      </c>
      <c r="P636" t="b">
        <v>0</v>
      </c>
      <c r="Q636" t="b">
        <v>0</v>
      </c>
      <c r="R636" t="s">
        <v>269</v>
      </c>
      <c r="S636" t="s">
        <v>2040</v>
      </c>
      <c r="T636" t="s">
        <v>2059</v>
      </c>
    </row>
    <row r="637" spans="1:20" ht="15.75" customHeight="1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>Table1[[#This Row],[pledged]]/Table1[[#This Row],[goal]]</f>
        <v>1.1409352517985611</v>
      </c>
      <c r="G637" t="s">
        <v>20</v>
      </c>
      <c r="H637">
        <v>2266</v>
      </c>
      <c r="I637" t="s">
        <v>21</v>
      </c>
      <c r="J637" t="s">
        <v>22</v>
      </c>
      <c r="K637" s="12">
        <f>IF(OR(E637=0, H637=0), 0, E637/H637)</f>
        <v>69.986760812003524</v>
      </c>
      <c r="L637">
        <v>1360389600</v>
      </c>
      <c r="M637" s="10">
        <f>(((L637/60)/60)/24)+DATE(1970,1,1)</f>
        <v>41314.25</v>
      </c>
      <c r="N637">
        <v>1363150800</v>
      </c>
      <c r="O637" s="10">
        <f>(((N637/60)/60)/24)+DATE(1970,1,1)</f>
        <v>41346.208333333336</v>
      </c>
      <c r="P637" t="b">
        <v>0</v>
      </c>
      <c r="Q637" t="b">
        <v>0</v>
      </c>
      <c r="R637" t="s">
        <v>269</v>
      </c>
      <c r="S637" t="s">
        <v>2040</v>
      </c>
      <c r="T637" t="s">
        <v>2059</v>
      </c>
    </row>
    <row r="638" spans="1:20" ht="15.75" customHeight="1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>Table1[[#This Row],[pledged]]/Table1[[#This Row],[goal]]</f>
        <v>0.64537683358624176</v>
      </c>
      <c r="G638" t="s">
        <v>14</v>
      </c>
      <c r="H638">
        <v>2604</v>
      </c>
      <c r="I638" t="s">
        <v>36</v>
      </c>
      <c r="J638" t="s">
        <v>37</v>
      </c>
      <c r="K638" s="12">
        <f>IF(OR(E638=0, H638=0), 0, E638/H638)</f>
        <v>48.998079877112133</v>
      </c>
      <c r="L638">
        <v>1326866400</v>
      </c>
      <c r="M638" s="10">
        <f>(((L638/60)/60)/24)+DATE(1970,1,1)</f>
        <v>40926.25</v>
      </c>
      <c r="N638">
        <v>1330754400</v>
      </c>
      <c r="O638" s="10">
        <f>(((N638/60)/60)/24)+DATE(1970,1,1)</f>
        <v>40971.25</v>
      </c>
      <c r="P638" t="b">
        <v>0</v>
      </c>
      <c r="Q638" t="b">
        <v>1</v>
      </c>
      <c r="R638" t="s">
        <v>71</v>
      </c>
      <c r="S638" t="s">
        <v>2040</v>
      </c>
      <c r="T638" t="s">
        <v>2048</v>
      </c>
    </row>
    <row r="639" spans="1:20" ht="15.75" customHeight="1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>Table1[[#This Row],[pledged]]/Table1[[#This Row],[goal]]</f>
        <v>0.79411764705882348</v>
      </c>
      <c r="G639" t="s">
        <v>14</v>
      </c>
      <c r="H639">
        <v>65</v>
      </c>
      <c r="I639" t="s">
        <v>21</v>
      </c>
      <c r="J639" t="s">
        <v>22</v>
      </c>
      <c r="K639" s="12">
        <f>IF(OR(E639=0, H639=0), 0, E639/H639)</f>
        <v>103.84615384615384</v>
      </c>
      <c r="L639">
        <v>1479103200</v>
      </c>
      <c r="M639" s="10">
        <f>(((L639/60)/60)/24)+DATE(1970,1,1)</f>
        <v>42688.25</v>
      </c>
      <c r="N639">
        <v>1479794400</v>
      </c>
      <c r="O639" s="10">
        <f>(((N639/60)/60)/24)+DATE(1970,1,1)</f>
        <v>42696.25</v>
      </c>
      <c r="P639" t="b">
        <v>0</v>
      </c>
      <c r="Q639" t="b">
        <v>0</v>
      </c>
      <c r="R639" t="s">
        <v>33</v>
      </c>
      <c r="S639" t="s">
        <v>2038</v>
      </c>
      <c r="T639" t="s">
        <v>2039</v>
      </c>
    </row>
    <row r="640" spans="1:20" ht="15.75" customHeight="1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>Table1[[#This Row],[pledged]]/Table1[[#This Row],[goal]]</f>
        <v>0.11419117647058824</v>
      </c>
      <c r="G640" t="s">
        <v>14</v>
      </c>
      <c r="H640">
        <v>94</v>
      </c>
      <c r="I640" t="s">
        <v>21</v>
      </c>
      <c r="J640" t="s">
        <v>22</v>
      </c>
      <c r="K640" s="12">
        <f>IF(OR(E640=0, H640=0), 0, E640/H640)</f>
        <v>99.127659574468083</v>
      </c>
      <c r="L640">
        <v>1280206800</v>
      </c>
      <c r="M640" s="10">
        <f>(((L640/60)/60)/24)+DATE(1970,1,1)</f>
        <v>40386.208333333336</v>
      </c>
      <c r="N640">
        <v>1281243600</v>
      </c>
      <c r="O640" s="10">
        <f>(((N640/60)/60)/24)+DATE(1970,1,1)</f>
        <v>40398.208333333336</v>
      </c>
      <c r="P640" t="b">
        <v>0</v>
      </c>
      <c r="Q640" t="b">
        <v>1</v>
      </c>
      <c r="R640" t="s">
        <v>33</v>
      </c>
      <c r="S640" t="s">
        <v>2038</v>
      </c>
      <c r="T640" t="s">
        <v>2039</v>
      </c>
    </row>
    <row r="641" spans="1:20" ht="15.75" customHeight="1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>Table1[[#This Row],[pledged]]/Table1[[#This Row],[goal]]</f>
        <v>0.56186046511627907</v>
      </c>
      <c r="G641" t="s">
        <v>47</v>
      </c>
      <c r="H641">
        <v>45</v>
      </c>
      <c r="I641" t="s">
        <v>21</v>
      </c>
      <c r="J641" t="s">
        <v>22</v>
      </c>
      <c r="K641" s="12">
        <f>IF(OR(E641=0, H641=0), 0, E641/H641)</f>
        <v>107.37777777777778</v>
      </c>
      <c r="L641">
        <v>1532754000</v>
      </c>
      <c r="M641" s="10">
        <f>(((L641/60)/60)/24)+DATE(1970,1,1)</f>
        <v>43309.208333333328</v>
      </c>
      <c r="N641">
        <v>1532754000</v>
      </c>
      <c r="O641" s="10">
        <f>(((N641/60)/60)/24)+DATE(1970,1,1)</f>
        <v>43309.208333333328</v>
      </c>
      <c r="P641" t="b">
        <v>0</v>
      </c>
      <c r="Q641" t="b">
        <v>1</v>
      </c>
      <c r="R641" t="s">
        <v>53</v>
      </c>
      <c r="S641" t="s">
        <v>2040</v>
      </c>
      <c r="T641" t="s">
        <v>2043</v>
      </c>
    </row>
    <row r="642" spans="1:20" ht="15.75" customHeight="1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>Table1[[#This Row],[pledged]]/Table1[[#This Row],[goal]]</f>
        <v>0.16501669449081802</v>
      </c>
      <c r="G642" t="s">
        <v>14</v>
      </c>
      <c r="H642">
        <v>257</v>
      </c>
      <c r="I642" t="s">
        <v>21</v>
      </c>
      <c r="J642" t="s">
        <v>22</v>
      </c>
      <c r="K642" s="12">
        <f>IF(OR(E642=0, H642=0), 0, E642/H642)</f>
        <v>76.922178988326849</v>
      </c>
      <c r="L642">
        <v>1453096800</v>
      </c>
      <c r="M642" s="10">
        <f>(((L642/60)/60)/24)+DATE(1970,1,1)</f>
        <v>42387.25</v>
      </c>
      <c r="N642">
        <v>1453356000</v>
      </c>
      <c r="O642" s="10">
        <f>(((N642/60)/60)/24)+DATE(1970,1,1)</f>
        <v>42390.25</v>
      </c>
      <c r="P642" t="b">
        <v>0</v>
      </c>
      <c r="Q642" t="b">
        <v>0</v>
      </c>
      <c r="R642" t="s">
        <v>33</v>
      </c>
      <c r="S642" t="s">
        <v>2038</v>
      </c>
      <c r="T642" t="s">
        <v>2039</v>
      </c>
    </row>
    <row r="643" spans="1:20" ht="15.75" customHeight="1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>Table1[[#This Row],[pledged]]/Table1[[#This Row],[goal]]</f>
        <v>1.1996808510638297</v>
      </c>
      <c r="G643" t="s">
        <v>20</v>
      </c>
      <c r="H643">
        <v>194</v>
      </c>
      <c r="I643" t="s">
        <v>98</v>
      </c>
      <c r="J643" t="s">
        <v>99</v>
      </c>
      <c r="K643" s="12">
        <f>IF(OR(E643=0, H643=0), 0, E643/H643)</f>
        <v>58.128865979381445</v>
      </c>
      <c r="L643">
        <v>1487570400</v>
      </c>
      <c r="M643" s="10">
        <f>(((L643/60)/60)/24)+DATE(1970,1,1)</f>
        <v>42786.25</v>
      </c>
      <c r="N643">
        <v>1489986000</v>
      </c>
      <c r="O643" s="10">
        <f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2038</v>
      </c>
      <c r="T643" t="s">
        <v>2039</v>
      </c>
    </row>
    <row r="644" spans="1:20" ht="15.75" customHeight="1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>Table1[[#This Row],[pledged]]/Table1[[#This Row],[goal]]</f>
        <v>1.4545652173913044</v>
      </c>
      <c r="G644" t="s">
        <v>20</v>
      </c>
      <c r="H644">
        <v>129</v>
      </c>
      <c r="I644" t="s">
        <v>15</v>
      </c>
      <c r="J644" t="s">
        <v>16</v>
      </c>
      <c r="K644" s="12">
        <f>IF(OR(E644=0, H644=0), 0, E644/H644)</f>
        <v>103.73643410852713</v>
      </c>
      <c r="L644">
        <v>1545026400</v>
      </c>
      <c r="M644" s="10">
        <f>(((L644/60)/60)/24)+DATE(1970,1,1)</f>
        <v>43451.25</v>
      </c>
      <c r="N644">
        <v>1545804000</v>
      </c>
      <c r="O644" s="10">
        <f>(((N644/60)/60)/24)+DATE(1970,1,1)</f>
        <v>43460.25</v>
      </c>
      <c r="P644" t="b">
        <v>0</v>
      </c>
      <c r="Q644" t="b">
        <v>0</v>
      </c>
      <c r="R644" t="s">
        <v>65</v>
      </c>
      <c r="S644" t="s">
        <v>2036</v>
      </c>
      <c r="T644" t="s">
        <v>2045</v>
      </c>
    </row>
    <row r="645" spans="1:20" ht="15.75" customHeight="1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>Table1[[#This Row],[pledged]]/Table1[[#This Row],[goal]]</f>
        <v>2.2138255033557046</v>
      </c>
      <c r="G645" t="s">
        <v>20</v>
      </c>
      <c r="H645">
        <v>375</v>
      </c>
      <c r="I645" t="s">
        <v>21</v>
      </c>
      <c r="J645" t="s">
        <v>22</v>
      </c>
      <c r="K645" s="12">
        <f>IF(OR(E645=0, H645=0), 0, E645/H645)</f>
        <v>87.962666666666664</v>
      </c>
      <c r="L645">
        <v>1488348000</v>
      </c>
      <c r="M645" s="10">
        <f>(((L645/60)/60)/24)+DATE(1970,1,1)</f>
        <v>42795.25</v>
      </c>
      <c r="N645">
        <v>1489899600</v>
      </c>
      <c r="O645" s="10">
        <f>(((N645/60)/60)/24)+DATE(1970,1,1)</f>
        <v>42813.208333333328</v>
      </c>
      <c r="P645" t="b">
        <v>0</v>
      </c>
      <c r="Q645" t="b">
        <v>0</v>
      </c>
      <c r="R645" t="s">
        <v>33</v>
      </c>
      <c r="S645" t="s">
        <v>2038</v>
      </c>
      <c r="T645" t="s">
        <v>2039</v>
      </c>
    </row>
    <row r="646" spans="1:20" ht="15.75" customHeight="1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>Table1[[#This Row],[pledged]]/Table1[[#This Row],[goal]]</f>
        <v>0.48396694214876035</v>
      </c>
      <c r="G646" t="s">
        <v>14</v>
      </c>
      <c r="H646">
        <v>2928</v>
      </c>
      <c r="I646" t="s">
        <v>15</v>
      </c>
      <c r="J646" t="s">
        <v>16</v>
      </c>
      <c r="K646" s="12">
        <f>IF(OR(E646=0, H646=0), 0, E646/H646)</f>
        <v>28</v>
      </c>
      <c r="L646">
        <v>1545112800</v>
      </c>
      <c r="M646" s="10">
        <f>(((L646/60)/60)/24)+DATE(1970,1,1)</f>
        <v>43452.25</v>
      </c>
      <c r="N646">
        <v>1546495200</v>
      </c>
      <c r="O646" s="10">
        <f>(((N646/60)/60)/24)+DATE(1970,1,1)</f>
        <v>43468.25</v>
      </c>
      <c r="P646" t="b">
        <v>0</v>
      </c>
      <c r="Q646" t="b">
        <v>0</v>
      </c>
      <c r="R646" t="s">
        <v>33</v>
      </c>
      <c r="S646" t="s">
        <v>2038</v>
      </c>
      <c r="T646" t="s">
        <v>2039</v>
      </c>
    </row>
    <row r="647" spans="1:20" ht="15.75" customHeight="1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>Table1[[#This Row],[pledged]]/Table1[[#This Row],[goal]]</f>
        <v>0.92911504424778757</v>
      </c>
      <c r="G647" t="s">
        <v>14</v>
      </c>
      <c r="H647">
        <v>4697</v>
      </c>
      <c r="I647" t="s">
        <v>21</v>
      </c>
      <c r="J647" t="s">
        <v>22</v>
      </c>
      <c r="K647" s="12">
        <f>IF(OR(E647=0, H647=0), 0, E647/H647)</f>
        <v>37.999361294443261</v>
      </c>
      <c r="L647">
        <v>1537938000</v>
      </c>
      <c r="M647" s="10">
        <f>(((L647/60)/60)/24)+DATE(1970,1,1)</f>
        <v>43369.208333333328</v>
      </c>
      <c r="N647">
        <v>1539752400</v>
      </c>
      <c r="O647" s="10">
        <f>(((N647/60)/60)/24)+DATE(1970,1,1)</f>
        <v>43390.208333333328</v>
      </c>
      <c r="P647" t="b">
        <v>0</v>
      </c>
      <c r="Q647" t="b">
        <v>1</v>
      </c>
      <c r="R647" t="s">
        <v>23</v>
      </c>
      <c r="S647" t="s">
        <v>2034</v>
      </c>
      <c r="T647" t="s">
        <v>2035</v>
      </c>
    </row>
    <row r="648" spans="1:20" ht="15.75" customHeight="1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>Table1[[#This Row],[pledged]]/Table1[[#This Row],[goal]]</f>
        <v>0.88599797365754818</v>
      </c>
      <c r="G648" t="s">
        <v>14</v>
      </c>
      <c r="H648">
        <v>2915</v>
      </c>
      <c r="I648" t="s">
        <v>21</v>
      </c>
      <c r="J648" t="s">
        <v>22</v>
      </c>
      <c r="K648" s="12">
        <f>IF(OR(E648=0, H648=0), 0, E648/H648)</f>
        <v>29.999313893653515</v>
      </c>
      <c r="L648">
        <v>1363150800</v>
      </c>
      <c r="M648" s="10">
        <f>(((L648/60)/60)/24)+DATE(1970,1,1)</f>
        <v>41346.208333333336</v>
      </c>
      <c r="N648">
        <v>1364101200</v>
      </c>
      <c r="O648" s="10">
        <f>(((N648/60)/60)/24)+DATE(1970,1,1)</f>
        <v>41357.208333333336</v>
      </c>
      <c r="P648" t="b">
        <v>0</v>
      </c>
      <c r="Q648" t="b">
        <v>0</v>
      </c>
      <c r="R648" t="s">
        <v>89</v>
      </c>
      <c r="S648" t="s">
        <v>2049</v>
      </c>
      <c r="T648" t="s">
        <v>2050</v>
      </c>
    </row>
    <row r="649" spans="1:20" ht="15.75" customHeight="1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>Table1[[#This Row],[pledged]]/Table1[[#This Row],[goal]]</f>
        <v>0.41399999999999998</v>
      </c>
      <c r="G649" t="s">
        <v>14</v>
      </c>
      <c r="H649">
        <v>18</v>
      </c>
      <c r="I649" t="s">
        <v>21</v>
      </c>
      <c r="J649" t="s">
        <v>22</v>
      </c>
      <c r="K649" s="12">
        <f>IF(OR(E649=0, H649=0), 0, E649/H649)</f>
        <v>103.5</v>
      </c>
      <c r="L649">
        <v>1523250000</v>
      </c>
      <c r="M649" s="10">
        <f>(((L649/60)/60)/24)+DATE(1970,1,1)</f>
        <v>43199.208333333328</v>
      </c>
      <c r="N649">
        <v>1525323600</v>
      </c>
      <c r="O649" s="10">
        <f>(((N649/60)/60)/24)+DATE(1970,1,1)</f>
        <v>43223.208333333328</v>
      </c>
      <c r="P649" t="b">
        <v>0</v>
      </c>
      <c r="Q649" t="b">
        <v>0</v>
      </c>
      <c r="R649" t="s">
        <v>206</v>
      </c>
      <c r="S649" t="s">
        <v>2046</v>
      </c>
      <c r="T649" t="s">
        <v>2058</v>
      </c>
    </row>
    <row r="650" spans="1:20" ht="15.75" customHeight="1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>Table1[[#This Row],[pledged]]/Table1[[#This Row],[goal]]</f>
        <v>0.63056795131845844</v>
      </c>
      <c r="G650" t="s">
        <v>74</v>
      </c>
      <c r="H650">
        <v>723</v>
      </c>
      <c r="I650" t="s">
        <v>21</v>
      </c>
      <c r="J650" t="s">
        <v>22</v>
      </c>
      <c r="K650" s="12">
        <f>IF(OR(E650=0, H650=0), 0, E650/H650)</f>
        <v>85.994467496542185</v>
      </c>
      <c r="L650">
        <v>1499317200</v>
      </c>
      <c r="M650" s="10">
        <f>(((L650/60)/60)/24)+DATE(1970,1,1)</f>
        <v>42922.208333333328</v>
      </c>
      <c r="N650">
        <v>1500872400</v>
      </c>
      <c r="O650" s="10">
        <f>(((N650/60)/60)/24)+DATE(1970,1,1)</f>
        <v>42940.208333333328</v>
      </c>
      <c r="P650" t="b">
        <v>1</v>
      </c>
      <c r="Q650" t="b">
        <v>0</v>
      </c>
      <c r="R650" t="s">
        <v>17</v>
      </c>
      <c r="S650" t="s">
        <v>2032</v>
      </c>
      <c r="T650" t="s">
        <v>2033</v>
      </c>
    </row>
    <row r="651" spans="1:20" ht="15.75" customHeight="1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>Table1[[#This Row],[pledged]]/Table1[[#This Row],[goal]]</f>
        <v>0.48482333607230893</v>
      </c>
      <c r="G651" t="s">
        <v>14</v>
      </c>
      <c r="H651">
        <v>602</v>
      </c>
      <c r="I651" t="s">
        <v>98</v>
      </c>
      <c r="J651" t="s">
        <v>99</v>
      </c>
      <c r="K651" s="12">
        <f>IF(OR(E651=0, H651=0), 0, E651/H651)</f>
        <v>98.011627906976742</v>
      </c>
      <c r="L651">
        <v>1287550800</v>
      </c>
      <c r="M651" s="10">
        <f>(((L651/60)/60)/24)+DATE(1970,1,1)</f>
        <v>40471.208333333336</v>
      </c>
      <c r="N651">
        <v>1288501200</v>
      </c>
      <c r="O651" s="10">
        <f>(((N651/60)/60)/24)+DATE(1970,1,1)</f>
        <v>40482.208333333336</v>
      </c>
      <c r="P651" t="b">
        <v>1</v>
      </c>
      <c r="Q651" t="b">
        <v>1</v>
      </c>
      <c r="R651" t="s">
        <v>33</v>
      </c>
      <c r="S651" t="s">
        <v>2038</v>
      </c>
      <c r="T651" t="s">
        <v>2039</v>
      </c>
    </row>
    <row r="652" spans="1:20" ht="15.75" customHeight="1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>Table1[[#This Row],[pledged]]/Table1[[#This Row],[goal]]</f>
        <v>0.02</v>
      </c>
      <c r="G652" t="s">
        <v>14</v>
      </c>
      <c r="H652">
        <v>1</v>
      </c>
      <c r="I652" t="s">
        <v>21</v>
      </c>
      <c r="J652" t="s">
        <v>22</v>
      </c>
      <c r="K652" s="12">
        <f>IF(OR(E652=0, H652=0), 0, E652/H652)</f>
        <v>2</v>
      </c>
      <c r="L652">
        <v>1404795600</v>
      </c>
      <c r="M652" s="10">
        <f>(((L652/60)/60)/24)+DATE(1970,1,1)</f>
        <v>41828.208333333336</v>
      </c>
      <c r="N652">
        <v>1407128400</v>
      </c>
      <c r="O652" s="10">
        <f>(((N652/60)/60)/24)+DATE(1970,1,1)</f>
        <v>41855.208333333336</v>
      </c>
      <c r="P652" t="b">
        <v>0</v>
      </c>
      <c r="Q652" t="b">
        <v>0</v>
      </c>
      <c r="R652" t="s">
        <v>159</v>
      </c>
      <c r="S652" t="s">
        <v>2034</v>
      </c>
      <c r="T652" t="s">
        <v>2057</v>
      </c>
    </row>
    <row r="653" spans="1:20" ht="15.75" customHeight="1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>Table1[[#This Row],[pledged]]/Table1[[#This Row],[goal]]</f>
        <v>0.88479410269445857</v>
      </c>
      <c r="G653" t="s">
        <v>14</v>
      </c>
      <c r="H653">
        <v>3868</v>
      </c>
      <c r="I653" t="s">
        <v>107</v>
      </c>
      <c r="J653" t="s">
        <v>108</v>
      </c>
      <c r="K653" s="12">
        <f>IF(OR(E653=0, H653=0), 0, E653/H653)</f>
        <v>44.994570837642193</v>
      </c>
      <c r="L653">
        <v>1393048800</v>
      </c>
      <c r="M653" s="10">
        <f>(((L653/60)/60)/24)+DATE(1970,1,1)</f>
        <v>41692.25</v>
      </c>
      <c r="N653">
        <v>1394344800</v>
      </c>
      <c r="O653" s="10">
        <f>(((N653/60)/60)/24)+DATE(1970,1,1)</f>
        <v>41707.25</v>
      </c>
      <c r="P653" t="b">
        <v>0</v>
      </c>
      <c r="Q653" t="b">
        <v>0</v>
      </c>
      <c r="R653" t="s">
        <v>100</v>
      </c>
      <c r="S653" t="s">
        <v>2040</v>
      </c>
      <c r="T653" t="s">
        <v>2051</v>
      </c>
    </row>
    <row r="654" spans="1:20" ht="15.75" customHeight="1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>Table1[[#This Row],[pledged]]/Table1[[#This Row],[goal]]</f>
        <v>1.2684</v>
      </c>
      <c r="G654" t="s">
        <v>20</v>
      </c>
      <c r="H654">
        <v>409</v>
      </c>
      <c r="I654" t="s">
        <v>21</v>
      </c>
      <c r="J654" t="s">
        <v>22</v>
      </c>
      <c r="K654" s="12">
        <f>IF(OR(E654=0, H654=0), 0, E654/H654)</f>
        <v>31.012224938875306</v>
      </c>
      <c r="L654">
        <v>1470373200</v>
      </c>
      <c r="M654" s="10">
        <f>(((L654/60)/60)/24)+DATE(1970,1,1)</f>
        <v>42587.208333333328</v>
      </c>
      <c r="N654">
        <v>1474088400</v>
      </c>
      <c r="O654" s="10">
        <f>(((N654/60)/60)/24)+DATE(1970,1,1)</f>
        <v>42630.208333333328</v>
      </c>
      <c r="P654" t="b">
        <v>0</v>
      </c>
      <c r="Q654" t="b">
        <v>0</v>
      </c>
      <c r="R654" t="s">
        <v>28</v>
      </c>
      <c r="S654" t="s">
        <v>2036</v>
      </c>
      <c r="T654" t="s">
        <v>2037</v>
      </c>
    </row>
    <row r="655" spans="1:20" ht="15.75" customHeight="1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>Table1[[#This Row],[pledged]]/Table1[[#This Row],[goal]]</f>
        <v>23.388333333333332</v>
      </c>
      <c r="G655" t="s">
        <v>20</v>
      </c>
      <c r="H655">
        <v>234</v>
      </c>
      <c r="I655" t="s">
        <v>21</v>
      </c>
      <c r="J655" t="s">
        <v>22</v>
      </c>
      <c r="K655" s="12">
        <f>IF(OR(E655=0, H655=0), 0, E655/H655)</f>
        <v>59.970085470085472</v>
      </c>
      <c r="L655">
        <v>1460091600</v>
      </c>
      <c r="M655" s="10">
        <f>(((L655/60)/60)/24)+DATE(1970,1,1)</f>
        <v>42468.208333333328</v>
      </c>
      <c r="N655">
        <v>1460264400</v>
      </c>
      <c r="O655" s="10">
        <f>(((N655/60)/60)/24)+DATE(1970,1,1)</f>
        <v>42470.208333333328</v>
      </c>
      <c r="P655" t="b">
        <v>0</v>
      </c>
      <c r="Q655" t="b">
        <v>0</v>
      </c>
      <c r="R655" t="s">
        <v>28</v>
      </c>
      <c r="S655" t="s">
        <v>2036</v>
      </c>
      <c r="T655" t="s">
        <v>2037</v>
      </c>
    </row>
    <row r="656" spans="1:20" ht="15.75" customHeight="1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>Table1[[#This Row],[pledged]]/Table1[[#This Row],[goal]]</f>
        <v>5.0838857142857146</v>
      </c>
      <c r="G656" t="s">
        <v>20</v>
      </c>
      <c r="H656">
        <v>3016</v>
      </c>
      <c r="I656" t="s">
        <v>21</v>
      </c>
      <c r="J656" t="s">
        <v>22</v>
      </c>
      <c r="K656" s="12">
        <f>IF(OR(E656=0, H656=0), 0, E656/H656)</f>
        <v>58.9973474801061</v>
      </c>
      <c r="L656">
        <v>1440392400</v>
      </c>
      <c r="M656" s="10">
        <f>(((L656/60)/60)/24)+DATE(1970,1,1)</f>
        <v>42240.208333333328</v>
      </c>
      <c r="N656">
        <v>1440824400</v>
      </c>
      <c r="O656" s="10">
        <f>(((N656/60)/60)/24)+DATE(1970,1,1)</f>
        <v>42245.208333333328</v>
      </c>
      <c r="P656" t="b">
        <v>0</v>
      </c>
      <c r="Q656" t="b">
        <v>0</v>
      </c>
      <c r="R656" t="s">
        <v>148</v>
      </c>
      <c r="S656" t="s">
        <v>2034</v>
      </c>
      <c r="T656" t="s">
        <v>2056</v>
      </c>
    </row>
    <row r="657" spans="1:20" ht="15.75" customHeight="1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>Table1[[#This Row],[pledged]]/Table1[[#This Row],[goal]]</f>
        <v>1.9147826086956521</v>
      </c>
      <c r="G657" t="s">
        <v>20</v>
      </c>
      <c r="H657">
        <v>264</v>
      </c>
      <c r="I657" t="s">
        <v>21</v>
      </c>
      <c r="J657" t="s">
        <v>22</v>
      </c>
      <c r="K657" s="12">
        <f>IF(OR(E657=0, H657=0), 0, E657/H657)</f>
        <v>50.045454545454547</v>
      </c>
      <c r="L657">
        <v>1488434400</v>
      </c>
      <c r="M657" s="10">
        <f>(((L657/60)/60)/24)+DATE(1970,1,1)</f>
        <v>42796.25</v>
      </c>
      <c r="N657">
        <v>1489554000</v>
      </c>
      <c r="O657" s="10">
        <f>(((N657/60)/60)/24)+DATE(1970,1,1)</f>
        <v>42809.208333333328</v>
      </c>
      <c r="P657" t="b">
        <v>1</v>
      </c>
      <c r="Q657" t="b">
        <v>0</v>
      </c>
      <c r="R657" t="s">
        <v>122</v>
      </c>
      <c r="S657" t="s">
        <v>2053</v>
      </c>
      <c r="T657" t="s">
        <v>2054</v>
      </c>
    </row>
    <row r="658" spans="1:20" ht="15.75" customHeight="1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>Table1[[#This Row],[pledged]]/Table1[[#This Row],[goal]]</f>
        <v>0.42127533783783783</v>
      </c>
      <c r="G658" t="s">
        <v>14</v>
      </c>
      <c r="H658">
        <v>504</v>
      </c>
      <c r="I658" t="s">
        <v>26</v>
      </c>
      <c r="J658" t="s">
        <v>27</v>
      </c>
      <c r="K658" s="12">
        <f>IF(OR(E658=0, H658=0), 0, E658/H658)</f>
        <v>98.966269841269835</v>
      </c>
      <c r="L658">
        <v>1514440800</v>
      </c>
      <c r="M658" s="10">
        <f>(((L658/60)/60)/24)+DATE(1970,1,1)</f>
        <v>43097.25</v>
      </c>
      <c r="N658">
        <v>1514872800</v>
      </c>
      <c r="O658" s="10">
        <f>(((N658/60)/60)/24)+DATE(1970,1,1)</f>
        <v>43102.25</v>
      </c>
      <c r="P658" t="b">
        <v>0</v>
      </c>
      <c r="Q658" t="b">
        <v>0</v>
      </c>
      <c r="R658" t="s">
        <v>17</v>
      </c>
      <c r="S658" t="s">
        <v>2032</v>
      </c>
      <c r="T658" t="s">
        <v>2033</v>
      </c>
    </row>
    <row r="659" spans="1:20" ht="15.75" customHeight="1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>Table1[[#This Row],[pledged]]/Table1[[#This Row],[goal]]</f>
        <v>8.2400000000000001E-2</v>
      </c>
      <c r="G659" t="s">
        <v>14</v>
      </c>
      <c r="H659">
        <v>14</v>
      </c>
      <c r="I659" t="s">
        <v>21</v>
      </c>
      <c r="J659" t="s">
        <v>22</v>
      </c>
      <c r="K659" s="12">
        <f>IF(OR(E659=0, H659=0), 0, E659/H659)</f>
        <v>58.857142857142854</v>
      </c>
      <c r="L659">
        <v>1514354400</v>
      </c>
      <c r="M659" s="10">
        <f>(((L659/60)/60)/24)+DATE(1970,1,1)</f>
        <v>43096.25</v>
      </c>
      <c r="N659">
        <v>1515736800</v>
      </c>
      <c r="O659" s="10">
        <f>(((N659/60)/60)/24)+DATE(1970,1,1)</f>
        <v>43112.25</v>
      </c>
      <c r="P659" t="b">
        <v>0</v>
      </c>
      <c r="Q659" t="b">
        <v>0</v>
      </c>
      <c r="R659" t="s">
        <v>474</v>
      </c>
      <c r="S659" t="s">
        <v>2040</v>
      </c>
      <c r="T659" t="s">
        <v>2062</v>
      </c>
    </row>
    <row r="660" spans="1:20" ht="15.75" customHeight="1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>Table1[[#This Row],[pledged]]/Table1[[#This Row],[goal]]</f>
        <v>0.60064638783269964</v>
      </c>
      <c r="G660" t="s">
        <v>74</v>
      </c>
      <c r="H660">
        <v>390</v>
      </c>
      <c r="I660" t="s">
        <v>21</v>
      </c>
      <c r="J660" t="s">
        <v>22</v>
      </c>
      <c r="K660" s="12">
        <f>IF(OR(E660=0, H660=0), 0, E660/H660)</f>
        <v>81.010256410256417</v>
      </c>
      <c r="L660">
        <v>1440910800</v>
      </c>
      <c r="M660" s="10">
        <f>(((L660/60)/60)/24)+DATE(1970,1,1)</f>
        <v>42246.208333333328</v>
      </c>
      <c r="N660">
        <v>1442898000</v>
      </c>
      <c r="O660" s="10">
        <f>(((N660/60)/60)/24)+DATE(1970,1,1)</f>
        <v>42269.208333333328</v>
      </c>
      <c r="P660" t="b">
        <v>0</v>
      </c>
      <c r="Q660" t="b">
        <v>0</v>
      </c>
      <c r="R660" t="s">
        <v>23</v>
      </c>
      <c r="S660" t="s">
        <v>2034</v>
      </c>
      <c r="T660" t="s">
        <v>2035</v>
      </c>
    </row>
    <row r="661" spans="1:20" ht="15.75" customHeight="1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>Table1[[#This Row],[pledged]]/Table1[[#This Row],[goal]]</f>
        <v>0.47232808616404309</v>
      </c>
      <c r="G661" t="s">
        <v>14</v>
      </c>
      <c r="H661">
        <v>750</v>
      </c>
      <c r="I661" t="s">
        <v>40</v>
      </c>
      <c r="J661" t="s">
        <v>41</v>
      </c>
      <c r="K661" s="12">
        <f>IF(OR(E661=0, H661=0), 0, E661/H661)</f>
        <v>76.013333333333335</v>
      </c>
      <c r="L661">
        <v>1296108000</v>
      </c>
      <c r="M661" s="10">
        <f>(((L661/60)/60)/24)+DATE(1970,1,1)</f>
        <v>40570.25</v>
      </c>
      <c r="N661">
        <v>1296194400</v>
      </c>
      <c r="O661" s="10">
        <f>(((N661/60)/60)/24)+DATE(1970,1,1)</f>
        <v>40571.25</v>
      </c>
      <c r="P661" t="b">
        <v>0</v>
      </c>
      <c r="Q661" t="b">
        <v>0</v>
      </c>
      <c r="R661" t="s">
        <v>42</v>
      </c>
      <c r="S661" t="s">
        <v>2040</v>
      </c>
      <c r="T661" t="s">
        <v>2041</v>
      </c>
    </row>
    <row r="662" spans="1:20" ht="15.75" customHeight="1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>Table1[[#This Row],[pledged]]/Table1[[#This Row],[goal]]</f>
        <v>0.81736263736263737</v>
      </c>
      <c r="G662" t="s">
        <v>14</v>
      </c>
      <c r="H662">
        <v>77</v>
      </c>
      <c r="I662" t="s">
        <v>21</v>
      </c>
      <c r="J662" t="s">
        <v>22</v>
      </c>
      <c r="K662" s="12">
        <f>IF(OR(E662=0, H662=0), 0, E662/H662)</f>
        <v>96.597402597402592</v>
      </c>
      <c r="L662">
        <v>1440133200</v>
      </c>
      <c r="M662" s="10">
        <f>(((L662/60)/60)/24)+DATE(1970,1,1)</f>
        <v>42237.208333333328</v>
      </c>
      <c r="N662">
        <v>1440910800</v>
      </c>
      <c r="O662" s="10">
        <f>(((N662/60)/60)/24)+DATE(1970,1,1)</f>
        <v>42246.208333333328</v>
      </c>
      <c r="P662" t="b">
        <v>1</v>
      </c>
      <c r="Q662" t="b">
        <v>0</v>
      </c>
      <c r="R662" t="s">
        <v>33</v>
      </c>
      <c r="S662" t="s">
        <v>2038</v>
      </c>
      <c r="T662" t="s">
        <v>2039</v>
      </c>
    </row>
    <row r="663" spans="1:20" ht="15.75" customHeight="1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>Table1[[#This Row],[pledged]]/Table1[[#This Row],[goal]]</f>
        <v>0.54187265917603</v>
      </c>
      <c r="G663" t="s">
        <v>14</v>
      </c>
      <c r="H663">
        <v>752</v>
      </c>
      <c r="I663" t="s">
        <v>36</v>
      </c>
      <c r="J663" t="s">
        <v>37</v>
      </c>
      <c r="K663" s="12">
        <f>IF(OR(E663=0, H663=0), 0, E663/H663)</f>
        <v>76.957446808510639</v>
      </c>
      <c r="L663">
        <v>1332910800</v>
      </c>
      <c r="M663" s="10">
        <f>(((L663/60)/60)/24)+DATE(1970,1,1)</f>
        <v>40996.208333333336</v>
      </c>
      <c r="N663">
        <v>1335502800</v>
      </c>
      <c r="O663" s="10">
        <f>(((N663/60)/60)/24)+DATE(1970,1,1)</f>
        <v>41026.208333333336</v>
      </c>
      <c r="P663" t="b">
        <v>0</v>
      </c>
      <c r="Q663" t="b">
        <v>0</v>
      </c>
      <c r="R663" t="s">
        <v>159</v>
      </c>
      <c r="S663" t="s">
        <v>2034</v>
      </c>
      <c r="T663" t="s">
        <v>2057</v>
      </c>
    </row>
    <row r="664" spans="1:20" ht="15.75" customHeight="1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>Table1[[#This Row],[pledged]]/Table1[[#This Row],[goal]]</f>
        <v>0.97868131868131869</v>
      </c>
      <c r="G664" t="s">
        <v>14</v>
      </c>
      <c r="H664">
        <v>131</v>
      </c>
      <c r="I664" t="s">
        <v>21</v>
      </c>
      <c r="J664" t="s">
        <v>22</v>
      </c>
      <c r="K664" s="12">
        <f>IF(OR(E664=0, H664=0), 0, E664/H664)</f>
        <v>67.984732824427482</v>
      </c>
      <c r="L664">
        <v>1544335200</v>
      </c>
      <c r="M664" s="10">
        <f>(((L664/60)/60)/24)+DATE(1970,1,1)</f>
        <v>43443.25</v>
      </c>
      <c r="N664">
        <v>1544680800</v>
      </c>
      <c r="O664" s="10">
        <f>(((N664/60)/60)/24)+DATE(1970,1,1)</f>
        <v>43447.25</v>
      </c>
      <c r="P664" t="b">
        <v>0</v>
      </c>
      <c r="Q664" t="b">
        <v>0</v>
      </c>
      <c r="R664" t="s">
        <v>33</v>
      </c>
      <c r="S664" t="s">
        <v>2038</v>
      </c>
      <c r="T664" t="s">
        <v>2039</v>
      </c>
    </row>
    <row r="665" spans="1:20" ht="15.75" customHeight="1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>Table1[[#This Row],[pledged]]/Table1[[#This Row],[goal]]</f>
        <v>0.77239999999999998</v>
      </c>
      <c r="G665" t="s">
        <v>14</v>
      </c>
      <c r="H665">
        <v>87</v>
      </c>
      <c r="I665" t="s">
        <v>21</v>
      </c>
      <c r="J665" t="s">
        <v>22</v>
      </c>
      <c r="K665" s="12">
        <f>IF(OR(E665=0, H665=0), 0, E665/H665)</f>
        <v>88.781609195402297</v>
      </c>
      <c r="L665">
        <v>1286427600</v>
      </c>
      <c r="M665" s="10">
        <f>(((L665/60)/60)/24)+DATE(1970,1,1)</f>
        <v>40458.208333333336</v>
      </c>
      <c r="N665">
        <v>1288414800</v>
      </c>
      <c r="O665" s="10">
        <f>(((N665/60)/60)/24)+DATE(1970,1,1)</f>
        <v>40481.208333333336</v>
      </c>
      <c r="P665" t="b">
        <v>0</v>
      </c>
      <c r="Q665" t="b">
        <v>0</v>
      </c>
      <c r="R665" t="s">
        <v>33</v>
      </c>
      <c r="S665" t="s">
        <v>2038</v>
      </c>
      <c r="T665" t="s">
        <v>2039</v>
      </c>
    </row>
    <row r="666" spans="1:20" ht="15.75" customHeight="1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>Table1[[#This Row],[pledged]]/Table1[[#This Row],[goal]]</f>
        <v>0.33464735516372796</v>
      </c>
      <c r="G666" t="s">
        <v>14</v>
      </c>
      <c r="H666">
        <v>1063</v>
      </c>
      <c r="I666" t="s">
        <v>21</v>
      </c>
      <c r="J666" t="s">
        <v>22</v>
      </c>
      <c r="K666" s="12">
        <f>IF(OR(E666=0, H666=0), 0, E666/H666)</f>
        <v>24.99623706491063</v>
      </c>
      <c r="L666">
        <v>1329717600</v>
      </c>
      <c r="M666" s="10">
        <f>(((L666/60)/60)/24)+DATE(1970,1,1)</f>
        <v>40959.25</v>
      </c>
      <c r="N666">
        <v>1330581600</v>
      </c>
      <c r="O666" s="10">
        <f>(((N666/60)/60)/24)+DATE(1970,1,1)</f>
        <v>40969.25</v>
      </c>
      <c r="P666" t="b">
        <v>0</v>
      </c>
      <c r="Q666" t="b">
        <v>0</v>
      </c>
      <c r="R666" t="s">
        <v>159</v>
      </c>
      <c r="S666" t="s">
        <v>2034</v>
      </c>
      <c r="T666" t="s">
        <v>2057</v>
      </c>
    </row>
    <row r="667" spans="1:20" ht="15.75" customHeight="1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>Table1[[#This Row],[pledged]]/Table1[[#This Row],[goal]]</f>
        <v>2.3958823529411766</v>
      </c>
      <c r="G667" t="s">
        <v>20</v>
      </c>
      <c r="H667">
        <v>272</v>
      </c>
      <c r="I667" t="s">
        <v>21</v>
      </c>
      <c r="J667" t="s">
        <v>22</v>
      </c>
      <c r="K667" s="12">
        <f>IF(OR(E667=0, H667=0), 0, E667/H667)</f>
        <v>44.922794117647058</v>
      </c>
      <c r="L667">
        <v>1310187600</v>
      </c>
      <c r="M667" s="10">
        <f>(((L667/60)/60)/24)+DATE(1970,1,1)</f>
        <v>40733.208333333336</v>
      </c>
      <c r="N667">
        <v>1311397200</v>
      </c>
      <c r="O667" s="10">
        <f>(((N667/60)/60)/24)+DATE(1970,1,1)</f>
        <v>40747.208333333336</v>
      </c>
      <c r="P667" t="b">
        <v>0</v>
      </c>
      <c r="Q667" t="b">
        <v>1</v>
      </c>
      <c r="R667" t="s">
        <v>42</v>
      </c>
      <c r="S667" t="s">
        <v>2040</v>
      </c>
      <c r="T667" t="s">
        <v>2041</v>
      </c>
    </row>
    <row r="668" spans="1:20" ht="15.75" customHeight="1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>Table1[[#This Row],[pledged]]/Table1[[#This Row],[goal]]</f>
        <v>0.64032258064516134</v>
      </c>
      <c r="G668" t="s">
        <v>74</v>
      </c>
      <c r="H668">
        <v>25</v>
      </c>
      <c r="I668" t="s">
        <v>21</v>
      </c>
      <c r="J668" t="s">
        <v>22</v>
      </c>
      <c r="K668" s="12">
        <f>IF(OR(E668=0, H668=0), 0, E668/H668)</f>
        <v>79.400000000000006</v>
      </c>
      <c r="L668">
        <v>1377838800</v>
      </c>
      <c r="M668" s="10">
        <f>(((L668/60)/60)/24)+DATE(1970,1,1)</f>
        <v>41516.208333333336</v>
      </c>
      <c r="N668">
        <v>1378357200</v>
      </c>
      <c r="O668" s="10">
        <f>(((N668/60)/60)/24)+DATE(1970,1,1)</f>
        <v>41522.208333333336</v>
      </c>
      <c r="P668" t="b">
        <v>0</v>
      </c>
      <c r="Q668" t="b">
        <v>1</v>
      </c>
      <c r="R668" t="s">
        <v>33</v>
      </c>
      <c r="S668" t="s">
        <v>2038</v>
      </c>
      <c r="T668" t="s">
        <v>2039</v>
      </c>
    </row>
    <row r="669" spans="1:20" ht="15.75" customHeight="1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>Table1[[#This Row],[pledged]]/Table1[[#This Row],[goal]]</f>
        <v>1.7615942028985507</v>
      </c>
      <c r="G669" t="s">
        <v>20</v>
      </c>
      <c r="H669">
        <v>419</v>
      </c>
      <c r="I669" t="s">
        <v>21</v>
      </c>
      <c r="J669" t="s">
        <v>22</v>
      </c>
      <c r="K669" s="12">
        <f>IF(OR(E669=0, H669=0), 0, E669/H669)</f>
        <v>29.009546539379475</v>
      </c>
      <c r="L669">
        <v>1410325200</v>
      </c>
      <c r="M669" s="10">
        <f>(((L669/60)/60)/24)+DATE(1970,1,1)</f>
        <v>41892.208333333336</v>
      </c>
      <c r="N669">
        <v>1411102800</v>
      </c>
      <c r="O669" s="10">
        <f>(((N669/60)/60)/24)+DATE(1970,1,1)</f>
        <v>41901.208333333336</v>
      </c>
      <c r="P669" t="b">
        <v>0</v>
      </c>
      <c r="Q669" t="b">
        <v>0</v>
      </c>
      <c r="R669" t="s">
        <v>1029</v>
      </c>
      <c r="S669" t="s">
        <v>2063</v>
      </c>
      <c r="T669" t="s">
        <v>2064</v>
      </c>
    </row>
    <row r="670" spans="1:20" ht="15.75" customHeight="1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>Table1[[#This Row],[pledged]]/Table1[[#This Row],[goal]]</f>
        <v>0.20338181818181819</v>
      </c>
      <c r="G670" t="s">
        <v>14</v>
      </c>
      <c r="H670">
        <v>76</v>
      </c>
      <c r="I670" t="s">
        <v>21</v>
      </c>
      <c r="J670" t="s">
        <v>22</v>
      </c>
      <c r="K670" s="12">
        <f>IF(OR(E670=0, H670=0), 0, E670/H670)</f>
        <v>73.59210526315789</v>
      </c>
      <c r="L670">
        <v>1343797200</v>
      </c>
      <c r="M670" s="10">
        <f>(((L670/60)/60)/24)+DATE(1970,1,1)</f>
        <v>41122.208333333336</v>
      </c>
      <c r="N670">
        <v>1344834000</v>
      </c>
      <c r="O670" s="10">
        <f>(((N670/60)/60)/24)+DATE(1970,1,1)</f>
        <v>41134.208333333336</v>
      </c>
      <c r="P670" t="b">
        <v>0</v>
      </c>
      <c r="Q670" t="b">
        <v>0</v>
      </c>
      <c r="R670" t="s">
        <v>33</v>
      </c>
      <c r="S670" t="s">
        <v>2038</v>
      </c>
      <c r="T670" t="s">
        <v>2039</v>
      </c>
    </row>
    <row r="671" spans="1:20" ht="15.75" customHeight="1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>Table1[[#This Row],[pledged]]/Table1[[#This Row],[goal]]</f>
        <v>3.5864754098360656</v>
      </c>
      <c r="G671" t="s">
        <v>20</v>
      </c>
      <c r="H671">
        <v>1621</v>
      </c>
      <c r="I671" t="s">
        <v>107</v>
      </c>
      <c r="J671" t="s">
        <v>108</v>
      </c>
      <c r="K671" s="12">
        <f>IF(OR(E671=0, H671=0), 0, E671/H671)</f>
        <v>107.97038864898211</v>
      </c>
      <c r="L671">
        <v>1498453200</v>
      </c>
      <c r="M671" s="10">
        <f>(((L671/60)/60)/24)+DATE(1970,1,1)</f>
        <v>42912.208333333328</v>
      </c>
      <c r="N671">
        <v>1499230800</v>
      </c>
      <c r="O671" s="10">
        <f>(((N671/60)/60)/24)+DATE(1970,1,1)</f>
        <v>42921.208333333328</v>
      </c>
      <c r="P671" t="b">
        <v>0</v>
      </c>
      <c r="Q671" t="b">
        <v>0</v>
      </c>
      <c r="R671" t="s">
        <v>33</v>
      </c>
      <c r="S671" t="s">
        <v>2038</v>
      </c>
      <c r="T671" t="s">
        <v>2039</v>
      </c>
    </row>
    <row r="672" spans="1:20" ht="15.75" customHeight="1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>Table1[[#This Row],[pledged]]/Table1[[#This Row],[goal]]</f>
        <v>4.6885802469135802</v>
      </c>
      <c r="G672" t="s">
        <v>20</v>
      </c>
      <c r="H672">
        <v>1101</v>
      </c>
      <c r="I672" t="s">
        <v>21</v>
      </c>
      <c r="J672" t="s">
        <v>22</v>
      </c>
      <c r="K672" s="12">
        <f>IF(OR(E672=0, H672=0), 0, E672/H672)</f>
        <v>68.987284287011803</v>
      </c>
      <c r="L672">
        <v>1456380000</v>
      </c>
      <c r="M672" s="10">
        <f>(((L672/60)/60)/24)+DATE(1970,1,1)</f>
        <v>42425.25</v>
      </c>
      <c r="N672">
        <v>1457416800</v>
      </c>
      <c r="O672" s="10">
        <f>(((N672/60)/60)/24)+DATE(1970,1,1)</f>
        <v>42437.25</v>
      </c>
      <c r="P672" t="b">
        <v>0</v>
      </c>
      <c r="Q672" t="b">
        <v>0</v>
      </c>
      <c r="R672" t="s">
        <v>60</v>
      </c>
      <c r="S672" t="s">
        <v>2034</v>
      </c>
      <c r="T672" t="s">
        <v>2044</v>
      </c>
    </row>
    <row r="673" spans="1:20" ht="15.75" customHeight="1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>Table1[[#This Row],[pledged]]/Table1[[#This Row],[goal]]</f>
        <v>1.220563524590164</v>
      </c>
      <c r="G673" t="s">
        <v>20</v>
      </c>
      <c r="H673">
        <v>1073</v>
      </c>
      <c r="I673" t="s">
        <v>21</v>
      </c>
      <c r="J673" t="s">
        <v>22</v>
      </c>
      <c r="K673" s="12">
        <f>IF(OR(E673=0, H673=0), 0, E673/H673)</f>
        <v>111.02236719478098</v>
      </c>
      <c r="L673">
        <v>1280552400</v>
      </c>
      <c r="M673" s="10">
        <f>(((L673/60)/60)/24)+DATE(1970,1,1)</f>
        <v>40390.208333333336</v>
      </c>
      <c r="N673">
        <v>1280898000</v>
      </c>
      <c r="O673" s="10">
        <f>(((N673/60)/60)/24)+DATE(1970,1,1)</f>
        <v>40394.208333333336</v>
      </c>
      <c r="P673" t="b">
        <v>0</v>
      </c>
      <c r="Q673" t="b">
        <v>1</v>
      </c>
      <c r="R673" t="s">
        <v>33</v>
      </c>
      <c r="S673" t="s">
        <v>2038</v>
      </c>
      <c r="T673" t="s">
        <v>2039</v>
      </c>
    </row>
    <row r="674" spans="1:20" ht="15.75" customHeight="1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>Table1[[#This Row],[pledged]]/Table1[[#This Row],[goal]]</f>
        <v>0.55931783729156137</v>
      </c>
      <c r="G674" t="s">
        <v>14</v>
      </c>
      <c r="H674">
        <v>4428</v>
      </c>
      <c r="I674" t="s">
        <v>26</v>
      </c>
      <c r="J674" t="s">
        <v>27</v>
      </c>
      <c r="K674" s="12">
        <f>IF(OR(E674=0, H674=0), 0, E674/H674)</f>
        <v>24.997515808491418</v>
      </c>
      <c r="L674">
        <v>1521608400</v>
      </c>
      <c r="M674" s="10">
        <f>(((L674/60)/60)/24)+DATE(1970,1,1)</f>
        <v>43180.208333333328</v>
      </c>
      <c r="N674">
        <v>1522472400</v>
      </c>
      <c r="O674" s="10">
        <f>(((N674/60)/60)/24)+DATE(1970,1,1)</f>
        <v>43190.208333333328</v>
      </c>
      <c r="P674" t="b">
        <v>0</v>
      </c>
      <c r="Q674" t="b">
        <v>0</v>
      </c>
      <c r="R674" t="s">
        <v>33</v>
      </c>
      <c r="S674" t="s">
        <v>2038</v>
      </c>
      <c r="T674" t="s">
        <v>2039</v>
      </c>
    </row>
    <row r="675" spans="1:20" ht="15.75" customHeight="1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>Table1[[#This Row],[pledged]]/Table1[[#This Row],[goal]]</f>
        <v>0.43660714285714286</v>
      </c>
      <c r="G675" t="s">
        <v>14</v>
      </c>
      <c r="H675">
        <v>58</v>
      </c>
      <c r="I675" t="s">
        <v>107</v>
      </c>
      <c r="J675" t="s">
        <v>108</v>
      </c>
      <c r="K675" s="12">
        <f>IF(OR(E675=0, H675=0), 0, E675/H675)</f>
        <v>42.155172413793103</v>
      </c>
      <c r="L675">
        <v>1460696400</v>
      </c>
      <c r="M675" s="10">
        <f>(((L675/60)/60)/24)+DATE(1970,1,1)</f>
        <v>42475.208333333328</v>
      </c>
      <c r="N675">
        <v>1462510800</v>
      </c>
      <c r="O675" s="10">
        <f>(((N675/60)/60)/24)+DATE(1970,1,1)</f>
        <v>42496.208333333328</v>
      </c>
      <c r="P675" t="b">
        <v>0</v>
      </c>
      <c r="Q675" t="b">
        <v>0</v>
      </c>
      <c r="R675" t="s">
        <v>60</v>
      </c>
      <c r="S675" t="s">
        <v>2034</v>
      </c>
      <c r="T675" t="s">
        <v>2044</v>
      </c>
    </row>
    <row r="676" spans="1:20" ht="15.75" customHeight="1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>Table1[[#This Row],[pledged]]/Table1[[#This Row],[goal]]</f>
        <v>0.33538371411833628</v>
      </c>
      <c r="G676" t="s">
        <v>74</v>
      </c>
      <c r="H676">
        <v>1218</v>
      </c>
      <c r="I676" t="s">
        <v>21</v>
      </c>
      <c r="J676" t="s">
        <v>22</v>
      </c>
      <c r="K676" s="12">
        <f>IF(OR(E676=0, H676=0), 0, E676/H676)</f>
        <v>47.003284072249592</v>
      </c>
      <c r="L676">
        <v>1313730000</v>
      </c>
      <c r="M676" s="10">
        <f>(((L676/60)/60)/24)+DATE(1970,1,1)</f>
        <v>40774.208333333336</v>
      </c>
      <c r="N676">
        <v>1317790800</v>
      </c>
      <c r="O676" s="10">
        <f>(((N676/60)/60)/24)+DATE(1970,1,1)</f>
        <v>40821.208333333336</v>
      </c>
      <c r="P676" t="b">
        <v>0</v>
      </c>
      <c r="Q676" t="b">
        <v>0</v>
      </c>
      <c r="R676" t="s">
        <v>122</v>
      </c>
      <c r="S676" t="s">
        <v>2053</v>
      </c>
      <c r="T676" t="s">
        <v>2054</v>
      </c>
    </row>
    <row r="677" spans="1:20" ht="15.75" customHeight="1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>Table1[[#This Row],[pledged]]/Table1[[#This Row],[goal]]</f>
        <v>1.2297938144329896</v>
      </c>
      <c r="G677" t="s">
        <v>20</v>
      </c>
      <c r="H677">
        <v>331</v>
      </c>
      <c r="I677" t="s">
        <v>21</v>
      </c>
      <c r="J677" t="s">
        <v>22</v>
      </c>
      <c r="K677" s="12">
        <f>IF(OR(E677=0, H677=0), 0, E677/H677)</f>
        <v>36.0392749244713</v>
      </c>
      <c r="L677">
        <v>1568178000</v>
      </c>
      <c r="M677" s="10">
        <f>(((L677/60)/60)/24)+DATE(1970,1,1)</f>
        <v>43719.208333333328</v>
      </c>
      <c r="N677">
        <v>1568782800</v>
      </c>
      <c r="O677" s="10">
        <f>(((N677/60)/60)/24)+DATE(1970,1,1)</f>
        <v>43726.208333333328</v>
      </c>
      <c r="P677" t="b">
        <v>0</v>
      </c>
      <c r="Q677" t="b">
        <v>0</v>
      </c>
      <c r="R677" t="s">
        <v>1029</v>
      </c>
      <c r="S677" t="s">
        <v>2063</v>
      </c>
      <c r="T677" t="s">
        <v>2064</v>
      </c>
    </row>
    <row r="678" spans="1:20" ht="15.75" customHeight="1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>Table1[[#This Row],[pledged]]/Table1[[#This Row],[goal]]</f>
        <v>1.8974959871589085</v>
      </c>
      <c r="G678" t="s">
        <v>20</v>
      </c>
      <c r="H678">
        <v>1170</v>
      </c>
      <c r="I678" t="s">
        <v>21</v>
      </c>
      <c r="J678" t="s">
        <v>22</v>
      </c>
      <c r="K678" s="12">
        <f>IF(OR(E678=0, H678=0), 0, E678/H678)</f>
        <v>101.03760683760684</v>
      </c>
      <c r="L678">
        <v>1348635600</v>
      </c>
      <c r="M678" s="10">
        <f>(((L678/60)/60)/24)+DATE(1970,1,1)</f>
        <v>41178.208333333336</v>
      </c>
      <c r="N678">
        <v>1349413200</v>
      </c>
      <c r="O678" s="10">
        <f>(((N678/60)/60)/24)+DATE(1970,1,1)</f>
        <v>41187.208333333336</v>
      </c>
      <c r="P678" t="b">
        <v>0</v>
      </c>
      <c r="Q678" t="b">
        <v>0</v>
      </c>
      <c r="R678" t="s">
        <v>122</v>
      </c>
      <c r="S678" t="s">
        <v>2053</v>
      </c>
      <c r="T678" t="s">
        <v>2054</v>
      </c>
    </row>
    <row r="679" spans="1:20" ht="15.75" customHeight="1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>Table1[[#This Row],[pledged]]/Table1[[#This Row],[goal]]</f>
        <v>0.83622641509433959</v>
      </c>
      <c r="G679" t="s">
        <v>14</v>
      </c>
      <c r="H679">
        <v>111</v>
      </c>
      <c r="I679" t="s">
        <v>21</v>
      </c>
      <c r="J679" t="s">
        <v>22</v>
      </c>
      <c r="K679" s="12">
        <f>IF(OR(E679=0, H679=0), 0, E679/H679)</f>
        <v>39.927927927927925</v>
      </c>
      <c r="L679">
        <v>1468126800</v>
      </c>
      <c r="M679" s="10">
        <f>(((L679/60)/60)/24)+DATE(1970,1,1)</f>
        <v>42561.208333333328</v>
      </c>
      <c r="N679">
        <v>1472446800</v>
      </c>
      <c r="O679" s="10">
        <f>(((N679/60)/60)/24)+DATE(1970,1,1)</f>
        <v>42611.208333333328</v>
      </c>
      <c r="P679" t="b">
        <v>0</v>
      </c>
      <c r="Q679" t="b">
        <v>0</v>
      </c>
      <c r="R679" t="s">
        <v>119</v>
      </c>
      <c r="S679" t="s">
        <v>2046</v>
      </c>
      <c r="T679" t="s">
        <v>2052</v>
      </c>
    </row>
    <row r="680" spans="1:20" ht="15.75" customHeight="1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>Table1[[#This Row],[pledged]]/Table1[[#This Row],[goal]]</f>
        <v>0.17968844221105529</v>
      </c>
      <c r="G680" t="s">
        <v>74</v>
      </c>
      <c r="H680">
        <v>215</v>
      </c>
      <c r="I680" t="s">
        <v>21</v>
      </c>
      <c r="J680" t="s">
        <v>22</v>
      </c>
      <c r="K680" s="12">
        <f>IF(OR(E680=0, H680=0), 0, E680/H680)</f>
        <v>83.158139534883716</v>
      </c>
      <c r="L680">
        <v>1547877600</v>
      </c>
      <c r="M680" s="10">
        <f>(((L680/60)/60)/24)+DATE(1970,1,1)</f>
        <v>43484.25</v>
      </c>
      <c r="N680">
        <v>1548050400</v>
      </c>
      <c r="O680" s="10">
        <f>(((N680/60)/60)/24)+DATE(1970,1,1)</f>
        <v>43486.25</v>
      </c>
      <c r="P680" t="b">
        <v>0</v>
      </c>
      <c r="Q680" t="b">
        <v>0</v>
      </c>
      <c r="R680" t="s">
        <v>53</v>
      </c>
      <c r="S680" t="s">
        <v>2040</v>
      </c>
      <c r="T680" t="s">
        <v>2043</v>
      </c>
    </row>
    <row r="681" spans="1:20" ht="15.75" customHeight="1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>Table1[[#This Row],[pledged]]/Table1[[#This Row],[goal]]</f>
        <v>10.365</v>
      </c>
      <c r="G681" t="s">
        <v>20</v>
      </c>
      <c r="H681">
        <v>363</v>
      </c>
      <c r="I681" t="s">
        <v>21</v>
      </c>
      <c r="J681" t="s">
        <v>22</v>
      </c>
      <c r="K681" s="12">
        <f>IF(OR(E681=0, H681=0), 0, E681/H681)</f>
        <v>39.97520661157025</v>
      </c>
      <c r="L681">
        <v>1571374800</v>
      </c>
      <c r="M681" s="10">
        <f>(((L681/60)/60)/24)+DATE(1970,1,1)</f>
        <v>43756.208333333328</v>
      </c>
      <c r="N681">
        <v>1571806800</v>
      </c>
      <c r="O681" s="10">
        <f>(((N681/60)/60)/24)+DATE(1970,1,1)</f>
        <v>43761.208333333328</v>
      </c>
      <c r="P681" t="b">
        <v>0</v>
      </c>
      <c r="Q681" t="b">
        <v>1</v>
      </c>
      <c r="R681" t="s">
        <v>17</v>
      </c>
      <c r="S681" t="s">
        <v>2032</v>
      </c>
      <c r="T681" t="s">
        <v>2033</v>
      </c>
    </row>
    <row r="682" spans="1:20" ht="15.75" customHeight="1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>Table1[[#This Row],[pledged]]/Table1[[#This Row],[goal]]</f>
        <v>0.97405219780219776</v>
      </c>
      <c r="G682" t="s">
        <v>14</v>
      </c>
      <c r="H682">
        <v>2955</v>
      </c>
      <c r="I682" t="s">
        <v>21</v>
      </c>
      <c r="J682" t="s">
        <v>22</v>
      </c>
      <c r="K682" s="12">
        <f>IF(OR(E682=0, H682=0), 0, E682/H682)</f>
        <v>47.993908629441627</v>
      </c>
      <c r="L682">
        <v>1576303200</v>
      </c>
      <c r="M682" s="10">
        <f>(((L682/60)/60)/24)+DATE(1970,1,1)</f>
        <v>43813.25</v>
      </c>
      <c r="N682">
        <v>1576476000</v>
      </c>
      <c r="O682" s="10">
        <f>(((N682/60)/60)/24)+DATE(1970,1,1)</f>
        <v>43815.25</v>
      </c>
      <c r="P682" t="b">
        <v>0</v>
      </c>
      <c r="Q682" t="b">
        <v>1</v>
      </c>
      <c r="R682" t="s">
        <v>292</v>
      </c>
      <c r="S682" t="s">
        <v>2049</v>
      </c>
      <c r="T682" t="s">
        <v>2060</v>
      </c>
    </row>
    <row r="683" spans="1:20" ht="15.75" customHeight="1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>Table1[[#This Row],[pledged]]/Table1[[#This Row],[goal]]</f>
        <v>0.86386203150461705</v>
      </c>
      <c r="G683" t="s">
        <v>14</v>
      </c>
      <c r="H683">
        <v>1657</v>
      </c>
      <c r="I683" t="s">
        <v>21</v>
      </c>
      <c r="J683" t="s">
        <v>22</v>
      </c>
      <c r="K683" s="12">
        <f>IF(OR(E683=0, H683=0), 0, E683/H683)</f>
        <v>95.978877489438744</v>
      </c>
      <c r="L683">
        <v>1324447200</v>
      </c>
      <c r="M683" s="10">
        <f>(((L683/60)/60)/24)+DATE(1970,1,1)</f>
        <v>40898.25</v>
      </c>
      <c r="N683">
        <v>1324965600</v>
      </c>
      <c r="O683" s="10">
        <f>(((N683/60)/60)/24)+DATE(1970,1,1)</f>
        <v>40904.25</v>
      </c>
      <c r="P683" t="b">
        <v>0</v>
      </c>
      <c r="Q683" t="b">
        <v>0</v>
      </c>
      <c r="R683" t="s">
        <v>33</v>
      </c>
      <c r="S683" t="s">
        <v>2038</v>
      </c>
      <c r="T683" t="s">
        <v>2039</v>
      </c>
    </row>
    <row r="684" spans="1:20" ht="15.75" customHeight="1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>Table1[[#This Row],[pledged]]/Table1[[#This Row],[goal]]</f>
        <v>1.5016666666666667</v>
      </c>
      <c r="G684" t="s">
        <v>20</v>
      </c>
      <c r="H684">
        <v>103</v>
      </c>
      <c r="I684" t="s">
        <v>21</v>
      </c>
      <c r="J684" t="s">
        <v>22</v>
      </c>
      <c r="K684" s="12">
        <f>IF(OR(E684=0, H684=0), 0, E684/H684)</f>
        <v>78.728155339805824</v>
      </c>
      <c r="L684">
        <v>1386741600</v>
      </c>
      <c r="M684" s="10">
        <f>(((L684/60)/60)/24)+DATE(1970,1,1)</f>
        <v>41619.25</v>
      </c>
      <c r="N684">
        <v>1387519200</v>
      </c>
      <c r="O684" s="10">
        <f>(((N684/60)/60)/24)+DATE(1970,1,1)</f>
        <v>41628.25</v>
      </c>
      <c r="P684" t="b">
        <v>0</v>
      </c>
      <c r="Q684" t="b">
        <v>0</v>
      </c>
      <c r="R684" t="s">
        <v>33</v>
      </c>
      <c r="S684" t="s">
        <v>2038</v>
      </c>
      <c r="T684" t="s">
        <v>2039</v>
      </c>
    </row>
    <row r="685" spans="1:20" ht="15.75" customHeight="1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>Table1[[#This Row],[pledged]]/Table1[[#This Row],[goal]]</f>
        <v>3.5843478260869563</v>
      </c>
      <c r="G685" t="s">
        <v>20</v>
      </c>
      <c r="H685">
        <v>147</v>
      </c>
      <c r="I685" t="s">
        <v>21</v>
      </c>
      <c r="J685" t="s">
        <v>22</v>
      </c>
      <c r="K685" s="12">
        <f>IF(OR(E685=0, H685=0), 0, E685/H685)</f>
        <v>56.081632653061227</v>
      </c>
      <c r="L685">
        <v>1537074000</v>
      </c>
      <c r="M685" s="10">
        <f>(((L685/60)/60)/24)+DATE(1970,1,1)</f>
        <v>43359.208333333328</v>
      </c>
      <c r="N685">
        <v>1537246800</v>
      </c>
      <c r="O685" s="10">
        <f>(((N685/60)/60)/24)+DATE(1970,1,1)</f>
        <v>43361.208333333328</v>
      </c>
      <c r="P685" t="b">
        <v>0</v>
      </c>
      <c r="Q685" t="b">
        <v>0</v>
      </c>
      <c r="R685" t="s">
        <v>33</v>
      </c>
      <c r="S685" t="s">
        <v>2038</v>
      </c>
      <c r="T685" t="s">
        <v>2039</v>
      </c>
    </row>
    <row r="686" spans="1:20" ht="15.75" customHeight="1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>Table1[[#This Row],[pledged]]/Table1[[#This Row],[goal]]</f>
        <v>5.4285714285714288</v>
      </c>
      <c r="G686" t="s">
        <v>20</v>
      </c>
      <c r="H686">
        <v>110</v>
      </c>
      <c r="I686" t="s">
        <v>15</v>
      </c>
      <c r="J686" t="s">
        <v>16</v>
      </c>
      <c r="K686" s="12">
        <f>IF(OR(E686=0, H686=0), 0, E686/H686)</f>
        <v>69.090909090909093</v>
      </c>
      <c r="L686">
        <v>1277787600</v>
      </c>
      <c r="M686" s="10">
        <f>(((L686/60)/60)/24)+DATE(1970,1,1)</f>
        <v>40358.208333333336</v>
      </c>
      <c r="N686">
        <v>1279515600</v>
      </c>
      <c r="O686" s="10">
        <f>(((N686/60)/60)/24)+DATE(1970,1,1)</f>
        <v>40378.208333333336</v>
      </c>
      <c r="P686" t="b">
        <v>0</v>
      </c>
      <c r="Q686" t="b">
        <v>0</v>
      </c>
      <c r="R686" t="s">
        <v>68</v>
      </c>
      <c r="S686" t="s">
        <v>2046</v>
      </c>
      <c r="T686" t="s">
        <v>2047</v>
      </c>
    </row>
    <row r="687" spans="1:20" ht="15.75" customHeight="1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>Table1[[#This Row],[pledged]]/Table1[[#This Row],[goal]]</f>
        <v>0.67500714285714281</v>
      </c>
      <c r="G687" t="s">
        <v>14</v>
      </c>
      <c r="H687">
        <v>926</v>
      </c>
      <c r="I687" t="s">
        <v>15</v>
      </c>
      <c r="J687" t="s">
        <v>16</v>
      </c>
      <c r="K687" s="12">
        <f>IF(OR(E687=0, H687=0), 0, E687/H687)</f>
        <v>102.05291576673866</v>
      </c>
      <c r="L687">
        <v>1440306000</v>
      </c>
      <c r="M687" s="10">
        <f>(((L687/60)/60)/24)+DATE(1970,1,1)</f>
        <v>42239.208333333328</v>
      </c>
      <c r="N687">
        <v>1442379600</v>
      </c>
      <c r="O687" s="10">
        <f>(((N687/60)/60)/24)+DATE(1970,1,1)</f>
        <v>42263.208333333328</v>
      </c>
      <c r="P687" t="b">
        <v>0</v>
      </c>
      <c r="Q687" t="b">
        <v>0</v>
      </c>
      <c r="R687" t="s">
        <v>33</v>
      </c>
      <c r="S687" t="s">
        <v>2038</v>
      </c>
      <c r="T687" t="s">
        <v>2039</v>
      </c>
    </row>
    <row r="688" spans="1:20" ht="15.75" customHeight="1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>Table1[[#This Row],[pledged]]/Table1[[#This Row],[goal]]</f>
        <v>1.9174666666666667</v>
      </c>
      <c r="G688" t="s">
        <v>20</v>
      </c>
      <c r="H688">
        <v>134</v>
      </c>
      <c r="I688" t="s">
        <v>21</v>
      </c>
      <c r="J688" t="s">
        <v>22</v>
      </c>
      <c r="K688" s="12">
        <f>IF(OR(E688=0, H688=0), 0, E688/H688)</f>
        <v>107.32089552238806</v>
      </c>
      <c r="L688">
        <v>1522126800</v>
      </c>
      <c r="M688" s="10">
        <f>(((L688/60)/60)/24)+DATE(1970,1,1)</f>
        <v>43186.208333333328</v>
      </c>
      <c r="N688">
        <v>1523077200</v>
      </c>
      <c r="O688" s="10">
        <f>(((N688/60)/60)/24)+DATE(1970,1,1)</f>
        <v>43197.208333333328</v>
      </c>
      <c r="P688" t="b">
        <v>0</v>
      </c>
      <c r="Q688" t="b">
        <v>0</v>
      </c>
      <c r="R688" t="s">
        <v>65</v>
      </c>
      <c r="S688" t="s">
        <v>2036</v>
      </c>
      <c r="T688" t="s">
        <v>2045</v>
      </c>
    </row>
    <row r="689" spans="1:20" ht="15.75" customHeight="1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>Table1[[#This Row],[pledged]]/Table1[[#This Row],[goal]]</f>
        <v>9.32</v>
      </c>
      <c r="G689" t="s">
        <v>20</v>
      </c>
      <c r="H689">
        <v>269</v>
      </c>
      <c r="I689" t="s">
        <v>21</v>
      </c>
      <c r="J689" t="s">
        <v>22</v>
      </c>
      <c r="K689" s="12">
        <f>IF(OR(E689=0, H689=0), 0, E689/H689)</f>
        <v>51.970260223048328</v>
      </c>
      <c r="L689">
        <v>1489298400</v>
      </c>
      <c r="M689" s="10">
        <f>(((L689/60)/60)/24)+DATE(1970,1,1)</f>
        <v>42806.25</v>
      </c>
      <c r="N689">
        <v>1489554000</v>
      </c>
      <c r="O689" s="10">
        <f>(((N689/60)/60)/24)+DATE(1970,1,1)</f>
        <v>42809.208333333328</v>
      </c>
      <c r="P689" t="b">
        <v>0</v>
      </c>
      <c r="Q689" t="b">
        <v>0</v>
      </c>
      <c r="R689" t="s">
        <v>33</v>
      </c>
      <c r="S689" t="s">
        <v>2038</v>
      </c>
      <c r="T689" t="s">
        <v>2039</v>
      </c>
    </row>
    <row r="690" spans="1:20" ht="15.75" customHeight="1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>Table1[[#This Row],[pledged]]/Table1[[#This Row],[goal]]</f>
        <v>4.2927586206896553</v>
      </c>
      <c r="G690" t="s">
        <v>20</v>
      </c>
      <c r="H690">
        <v>175</v>
      </c>
      <c r="I690" t="s">
        <v>21</v>
      </c>
      <c r="J690" t="s">
        <v>22</v>
      </c>
      <c r="K690" s="12">
        <f>IF(OR(E690=0, H690=0), 0, E690/H690)</f>
        <v>71.137142857142862</v>
      </c>
      <c r="L690">
        <v>1547100000</v>
      </c>
      <c r="M690" s="10">
        <f>(((L690/60)/60)/24)+DATE(1970,1,1)</f>
        <v>43475.25</v>
      </c>
      <c r="N690">
        <v>1548482400</v>
      </c>
      <c r="O690" s="10">
        <f>(((N690/60)/60)/24)+DATE(1970,1,1)</f>
        <v>43491.25</v>
      </c>
      <c r="P690" t="b">
        <v>0</v>
      </c>
      <c r="Q690" t="b">
        <v>1</v>
      </c>
      <c r="R690" t="s">
        <v>269</v>
      </c>
      <c r="S690" t="s">
        <v>2040</v>
      </c>
      <c r="T690" t="s">
        <v>2059</v>
      </c>
    </row>
    <row r="691" spans="1:20" ht="15.75" customHeight="1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>Table1[[#This Row],[pledged]]/Table1[[#This Row],[goal]]</f>
        <v>1.0065753424657535</v>
      </c>
      <c r="G691" t="s">
        <v>20</v>
      </c>
      <c r="H691">
        <v>69</v>
      </c>
      <c r="I691" t="s">
        <v>21</v>
      </c>
      <c r="J691" t="s">
        <v>22</v>
      </c>
      <c r="K691" s="12">
        <f>IF(OR(E691=0, H691=0), 0, E691/H691)</f>
        <v>106.49275362318841</v>
      </c>
      <c r="L691">
        <v>1383022800</v>
      </c>
      <c r="M691" s="10">
        <f>(((L691/60)/60)/24)+DATE(1970,1,1)</f>
        <v>41576.208333333336</v>
      </c>
      <c r="N691">
        <v>1384063200</v>
      </c>
      <c r="O691" s="10">
        <f>(((N691/60)/60)/24)+DATE(1970,1,1)</f>
        <v>41588.25</v>
      </c>
      <c r="P691" t="b">
        <v>0</v>
      </c>
      <c r="Q691" t="b">
        <v>0</v>
      </c>
      <c r="R691" t="s">
        <v>28</v>
      </c>
      <c r="S691" t="s">
        <v>2036</v>
      </c>
      <c r="T691" t="s">
        <v>2037</v>
      </c>
    </row>
    <row r="692" spans="1:20" ht="15.75" customHeight="1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>Table1[[#This Row],[pledged]]/Table1[[#This Row],[goal]]</f>
        <v>2.266111111111111</v>
      </c>
      <c r="G692" t="s">
        <v>20</v>
      </c>
      <c r="H692">
        <v>190</v>
      </c>
      <c r="I692" t="s">
        <v>21</v>
      </c>
      <c r="J692" t="s">
        <v>22</v>
      </c>
      <c r="K692" s="12">
        <f>IF(OR(E692=0, H692=0), 0, E692/H692)</f>
        <v>42.93684210526316</v>
      </c>
      <c r="L692">
        <v>1322373600</v>
      </c>
      <c r="M692" s="10">
        <f>(((L692/60)/60)/24)+DATE(1970,1,1)</f>
        <v>40874.25</v>
      </c>
      <c r="N692">
        <v>1322892000</v>
      </c>
      <c r="O692" s="10">
        <f>(((N692/60)/60)/24)+DATE(1970,1,1)</f>
        <v>40880.25</v>
      </c>
      <c r="P692" t="b">
        <v>0</v>
      </c>
      <c r="Q692" t="b">
        <v>1</v>
      </c>
      <c r="R692" t="s">
        <v>42</v>
      </c>
      <c r="S692" t="s">
        <v>2040</v>
      </c>
      <c r="T692" t="s">
        <v>2041</v>
      </c>
    </row>
    <row r="693" spans="1:20" ht="15.75" customHeight="1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>Table1[[#This Row],[pledged]]/Table1[[#This Row],[goal]]</f>
        <v>1.4238</v>
      </c>
      <c r="G693" t="s">
        <v>20</v>
      </c>
      <c r="H693">
        <v>237</v>
      </c>
      <c r="I693" t="s">
        <v>21</v>
      </c>
      <c r="J693" t="s">
        <v>22</v>
      </c>
      <c r="K693" s="12">
        <f>IF(OR(E693=0, H693=0), 0, E693/H693)</f>
        <v>30.037974683544302</v>
      </c>
      <c r="L693">
        <v>1349240400</v>
      </c>
      <c r="M693" s="10">
        <f>(((L693/60)/60)/24)+DATE(1970,1,1)</f>
        <v>41185.208333333336</v>
      </c>
      <c r="N693">
        <v>1350709200</v>
      </c>
      <c r="O693" s="10">
        <f>(((N693/60)/60)/24)+DATE(1970,1,1)</f>
        <v>41202.208333333336</v>
      </c>
      <c r="P693" t="b">
        <v>1</v>
      </c>
      <c r="Q693" t="b">
        <v>1</v>
      </c>
      <c r="R693" t="s">
        <v>42</v>
      </c>
      <c r="S693" t="s">
        <v>2040</v>
      </c>
      <c r="T693" t="s">
        <v>2041</v>
      </c>
    </row>
    <row r="694" spans="1:20" ht="15.75" customHeight="1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>Table1[[#This Row],[pledged]]/Table1[[#This Row],[goal]]</f>
        <v>0.90633333333333332</v>
      </c>
      <c r="G694" t="s">
        <v>14</v>
      </c>
      <c r="H694">
        <v>77</v>
      </c>
      <c r="I694" t="s">
        <v>40</v>
      </c>
      <c r="J694" t="s">
        <v>41</v>
      </c>
      <c r="K694" s="12">
        <f>IF(OR(E694=0, H694=0), 0, E694/H694)</f>
        <v>70.623376623376629</v>
      </c>
      <c r="L694">
        <v>1562648400</v>
      </c>
      <c r="M694" s="10">
        <f>(((L694/60)/60)/24)+DATE(1970,1,1)</f>
        <v>43655.208333333328</v>
      </c>
      <c r="N694">
        <v>1564203600</v>
      </c>
      <c r="O694" s="10">
        <f>(((N694/60)/60)/24)+DATE(1970,1,1)</f>
        <v>43673.208333333328</v>
      </c>
      <c r="P694" t="b">
        <v>0</v>
      </c>
      <c r="Q694" t="b">
        <v>0</v>
      </c>
      <c r="R694" t="s">
        <v>23</v>
      </c>
      <c r="S694" t="s">
        <v>2034</v>
      </c>
      <c r="T694" t="s">
        <v>2035</v>
      </c>
    </row>
    <row r="695" spans="1:20" ht="15.75" customHeight="1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>Table1[[#This Row],[pledged]]/Table1[[#This Row],[goal]]</f>
        <v>0.63966740576496672</v>
      </c>
      <c r="G695" t="s">
        <v>14</v>
      </c>
      <c r="H695">
        <v>1748</v>
      </c>
      <c r="I695" t="s">
        <v>21</v>
      </c>
      <c r="J695" t="s">
        <v>22</v>
      </c>
      <c r="K695" s="12">
        <f>IF(OR(E695=0, H695=0), 0, E695/H695)</f>
        <v>66.016018306636155</v>
      </c>
      <c r="L695">
        <v>1508216400</v>
      </c>
      <c r="M695" s="10">
        <f>(((L695/60)/60)/24)+DATE(1970,1,1)</f>
        <v>43025.208333333328</v>
      </c>
      <c r="N695">
        <v>1509685200</v>
      </c>
      <c r="O695" s="10">
        <f>(((N695/60)/60)/24)+DATE(1970,1,1)</f>
        <v>43042.208333333328</v>
      </c>
      <c r="P695" t="b">
        <v>0</v>
      </c>
      <c r="Q695" t="b">
        <v>0</v>
      </c>
      <c r="R695" t="s">
        <v>33</v>
      </c>
      <c r="S695" t="s">
        <v>2038</v>
      </c>
      <c r="T695" t="s">
        <v>2039</v>
      </c>
    </row>
    <row r="696" spans="1:20" ht="15.75" customHeight="1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>Table1[[#This Row],[pledged]]/Table1[[#This Row],[goal]]</f>
        <v>0.84131868131868137</v>
      </c>
      <c r="G696" t="s">
        <v>14</v>
      </c>
      <c r="H696">
        <v>79</v>
      </c>
      <c r="I696" t="s">
        <v>21</v>
      </c>
      <c r="J696" t="s">
        <v>22</v>
      </c>
      <c r="K696" s="12">
        <f>IF(OR(E696=0, H696=0), 0, E696/H696)</f>
        <v>96.911392405063296</v>
      </c>
      <c r="L696">
        <v>1511762400</v>
      </c>
      <c r="M696" s="10">
        <f>(((L696/60)/60)/24)+DATE(1970,1,1)</f>
        <v>43066.25</v>
      </c>
      <c r="N696">
        <v>1514959200</v>
      </c>
      <c r="O696" s="10">
        <f>(((N696/60)/60)/24)+DATE(1970,1,1)</f>
        <v>43103.25</v>
      </c>
      <c r="P696" t="b">
        <v>0</v>
      </c>
      <c r="Q696" t="b">
        <v>0</v>
      </c>
      <c r="R696" t="s">
        <v>33</v>
      </c>
      <c r="S696" t="s">
        <v>2038</v>
      </c>
      <c r="T696" t="s">
        <v>2039</v>
      </c>
    </row>
    <row r="697" spans="1:20" ht="15.75" customHeight="1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>Table1[[#This Row],[pledged]]/Table1[[#This Row],[goal]]</f>
        <v>1.3393478260869565</v>
      </c>
      <c r="G697" t="s">
        <v>20</v>
      </c>
      <c r="H697">
        <v>196</v>
      </c>
      <c r="I697" t="s">
        <v>107</v>
      </c>
      <c r="J697" t="s">
        <v>108</v>
      </c>
      <c r="K697" s="12">
        <f>IF(OR(E697=0, H697=0), 0, E697/H697)</f>
        <v>62.867346938775512</v>
      </c>
      <c r="L697">
        <v>1447480800</v>
      </c>
      <c r="M697" s="10">
        <f>(((L697/60)/60)/24)+DATE(1970,1,1)</f>
        <v>42322.25</v>
      </c>
      <c r="N697">
        <v>1448863200</v>
      </c>
      <c r="O697" s="10">
        <f>(((N697/60)/60)/24)+DATE(1970,1,1)</f>
        <v>42338.25</v>
      </c>
      <c r="P697" t="b">
        <v>1</v>
      </c>
      <c r="Q697" t="b">
        <v>0</v>
      </c>
      <c r="R697" t="s">
        <v>23</v>
      </c>
      <c r="S697" t="s">
        <v>2034</v>
      </c>
      <c r="T697" t="s">
        <v>2035</v>
      </c>
    </row>
    <row r="698" spans="1:20" ht="15.75" customHeight="1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>Table1[[#This Row],[pledged]]/Table1[[#This Row],[goal]]</f>
        <v>0.59042047531992692</v>
      </c>
      <c r="G698" t="s">
        <v>14</v>
      </c>
      <c r="H698">
        <v>889</v>
      </c>
      <c r="I698" t="s">
        <v>21</v>
      </c>
      <c r="J698" t="s">
        <v>22</v>
      </c>
      <c r="K698" s="12">
        <f>IF(OR(E698=0, H698=0), 0, E698/H698)</f>
        <v>108.98537682789652</v>
      </c>
      <c r="L698">
        <v>1429506000</v>
      </c>
      <c r="M698" s="10">
        <f>(((L698/60)/60)/24)+DATE(1970,1,1)</f>
        <v>42114.208333333328</v>
      </c>
      <c r="N698">
        <v>1429592400</v>
      </c>
      <c r="O698" s="10">
        <f>(((N698/60)/60)/24)+DATE(1970,1,1)</f>
        <v>42115.208333333328</v>
      </c>
      <c r="P698" t="b">
        <v>0</v>
      </c>
      <c r="Q698" t="b">
        <v>1</v>
      </c>
      <c r="R698" t="s">
        <v>33</v>
      </c>
      <c r="S698" t="s">
        <v>2038</v>
      </c>
      <c r="T698" t="s">
        <v>2039</v>
      </c>
    </row>
    <row r="699" spans="1:20" ht="15.75" customHeight="1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>Table1[[#This Row],[pledged]]/Table1[[#This Row],[goal]]</f>
        <v>1.5280062063615205</v>
      </c>
      <c r="G699" t="s">
        <v>20</v>
      </c>
      <c r="H699">
        <v>7295</v>
      </c>
      <c r="I699" t="s">
        <v>21</v>
      </c>
      <c r="J699" t="s">
        <v>22</v>
      </c>
      <c r="K699" s="12">
        <f>IF(OR(E699=0, H699=0), 0, E699/H699)</f>
        <v>26.999314599040439</v>
      </c>
      <c r="L699">
        <v>1522472400</v>
      </c>
      <c r="M699" s="10">
        <f>(((L699/60)/60)/24)+DATE(1970,1,1)</f>
        <v>43190.208333333328</v>
      </c>
      <c r="N699">
        <v>1522645200</v>
      </c>
      <c r="O699" s="10">
        <f>(((N699/60)/60)/24)+DATE(1970,1,1)</f>
        <v>43192.208333333328</v>
      </c>
      <c r="P699" t="b">
        <v>0</v>
      </c>
      <c r="Q699" t="b">
        <v>0</v>
      </c>
      <c r="R699" t="s">
        <v>50</v>
      </c>
      <c r="S699" t="s">
        <v>2034</v>
      </c>
      <c r="T699" t="s">
        <v>2042</v>
      </c>
    </row>
    <row r="700" spans="1:20" ht="15.75" customHeight="1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>Table1[[#This Row],[pledged]]/Table1[[#This Row],[goal]]</f>
        <v>4.466912114014252</v>
      </c>
      <c r="G700" t="s">
        <v>20</v>
      </c>
      <c r="H700">
        <v>2893</v>
      </c>
      <c r="I700" t="s">
        <v>15</v>
      </c>
      <c r="J700" t="s">
        <v>16</v>
      </c>
      <c r="K700" s="12">
        <f>IF(OR(E700=0, H700=0), 0, E700/H700)</f>
        <v>65.004147943311438</v>
      </c>
      <c r="L700">
        <v>1322114400</v>
      </c>
      <c r="M700" s="10">
        <f>(((L700/60)/60)/24)+DATE(1970,1,1)</f>
        <v>40871.25</v>
      </c>
      <c r="N700">
        <v>1323324000</v>
      </c>
      <c r="O700" s="10">
        <f>(((N700/60)/60)/24)+DATE(1970,1,1)</f>
        <v>40885.25</v>
      </c>
      <c r="P700" t="b">
        <v>0</v>
      </c>
      <c r="Q700" t="b">
        <v>0</v>
      </c>
      <c r="R700" t="s">
        <v>65</v>
      </c>
      <c r="S700" t="s">
        <v>2036</v>
      </c>
      <c r="T700" t="s">
        <v>2045</v>
      </c>
    </row>
    <row r="701" spans="1:20" ht="15.75" customHeight="1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>Table1[[#This Row],[pledged]]/Table1[[#This Row],[goal]]</f>
        <v>0.8439189189189189</v>
      </c>
      <c r="G701" t="s">
        <v>14</v>
      </c>
      <c r="H701">
        <v>56</v>
      </c>
      <c r="I701" t="s">
        <v>21</v>
      </c>
      <c r="J701" t="s">
        <v>22</v>
      </c>
      <c r="K701" s="12">
        <f>IF(OR(E701=0, H701=0), 0, E701/H701)</f>
        <v>111.51785714285714</v>
      </c>
      <c r="L701">
        <v>1561438800</v>
      </c>
      <c r="M701" s="10">
        <f>(((L701/60)/60)/24)+DATE(1970,1,1)</f>
        <v>43641.208333333328</v>
      </c>
      <c r="N701">
        <v>1561525200</v>
      </c>
      <c r="O701" s="10">
        <f>(((N701/60)/60)/24)+DATE(1970,1,1)</f>
        <v>43642.208333333328</v>
      </c>
      <c r="P701" t="b">
        <v>0</v>
      </c>
      <c r="Q701" t="b">
        <v>0</v>
      </c>
      <c r="R701" t="s">
        <v>53</v>
      </c>
      <c r="S701" t="s">
        <v>2040</v>
      </c>
      <c r="T701" t="s">
        <v>2043</v>
      </c>
    </row>
    <row r="702" spans="1:20" ht="15.75" customHeight="1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>Table1[[#This Row],[pledged]]/Table1[[#This Row],[goal]]</f>
        <v>0.03</v>
      </c>
      <c r="G702" t="s">
        <v>14</v>
      </c>
      <c r="H702">
        <v>1</v>
      </c>
      <c r="I702" t="s">
        <v>21</v>
      </c>
      <c r="J702" t="s">
        <v>22</v>
      </c>
      <c r="K702" s="12">
        <f>IF(OR(E702=0, H702=0), 0, E702/H702)</f>
        <v>3</v>
      </c>
      <c r="L702">
        <v>1264399200</v>
      </c>
      <c r="M702" s="10">
        <f>(((L702/60)/60)/24)+DATE(1970,1,1)</f>
        <v>40203.25</v>
      </c>
      <c r="N702">
        <v>1265695200</v>
      </c>
      <c r="O702" s="10">
        <f>(((N702/60)/60)/24)+DATE(1970,1,1)</f>
        <v>40218.25</v>
      </c>
      <c r="P702" t="b">
        <v>0</v>
      </c>
      <c r="Q702" t="b">
        <v>0</v>
      </c>
      <c r="R702" t="s">
        <v>65</v>
      </c>
      <c r="S702" t="s">
        <v>2036</v>
      </c>
      <c r="T702" t="s">
        <v>2045</v>
      </c>
    </row>
    <row r="703" spans="1:20" ht="15.75" customHeight="1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>Table1[[#This Row],[pledged]]/Table1[[#This Row],[goal]]</f>
        <v>1.7502692307692307</v>
      </c>
      <c r="G703" t="s">
        <v>20</v>
      </c>
      <c r="H703">
        <v>820</v>
      </c>
      <c r="I703" t="s">
        <v>21</v>
      </c>
      <c r="J703" t="s">
        <v>22</v>
      </c>
      <c r="K703" s="12">
        <f>IF(OR(E703=0, H703=0), 0, E703/H703)</f>
        <v>110.99268292682927</v>
      </c>
      <c r="L703">
        <v>1301202000</v>
      </c>
      <c r="M703" s="10">
        <f>(((L703/60)/60)/24)+DATE(1970,1,1)</f>
        <v>40629.208333333336</v>
      </c>
      <c r="N703">
        <v>1301806800</v>
      </c>
      <c r="O703" s="10">
        <f>(((N703/60)/60)/24)+DATE(1970,1,1)</f>
        <v>40636.208333333336</v>
      </c>
      <c r="P703" t="b">
        <v>1</v>
      </c>
      <c r="Q703" t="b">
        <v>0</v>
      </c>
      <c r="R703" t="s">
        <v>33</v>
      </c>
      <c r="S703" t="s">
        <v>2038</v>
      </c>
      <c r="T703" t="s">
        <v>2039</v>
      </c>
    </row>
    <row r="704" spans="1:20" ht="15.75" customHeight="1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>Table1[[#This Row],[pledged]]/Table1[[#This Row],[goal]]</f>
        <v>0.54137931034482756</v>
      </c>
      <c r="G704" t="s">
        <v>14</v>
      </c>
      <c r="H704">
        <v>83</v>
      </c>
      <c r="I704" t="s">
        <v>21</v>
      </c>
      <c r="J704" t="s">
        <v>22</v>
      </c>
      <c r="K704" s="12">
        <f>IF(OR(E704=0, H704=0), 0, E704/H704)</f>
        <v>56.746987951807228</v>
      </c>
      <c r="L704">
        <v>1374469200</v>
      </c>
      <c r="M704" s="10">
        <f>(((L704/60)/60)/24)+DATE(1970,1,1)</f>
        <v>41477.208333333336</v>
      </c>
      <c r="N704">
        <v>1374901200</v>
      </c>
      <c r="O704" s="10">
        <f>(((N704/60)/60)/24)+DATE(1970,1,1)</f>
        <v>41482.208333333336</v>
      </c>
      <c r="P704" t="b">
        <v>0</v>
      </c>
      <c r="Q704" t="b">
        <v>0</v>
      </c>
      <c r="R704" t="s">
        <v>65</v>
      </c>
      <c r="S704" t="s">
        <v>2036</v>
      </c>
      <c r="T704" t="s">
        <v>2045</v>
      </c>
    </row>
    <row r="705" spans="1:20" ht="15.75" customHeight="1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>Table1[[#This Row],[pledged]]/Table1[[#This Row],[goal]]</f>
        <v>3.1187381703470032</v>
      </c>
      <c r="G705" t="s">
        <v>20</v>
      </c>
      <c r="H705">
        <v>2038</v>
      </c>
      <c r="I705" t="s">
        <v>21</v>
      </c>
      <c r="J705" t="s">
        <v>22</v>
      </c>
      <c r="K705" s="12">
        <f>IF(OR(E705=0, H705=0), 0, E705/H705)</f>
        <v>97.020608439646708</v>
      </c>
      <c r="L705">
        <v>1334984400</v>
      </c>
      <c r="M705" s="10">
        <f>(((L705/60)/60)/24)+DATE(1970,1,1)</f>
        <v>41020.208333333336</v>
      </c>
      <c r="N705">
        <v>1336453200</v>
      </c>
      <c r="O705" s="10">
        <f>(((N705/60)/60)/24)+DATE(1970,1,1)</f>
        <v>41037.208333333336</v>
      </c>
      <c r="P705" t="b">
        <v>1</v>
      </c>
      <c r="Q705" t="b">
        <v>1</v>
      </c>
      <c r="R705" t="s">
        <v>206</v>
      </c>
      <c r="S705" t="s">
        <v>2046</v>
      </c>
      <c r="T705" t="s">
        <v>2058</v>
      </c>
    </row>
    <row r="706" spans="1:20" ht="15.75" customHeight="1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>Table1[[#This Row],[pledged]]/Table1[[#This Row],[goal]]</f>
        <v>1.2278160919540231</v>
      </c>
      <c r="G706" t="s">
        <v>20</v>
      </c>
      <c r="H706">
        <v>116</v>
      </c>
      <c r="I706" t="s">
        <v>21</v>
      </c>
      <c r="J706" t="s">
        <v>22</v>
      </c>
      <c r="K706" s="12">
        <f>IF(OR(E706=0, H706=0), 0, E706/H706)</f>
        <v>92.08620689655173</v>
      </c>
      <c r="L706">
        <v>1467608400</v>
      </c>
      <c r="M706" s="10">
        <f>(((L706/60)/60)/24)+DATE(1970,1,1)</f>
        <v>42555.208333333328</v>
      </c>
      <c r="N706">
        <v>1468904400</v>
      </c>
      <c r="O706" s="10">
        <f>(((N706/60)/60)/24)+DATE(1970,1,1)</f>
        <v>42570.208333333328</v>
      </c>
      <c r="P706" t="b">
        <v>0</v>
      </c>
      <c r="Q706" t="b">
        <v>0</v>
      </c>
      <c r="R706" t="s">
        <v>71</v>
      </c>
      <c r="S706" t="s">
        <v>2040</v>
      </c>
      <c r="T706" t="s">
        <v>2048</v>
      </c>
    </row>
    <row r="707" spans="1:20" ht="15.75" customHeight="1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>Table1[[#This Row],[pledged]]/Table1[[#This Row],[goal]]</f>
        <v>0.99026517383618151</v>
      </c>
      <c r="G707" t="s">
        <v>14</v>
      </c>
      <c r="H707">
        <v>2025</v>
      </c>
      <c r="I707" t="s">
        <v>40</v>
      </c>
      <c r="J707" t="s">
        <v>41</v>
      </c>
      <c r="K707" s="12">
        <f>IF(OR(E707=0, H707=0), 0, E707/H707)</f>
        <v>82.986666666666665</v>
      </c>
      <c r="L707">
        <v>1386741600</v>
      </c>
      <c r="M707" s="10">
        <f>(((L707/60)/60)/24)+DATE(1970,1,1)</f>
        <v>41619.25</v>
      </c>
      <c r="N707">
        <v>1387087200</v>
      </c>
      <c r="O707" s="10">
        <f>(((N707/60)/60)/24)+DATE(1970,1,1)</f>
        <v>41623.25</v>
      </c>
      <c r="P707" t="b">
        <v>0</v>
      </c>
      <c r="Q707" t="b">
        <v>0</v>
      </c>
      <c r="R707" t="s">
        <v>68</v>
      </c>
      <c r="S707" t="s">
        <v>2046</v>
      </c>
      <c r="T707" t="s">
        <v>2047</v>
      </c>
    </row>
    <row r="708" spans="1:20" ht="15.75" customHeight="1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>Table1[[#This Row],[pledged]]/Table1[[#This Row],[goal]]</f>
        <v>1.278468634686347</v>
      </c>
      <c r="G708" t="s">
        <v>20</v>
      </c>
      <c r="H708">
        <v>1345</v>
      </c>
      <c r="I708" t="s">
        <v>26</v>
      </c>
      <c r="J708" t="s">
        <v>27</v>
      </c>
      <c r="K708" s="12">
        <f>IF(OR(E708=0, H708=0), 0, E708/H708)</f>
        <v>103.03791821561339</v>
      </c>
      <c r="L708">
        <v>1546754400</v>
      </c>
      <c r="M708" s="10">
        <f>(((L708/60)/60)/24)+DATE(1970,1,1)</f>
        <v>43471.25</v>
      </c>
      <c r="N708">
        <v>1547445600</v>
      </c>
      <c r="O708" s="10">
        <f>(((N708/60)/60)/24)+DATE(1970,1,1)</f>
        <v>43479.25</v>
      </c>
      <c r="P708" t="b">
        <v>0</v>
      </c>
      <c r="Q708" t="b">
        <v>1</v>
      </c>
      <c r="R708" t="s">
        <v>28</v>
      </c>
      <c r="S708" t="s">
        <v>2036</v>
      </c>
      <c r="T708" t="s">
        <v>2037</v>
      </c>
    </row>
    <row r="709" spans="1:20" ht="15.75" customHeight="1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>Table1[[#This Row],[pledged]]/Table1[[#This Row],[goal]]</f>
        <v>1.5861643835616439</v>
      </c>
      <c r="G709" t="s">
        <v>20</v>
      </c>
      <c r="H709">
        <v>168</v>
      </c>
      <c r="I709" t="s">
        <v>21</v>
      </c>
      <c r="J709" t="s">
        <v>22</v>
      </c>
      <c r="K709" s="12">
        <f>IF(OR(E709=0, H709=0), 0, E709/H709)</f>
        <v>68.922619047619051</v>
      </c>
      <c r="L709">
        <v>1544248800</v>
      </c>
      <c r="M709" s="10">
        <f>(((L709/60)/60)/24)+DATE(1970,1,1)</f>
        <v>43442.25</v>
      </c>
      <c r="N709">
        <v>1547359200</v>
      </c>
      <c r="O709" s="10">
        <f>(((N709/60)/60)/24)+DATE(1970,1,1)</f>
        <v>43478.25</v>
      </c>
      <c r="P709" t="b">
        <v>0</v>
      </c>
      <c r="Q709" t="b">
        <v>0</v>
      </c>
      <c r="R709" t="s">
        <v>53</v>
      </c>
      <c r="S709" t="s">
        <v>2040</v>
      </c>
      <c r="T709" t="s">
        <v>2043</v>
      </c>
    </row>
    <row r="710" spans="1:20" ht="15.75" customHeight="1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>Table1[[#This Row],[pledged]]/Table1[[#This Row],[goal]]</f>
        <v>7.0705882352941174</v>
      </c>
      <c r="G710" t="s">
        <v>20</v>
      </c>
      <c r="H710">
        <v>137</v>
      </c>
      <c r="I710" t="s">
        <v>98</v>
      </c>
      <c r="J710" t="s">
        <v>99</v>
      </c>
      <c r="K710" s="12">
        <f>IF(OR(E710=0, H710=0), 0, E710/H710)</f>
        <v>87.737226277372258</v>
      </c>
      <c r="L710">
        <v>1495429200</v>
      </c>
      <c r="M710" s="10">
        <f>(((L710/60)/60)/24)+DATE(1970,1,1)</f>
        <v>42877.208333333328</v>
      </c>
      <c r="N710">
        <v>1496293200</v>
      </c>
      <c r="O710" s="10">
        <f>(((N710/60)/60)/24)+DATE(1970,1,1)</f>
        <v>42887.208333333328</v>
      </c>
      <c r="P710" t="b">
        <v>0</v>
      </c>
      <c r="Q710" t="b">
        <v>0</v>
      </c>
      <c r="R710" t="s">
        <v>33</v>
      </c>
      <c r="S710" t="s">
        <v>2038</v>
      </c>
      <c r="T710" t="s">
        <v>2039</v>
      </c>
    </row>
    <row r="711" spans="1:20" ht="15.75" customHeight="1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>Table1[[#This Row],[pledged]]/Table1[[#This Row],[goal]]</f>
        <v>1.4238775510204082</v>
      </c>
      <c r="G711" t="s">
        <v>20</v>
      </c>
      <c r="H711">
        <v>186</v>
      </c>
      <c r="I711" t="s">
        <v>107</v>
      </c>
      <c r="J711" t="s">
        <v>108</v>
      </c>
      <c r="K711" s="12">
        <f>IF(OR(E711=0, H711=0), 0, E711/H711)</f>
        <v>75.021505376344081</v>
      </c>
      <c r="L711">
        <v>1334811600</v>
      </c>
      <c r="M711" s="10">
        <f>(((L711/60)/60)/24)+DATE(1970,1,1)</f>
        <v>41018.208333333336</v>
      </c>
      <c r="N711">
        <v>1335416400</v>
      </c>
      <c r="O711" s="10">
        <f>(((N711/60)/60)/24)+DATE(1970,1,1)</f>
        <v>41025.208333333336</v>
      </c>
      <c r="P711" t="b">
        <v>0</v>
      </c>
      <c r="Q711" t="b">
        <v>0</v>
      </c>
      <c r="R711" t="s">
        <v>33</v>
      </c>
      <c r="S711" t="s">
        <v>2038</v>
      </c>
      <c r="T711" t="s">
        <v>2039</v>
      </c>
    </row>
    <row r="712" spans="1:20" ht="15.75" customHeight="1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>Table1[[#This Row],[pledged]]/Table1[[#This Row],[goal]]</f>
        <v>1.4786046511627906</v>
      </c>
      <c r="G712" t="s">
        <v>20</v>
      </c>
      <c r="H712">
        <v>125</v>
      </c>
      <c r="I712" t="s">
        <v>21</v>
      </c>
      <c r="J712" t="s">
        <v>22</v>
      </c>
      <c r="K712" s="12">
        <f>IF(OR(E712=0, H712=0), 0, E712/H712)</f>
        <v>50.863999999999997</v>
      </c>
      <c r="L712">
        <v>1531544400</v>
      </c>
      <c r="M712" s="10">
        <f>(((L712/60)/60)/24)+DATE(1970,1,1)</f>
        <v>43295.208333333328</v>
      </c>
      <c r="N712">
        <v>1532149200</v>
      </c>
      <c r="O712" s="10">
        <f>(((N712/60)/60)/24)+DATE(1970,1,1)</f>
        <v>43302.208333333328</v>
      </c>
      <c r="P712" t="b">
        <v>0</v>
      </c>
      <c r="Q712" t="b">
        <v>1</v>
      </c>
      <c r="R712" t="s">
        <v>33</v>
      </c>
      <c r="S712" t="s">
        <v>2038</v>
      </c>
      <c r="T712" t="s">
        <v>2039</v>
      </c>
    </row>
    <row r="713" spans="1:20" ht="15.75" customHeight="1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>Table1[[#This Row],[pledged]]/Table1[[#This Row],[goal]]</f>
        <v>0.20322580645161289</v>
      </c>
      <c r="G713" t="s">
        <v>14</v>
      </c>
      <c r="H713">
        <v>14</v>
      </c>
      <c r="I713" t="s">
        <v>107</v>
      </c>
      <c r="J713" t="s">
        <v>108</v>
      </c>
      <c r="K713" s="12">
        <f>IF(OR(E713=0, H713=0), 0, E713/H713)</f>
        <v>90</v>
      </c>
      <c r="L713">
        <v>1453615200</v>
      </c>
      <c r="M713" s="10">
        <f>(((L713/60)/60)/24)+DATE(1970,1,1)</f>
        <v>42393.25</v>
      </c>
      <c r="N713">
        <v>1453788000</v>
      </c>
      <c r="O713" s="10">
        <f>(((N713/60)/60)/24)+DATE(1970,1,1)</f>
        <v>42395.25</v>
      </c>
      <c r="P713" t="b">
        <v>1</v>
      </c>
      <c r="Q713" t="b">
        <v>1</v>
      </c>
      <c r="R713" t="s">
        <v>33</v>
      </c>
      <c r="S713" t="s">
        <v>2038</v>
      </c>
      <c r="T713" t="s">
        <v>2039</v>
      </c>
    </row>
    <row r="714" spans="1:20" ht="15.75" customHeight="1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>Table1[[#This Row],[pledged]]/Table1[[#This Row],[goal]]</f>
        <v>18.40625</v>
      </c>
      <c r="G714" t="s">
        <v>20</v>
      </c>
      <c r="H714">
        <v>202</v>
      </c>
      <c r="I714" t="s">
        <v>21</v>
      </c>
      <c r="J714" t="s">
        <v>22</v>
      </c>
      <c r="K714" s="12">
        <f>IF(OR(E714=0, H714=0), 0, E714/H714)</f>
        <v>72.896039603960389</v>
      </c>
      <c r="L714">
        <v>1467954000</v>
      </c>
      <c r="M714" s="10">
        <f>(((L714/60)/60)/24)+DATE(1970,1,1)</f>
        <v>42559.208333333328</v>
      </c>
      <c r="N714">
        <v>1471496400</v>
      </c>
      <c r="O714" s="10">
        <f>(((N714/60)/60)/24)+DATE(1970,1,1)</f>
        <v>42600.208333333328</v>
      </c>
      <c r="P714" t="b">
        <v>0</v>
      </c>
      <c r="Q714" t="b">
        <v>0</v>
      </c>
      <c r="R714" t="s">
        <v>33</v>
      </c>
      <c r="S714" t="s">
        <v>2038</v>
      </c>
      <c r="T714" t="s">
        <v>2039</v>
      </c>
    </row>
    <row r="715" spans="1:20" ht="15.75" customHeight="1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>Table1[[#This Row],[pledged]]/Table1[[#This Row],[goal]]</f>
        <v>1.6194202898550725</v>
      </c>
      <c r="G715" t="s">
        <v>20</v>
      </c>
      <c r="H715">
        <v>103</v>
      </c>
      <c r="I715" t="s">
        <v>21</v>
      </c>
      <c r="J715" t="s">
        <v>22</v>
      </c>
      <c r="K715" s="12">
        <f>IF(OR(E715=0, H715=0), 0, E715/H715)</f>
        <v>108.48543689320388</v>
      </c>
      <c r="L715">
        <v>1471842000</v>
      </c>
      <c r="M715" s="10">
        <f>(((L715/60)/60)/24)+DATE(1970,1,1)</f>
        <v>42604.208333333328</v>
      </c>
      <c r="N715">
        <v>1472878800</v>
      </c>
      <c r="O715" s="10">
        <f>(((N715/60)/60)/24)+DATE(1970,1,1)</f>
        <v>42616.208333333328</v>
      </c>
      <c r="P715" t="b">
        <v>0</v>
      </c>
      <c r="Q715" t="b">
        <v>0</v>
      </c>
      <c r="R715" t="s">
        <v>133</v>
      </c>
      <c r="S715" t="s">
        <v>2046</v>
      </c>
      <c r="T715" t="s">
        <v>2055</v>
      </c>
    </row>
    <row r="716" spans="1:20" ht="15.75" customHeight="1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>Table1[[#This Row],[pledged]]/Table1[[#This Row],[goal]]</f>
        <v>4.7282077922077921</v>
      </c>
      <c r="G716" t="s">
        <v>20</v>
      </c>
      <c r="H716">
        <v>1785</v>
      </c>
      <c r="I716" t="s">
        <v>21</v>
      </c>
      <c r="J716" t="s">
        <v>22</v>
      </c>
      <c r="K716" s="12">
        <f>IF(OR(E716=0, H716=0), 0, E716/H716)</f>
        <v>101.98095238095237</v>
      </c>
      <c r="L716">
        <v>1408424400</v>
      </c>
      <c r="M716" s="10">
        <f>(((L716/60)/60)/24)+DATE(1970,1,1)</f>
        <v>41870.208333333336</v>
      </c>
      <c r="N716">
        <v>1408510800</v>
      </c>
      <c r="O716" s="10">
        <f>(((N716/60)/60)/24)+DATE(1970,1,1)</f>
        <v>41871.208333333336</v>
      </c>
      <c r="P716" t="b">
        <v>0</v>
      </c>
      <c r="Q716" t="b">
        <v>0</v>
      </c>
      <c r="R716" t="s">
        <v>23</v>
      </c>
      <c r="S716" t="s">
        <v>2034</v>
      </c>
      <c r="T716" t="s">
        <v>2035</v>
      </c>
    </row>
    <row r="717" spans="1:20" ht="15.75" customHeight="1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>Table1[[#This Row],[pledged]]/Table1[[#This Row],[goal]]</f>
        <v>0.24466101694915254</v>
      </c>
      <c r="G717" t="s">
        <v>14</v>
      </c>
      <c r="H717">
        <v>656</v>
      </c>
      <c r="I717" t="s">
        <v>21</v>
      </c>
      <c r="J717" t="s">
        <v>22</v>
      </c>
      <c r="K717" s="12">
        <f>IF(OR(E717=0, H717=0), 0, E717/H717)</f>
        <v>44.009146341463413</v>
      </c>
      <c r="L717">
        <v>1281157200</v>
      </c>
      <c r="M717" s="10">
        <f>(((L717/60)/60)/24)+DATE(1970,1,1)</f>
        <v>40397.208333333336</v>
      </c>
      <c r="N717">
        <v>1281589200</v>
      </c>
      <c r="O717" s="10">
        <f>(((N717/60)/60)/24)+DATE(1970,1,1)</f>
        <v>40402.208333333336</v>
      </c>
      <c r="P717" t="b">
        <v>0</v>
      </c>
      <c r="Q717" t="b">
        <v>0</v>
      </c>
      <c r="R717" t="s">
        <v>292</v>
      </c>
      <c r="S717" t="s">
        <v>2049</v>
      </c>
      <c r="T717" t="s">
        <v>2060</v>
      </c>
    </row>
    <row r="718" spans="1:20" ht="15.75" customHeight="1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>Table1[[#This Row],[pledged]]/Table1[[#This Row],[goal]]</f>
        <v>5.1764999999999999</v>
      </c>
      <c r="G718" t="s">
        <v>20</v>
      </c>
      <c r="H718">
        <v>157</v>
      </c>
      <c r="I718" t="s">
        <v>21</v>
      </c>
      <c r="J718" t="s">
        <v>22</v>
      </c>
      <c r="K718" s="12">
        <f>IF(OR(E718=0, H718=0), 0, E718/H718)</f>
        <v>65.942675159235662</v>
      </c>
      <c r="L718">
        <v>1373432400</v>
      </c>
      <c r="M718" s="10">
        <f>(((L718/60)/60)/24)+DATE(1970,1,1)</f>
        <v>41465.208333333336</v>
      </c>
      <c r="N718">
        <v>1375851600</v>
      </c>
      <c r="O718" s="10">
        <f>(((N718/60)/60)/24)+DATE(1970,1,1)</f>
        <v>41493.208333333336</v>
      </c>
      <c r="P718" t="b">
        <v>0</v>
      </c>
      <c r="Q718" t="b">
        <v>1</v>
      </c>
      <c r="R718" t="s">
        <v>33</v>
      </c>
      <c r="S718" t="s">
        <v>2038</v>
      </c>
      <c r="T718" t="s">
        <v>2039</v>
      </c>
    </row>
    <row r="719" spans="1:20" ht="15.75" customHeight="1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>Table1[[#This Row],[pledged]]/Table1[[#This Row],[goal]]</f>
        <v>2.4764285714285714</v>
      </c>
      <c r="G719" t="s">
        <v>20</v>
      </c>
      <c r="H719">
        <v>555</v>
      </c>
      <c r="I719" t="s">
        <v>21</v>
      </c>
      <c r="J719" t="s">
        <v>22</v>
      </c>
      <c r="K719" s="12">
        <f>IF(OR(E719=0, H719=0), 0, E719/H719)</f>
        <v>24.987387387387386</v>
      </c>
      <c r="L719">
        <v>1313989200</v>
      </c>
      <c r="M719" s="10">
        <f>(((L719/60)/60)/24)+DATE(1970,1,1)</f>
        <v>40777.208333333336</v>
      </c>
      <c r="N719">
        <v>1315803600</v>
      </c>
      <c r="O719" s="10">
        <f>(((N719/60)/60)/24)+DATE(1970,1,1)</f>
        <v>40798.208333333336</v>
      </c>
      <c r="P719" t="b">
        <v>0</v>
      </c>
      <c r="Q719" t="b">
        <v>0</v>
      </c>
      <c r="R719" t="s">
        <v>42</v>
      </c>
      <c r="S719" t="s">
        <v>2040</v>
      </c>
      <c r="T719" t="s">
        <v>2041</v>
      </c>
    </row>
    <row r="720" spans="1:20" ht="15.75" customHeight="1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>Table1[[#This Row],[pledged]]/Table1[[#This Row],[goal]]</f>
        <v>1.0020481927710843</v>
      </c>
      <c r="G720" t="s">
        <v>20</v>
      </c>
      <c r="H720">
        <v>297</v>
      </c>
      <c r="I720" t="s">
        <v>21</v>
      </c>
      <c r="J720" t="s">
        <v>22</v>
      </c>
      <c r="K720" s="12">
        <f>IF(OR(E720=0, H720=0), 0, E720/H720)</f>
        <v>28.003367003367003</v>
      </c>
      <c r="L720">
        <v>1371445200</v>
      </c>
      <c r="M720" s="10">
        <f>(((L720/60)/60)/24)+DATE(1970,1,1)</f>
        <v>41442.208333333336</v>
      </c>
      <c r="N720">
        <v>1373691600</v>
      </c>
      <c r="O720" s="10">
        <f>(((N720/60)/60)/24)+DATE(1970,1,1)</f>
        <v>41468.208333333336</v>
      </c>
      <c r="P720" t="b">
        <v>0</v>
      </c>
      <c r="Q720" t="b">
        <v>0</v>
      </c>
      <c r="R720" t="s">
        <v>65</v>
      </c>
      <c r="S720" t="s">
        <v>2036</v>
      </c>
      <c r="T720" t="s">
        <v>2045</v>
      </c>
    </row>
    <row r="721" spans="1:20" ht="15.75" customHeight="1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>Table1[[#This Row],[pledged]]/Table1[[#This Row],[goal]]</f>
        <v>1.53</v>
      </c>
      <c r="G721" t="s">
        <v>20</v>
      </c>
      <c r="H721">
        <v>123</v>
      </c>
      <c r="I721" t="s">
        <v>21</v>
      </c>
      <c r="J721" t="s">
        <v>22</v>
      </c>
      <c r="K721" s="12">
        <f>IF(OR(E721=0, H721=0), 0, E721/H721)</f>
        <v>85.829268292682926</v>
      </c>
      <c r="L721">
        <v>1338267600</v>
      </c>
      <c r="M721" s="10">
        <f>(((L721/60)/60)/24)+DATE(1970,1,1)</f>
        <v>41058.208333333336</v>
      </c>
      <c r="N721">
        <v>1339218000</v>
      </c>
      <c r="O721" s="10">
        <f>(((N721/60)/60)/24)+DATE(1970,1,1)</f>
        <v>41069.208333333336</v>
      </c>
      <c r="P721" t="b">
        <v>0</v>
      </c>
      <c r="Q721" t="b">
        <v>0</v>
      </c>
      <c r="R721" t="s">
        <v>119</v>
      </c>
      <c r="S721" t="s">
        <v>2046</v>
      </c>
      <c r="T721" t="s">
        <v>2052</v>
      </c>
    </row>
    <row r="722" spans="1:20" ht="15.75" customHeight="1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>Table1[[#This Row],[pledged]]/Table1[[#This Row],[goal]]</f>
        <v>0.37091954022988505</v>
      </c>
      <c r="G722" t="s">
        <v>74</v>
      </c>
      <c r="H722">
        <v>38</v>
      </c>
      <c r="I722" t="s">
        <v>36</v>
      </c>
      <c r="J722" t="s">
        <v>37</v>
      </c>
      <c r="K722" s="12">
        <f>IF(OR(E722=0, H722=0), 0, E722/H722)</f>
        <v>84.921052631578945</v>
      </c>
      <c r="L722">
        <v>1519192800</v>
      </c>
      <c r="M722" s="10">
        <f>(((L722/60)/60)/24)+DATE(1970,1,1)</f>
        <v>43152.25</v>
      </c>
      <c r="N722">
        <v>1520402400</v>
      </c>
      <c r="O722" s="10">
        <f>(((N722/60)/60)/24)+DATE(1970,1,1)</f>
        <v>43166.25</v>
      </c>
      <c r="P722" t="b">
        <v>0</v>
      </c>
      <c r="Q722" t="b">
        <v>1</v>
      </c>
      <c r="R722" t="s">
        <v>33</v>
      </c>
      <c r="S722" t="s">
        <v>2038</v>
      </c>
      <c r="T722" t="s">
        <v>2039</v>
      </c>
    </row>
    <row r="723" spans="1:20" ht="15.75" customHeight="1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>Table1[[#This Row],[pledged]]/Table1[[#This Row],[goal]]</f>
        <v>4.3923948220064728E-2</v>
      </c>
      <c r="G723" t="s">
        <v>74</v>
      </c>
      <c r="H723">
        <v>60</v>
      </c>
      <c r="I723" t="s">
        <v>21</v>
      </c>
      <c r="J723" t="s">
        <v>22</v>
      </c>
      <c r="K723" s="12">
        <f>IF(OR(E723=0, H723=0), 0, E723/H723)</f>
        <v>90.483333333333334</v>
      </c>
      <c r="L723">
        <v>1522818000</v>
      </c>
      <c r="M723" s="10">
        <f>(((L723/60)/60)/24)+DATE(1970,1,1)</f>
        <v>43194.208333333328</v>
      </c>
      <c r="N723">
        <v>1523336400</v>
      </c>
      <c r="O723" s="10">
        <f>(((N723/60)/60)/24)+DATE(1970,1,1)</f>
        <v>43200.208333333328</v>
      </c>
      <c r="P723" t="b">
        <v>0</v>
      </c>
      <c r="Q723" t="b">
        <v>0</v>
      </c>
      <c r="R723" t="s">
        <v>23</v>
      </c>
      <c r="S723" t="s">
        <v>2034</v>
      </c>
      <c r="T723" t="s">
        <v>2035</v>
      </c>
    </row>
    <row r="724" spans="1:20" ht="15.75" customHeight="1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>Table1[[#This Row],[pledged]]/Table1[[#This Row],[goal]]</f>
        <v>1.5650721649484536</v>
      </c>
      <c r="G724" t="s">
        <v>20</v>
      </c>
      <c r="H724">
        <v>3036</v>
      </c>
      <c r="I724" t="s">
        <v>21</v>
      </c>
      <c r="J724" t="s">
        <v>22</v>
      </c>
      <c r="K724" s="12">
        <f>IF(OR(E724=0, H724=0), 0, E724/H724)</f>
        <v>25.00197628458498</v>
      </c>
      <c r="L724">
        <v>1509948000</v>
      </c>
      <c r="M724" s="10">
        <f>(((L724/60)/60)/24)+DATE(1970,1,1)</f>
        <v>43045.25</v>
      </c>
      <c r="N724">
        <v>1512280800</v>
      </c>
      <c r="O724" s="10">
        <f>(((N724/60)/60)/24)+DATE(1970,1,1)</f>
        <v>43072.25</v>
      </c>
      <c r="P724" t="b">
        <v>0</v>
      </c>
      <c r="Q724" t="b">
        <v>0</v>
      </c>
      <c r="R724" t="s">
        <v>42</v>
      </c>
      <c r="S724" t="s">
        <v>2040</v>
      </c>
      <c r="T724" t="s">
        <v>2041</v>
      </c>
    </row>
    <row r="725" spans="1:20" ht="15.75" customHeight="1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>Table1[[#This Row],[pledged]]/Table1[[#This Row],[goal]]</f>
        <v>2.704081632653061</v>
      </c>
      <c r="G725" t="s">
        <v>20</v>
      </c>
      <c r="H725">
        <v>144</v>
      </c>
      <c r="I725" t="s">
        <v>26</v>
      </c>
      <c r="J725" t="s">
        <v>27</v>
      </c>
      <c r="K725" s="12">
        <f>IF(OR(E725=0, H725=0), 0, E725/H725)</f>
        <v>92.013888888888886</v>
      </c>
      <c r="L725">
        <v>1456898400</v>
      </c>
      <c r="M725" s="10">
        <f>(((L725/60)/60)/24)+DATE(1970,1,1)</f>
        <v>42431.25</v>
      </c>
      <c r="N725">
        <v>1458709200</v>
      </c>
      <c r="O725" s="10">
        <f>(((N725/60)/60)/24)+DATE(1970,1,1)</f>
        <v>42452.208333333328</v>
      </c>
      <c r="P725" t="b">
        <v>0</v>
      </c>
      <c r="Q725" t="b">
        <v>0</v>
      </c>
      <c r="R725" t="s">
        <v>33</v>
      </c>
      <c r="S725" t="s">
        <v>2038</v>
      </c>
      <c r="T725" t="s">
        <v>2039</v>
      </c>
    </row>
    <row r="726" spans="1:20" ht="15.75" customHeight="1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>Table1[[#This Row],[pledged]]/Table1[[#This Row],[goal]]</f>
        <v>1.3405952380952382</v>
      </c>
      <c r="G726" t="s">
        <v>20</v>
      </c>
      <c r="H726">
        <v>121</v>
      </c>
      <c r="I726" t="s">
        <v>40</v>
      </c>
      <c r="J726" t="s">
        <v>41</v>
      </c>
      <c r="K726" s="12">
        <f>IF(OR(E726=0, H726=0), 0, E726/H726)</f>
        <v>93.066115702479337</v>
      </c>
      <c r="L726">
        <v>1413954000</v>
      </c>
      <c r="M726" s="10">
        <f>(((L726/60)/60)/24)+DATE(1970,1,1)</f>
        <v>41934.208333333336</v>
      </c>
      <c r="N726">
        <v>1414126800</v>
      </c>
      <c r="O726" s="10">
        <f>(((N726/60)/60)/24)+DATE(1970,1,1)</f>
        <v>41936.208333333336</v>
      </c>
      <c r="P726" t="b">
        <v>0</v>
      </c>
      <c r="Q726" t="b">
        <v>1</v>
      </c>
      <c r="R726" t="s">
        <v>33</v>
      </c>
      <c r="S726" t="s">
        <v>2038</v>
      </c>
      <c r="T726" t="s">
        <v>2039</v>
      </c>
    </row>
    <row r="727" spans="1:20" ht="15.75" customHeight="1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>Table1[[#This Row],[pledged]]/Table1[[#This Row],[goal]]</f>
        <v>0.50398033126293995</v>
      </c>
      <c r="G727" t="s">
        <v>14</v>
      </c>
      <c r="H727">
        <v>1596</v>
      </c>
      <c r="I727" t="s">
        <v>21</v>
      </c>
      <c r="J727" t="s">
        <v>22</v>
      </c>
      <c r="K727" s="12">
        <f>IF(OR(E727=0, H727=0), 0, E727/H727)</f>
        <v>61.008145363408524</v>
      </c>
      <c r="L727">
        <v>1416031200</v>
      </c>
      <c r="M727" s="10">
        <f>(((L727/60)/60)/24)+DATE(1970,1,1)</f>
        <v>41958.25</v>
      </c>
      <c r="N727">
        <v>1416204000</v>
      </c>
      <c r="O727" s="10">
        <f>(((N727/60)/60)/24)+DATE(1970,1,1)</f>
        <v>41960.25</v>
      </c>
      <c r="P727" t="b">
        <v>0</v>
      </c>
      <c r="Q727" t="b">
        <v>0</v>
      </c>
      <c r="R727" t="s">
        <v>292</v>
      </c>
      <c r="S727" t="s">
        <v>2049</v>
      </c>
      <c r="T727" t="s">
        <v>2060</v>
      </c>
    </row>
    <row r="728" spans="1:20" ht="15.75" customHeight="1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>Table1[[#This Row],[pledged]]/Table1[[#This Row],[goal]]</f>
        <v>0.88815837937384901</v>
      </c>
      <c r="G728" t="s">
        <v>74</v>
      </c>
      <c r="H728">
        <v>524</v>
      </c>
      <c r="I728" t="s">
        <v>21</v>
      </c>
      <c r="J728" t="s">
        <v>22</v>
      </c>
      <c r="K728" s="12">
        <f>IF(OR(E728=0, H728=0), 0, E728/H728)</f>
        <v>92.036259541984734</v>
      </c>
      <c r="L728">
        <v>1287982800</v>
      </c>
      <c r="M728" s="10">
        <f>(((L728/60)/60)/24)+DATE(1970,1,1)</f>
        <v>40476.208333333336</v>
      </c>
      <c r="N728">
        <v>1288501200</v>
      </c>
      <c r="O728" s="10">
        <f>(((N728/60)/60)/24)+DATE(1970,1,1)</f>
        <v>40482.208333333336</v>
      </c>
      <c r="P728" t="b">
        <v>0</v>
      </c>
      <c r="Q728" t="b">
        <v>1</v>
      </c>
      <c r="R728" t="s">
        <v>33</v>
      </c>
      <c r="S728" t="s">
        <v>2038</v>
      </c>
      <c r="T728" t="s">
        <v>2039</v>
      </c>
    </row>
    <row r="729" spans="1:20" ht="15.75" customHeight="1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>Table1[[#This Row],[pledged]]/Table1[[#This Row],[goal]]</f>
        <v>1.65</v>
      </c>
      <c r="G729" t="s">
        <v>20</v>
      </c>
      <c r="H729">
        <v>181</v>
      </c>
      <c r="I729" t="s">
        <v>21</v>
      </c>
      <c r="J729" t="s">
        <v>22</v>
      </c>
      <c r="K729" s="12">
        <f>IF(OR(E729=0, H729=0), 0, E729/H729)</f>
        <v>81.132596685082873</v>
      </c>
      <c r="L729">
        <v>1547964000</v>
      </c>
      <c r="M729" s="10">
        <f>(((L729/60)/60)/24)+DATE(1970,1,1)</f>
        <v>43485.25</v>
      </c>
      <c r="N729">
        <v>1552971600</v>
      </c>
      <c r="O729" s="10">
        <f>(((N729/60)/60)/24)+DATE(1970,1,1)</f>
        <v>43543.208333333328</v>
      </c>
      <c r="P729" t="b">
        <v>0</v>
      </c>
      <c r="Q729" t="b">
        <v>0</v>
      </c>
      <c r="R729" t="s">
        <v>28</v>
      </c>
      <c r="S729" t="s">
        <v>2036</v>
      </c>
      <c r="T729" t="s">
        <v>2037</v>
      </c>
    </row>
    <row r="730" spans="1:20" ht="15.75" customHeight="1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>Table1[[#This Row],[pledged]]/Table1[[#This Row],[goal]]</f>
        <v>0.17499999999999999</v>
      </c>
      <c r="G730" t="s">
        <v>14</v>
      </c>
      <c r="H730">
        <v>10</v>
      </c>
      <c r="I730" t="s">
        <v>21</v>
      </c>
      <c r="J730" t="s">
        <v>22</v>
      </c>
      <c r="K730" s="12">
        <f>IF(OR(E730=0, H730=0), 0, E730/H730)</f>
        <v>73.5</v>
      </c>
      <c r="L730">
        <v>1464152400</v>
      </c>
      <c r="M730" s="10">
        <f>(((L730/60)/60)/24)+DATE(1970,1,1)</f>
        <v>42515.208333333328</v>
      </c>
      <c r="N730">
        <v>1465102800</v>
      </c>
      <c r="O730" s="10">
        <f>(((N730/60)/60)/24)+DATE(1970,1,1)</f>
        <v>42526.208333333328</v>
      </c>
      <c r="P730" t="b">
        <v>0</v>
      </c>
      <c r="Q730" t="b">
        <v>0</v>
      </c>
      <c r="R730" t="s">
        <v>33</v>
      </c>
      <c r="S730" t="s">
        <v>2038</v>
      </c>
      <c r="T730" t="s">
        <v>2039</v>
      </c>
    </row>
    <row r="731" spans="1:20" ht="15.75" customHeight="1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>Table1[[#This Row],[pledged]]/Table1[[#This Row],[goal]]</f>
        <v>1.8566071428571429</v>
      </c>
      <c r="G731" t="s">
        <v>20</v>
      </c>
      <c r="H731">
        <v>122</v>
      </c>
      <c r="I731" t="s">
        <v>21</v>
      </c>
      <c r="J731" t="s">
        <v>22</v>
      </c>
      <c r="K731" s="12">
        <f>IF(OR(E731=0, H731=0), 0, E731/H731)</f>
        <v>85.221311475409834</v>
      </c>
      <c r="L731">
        <v>1359957600</v>
      </c>
      <c r="M731" s="10">
        <f>(((L731/60)/60)/24)+DATE(1970,1,1)</f>
        <v>41309.25</v>
      </c>
      <c r="N731">
        <v>1360130400</v>
      </c>
      <c r="O731" s="10">
        <f>(((N731/60)/60)/24)+DATE(1970,1,1)</f>
        <v>41311.25</v>
      </c>
      <c r="P731" t="b">
        <v>0</v>
      </c>
      <c r="Q731" t="b">
        <v>0</v>
      </c>
      <c r="R731" t="s">
        <v>53</v>
      </c>
      <c r="S731" t="s">
        <v>2040</v>
      </c>
      <c r="T731" t="s">
        <v>2043</v>
      </c>
    </row>
    <row r="732" spans="1:20" ht="15.75" customHeight="1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>Table1[[#This Row],[pledged]]/Table1[[#This Row],[goal]]</f>
        <v>4.1266319444444441</v>
      </c>
      <c r="G732" t="s">
        <v>20</v>
      </c>
      <c r="H732">
        <v>1071</v>
      </c>
      <c r="I732" t="s">
        <v>15</v>
      </c>
      <c r="J732" t="s">
        <v>16</v>
      </c>
      <c r="K732" s="12">
        <f>IF(OR(E732=0, H732=0), 0, E732/H732)</f>
        <v>110.96825396825396</v>
      </c>
      <c r="L732">
        <v>1432357200</v>
      </c>
      <c r="M732" s="10">
        <f>(((L732/60)/60)/24)+DATE(1970,1,1)</f>
        <v>42147.208333333328</v>
      </c>
      <c r="N732">
        <v>1432875600</v>
      </c>
      <c r="O732" s="10">
        <f>(((N732/60)/60)/24)+DATE(1970,1,1)</f>
        <v>42153.208333333328</v>
      </c>
      <c r="P732" t="b">
        <v>0</v>
      </c>
      <c r="Q732" t="b">
        <v>0</v>
      </c>
      <c r="R732" t="s">
        <v>65</v>
      </c>
      <c r="S732" t="s">
        <v>2036</v>
      </c>
      <c r="T732" t="s">
        <v>2045</v>
      </c>
    </row>
    <row r="733" spans="1:20" ht="15.75" customHeight="1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>Table1[[#This Row],[pledged]]/Table1[[#This Row],[goal]]</f>
        <v>0.90249999999999997</v>
      </c>
      <c r="G733" t="s">
        <v>74</v>
      </c>
      <c r="H733">
        <v>219</v>
      </c>
      <c r="I733" t="s">
        <v>21</v>
      </c>
      <c r="J733" t="s">
        <v>22</v>
      </c>
      <c r="K733" s="12">
        <f>IF(OR(E733=0, H733=0), 0, E733/H733)</f>
        <v>32.968036529680369</v>
      </c>
      <c r="L733">
        <v>1500786000</v>
      </c>
      <c r="M733" s="10">
        <f>(((L733/60)/60)/24)+DATE(1970,1,1)</f>
        <v>42939.208333333328</v>
      </c>
      <c r="N733">
        <v>1500872400</v>
      </c>
      <c r="O733" s="10">
        <f>(((N733/60)/60)/24)+DATE(1970,1,1)</f>
        <v>42940.208333333328</v>
      </c>
      <c r="P733" t="b">
        <v>0</v>
      </c>
      <c r="Q733" t="b">
        <v>0</v>
      </c>
      <c r="R733" t="s">
        <v>28</v>
      </c>
      <c r="S733" t="s">
        <v>2036</v>
      </c>
      <c r="T733" t="s">
        <v>2037</v>
      </c>
    </row>
    <row r="734" spans="1:20" ht="15.75" customHeight="1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>Table1[[#This Row],[pledged]]/Table1[[#This Row],[goal]]</f>
        <v>0.91984615384615387</v>
      </c>
      <c r="G734" t="s">
        <v>14</v>
      </c>
      <c r="H734">
        <v>1121</v>
      </c>
      <c r="I734" t="s">
        <v>21</v>
      </c>
      <c r="J734" t="s">
        <v>22</v>
      </c>
      <c r="K734" s="12">
        <f>IF(OR(E734=0, H734=0), 0, E734/H734)</f>
        <v>96.005352363960753</v>
      </c>
      <c r="L734">
        <v>1490158800</v>
      </c>
      <c r="M734" s="10">
        <f>(((L734/60)/60)/24)+DATE(1970,1,1)</f>
        <v>42816.208333333328</v>
      </c>
      <c r="N734">
        <v>1492146000</v>
      </c>
      <c r="O734" s="10">
        <f>(((N734/60)/60)/24)+DATE(1970,1,1)</f>
        <v>42839.208333333328</v>
      </c>
      <c r="P734" t="b">
        <v>0</v>
      </c>
      <c r="Q734" t="b">
        <v>1</v>
      </c>
      <c r="R734" t="s">
        <v>23</v>
      </c>
      <c r="S734" t="s">
        <v>2034</v>
      </c>
      <c r="T734" t="s">
        <v>2035</v>
      </c>
    </row>
    <row r="735" spans="1:20" ht="15.75" customHeight="1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>Table1[[#This Row],[pledged]]/Table1[[#This Row],[goal]]</f>
        <v>5.2700632911392402</v>
      </c>
      <c r="G735" t="s">
        <v>20</v>
      </c>
      <c r="H735">
        <v>980</v>
      </c>
      <c r="I735" t="s">
        <v>21</v>
      </c>
      <c r="J735" t="s">
        <v>22</v>
      </c>
      <c r="K735" s="12">
        <f>IF(OR(E735=0, H735=0), 0, E735/H735)</f>
        <v>84.96632653061225</v>
      </c>
      <c r="L735">
        <v>1406178000</v>
      </c>
      <c r="M735" s="10">
        <f>(((L735/60)/60)/24)+DATE(1970,1,1)</f>
        <v>41844.208333333336</v>
      </c>
      <c r="N735">
        <v>1407301200</v>
      </c>
      <c r="O735" s="10">
        <f>(((N735/60)/60)/24)+DATE(1970,1,1)</f>
        <v>41857.208333333336</v>
      </c>
      <c r="P735" t="b">
        <v>0</v>
      </c>
      <c r="Q735" t="b">
        <v>0</v>
      </c>
      <c r="R735" t="s">
        <v>148</v>
      </c>
      <c r="S735" t="s">
        <v>2034</v>
      </c>
      <c r="T735" t="s">
        <v>2056</v>
      </c>
    </row>
    <row r="736" spans="1:20" ht="15.75" customHeight="1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>Table1[[#This Row],[pledged]]/Table1[[#This Row],[goal]]</f>
        <v>3.1914285714285713</v>
      </c>
      <c r="G736" t="s">
        <v>20</v>
      </c>
      <c r="H736">
        <v>536</v>
      </c>
      <c r="I736" t="s">
        <v>21</v>
      </c>
      <c r="J736" t="s">
        <v>22</v>
      </c>
      <c r="K736" s="12">
        <f>IF(OR(E736=0, H736=0), 0, E736/H736)</f>
        <v>25.007462686567163</v>
      </c>
      <c r="L736">
        <v>1485583200</v>
      </c>
      <c r="M736" s="10">
        <f>(((L736/60)/60)/24)+DATE(1970,1,1)</f>
        <v>42763.25</v>
      </c>
      <c r="N736">
        <v>1486620000</v>
      </c>
      <c r="O736" s="10">
        <f>(((N736/60)/60)/24)+DATE(1970,1,1)</f>
        <v>42775.25</v>
      </c>
      <c r="P736" t="b">
        <v>0</v>
      </c>
      <c r="Q736" t="b">
        <v>1</v>
      </c>
      <c r="R736" t="s">
        <v>33</v>
      </c>
      <c r="S736" t="s">
        <v>2038</v>
      </c>
      <c r="T736" t="s">
        <v>2039</v>
      </c>
    </row>
    <row r="737" spans="1:20" ht="15.75" customHeight="1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>Table1[[#This Row],[pledged]]/Table1[[#This Row],[goal]]</f>
        <v>3.5418867924528303</v>
      </c>
      <c r="G737" t="s">
        <v>20</v>
      </c>
      <c r="H737">
        <v>1991</v>
      </c>
      <c r="I737" t="s">
        <v>21</v>
      </c>
      <c r="J737" t="s">
        <v>22</v>
      </c>
      <c r="K737" s="12">
        <f>IF(OR(E737=0, H737=0), 0, E737/H737)</f>
        <v>65.998995479658461</v>
      </c>
      <c r="L737">
        <v>1459314000</v>
      </c>
      <c r="M737" s="10">
        <f>(((L737/60)/60)/24)+DATE(1970,1,1)</f>
        <v>42459.208333333328</v>
      </c>
      <c r="N737">
        <v>1459918800</v>
      </c>
      <c r="O737" s="10">
        <f>(((N737/60)/60)/24)+DATE(1970,1,1)</f>
        <v>42466.208333333328</v>
      </c>
      <c r="P737" t="b">
        <v>0</v>
      </c>
      <c r="Q737" t="b">
        <v>0</v>
      </c>
      <c r="R737" t="s">
        <v>122</v>
      </c>
      <c r="S737" t="s">
        <v>2053</v>
      </c>
      <c r="T737" t="s">
        <v>2054</v>
      </c>
    </row>
    <row r="738" spans="1:20" ht="15.75" customHeight="1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>Table1[[#This Row],[pledged]]/Table1[[#This Row],[goal]]</f>
        <v>0.32896103896103895</v>
      </c>
      <c r="G738" t="s">
        <v>74</v>
      </c>
      <c r="H738">
        <v>29</v>
      </c>
      <c r="I738" t="s">
        <v>21</v>
      </c>
      <c r="J738" t="s">
        <v>22</v>
      </c>
      <c r="K738" s="12">
        <f>IF(OR(E738=0, H738=0), 0, E738/H738)</f>
        <v>87.34482758620689</v>
      </c>
      <c r="L738">
        <v>1424412000</v>
      </c>
      <c r="M738" s="10">
        <f>(((L738/60)/60)/24)+DATE(1970,1,1)</f>
        <v>42055.25</v>
      </c>
      <c r="N738">
        <v>1424757600</v>
      </c>
      <c r="O738" s="10">
        <f>(((N738/60)/60)/24)+DATE(1970,1,1)</f>
        <v>42059.25</v>
      </c>
      <c r="P738" t="b">
        <v>0</v>
      </c>
      <c r="Q738" t="b">
        <v>0</v>
      </c>
      <c r="R738" t="s">
        <v>68</v>
      </c>
      <c r="S738" t="s">
        <v>2046</v>
      </c>
      <c r="T738" t="s">
        <v>2047</v>
      </c>
    </row>
    <row r="739" spans="1:20" ht="15.75" customHeight="1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>Table1[[#This Row],[pledged]]/Table1[[#This Row],[goal]]</f>
        <v>1.358918918918919</v>
      </c>
      <c r="G739" t="s">
        <v>20</v>
      </c>
      <c r="H739">
        <v>180</v>
      </c>
      <c r="I739" t="s">
        <v>21</v>
      </c>
      <c r="J739" t="s">
        <v>22</v>
      </c>
      <c r="K739" s="12">
        <f>IF(OR(E739=0, H739=0), 0, E739/H739)</f>
        <v>27.933333333333334</v>
      </c>
      <c r="L739">
        <v>1478844000</v>
      </c>
      <c r="M739" s="10">
        <f>(((L739/60)/60)/24)+DATE(1970,1,1)</f>
        <v>42685.25</v>
      </c>
      <c r="N739">
        <v>1479880800</v>
      </c>
      <c r="O739" s="10">
        <f>(((N739/60)/60)/24)+DATE(1970,1,1)</f>
        <v>42697.25</v>
      </c>
      <c r="P739" t="b">
        <v>0</v>
      </c>
      <c r="Q739" t="b">
        <v>0</v>
      </c>
      <c r="R739" t="s">
        <v>60</v>
      </c>
      <c r="S739" t="s">
        <v>2034</v>
      </c>
      <c r="T739" t="s">
        <v>2044</v>
      </c>
    </row>
    <row r="740" spans="1:20" ht="15.75" customHeight="1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>Table1[[#This Row],[pledged]]/Table1[[#This Row],[goal]]</f>
        <v>2.0843373493975904E-2</v>
      </c>
      <c r="G740" t="s">
        <v>14</v>
      </c>
      <c r="H740">
        <v>15</v>
      </c>
      <c r="I740" t="s">
        <v>21</v>
      </c>
      <c r="J740" t="s">
        <v>22</v>
      </c>
      <c r="K740" s="12">
        <f>IF(OR(E740=0, H740=0), 0, E740/H740)</f>
        <v>103.8</v>
      </c>
      <c r="L740">
        <v>1416117600</v>
      </c>
      <c r="M740" s="10">
        <f>(((L740/60)/60)/24)+DATE(1970,1,1)</f>
        <v>41959.25</v>
      </c>
      <c r="N740">
        <v>1418018400</v>
      </c>
      <c r="O740" s="10">
        <f>(((N740/60)/60)/24)+DATE(1970,1,1)</f>
        <v>41981.25</v>
      </c>
      <c r="P740" t="b">
        <v>0</v>
      </c>
      <c r="Q740" t="b">
        <v>1</v>
      </c>
      <c r="R740" t="s">
        <v>33</v>
      </c>
      <c r="S740" t="s">
        <v>2038</v>
      </c>
      <c r="T740" t="s">
        <v>2039</v>
      </c>
    </row>
    <row r="741" spans="1:20" ht="15.75" customHeight="1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>Table1[[#This Row],[pledged]]/Table1[[#This Row],[goal]]</f>
        <v>0.61</v>
      </c>
      <c r="G741" t="s">
        <v>14</v>
      </c>
      <c r="H741">
        <v>191</v>
      </c>
      <c r="I741" t="s">
        <v>21</v>
      </c>
      <c r="J741" t="s">
        <v>22</v>
      </c>
      <c r="K741" s="12">
        <f>IF(OR(E741=0, H741=0), 0, E741/H741)</f>
        <v>31.937172774869111</v>
      </c>
      <c r="L741">
        <v>1340946000</v>
      </c>
      <c r="M741" s="10">
        <f>(((L741/60)/60)/24)+DATE(1970,1,1)</f>
        <v>41089.208333333336</v>
      </c>
      <c r="N741">
        <v>1341032400</v>
      </c>
      <c r="O741" s="10">
        <f>(((N741/60)/60)/24)+DATE(1970,1,1)</f>
        <v>41090.208333333336</v>
      </c>
      <c r="P741" t="b">
        <v>0</v>
      </c>
      <c r="Q741" t="b">
        <v>0</v>
      </c>
      <c r="R741" t="s">
        <v>60</v>
      </c>
      <c r="S741" t="s">
        <v>2034</v>
      </c>
      <c r="T741" t="s">
        <v>2044</v>
      </c>
    </row>
    <row r="742" spans="1:20" ht="15.75" customHeight="1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>Table1[[#This Row],[pledged]]/Table1[[#This Row],[goal]]</f>
        <v>0.30037735849056602</v>
      </c>
      <c r="G742" t="s">
        <v>14</v>
      </c>
      <c r="H742">
        <v>16</v>
      </c>
      <c r="I742" t="s">
        <v>21</v>
      </c>
      <c r="J742" t="s">
        <v>22</v>
      </c>
      <c r="K742" s="12">
        <f>IF(OR(E742=0, H742=0), 0, E742/H742)</f>
        <v>99.5</v>
      </c>
      <c r="L742">
        <v>1486101600</v>
      </c>
      <c r="M742" s="10">
        <f>(((L742/60)/60)/24)+DATE(1970,1,1)</f>
        <v>42769.25</v>
      </c>
      <c r="N742">
        <v>1486360800</v>
      </c>
      <c r="O742" s="10">
        <f>(((N742/60)/60)/24)+DATE(1970,1,1)</f>
        <v>42772.25</v>
      </c>
      <c r="P742" t="b">
        <v>0</v>
      </c>
      <c r="Q742" t="b">
        <v>0</v>
      </c>
      <c r="R742" t="s">
        <v>33</v>
      </c>
      <c r="S742" t="s">
        <v>2038</v>
      </c>
      <c r="T742" t="s">
        <v>2039</v>
      </c>
    </row>
    <row r="743" spans="1:20" ht="15.75" customHeight="1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>Table1[[#This Row],[pledged]]/Table1[[#This Row],[goal]]</f>
        <v>11.791666666666666</v>
      </c>
      <c r="G743" t="s">
        <v>20</v>
      </c>
      <c r="H743">
        <v>130</v>
      </c>
      <c r="I743" t="s">
        <v>21</v>
      </c>
      <c r="J743" t="s">
        <v>22</v>
      </c>
      <c r="K743" s="12">
        <f>IF(OR(E743=0, H743=0), 0, E743/H743)</f>
        <v>108.84615384615384</v>
      </c>
      <c r="L743">
        <v>1274590800</v>
      </c>
      <c r="M743" s="10">
        <f>(((L743/60)/60)/24)+DATE(1970,1,1)</f>
        <v>40321.208333333336</v>
      </c>
      <c r="N743">
        <v>1274677200</v>
      </c>
      <c r="O743" s="10">
        <f>(((N743/60)/60)/24)+DATE(1970,1,1)</f>
        <v>40322.208333333336</v>
      </c>
      <c r="P743" t="b">
        <v>0</v>
      </c>
      <c r="Q743" t="b">
        <v>0</v>
      </c>
      <c r="R743" t="s">
        <v>33</v>
      </c>
      <c r="S743" t="s">
        <v>2038</v>
      </c>
      <c r="T743" t="s">
        <v>2039</v>
      </c>
    </row>
    <row r="744" spans="1:20" ht="15.75" customHeight="1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>Table1[[#This Row],[pledged]]/Table1[[#This Row],[goal]]</f>
        <v>11.260833333333334</v>
      </c>
      <c r="G744" t="s">
        <v>20</v>
      </c>
      <c r="H744">
        <v>122</v>
      </c>
      <c r="I744" t="s">
        <v>21</v>
      </c>
      <c r="J744" t="s">
        <v>22</v>
      </c>
      <c r="K744" s="12">
        <f>IF(OR(E744=0, H744=0), 0, E744/H744)</f>
        <v>110.76229508196721</v>
      </c>
      <c r="L744">
        <v>1263880800</v>
      </c>
      <c r="M744" s="10">
        <f>(((L744/60)/60)/24)+DATE(1970,1,1)</f>
        <v>40197.25</v>
      </c>
      <c r="N744">
        <v>1267509600</v>
      </c>
      <c r="O744" s="10">
        <f>(((N744/60)/60)/24)+DATE(1970,1,1)</f>
        <v>40239.25</v>
      </c>
      <c r="P744" t="b">
        <v>0</v>
      </c>
      <c r="Q744" t="b">
        <v>0</v>
      </c>
      <c r="R744" t="s">
        <v>50</v>
      </c>
      <c r="S744" t="s">
        <v>2034</v>
      </c>
      <c r="T744" t="s">
        <v>2042</v>
      </c>
    </row>
    <row r="745" spans="1:20" ht="15.75" customHeight="1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>Table1[[#This Row],[pledged]]/Table1[[#This Row],[goal]]</f>
        <v>0.12923076923076923</v>
      </c>
      <c r="G745" t="s">
        <v>14</v>
      </c>
      <c r="H745">
        <v>17</v>
      </c>
      <c r="I745" t="s">
        <v>21</v>
      </c>
      <c r="J745" t="s">
        <v>22</v>
      </c>
      <c r="K745" s="12">
        <f>IF(OR(E745=0, H745=0), 0, E745/H745)</f>
        <v>29.647058823529413</v>
      </c>
      <c r="L745">
        <v>1445403600</v>
      </c>
      <c r="M745" s="10">
        <f>(((L745/60)/60)/24)+DATE(1970,1,1)</f>
        <v>42298.208333333328</v>
      </c>
      <c r="N745">
        <v>1445922000</v>
      </c>
      <c r="O745" s="10">
        <f>(((N745/60)/60)/24)+DATE(1970,1,1)</f>
        <v>42304.208333333328</v>
      </c>
      <c r="P745" t="b">
        <v>0</v>
      </c>
      <c r="Q745" t="b">
        <v>1</v>
      </c>
      <c r="R745" t="s">
        <v>33</v>
      </c>
      <c r="S745" t="s">
        <v>2038</v>
      </c>
      <c r="T745" t="s">
        <v>2039</v>
      </c>
    </row>
    <row r="746" spans="1:20" ht="15.75" customHeight="1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>Table1[[#This Row],[pledged]]/Table1[[#This Row],[goal]]</f>
        <v>7.12</v>
      </c>
      <c r="G746" t="s">
        <v>20</v>
      </c>
      <c r="H746">
        <v>140</v>
      </c>
      <c r="I746" t="s">
        <v>21</v>
      </c>
      <c r="J746" t="s">
        <v>22</v>
      </c>
      <c r="K746" s="12">
        <f>IF(OR(E746=0, H746=0), 0, E746/H746)</f>
        <v>101.71428571428571</v>
      </c>
      <c r="L746">
        <v>1533877200</v>
      </c>
      <c r="M746" s="10">
        <f>(((L746/60)/60)/24)+DATE(1970,1,1)</f>
        <v>43322.208333333328</v>
      </c>
      <c r="N746">
        <v>1534050000</v>
      </c>
      <c r="O746" s="10">
        <f>(((N746/60)/60)/24)+DATE(1970,1,1)</f>
        <v>43324.208333333328</v>
      </c>
      <c r="P746" t="b">
        <v>0</v>
      </c>
      <c r="Q746" t="b">
        <v>1</v>
      </c>
      <c r="R746" t="s">
        <v>33</v>
      </c>
      <c r="S746" t="s">
        <v>2038</v>
      </c>
      <c r="T746" t="s">
        <v>2039</v>
      </c>
    </row>
    <row r="747" spans="1:20" ht="15.75" customHeight="1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>Table1[[#This Row],[pledged]]/Table1[[#This Row],[goal]]</f>
        <v>0.30304347826086958</v>
      </c>
      <c r="G747" t="s">
        <v>14</v>
      </c>
      <c r="H747">
        <v>34</v>
      </c>
      <c r="I747" t="s">
        <v>21</v>
      </c>
      <c r="J747" t="s">
        <v>22</v>
      </c>
      <c r="K747" s="12">
        <f>IF(OR(E747=0, H747=0), 0, E747/H747)</f>
        <v>61.5</v>
      </c>
      <c r="L747">
        <v>1275195600</v>
      </c>
      <c r="M747" s="10">
        <f>(((L747/60)/60)/24)+DATE(1970,1,1)</f>
        <v>40328.208333333336</v>
      </c>
      <c r="N747">
        <v>1277528400</v>
      </c>
      <c r="O747" s="10">
        <f>(((N747/60)/60)/24)+DATE(1970,1,1)</f>
        <v>40355.208333333336</v>
      </c>
      <c r="P747" t="b">
        <v>0</v>
      </c>
      <c r="Q747" t="b">
        <v>0</v>
      </c>
      <c r="R747" t="s">
        <v>65</v>
      </c>
      <c r="S747" t="s">
        <v>2036</v>
      </c>
      <c r="T747" t="s">
        <v>2045</v>
      </c>
    </row>
    <row r="748" spans="1:20" ht="15.75" customHeight="1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>Table1[[#This Row],[pledged]]/Table1[[#This Row],[goal]]</f>
        <v>2.1250896057347672</v>
      </c>
      <c r="G748" t="s">
        <v>20</v>
      </c>
      <c r="H748">
        <v>3388</v>
      </c>
      <c r="I748" t="s">
        <v>21</v>
      </c>
      <c r="J748" t="s">
        <v>22</v>
      </c>
      <c r="K748" s="12">
        <f>IF(OR(E748=0, H748=0), 0, E748/H748)</f>
        <v>35</v>
      </c>
      <c r="L748">
        <v>1318136400</v>
      </c>
      <c r="M748" s="10">
        <f>(((L748/60)/60)/24)+DATE(1970,1,1)</f>
        <v>40825.208333333336</v>
      </c>
      <c r="N748">
        <v>1318568400</v>
      </c>
      <c r="O748" s="10">
        <f>(((N748/60)/60)/24)+DATE(1970,1,1)</f>
        <v>40830.208333333336</v>
      </c>
      <c r="P748" t="b">
        <v>0</v>
      </c>
      <c r="Q748" t="b">
        <v>0</v>
      </c>
      <c r="R748" t="s">
        <v>28</v>
      </c>
      <c r="S748" t="s">
        <v>2036</v>
      </c>
      <c r="T748" t="s">
        <v>2037</v>
      </c>
    </row>
    <row r="749" spans="1:20" ht="15.75" customHeight="1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>Table1[[#This Row],[pledged]]/Table1[[#This Row],[goal]]</f>
        <v>2.2885714285714287</v>
      </c>
      <c r="G749" t="s">
        <v>20</v>
      </c>
      <c r="H749">
        <v>280</v>
      </c>
      <c r="I749" t="s">
        <v>21</v>
      </c>
      <c r="J749" t="s">
        <v>22</v>
      </c>
      <c r="K749" s="12">
        <f>IF(OR(E749=0, H749=0), 0, E749/H749)</f>
        <v>40.049999999999997</v>
      </c>
      <c r="L749">
        <v>1283403600</v>
      </c>
      <c r="M749" s="10">
        <f>(((L749/60)/60)/24)+DATE(1970,1,1)</f>
        <v>40423.208333333336</v>
      </c>
      <c r="N749">
        <v>1284354000</v>
      </c>
      <c r="O749" s="10">
        <f>(((N749/60)/60)/24)+DATE(1970,1,1)</f>
        <v>40434.208333333336</v>
      </c>
      <c r="P749" t="b">
        <v>0</v>
      </c>
      <c r="Q749" t="b">
        <v>0</v>
      </c>
      <c r="R749" t="s">
        <v>33</v>
      </c>
      <c r="S749" t="s">
        <v>2038</v>
      </c>
      <c r="T749" t="s">
        <v>2039</v>
      </c>
    </row>
    <row r="750" spans="1:20" ht="15.75" customHeight="1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>Table1[[#This Row],[pledged]]/Table1[[#This Row],[goal]]</f>
        <v>0.34959979476654696</v>
      </c>
      <c r="G750" t="s">
        <v>74</v>
      </c>
      <c r="H750">
        <v>614</v>
      </c>
      <c r="I750" t="s">
        <v>21</v>
      </c>
      <c r="J750" t="s">
        <v>22</v>
      </c>
      <c r="K750" s="12">
        <f>IF(OR(E750=0, H750=0), 0, E750/H750)</f>
        <v>110.97231270358306</v>
      </c>
      <c r="L750">
        <v>1267423200</v>
      </c>
      <c r="M750" s="10">
        <f>(((L750/60)/60)/24)+DATE(1970,1,1)</f>
        <v>40238.25</v>
      </c>
      <c r="N750">
        <v>1269579600</v>
      </c>
      <c r="O750" s="10">
        <f>(((N750/60)/60)/24)+DATE(1970,1,1)</f>
        <v>40263.208333333336</v>
      </c>
      <c r="P750" t="b">
        <v>0</v>
      </c>
      <c r="Q750" t="b">
        <v>1</v>
      </c>
      <c r="R750" t="s">
        <v>71</v>
      </c>
      <c r="S750" t="s">
        <v>2040</v>
      </c>
      <c r="T750" t="s">
        <v>2048</v>
      </c>
    </row>
    <row r="751" spans="1:20" ht="15.75" customHeight="1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>Table1[[#This Row],[pledged]]/Table1[[#This Row],[goal]]</f>
        <v>1.5729069767441861</v>
      </c>
      <c r="G751" t="s">
        <v>20</v>
      </c>
      <c r="H751">
        <v>366</v>
      </c>
      <c r="I751" t="s">
        <v>107</v>
      </c>
      <c r="J751" t="s">
        <v>108</v>
      </c>
      <c r="K751" s="12">
        <f>IF(OR(E751=0, H751=0), 0, E751/H751)</f>
        <v>36.959016393442624</v>
      </c>
      <c r="L751">
        <v>1412744400</v>
      </c>
      <c r="M751" s="10">
        <f>(((L751/60)/60)/24)+DATE(1970,1,1)</f>
        <v>41920.208333333336</v>
      </c>
      <c r="N751">
        <v>1413781200</v>
      </c>
      <c r="O751" s="10">
        <f>(((N751/60)/60)/24)+DATE(1970,1,1)</f>
        <v>41932.208333333336</v>
      </c>
      <c r="P751" t="b">
        <v>0</v>
      </c>
      <c r="Q751" t="b">
        <v>1</v>
      </c>
      <c r="R751" t="s">
        <v>65</v>
      </c>
      <c r="S751" t="s">
        <v>2036</v>
      </c>
      <c r="T751" t="s">
        <v>2045</v>
      </c>
    </row>
    <row r="752" spans="1:20" ht="15.75" customHeight="1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>Table1[[#This Row],[pledged]]/Table1[[#This Row],[goal]]</f>
        <v>0.01</v>
      </c>
      <c r="G752" t="s">
        <v>14</v>
      </c>
      <c r="H752">
        <v>1</v>
      </c>
      <c r="I752" t="s">
        <v>40</v>
      </c>
      <c r="J752" t="s">
        <v>41</v>
      </c>
      <c r="K752" s="12">
        <f>IF(OR(E752=0, H752=0), 0, E752/H752)</f>
        <v>1</v>
      </c>
      <c r="L752">
        <v>1277960400</v>
      </c>
      <c r="M752" s="10">
        <f>(((L752/60)/60)/24)+DATE(1970,1,1)</f>
        <v>40360.208333333336</v>
      </c>
      <c r="N752">
        <v>1280120400</v>
      </c>
      <c r="O752" s="10">
        <f>(((N752/60)/60)/24)+DATE(1970,1,1)</f>
        <v>40385.208333333336</v>
      </c>
      <c r="P752" t="b">
        <v>0</v>
      </c>
      <c r="Q752" t="b">
        <v>0</v>
      </c>
      <c r="R752" t="s">
        <v>50</v>
      </c>
      <c r="S752" t="s">
        <v>2034</v>
      </c>
      <c r="T752" t="s">
        <v>2042</v>
      </c>
    </row>
    <row r="753" spans="1:20" ht="15.75" customHeight="1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>Table1[[#This Row],[pledged]]/Table1[[#This Row],[goal]]</f>
        <v>2.3230555555555554</v>
      </c>
      <c r="G753" t="s">
        <v>20</v>
      </c>
      <c r="H753">
        <v>270</v>
      </c>
      <c r="I753" t="s">
        <v>21</v>
      </c>
      <c r="J753" t="s">
        <v>22</v>
      </c>
      <c r="K753" s="12">
        <f>IF(OR(E753=0, H753=0), 0, E753/H753)</f>
        <v>30.974074074074075</v>
      </c>
      <c r="L753">
        <v>1458190800</v>
      </c>
      <c r="M753" s="10">
        <f>(((L753/60)/60)/24)+DATE(1970,1,1)</f>
        <v>42446.208333333328</v>
      </c>
      <c r="N753">
        <v>1459486800</v>
      </c>
      <c r="O753" s="10">
        <f>(((N753/60)/60)/24)+DATE(1970,1,1)</f>
        <v>42461.208333333328</v>
      </c>
      <c r="P753" t="b">
        <v>1</v>
      </c>
      <c r="Q753" t="b">
        <v>1</v>
      </c>
      <c r="R753" t="s">
        <v>68</v>
      </c>
      <c r="S753" t="s">
        <v>2046</v>
      </c>
      <c r="T753" t="s">
        <v>2047</v>
      </c>
    </row>
    <row r="754" spans="1:20" ht="15.75" customHeight="1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>Table1[[#This Row],[pledged]]/Table1[[#This Row],[goal]]</f>
        <v>0.92448275862068963</v>
      </c>
      <c r="G754" t="s">
        <v>74</v>
      </c>
      <c r="H754">
        <v>114</v>
      </c>
      <c r="I754" t="s">
        <v>21</v>
      </c>
      <c r="J754" t="s">
        <v>22</v>
      </c>
      <c r="K754" s="12">
        <f>IF(OR(E754=0, H754=0), 0, E754/H754)</f>
        <v>47.035087719298247</v>
      </c>
      <c r="L754">
        <v>1280984400</v>
      </c>
      <c r="M754" s="10">
        <f>(((L754/60)/60)/24)+DATE(1970,1,1)</f>
        <v>40395.208333333336</v>
      </c>
      <c r="N754">
        <v>1282539600</v>
      </c>
      <c r="O754" s="10">
        <f>(((N754/60)/60)/24)+DATE(1970,1,1)</f>
        <v>40413.208333333336</v>
      </c>
      <c r="P754" t="b">
        <v>0</v>
      </c>
      <c r="Q754" t="b">
        <v>1</v>
      </c>
      <c r="R754" t="s">
        <v>33</v>
      </c>
      <c r="S754" t="s">
        <v>2038</v>
      </c>
      <c r="T754" t="s">
        <v>2039</v>
      </c>
    </row>
    <row r="755" spans="1:20" ht="15.75" customHeight="1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>Table1[[#This Row],[pledged]]/Table1[[#This Row],[goal]]</f>
        <v>2.5670212765957445</v>
      </c>
      <c r="G755" t="s">
        <v>20</v>
      </c>
      <c r="H755">
        <v>137</v>
      </c>
      <c r="I755" t="s">
        <v>21</v>
      </c>
      <c r="J755" t="s">
        <v>22</v>
      </c>
      <c r="K755" s="12">
        <f>IF(OR(E755=0, H755=0), 0, E755/H755)</f>
        <v>88.065693430656935</v>
      </c>
      <c r="L755">
        <v>1274590800</v>
      </c>
      <c r="M755" s="10">
        <f>(((L755/60)/60)/24)+DATE(1970,1,1)</f>
        <v>40321.208333333336</v>
      </c>
      <c r="N755">
        <v>1275886800</v>
      </c>
      <c r="O755" s="10">
        <f>(((N755/60)/60)/24)+DATE(1970,1,1)</f>
        <v>40336.208333333336</v>
      </c>
      <c r="P755" t="b">
        <v>0</v>
      </c>
      <c r="Q755" t="b">
        <v>0</v>
      </c>
      <c r="R755" t="s">
        <v>122</v>
      </c>
      <c r="S755" t="s">
        <v>2053</v>
      </c>
      <c r="T755" t="s">
        <v>2054</v>
      </c>
    </row>
    <row r="756" spans="1:20" ht="15.75" customHeight="1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>Table1[[#This Row],[pledged]]/Table1[[#This Row],[goal]]</f>
        <v>1.6847017045454546</v>
      </c>
      <c r="G756" t="s">
        <v>20</v>
      </c>
      <c r="H756">
        <v>3205</v>
      </c>
      <c r="I756" t="s">
        <v>21</v>
      </c>
      <c r="J756" t="s">
        <v>22</v>
      </c>
      <c r="K756" s="12">
        <f>IF(OR(E756=0, H756=0), 0, E756/H756)</f>
        <v>37.005616224648989</v>
      </c>
      <c r="L756">
        <v>1351400400</v>
      </c>
      <c r="M756" s="10">
        <f>(((L756/60)/60)/24)+DATE(1970,1,1)</f>
        <v>41210.208333333336</v>
      </c>
      <c r="N756">
        <v>1355983200</v>
      </c>
      <c r="O756" s="10">
        <f>(((N756/60)/60)/24)+DATE(1970,1,1)</f>
        <v>41263.25</v>
      </c>
      <c r="P756" t="b">
        <v>0</v>
      </c>
      <c r="Q756" t="b">
        <v>0</v>
      </c>
      <c r="R756" t="s">
        <v>33</v>
      </c>
      <c r="S756" t="s">
        <v>2038</v>
      </c>
      <c r="T756" t="s">
        <v>2039</v>
      </c>
    </row>
    <row r="757" spans="1:20" ht="15.75" customHeight="1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>Table1[[#This Row],[pledged]]/Table1[[#This Row],[goal]]</f>
        <v>1.6657777777777778</v>
      </c>
      <c r="G757" t="s">
        <v>20</v>
      </c>
      <c r="H757">
        <v>288</v>
      </c>
      <c r="I757" t="s">
        <v>36</v>
      </c>
      <c r="J757" t="s">
        <v>37</v>
      </c>
      <c r="K757" s="12">
        <f>IF(OR(E757=0, H757=0), 0, E757/H757)</f>
        <v>26.027777777777779</v>
      </c>
      <c r="L757">
        <v>1514354400</v>
      </c>
      <c r="M757" s="10">
        <f>(((L757/60)/60)/24)+DATE(1970,1,1)</f>
        <v>43096.25</v>
      </c>
      <c r="N757">
        <v>1515391200</v>
      </c>
      <c r="O757" s="10">
        <f>(((N757/60)/60)/24)+DATE(1970,1,1)</f>
        <v>43108.25</v>
      </c>
      <c r="P757" t="b">
        <v>0</v>
      </c>
      <c r="Q757" t="b">
        <v>1</v>
      </c>
      <c r="R757" t="s">
        <v>33</v>
      </c>
      <c r="S757" t="s">
        <v>2038</v>
      </c>
      <c r="T757" t="s">
        <v>2039</v>
      </c>
    </row>
    <row r="758" spans="1:20" ht="15.75" customHeight="1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>Table1[[#This Row],[pledged]]/Table1[[#This Row],[goal]]</f>
        <v>7.7207692307692311</v>
      </c>
      <c r="G758" t="s">
        <v>20</v>
      </c>
      <c r="H758">
        <v>148</v>
      </c>
      <c r="I758" t="s">
        <v>21</v>
      </c>
      <c r="J758" t="s">
        <v>22</v>
      </c>
      <c r="K758" s="12">
        <f>IF(OR(E758=0, H758=0), 0, E758/H758)</f>
        <v>67.817567567567565</v>
      </c>
      <c r="L758">
        <v>1421733600</v>
      </c>
      <c r="M758" s="10">
        <f>(((L758/60)/60)/24)+DATE(1970,1,1)</f>
        <v>42024.25</v>
      </c>
      <c r="N758">
        <v>1422252000</v>
      </c>
      <c r="O758" s="10">
        <f>(((N758/60)/60)/24)+DATE(1970,1,1)</f>
        <v>42030.25</v>
      </c>
      <c r="P758" t="b">
        <v>0</v>
      </c>
      <c r="Q758" t="b">
        <v>0</v>
      </c>
      <c r="R758" t="s">
        <v>33</v>
      </c>
      <c r="S758" t="s">
        <v>2038</v>
      </c>
      <c r="T758" t="s">
        <v>2039</v>
      </c>
    </row>
    <row r="759" spans="1:20" ht="15.75" customHeight="1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>Table1[[#This Row],[pledged]]/Table1[[#This Row],[goal]]</f>
        <v>4.0685714285714285</v>
      </c>
      <c r="G759" t="s">
        <v>20</v>
      </c>
      <c r="H759">
        <v>114</v>
      </c>
      <c r="I759" t="s">
        <v>21</v>
      </c>
      <c r="J759" t="s">
        <v>22</v>
      </c>
      <c r="K759" s="12">
        <f>IF(OR(E759=0, H759=0), 0, E759/H759)</f>
        <v>49.964912280701753</v>
      </c>
      <c r="L759">
        <v>1305176400</v>
      </c>
      <c r="M759" s="10">
        <f>(((L759/60)/60)/24)+DATE(1970,1,1)</f>
        <v>40675.208333333336</v>
      </c>
      <c r="N759">
        <v>1305522000</v>
      </c>
      <c r="O759" s="10">
        <f>(((N759/60)/60)/24)+DATE(1970,1,1)</f>
        <v>40679.208333333336</v>
      </c>
      <c r="P759" t="b">
        <v>0</v>
      </c>
      <c r="Q759" t="b">
        <v>0</v>
      </c>
      <c r="R759" t="s">
        <v>53</v>
      </c>
      <c r="S759" t="s">
        <v>2040</v>
      </c>
      <c r="T759" t="s">
        <v>2043</v>
      </c>
    </row>
    <row r="760" spans="1:20" ht="15.75" customHeight="1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>Table1[[#This Row],[pledged]]/Table1[[#This Row],[goal]]</f>
        <v>5.6420608108108112</v>
      </c>
      <c r="G760" t="s">
        <v>20</v>
      </c>
      <c r="H760">
        <v>1518</v>
      </c>
      <c r="I760" t="s">
        <v>15</v>
      </c>
      <c r="J760" t="s">
        <v>16</v>
      </c>
      <c r="K760" s="12">
        <f>IF(OR(E760=0, H760=0), 0, E760/H760)</f>
        <v>110.01646903820817</v>
      </c>
      <c r="L760">
        <v>1414126800</v>
      </c>
      <c r="M760" s="10">
        <f>(((L760/60)/60)/24)+DATE(1970,1,1)</f>
        <v>41936.208333333336</v>
      </c>
      <c r="N760">
        <v>1414904400</v>
      </c>
      <c r="O760" s="10">
        <f>(((N760/60)/60)/24)+DATE(1970,1,1)</f>
        <v>41945.208333333336</v>
      </c>
      <c r="P760" t="b">
        <v>0</v>
      </c>
      <c r="Q760" t="b">
        <v>0</v>
      </c>
      <c r="R760" t="s">
        <v>23</v>
      </c>
      <c r="S760" t="s">
        <v>2034</v>
      </c>
      <c r="T760" t="s">
        <v>2035</v>
      </c>
    </row>
    <row r="761" spans="1:20" ht="15.75" customHeight="1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>Table1[[#This Row],[pledged]]/Table1[[#This Row],[goal]]</f>
        <v>0.6842686567164179</v>
      </c>
      <c r="G761" t="s">
        <v>14</v>
      </c>
      <c r="H761">
        <v>1274</v>
      </c>
      <c r="I761" t="s">
        <v>21</v>
      </c>
      <c r="J761" t="s">
        <v>22</v>
      </c>
      <c r="K761" s="12">
        <f>IF(OR(E761=0, H761=0), 0, E761/H761)</f>
        <v>89.964678178963894</v>
      </c>
      <c r="L761">
        <v>1517810400</v>
      </c>
      <c r="M761" s="10">
        <f>(((L761/60)/60)/24)+DATE(1970,1,1)</f>
        <v>43136.25</v>
      </c>
      <c r="N761">
        <v>1520402400</v>
      </c>
      <c r="O761" s="10">
        <f>(((N761/60)/60)/24)+DATE(1970,1,1)</f>
        <v>43166.25</v>
      </c>
      <c r="P761" t="b">
        <v>0</v>
      </c>
      <c r="Q761" t="b">
        <v>0</v>
      </c>
      <c r="R761" t="s">
        <v>50</v>
      </c>
      <c r="S761" t="s">
        <v>2034</v>
      </c>
      <c r="T761" t="s">
        <v>2042</v>
      </c>
    </row>
    <row r="762" spans="1:20" ht="15.75" customHeight="1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>Table1[[#This Row],[pledged]]/Table1[[#This Row],[goal]]</f>
        <v>0.34351966873706002</v>
      </c>
      <c r="G762" t="s">
        <v>14</v>
      </c>
      <c r="H762">
        <v>210</v>
      </c>
      <c r="I762" t="s">
        <v>107</v>
      </c>
      <c r="J762" t="s">
        <v>108</v>
      </c>
      <c r="K762" s="12">
        <f>IF(OR(E762=0, H762=0), 0, E762/H762)</f>
        <v>79.009523809523813</v>
      </c>
      <c r="L762">
        <v>1564635600</v>
      </c>
      <c r="M762" s="10">
        <f>(((L762/60)/60)/24)+DATE(1970,1,1)</f>
        <v>43678.208333333328</v>
      </c>
      <c r="N762">
        <v>1567141200</v>
      </c>
      <c r="O762" s="10">
        <f>(((N762/60)/60)/24)+DATE(1970,1,1)</f>
        <v>43707.208333333328</v>
      </c>
      <c r="P762" t="b">
        <v>0</v>
      </c>
      <c r="Q762" t="b">
        <v>1</v>
      </c>
      <c r="R762" t="s">
        <v>89</v>
      </c>
      <c r="S762" t="s">
        <v>2049</v>
      </c>
      <c r="T762" t="s">
        <v>2050</v>
      </c>
    </row>
    <row r="763" spans="1:20" ht="15.75" customHeight="1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>Table1[[#This Row],[pledged]]/Table1[[#This Row],[goal]]</f>
        <v>6.5545454545454547</v>
      </c>
      <c r="G763" t="s">
        <v>20</v>
      </c>
      <c r="H763">
        <v>166</v>
      </c>
      <c r="I763" t="s">
        <v>21</v>
      </c>
      <c r="J763" t="s">
        <v>22</v>
      </c>
      <c r="K763" s="12">
        <f>IF(OR(E763=0, H763=0), 0, E763/H763)</f>
        <v>86.867469879518069</v>
      </c>
      <c r="L763">
        <v>1500699600</v>
      </c>
      <c r="M763" s="10">
        <f>(((L763/60)/60)/24)+DATE(1970,1,1)</f>
        <v>42938.208333333328</v>
      </c>
      <c r="N763">
        <v>1501131600</v>
      </c>
      <c r="O763" s="10">
        <f>(((N763/60)/60)/24)+DATE(1970,1,1)</f>
        <v>42943.208333333328</v>
      </c>
      <c r="P763" t="b">
        <v>0</v>
      </c>
      <c r="Q763" t="b">
        <v>0</v>
      </c>
      <c r="R763" t="s">
        <v>23</v>
      </c>
      <c r="S763" t="s">
        <v>2034</v>
      </c>
      <c r="T763" t="s">
        <v>2035</v>
      </c>
    </row>
    <row r="764" spans="1:20" ht="15.75" customHeight="1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>Table1[[#This Row],[pledged]]/Table1[[#This Row],[goal]]</f>
        <v>1.7725714285714285</v>
      </c>
      <c r="G764" t="s">
        <v>20</v>
      </c>
      <c r="H764">
        <v>100</v>
      </c>
      <c r="I764" t="s">
        <v>26</v>
      </c>
      <c r="J764" t="s">
        <v>27</v>
      </c>
      <c r="K764" s="12">
        <f>IF(OR(E764=0, H764=0), 0, E764/H764)</f>
        <v>62.04</v>
      </c>
      <c r="L764">
        <v>1354082400</v>
      </c>
      <c r="M764" s="10">
        <f>(((L764/60)/60)/24)+DATE(1970,1,1)</f>
        <v>41241.25</v>
      </c>
      <c r="N764">
        <v>1355032800</v>
      </c>
      <c r="O764" s="10">
        <f>(((N764/60)/60)/24)+DATE(1970,1,1)</f>
        <v>41252.25</v>
      </c>
      <c r="P764" t="b">
        <v>0</v>
      </c>
      <c r="Q764" t="b">
        <v>0</v>
      </c>
      <c r="R764" t="s">
        <v>159</v>
      </c>
      <c r="S764" t="s">
        <v>2034</v>
      </c>
      <c r="T764" t="s">
        <v>2057</v>
      </c>
    </row>
    <row r="765" spans="1:20" ht="15.75" customHeight="1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>Table1[[#This Row],[pledged]]/Table1[[#This Row],[goal]]</f>
        <v>1.1317857142857144</v>
      </c>
      <c r="G765" t="s">
        <v>20</v>
      </c>
      <c r="H765">
        <v>235</v>
      </c>
      <c r="I765" t="s">
        <v>21</v>
      </c>
      <c r="J765" t="s">
        <v>22</v>
      </c>
      <c r="K765" s="12">
        <f>IF(OR(E765=0, H765=0), 0, E765/H765)</f>
        <v>26.970212765957445</v>
      </c>
      <c r="L765">
        <v>1336453200</v>
      </c>
      <c r="M765" s="10">
        <f>(((L765/60)/60)/24)+DATE(1970,1,1)</f>
        <v>41037.208333333336</v>
      </c>
      <c r="N765">
        <v>1339477200</v>
      </c>
      <c r="O765" s="10">
        <f>(((N765/60)/60)/24)+DATE(1970,1,1)</f>
        <v>41072.208333333336</v>
      </c>
      <c r="P765" t="b">
        <v>0</v>
      </c>
      <c r="Q765" t="b">
        <v>1</v>
      </c>
      <c r="R765" t="s">
        <v>33</v>
      </c>
      <c r="S765" t="s">
        <v>2038</v>
      </c>
      <c r="T765" t="s">
        <v>2039</v>
      </c>
    </row>
    <row r="766" spans="1:20" ht="15.75" customHeight="1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>Table1[[#This Row],[pledged]]/Table1[[#This Row],[goal]]</f>
        <v>7.2818181818181822</v>
      </c>
      <c r="G766" t="s">
        <v>20</v>
      </c>
      <c r="H766">
        <v>148</v>
      </c>
      <c r="I766" t="s">
        <v>21</v>
      </c>
      <c r="J766" t="s">
        <v>22</v>
      </c>
      <c r="K766" s="12">
        <f>IF(OR(E766=0, H766=0), 0, E766/H766)</f>
        <v>54.121621621621621</v>
      </c>
      <c r="L766">
        <v>1305262800</v>
      </c>
      <c r="M766" s="10">
        <f>(((L766/60)/60)/24)+DATE(1970,1,1)</f>
        <v>40676.208333333336</v>
      </c>
      <c r="N766">
        <v>1305954000</v>
      </c>
      <c r="O766" s="10">
        <f>(((N766/60)/60)/24)+DATE(1970,1,1)</f>
        <v>40684.208333333336</v>
      </c>
      <c r="P766" t="b">
        <v>0</v>
      </c>
      <c r="Q766" t="b">
        <v>0</v>
      </c>
      <c r="R766" t="s">
        <v>23</v>
      </c>
      <c r="S766" t="s">
        <v>2034</v>
      </c>
      <c r="T766" t="s">
        <v>2035</v>
      </c>
    </row>
    <row r="767" spans="1:20" ht="15.75" customHeight="1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>Table1[[#This Row],[pledged]]/Table1[[#This Row],[goal]]</f>
        <v>2.0833333333333335</v>
      </c>
      <c r="G767" t="s">
        <v>20</v>
      </c>
      <c r="H767">
        <v>198</v>
      </c>
      <c r="I767" t="s">
        <v>21</v>
      </c>
      <c r="J767" t="s">
        <v>22</v>
      </c>
      <c r="K767" s="12">
        <f>IF(OR(E767=0, H767=0), 0, E767/H767)</f>
        <v>41.035353535353536</v>
      </c>
      <c r="L767">
        <v>1492232400</v>
      </c>
      <c r="M767" s="10">
        <f>(((L767/60)/60)/24)+DATE(1970,1,1)</f>
        <v>42840.208333333328</v>
      </c>
      <c r="N767">
        <v>1494392400</v>
      </c>
      <c r="O767" s="10">
        <f>(((N767/60)/60)/24)+DATE(1970,1,1)</f>
        <v>42865.208333333328</v>
      </c>
      <c r="P767" t="b">
        <v>1</v>
      </c>
      <c r="Q767" t="b">
        <v>1</v>
      </c>
      <c r="R767" t="s">
        <v>60</v>
      </c>
      <c r="S767" t="s">
        <v>2034</v>
      </c>
      <c r="T767" t="s">
        <v>2044</v>
      </c>
    </row>
    <row r="768" spans="1:20" ht="15.75" customHeight="1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>Table1[[#This Row],[pledged]]/Table1[[#This Row],[goal]]</f>
        <v>0.31171232876712329</v>
      </c>
      <c r="G768" t="s">
        <v>14</v>
      </c>
      <c r="H768">
        <v>248</v>
      </c>
      <c r="I768" t="s">
        <v>26</v>
      </c>
      <c r="J768" t="s">
        <v>27</v>
      </c>
      <c r="K768" s="12">
        <f>IF(OR(E768=0, H768=0), 0, E768/H768)</f>
        <v>55.052419354838712</v>
      </c>
      <c r="L768">
        <v>1537333200</v>
      </c>
      <c r="M768" s="10">
        <f>(((L768/60)/60)/24)+DATE(1970,1,1)</f>
        <v>43362.208333333328</v>
      </c>
      <c r="N768">
        <v>1537419600</v>
      </c>
      <c r="O768" s="10">
        <f>(((N768/60)/60)/24)+DATE(1970,1,1)</f>
        <v>43363.208333333328</v>
      </c>
      <c r="P768" t="b">
        <v>0</v>
      </c>
      <c r="Q768" t="b">
        <v>0</v>
      </c>
      <c r="R768" t="s">
        <v>474</v>
      </c>
      <c r="S768" t="s">
        <v>2040</v>
      </c>
      <c r="T768" t="s">
        <v>2062</v>
      </c>
    </row>
    <row r="769" spans="1:20" ht="15.75" customHeight="1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>Table1[[#This Row],[pledged]]/Table1[[#This Row],[goal]]</f>
        <v>0.56967078189300413</v>
      </c>
      <c r="G769" t="s">
        <v>14</v>
      </c>
      <c r="H769">
        <v>513</v>
      </c>
      <c r="I769" t="s">
        <v>21</v>
      </c>
      <c r="J769" t="s">
        <v>22</v>
      </c>
      <c r="K769" s="12">
        <f>IF(OR(E769=0, H769=0), 0, E769/H769)</f>
        <v>107.93762183235867</v>
      </c>
      <c r="L769">
        <v>1444107600</v>
      </c>
      <c r="M769" s="10">
        <f>(((L769/60)/60)/24)+DATE(1970,1,1)</f>
        <v>42283.208333333328</v>
      </c>
      <c r="N769">
        <v>1447999200</v>
      </c>
      <c r="O769" s="10">
        <f>(((N769/60)/60)/24)+DATE(1970,1,1)</f>
        <v>42328.25</v>
      </c>
      <c r="P769" t="b">
        <v>0</v>
      </c>
      <c r="Q769" t="b">
        <v>0</v>
      </c>
      <c r="R769" t="s">
        <v>206</v>
      </c>
      <c r="S769" t="s">
        <v>2046</v>
      </c>
      <c r="T769" t="s">
        <v>2058</v>
      </c>
    </row>
    <row r="770" spans="1:20" ht="15.75" customHeight="1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>Table1[[#This Row],[pledged]]/Table1[[#This Row],[goal]]</f>
        <v>2.31</v>
      </c>
      <c r="G770" t="s">
        <v>20</v>
      </c>
      <c r="H770">
        <v>150</v>
      </c>
      <c r="I770" t="s">
        <v>21</v>
      </c>
      <c r="J770" t="s">
        <v>22</v>
      </c>
      <c r="K770" s="12">
        <f>IF(OR(E770=0, H770=0), 0, E770/H770)</f>
        <v>73.92</v>
      </c>
      <c r="L770">
        <v>1386741600</v>
      </c>
      <c r="M770" s="10">
        <f>(((L770/60)/60)/24)+DATE(1970,1,1)</f>
        <v>41619.25</v>
      </c>
      <c r="N770">
        <v>1388037600</v>
      </c>
      <c r="O770" s="10">
        <f>(((N770/60)/60)/24)+DATE(1970,1,1)</f>
        <v>41634.25</v>
      </c>
      <c r="P770" t="b">
        <v>0</v>
      </c>
      <c r="Q770" t="b">
        <v>0</v>
      </c>
      <c r="R770" t="s">
        <v>33</v>
      </c>
      <c r="S770" t="s">
        <v>2038</v>
      </c>
      <c r="T770" t="s">
        <v>2039</v>
      </c>
    </row>
    <row r="771" spans="1:20" ht="15.75" customHeight="1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>Table1[[#This Row],[pledged]]/Table1[[#This Row],[goal]]</f>
        <v>0.86867834394904464</v>
      </c>
      <c r="G771" t="s">
        <v>14</v>
      </c>
      <c r="H771">
        <v>3410</v>
      </c>
      <c r="I771" t="s">
        <v>21</v>
      </c>
      <c r="J771" t="s">
        <v>22</v>
      </c>
      <c r="K771" s="12">
        <f>IF(OR(E771=0, H771=0), 0, E771/H771)</f>
        <v>31.995894428152493</v>
      </c>
      <c r="L771">
        <v>1376542800</v>
      </c>
      <c r="M771" s="10">
        <f>(((L771/60)/60)/24)+DATE(1970,1,1)</f>
        <v>41501.208333333336</v>
      </c>
      <c r="N771">
        <v>1378789200</v>
      </c>
      <c r="O771" s="10">
        <f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2049</v>
      </c>
      <c r="T771" t="s">
        <v>2050</v>
      </c>
    </row>
    <row r="772" spans="1:20" ht="15.75" customHeight="1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>Table1[[#This Row],[pledged]]/Table1[[#This Row],[goal]]</f>
        <v>2.7074418604651163</v>
      </c>
      <c r="G772" t="s">
        <v>20</v>
      </c>
      <c r="H772">
        <v>216</v>
      </c>
      <c r="I772" t="s">
        <v>107</v>
      </c>
      <c r="J772" t="s">
        <v>108</v>
      </c>
      <c r="K772" s="12">
        <f>IF(OR(E772=0, H772=0), 0, E772/H772)</f>
        <v>53.898148148148145</v>
      </c>
      <c r="L772">
        <v>1397451600</v>
      </c>
      <c r="M772" s="10">
        <f>(((L772/60)/60)/24)+DATE(1970,1,1)</f>
        <v>41743.208333333336</v>
      </c>
      <c r="N772">
        <v>1398056400</v>
      </c>
      <c r="O772" s="10">
        <f>(((N772/60)/60)/24)+DATE(1970,1,1)</f>
        <v>41750.208333333336</v>
      </c>
      <c r="P772" t="b">
        <v>0</v>
      </c>
      <c r="Q772" t="b">
        <v>1</v>
      </c>
      <c r="R772" t="s">
        <v>33</v>
      </c>
      <c r="S772" t="s">
        <v>2038</v>
      </c>
      <c r="T772" t="s">
        <v>2039</v>
      </c>
    </row>
    <row r="773" spans="1:20" ht="15.75" customHeight="1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>Table1[[#This Row],[pledged]]/Table1[[#This Row],[goal]]</f>
        <v>0.49446428571428569</v>
      </c>
      <c r="G773" t="s">
        <v>74</v>
      </c>
      <c r="H773">
        <v>26</v>
      </c>
      <c r="I773" t="s">
        <v>21</v>
      </c>
      <c r="J773" t="s">
        <v>22</v>
      </c>
      <c r="K773" s="12">
        <f>IF(OR(E773=0, H773=0), 0, E773/H773)</f>
        <v>106.5</v>
      </c>
      <c r="L773">
        <v>1548482400</v>
      </c>
      <c r="M773" s="10">
        <f>(((L773/60)/60)/24)+DATE(1970,1,1)</f>
        <v>43491.25</v>
      </c>
      <c r="N773">
        <v>1550815200</v>
      </c>
      <c r="O773" s="10">
        <f>(((N773/60)/60)/24)+DATE(1970,1,1)</f>
        <v>43518.25</v>
      </c>
      <c r="P773" t="b">
        <v>0</v>
      </c>
      <c r="Q773" t="b">
        <v>0</v>
      </c>
      <c r="R773" t="s">
        <v>33</v>
      </c>
      <c r="S773" t="s">
        <v>2038</v>
      </c>
      <c r="T773" t="s">
        <v>2039</v>
      </c>
    </row>
    <row r="774" spans="1:20" ht="15.75" customHeight="1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>Table1[[#This Row],[pledged]]/Table1[[#This Row],[goal]]</f>
        <v>1.1335962566844919</v>
      </c>
      <c r="G774" t="s">
        <v>20</v>
      </c>
      <c r="H774">
        <v>5139</v>
      </c>
      <c r="I774" t="s">
        <v>21</v>
      </c>
      <c r="J774" t="s">
        <v>22</v>
      </c>
      <c r="K774" s="12">
        <f>IF(OR(E774=0, H774=0), 0, E774/H774)</f>
        <v>32.999805409612762</v>
      </c>
      <c r="L774">
        <v>1549692000</v>
      </c>
      <c r="M774" s="10">
        <f>(((L774/60)/60)/24)+DATE(1970,1,1)</f>
        <v>43505.25</v>
      </c>
      <c r="N774">
        <v>1550037600</v>
      </c>
      <c r="O774" s="10">
        <f>(((N774/60)/60)/24)+DATE(1970,1,1)</f>
        <v>43509.25</v>
      </c>
      <c r="P774" t="b">
        <v>0</v>
      </c>
      <c r="Q774" t="b">
        <v>0</v>
      </c>
      <c r="R774" t="s">
        <v>60</v>
      </c>
      <c r="S774" t="s">
        <v>2034</v>
      </c>
      <c r="T774" t="s">
        <v>2044</v>
      </c>
    </row>
    <row r="775" spans="1:20" ht="15.75" customHeight="1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>Table1[[#This Row],[pledged]]/Table1[[#This Row],[goal]]</f>
        <v>1.9055555555555554</v>
      </c>
      <c r="G775" t="s">
        <v>20</v>
      </c>
      <c r="H775">
        <v>2353</v>
      </c>
      <c r="I775" t="s">
        <v>21</v>
      </c>
      <c r="J775" t="s">
        <v>22</v>
      </c>
      <c r="K775" s="12">
        <f>IF(OR(E775=0, H775=0), 0, E775/H775)</f>
        <v>43.00254993625159</v>
      </c>
      <c r="L775">
        <v>1492059600</v>
      </c>
      <c r="M775" s="10">
        <f>(((L775/60)/60)/24)+DATE(1970,1,1)</f>
        <v>42838.208333333328</v>
      </c>
      <c r="N775">
        <v>1492923600</v>
      </c>
      <c r="O775" s="10">
        <f>(((N775/60)/60)/24)+DATE(1970,1,1)</f>
        <v>42848.208333333328</v>
      </c>
      <c r="P775" t="b">
        <v>0</v>
      </c>
      <c r="Q775" t="b">
        <v>0</v>
      </c>
      <c r="R775" t="s">
        <v>33</v>
      </c>
      <c r="S775" t="s">
        <v>2038</v>
      </c>
      <c r="T775" t="s">
        <v>2039</v>
      </c>
    </row>
    <row r="776" spans="1:20" ht="15.75" customHeight="1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>Table1[[#This Row],[pledged]]/Table1[[#This Row],[goal]]</f>
        <v>1.355</v>
      </c>
      <c r="G776" t="s">
        <v>20</v>
      </c>
      <c r="H776">
        <v>78</v>
      </c>
      <c r="I776" t="s">
        <v>107</v>
      </c>
      <c r="J776" t="s">
        <v>108</v>
      </c>
      <c r="K776" s="12">
        <f>IF(OR(E776=0, H776=0), 0, E776/H776)</f>
        <v>86.858974358974365</v>
      </c>
      <c r="L776">
        <v>1463979600</v>
      </c>
      <c r="M776" s="10">
        <f>(((L776/60)/60)/24)+DATE(1970,1,1)</f>
        <v>42513.208333333328</v>
      </c>
      <c r="N776">
        <v>1467522000</v>
      </c>
      <c r="O776" s="10">
        <f>(((N776/60)/60)/24)+DATE(1970,1,1)</f>
        <v>42554.208333333328</v>
      </c>
      <c r="P776" t="b">
        <v>0</v>
      </c>
      <c r="Q776" t="b">
        <v>0</v>
      </c>
      <c r="R776" t="s">
        <v>28</v>
      </c>
      <c r="S776" t="s">
        <v>2036</v>
      </c>
      <c r="T776" t="s">
        <v>2037</v>
      </c>
    </row>
    <row r="777" spans="1:20" ht="15.75" customHeight="1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>Table1[[#This Row],[pledged]]/Table1[[#This Row],[goal]]</f>
        <v>0.10297872340425532</v>
      </c>
      <c r="G777" t="s">
        <v>14</v>
      </c>
      <c r="H777">
        <v>10</v>
      </c>
      <c r="I777" t="s">
        <v>21</v>
      </c>
      <c r="J777" t="s">
        <v>22</v>
      </c>
      <c r="K777" s="12">
        <f>IF(OR(E777=0, H777=0), 0, E777/H777)</f>
        <v>96.8</v>
      </c>
      <c r="L777">
        <v>1415253600</v>
      </c>
      <c r="M777" s="10">
        <f>(((L777/60)/60)/24)+DATE(1970,1,1)</f>
        <v>41949.25</v>
      </c>
      <c r="N777">
        <v>1416117600</v>
      </c>
      <c r="O777" s="10">
        <f>(((N777/60)/60)/24)+DATE(1970,1,1)</f>
        <v>41959.25</v>
      </c>
      <c r="P777" t="b">
        <v>0</v>
      </c>
      <c r="Q777" t="b">
        <v>0</v>
      </c>
      <c r="R777" t="s">
        <v>23</v>
      </c>
      <c r="S777" t="s">
        <v>2034</v>
      </c>
      <c r="T777" t="s">
        <v>2035</v>
      </c>
    </row>
    <row r="778" spans="1:20" ht="15.75" customHeight="1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>Table1[[#This Row],[pledged]]/Table1[[#This Row],[goal]]</f>
        <v>0.65544223826714798</v>
      </c>
      <c r="G778" t="s">
        <v>14</v>
      </c>
      <c r="H778">
        <v>2201</v>
      </c>
      <c r="I778" t="s">
        <v>21</v>
      </c>
      <c r="J778" t="s">
        <v>22</v>
      </c>
      <c r="K778" s="12">
        <f>IF(OR(E778=0, H778=0), 0, E778/H778)</f>
        <v>32.995456610631528</v>
      </c>
      <c r="L778">
        <v>1562216400</v>
      </c>
      <c r="M778" s="10">
        <f>(((L778/60)/60)/24)+DATE(1970,1,1)</f>
        <v>43650.208333333328</v>
      </c>
      <c r="N778">
        <v>1563771600</v>
      </c>
      <c r="O778" s="10">
        <f>(((N778/60)/60)/24)+DATE(1970,1,1)</f>
        <v>43668.208333333328</v>
      </c>
      <c r="P778" t="b">
        <v>0</v>
      </c>
      <c r="Q778" t="b">
        <v>0</v>
      </c>
      <c r="R778" t="s">
        <v>33</v>
      </c>
      <c r="S778" t="s">
        <v>2038</v>
      </c>
      <c r="T778" t="s">
        <v>2039</v>
      </c>
    </row>
    <row r="779" spans="1:20" ht="15.75" customHeight="1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>Table1[[#This Row],[pledged]]/Table1[[#This Row],[goal]]</f>
        <v>0.49026652452025588</v>
      </c>
      <c r="G779" t="s">
        <v>14</v>
      </c>
      <c r="H779">
        <v>676</v>
      </c>
      <c r="I779" t="s">
        <v>21</v>
      </c>
      <c r="J779" t="s">
        <v>22</v>
      </c>
      <c r="K779" s="12">
        <f>IF(OR(E779=0, H779=0), 0, E779/H779)</f>
        <v>68.028106508875737</v>
      </c>
      <c r="L779">
        <v>1316754000</v>
      </c>
      <c r="M779" s="10">
        <f>(((L779/60)/60)/24)+DATE(1970,1,1)</f>
        <v>40809.208333333336</v>
      </c>
      <c r="N779">
        <v>1319259600</v>
      </c>
      <c r="O779" s="10">
        <f>(((N779/60)/60)/24)+DATE(1970,1,1)</f>
        <v>40838.208333333336</v>
      </c>
      <c r="P779" t="b">
        <v>0</v>
      </c>
      <c r="Q779" t="b">
        <v>0</v>
      </c>
      <c r="R779" t="s">
        <v>33</v>
      </c>
      <c r="S779" t="s">
        <v>2038</v>
      </c>
      <c r="T779" t="s">
        <v>2039</v>
      </c>
    </row>
    <row r="780" spans="1:20" ht="15.75" customHeight="1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>Table1[[#This Row],[pledged]]/Table1[[#This Row],[goal]]</f>
        <v>7.8792307692307695</v>
      </c>
      <c r="G780" t="s">
        <v>20</v>
      </c>
      <c r="H780">
        <v>174</v>
      </c>
      <c r="I780" t="s">
        <v>98</v>
      </c>
      <c r="J780" t="s">
        <v>99</v>
      </c>
      <c r="K780" s="12">
        <f>IF(OR(E780=0, H780=0), 0, E780/H780)</f>
        <v>58.867816091954026</v>
      </c>
      <c r="L780">
        <v>1313211600</v>
      </c>
      <c r="M780" s="10">
        <f>(((L780/60)/60)/24)+DATE(1970,1,1)</f>
        <v>40768.208333333336</v>
      </c>
      <c r="N780">
        <v>1313643600</v>
      </c>
      <c r="O780" s="10">
        <f>(((N780/60)/60)/24)+DATE(1970,1,1)</f>
        <v>40773.208333333336</v>
      </c>
      <c r="P780" t="b">
        <v>0</v>
      </c>
      <c r="Q780" t="b">
        <v>0</v>
      </c>
      <c r="R780" t="s">
        <v>71</v>
      </c>
      <c r="S780" t="s">
        <v>2040</v>
      </c>
      <c r="T780" t="s">
        <v>2048</v>
      </c>
    </row>
    <row r="781" spans="1:20" ht="15.75" customHeight="1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>Table1[[#This Row],[pledged]]/Table1[[#This Row],[goal]]</f>
        <v>0.80306347746090156</v>
      </c>
      <c r="G781" t="s">
        <v>14</v>
      </c>
      <c r="H781">
        <v>831</v>
      </c>
      <c r="I781" t="s">
        <v>21</v>
      </c>
      <c r="J781" t="s">
        <v>22</v>
      </c>
      <c r="K781" s="12">
        <f>IF(OR(E781=0, H781=0), 0, E781/H781)</f>
        <v>105.04572803850782</v>
      </c>
      <c r="L781">
        <v>1439528400</v>
      </c>
      <c r="M781" s="10">
        <f>(((L781/60)/60)/24)+DATE(1970,1,1)</f>
        <v>42230.208333333328</v>
      </c>
      <c r="N781">
        <v>1440306000</v>
      </c>
      <c r="O781" s="10">
        <f>(((N781/60)/60)/24)+DATE(1970,1,1)</f>
        <v>42239.208333333328</v>
      </c>
      <c r="P781" t="b">
        <v>0</v>
      </c>
      <c r="Q781" t="b">
        <v>1</v>
      </c>
      <c r="R781" t="s">
        <v>33</v>
      </c>
      <c r="S781" t="s">
        <v>2038</v>
      </c>
      <c r="T781" t="s">
        <v>2039</v>
      </c>
    </row>
    <row r="782" spans="1:20" ht="15.75" customHeight="1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>Table1[[#This Row],[pledged]]/Table1[[#This Row],[goal]]</f>
        <v>1.0629411764705883</v>
      </c>
      <c r="G782" t="s">
        <v>20</v>
      </c>
      <c r="H782">
        <v>164</v>
      </c>
      <c r="I782" t="s">
        <v>21</v>
      </c>
      <c r="J782" t="s">
        <v>22</v>
      </c>
      <c r="K782" s="12">
        <f>IF(OR(E782=0, H782=0), 0, E782/H782)</f>
        <v>33.054878048780488</v>
      </c>
      <c r="L782">
        <v>1469163600</v>
      </c>
      <c r="M782" s="10">
        <f>(((L782/60)/60)/24)+DATE(1970,1,1)</f>
        <v>42573.208333333328</v>
      </c>
      <c r="N782">
        <v>1470805200</v>
      </c>
      <c r="O782" s="10">
        <f>(((N782/60)/60)/24)+DATE(1970,1,1)</f>
        <v>42592.208333333328</v>
      </c>
      <c r="P782" t="b">
        <v>0</v>
      </c>
      <c r="Q782" t="b">
        <v>1</v>
      </c>
      <c r="R782" t="s">
        <v>53</v>
      </c>
      <c r="S782" t="s">
        <v>2040</v>
      </c>
      <c r="T782" t="s">
        <v>2043</v>
      </c>
    </row>
    <row r="783" spans="1:20" ht="15.75" customHeight="1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>Table1[[#This Row],[pledged]]/Table1[[#This Row],[goal]]</f>
        <v>0.50735632183908042</v>
      </c>
      <c r="G783" t="s">
        <v>74</v>
      </c>
      <c r="H783">
        <v>56</v>
      </c>
      <c r="I783" t="s">
        <v>98</v>
      </c>
      <c r="J783" t="s">
        <v>99</v>
      </c>
      <c r="K783" s="12">
        <f>IF(OR(E783=0, H783=0), 0, E783/H783)</f>
        <v>78.821428571428569</v>
      </c>
      <c r="L783">
        <v>1288501200</v>
      </c>
      <c r="M783" s="10">
        <f>(((L783/60)/60)/24)+DATE(1970,1,1)</f>
        <v>40482.208333333336</v>
      </c>
      <c r="N783">
        <v>1292911200</v>
      </c>
      <c r="O783" s="10">
        <f>(((N783/60)/60)/24)+DATE(1970,1,1)</f>
        <v>40533.25</v>
      </c>
      <c r="P783" t="b">
        <v>0</v>
      </c>
      <c r="Q783" t="b">
        <v>0</v>
      </c>
      <c r="R783" t="s">
        <v>33</v>
      </c>
      <c r="S783" t="s">
        <v>2038</v>
      </c>
      <c r="T783" t="s">
        <v>2039</v>
      </c>
    </row>
    <row r="784" spans="1:20" ht="15.75" customHeight="1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>Table1[[#This Row],[pledged]]/Table1[[#This Row],[goal]]</f>
        <v>2.153137254901961</v>
      </c>
      <c r="G784" t="s">
        <v>20</v>
      </c>
      <c r="H784">
        <v>161</v>
      </c>
      <c r="I784" t="s">
        <v>21</v>
      </c>
      <c r="J784" t="s">
        <v>22</v>
      </c>
      <c r="K784" s="12">
        <f>IF(OR(E784=0, H784=0), 0, E784/H784)</f>
        <v>68.204968944099377</v>
      </c>
      <c r="L784">
        <v>1298959200</v>
      </c>
      <c r="M784" s="10">
        <f>(((L784/60)/60)/24)+DATE(1970,1,1)</f>
        <v>40603.25</v>
      </c>
      <c r="N784">
        <v>1301374800</v>
      </c>
      <c r="O784" s="10">
        <f>(((N784/60)/60)/24)+DATE(1970,1,1)</f>
        <v>40631.208333333336</v>
      </c>
      <c r="P784" t="b">
        <v>0</v>
      </c>
      <c r="Q784" t="b">
        <v>1</v>
      </c>
      <c r="R784" t="s">
        <v>71</v>
      </c>
      <c r="S784" t="s">
        <v>2040</v>
      </c>
      <c r="T784" t="s">
        <v>2048</v>
      </c>
    </row>
    <row r="785" spans="1:20" ht="15.75" customHeight="1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>Table1[[#This Row],[pledged]]/Table1[[#This Row],[goal]]</f>
        <v>1.4122972972972974</v>
      </c>
      <c r="G785" t="s">
        <v>20</v>
      </c>
      <c r="H785">
        <v>138</v>
      </c>
      <c r="I785" t="s">
        <v>21</v>
      </c>
      <c r="J785" t="s">
        <v>22</v>
      </c>
      <c r="K785" s="12">
        <f>IF(OR(E785=0, H785=0), 0, E785/H785)</f>
        <v>75.731884057971016</v>
      </c>
      <c r="L785">
        <v>1387260000</v>
      </c>
      <c r="M785" s="10">
        <f>(((L785/60)/60)/24)+DATE(1970,1,1)</f>
        <v>41625.25</v>
      </c>
      <c r="N785">
        <v>1387864800</v>
      </c>
      <c r="O785" s="10">
        <f>(((N785/60)/60)/24)+DATE(1970,1,1)</f>
        <v>41632.25</v>
      </c>
      <c r="P785" t="b">
        <v>0</v>
      </c>
      <c r="Q785" t="b">
        <v>0</v>
      </c>
      <c r="R785" t="s">
        <v>23</v>
      </c>
      <c r="S785" t="s">
        <v>2034</v>
      </c>
      <c r="T785" t="s">
        <v>2035</v>
      </c>
    </row>
    <row r="786" spans="1:20" ht="15.75" customHeight="1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>Table1[[#This Row],[pledged]]/Table1[[#This Row],[goal]]</f>
        <v>1.1533745781777278</v>
      </c>
      <c r="G786" t="s">
        <v>20</v>
      </c>
      <c r="H786">
        <v>3308</v>
      </c>
      <c r="I786" t="s">
        <v>21</v>
      </c>
      <c r="J786" t="s">
        <v>22</v>
      </c>
      <c r="K786" s="12">
        <f>IF(OR(E786=0, H786=0), 0, E786/H786)</f>
        <v>30.996070133010882</v>
      </c>
      <c r="L786">
        <v>1457244000</v>
      </c>
      <c r="M786" s="10">
        <f>(((L786/60)/60)/24)+DATE(1970,1,1)</f>
        <v>42435.25</v>
      </c>
      <c r="N786">
        <v>1458190800</v>
      </c>
      <c r="O786" s="10">
        <f>(((N786/60)/60)/24)+DATE(1970,1,1)</f>
        <v>42446.208333333328</v>
      </c>
      <c r="P786" t="b">
        <v>0</v>
      </c>
      <c r="Q786" t="b">
        <v>0</v>
      </c>
      <c r="R786" t="s">
        <v>28</v>
      </c>
      <c r="S786" t="s">
        <v>2036</v>
      </c>
      <c r="T786" t="s">
        <v>2037</v>
      </c>
    </row>
    <row r="787" spans="1:20" ht="15.75" customHeight="1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>Table1[[#This Row],[pledged]]/Table1[[#This Row],[goal]]</f>
        <v>1.9311940298507462</v>
      </c>
      <c r="G787" t="s">
        <v>20</v>
      </c>
      <c r="H787">
        <v>127</v>
      </c>
      <c r="I787" t="s">
        <v>26</v>
      </c>
      <c r="J787" t="s">
        <v>27</v>
      </c>
      <c r="K787" s="12">
        <f>IF(OR(E787=0, H787=0), 0, E787/H787)</f>
        <v>101.88188976377953</v>
      </c>
      <c r="L787">
        <v>1556341200</v>
      </c>
      <c r="M787" s="10">
        <f>(((L787/60)/60)/24)+DATE(1970,1,1)</f>
        <v>43582.208333333328</v>
      </c>
      <c r="N787">
        <v>1559278800</v>
      </c>
      <c r="O787" s="10">
        <f>(((N787/60)/60)/24)+DATE(1970,1,1)</f>
        <v>43616.208333333328</v>
      </c>
      <c r="P787" t="b">
        <v>0</v>
      </c>
      <c r="Q787" t="b">
        <v>1</v>
      </c>
      <c r="R787" t="s">
        <v>71</v>
      </c>
      <c r="S787" t="s">
        <v>2040</v>
      </c>
      <c r="T787" t="s">
        <v>2048</v>
      </c>
    </row>
    <row r="788" spans="1:20" ht="15.75" customHeight="1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>Table1[[#This Row],[pledged]]/Table1[[#This Row],[goal]]</f>
        <v>7.2973333333333334</v>
      </c>
      <c r="G788" t="s">
        <v>20</v>
      </c>
      <c r="H788">
        <v>207</v>
      </c>
      <c r="I788" t="s">
        <v>107</v>
      </c>
      <c r="J788" t="s">
        <v>108</v>
      </c>
      <c r="K788" s="12">
        <f>IF(OR(E788=0, H788=0), 0, E788/H788)</f>
        <v>52.879227053140099</v>
      </c>
      <c r="L788">
        <v>1522126800</v>
      </c>
      <c r="M788" s="10">
        <f>(((L788/60)/60)/24)+DATE(1970,1,1)</f>
        <v>43186.208333333328</v>
      </c>
      <c r="N788">
        <v>1522731600</v>
      </c>
      <c r="O788" s="10">
        <f>(((N788/60)/60)/24)+DATE(1970,1,1)</f>
        <v>43193.208333333328</v>
      </c>
      <c r="P788" t="b">
        <v>0</v>
      </c>
      <c r="Q788" t="b">
        <v>1</v>
      </c>
      <c r="R788" t="s">
        <v>159</v>
      </c>
      <c r="S788" t="s">
        <v>2034</v>
      </c>
      <c r="T788" t="s">
        <v>2057</v>
      </c>
    </row>
    <row r="789" spans="1:20" ht="15.75" customHeight="1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>Table1[[#This Row],[pledged]]/Table1[[#This Row],[goal]]</f>
        <v>0.99663398692810456</v>
      </c>
      <c r="G789" t="s">
        <v>14</v>
      </c>
      <c r="H789">
        <v>859</v>
      </c>
      <c r="I789" t="s">
        <v>15</v>
      </c>
      <c r="J789" t="s">
        <v>16</v>
      </c>
      <c r="K789" s="12">
        <f>IF(OR(E789=0, H789=0), 0, E789/H789)</f>
        <v>71.005820721769496</v>
      </c>
      <c r="L789">
        <v>1305954000</v>
      </c>
      <c r="M789" s="10">
        <f>(((L789/60)/60)/24)+DATE(1970,1,1)</f>
        <v>40684.208333333336</v>
      </c>
      <c r="N789">
        <v>1306731600</v>
      </c>
      <c r="O789" s="10">
        <f>(((N789/60)/60)/24)+DATE(1970,1,1)</f>
        <v>40693.208333333336</v>
      </c>
      <c r="P789" t="b">
        <v>0</v>
      </c>
      <c r="Q789" t="b">
        <v>0</v>
      </c>
      <c r="R789" t="s">
        <v>23</v>
      </c>
      <c r="S789" t="s">
        <v>2034</v>
      </c>
      <c r="T789" t="s">
        <v>2035</v>
      </c>
    </row>
    <row r="790" spans="1:20" ht="15.75" customHeight="1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>Table1[[#This Row],[pledged]]/Table1[[#This Row],[goal]]</f>
        <v>0.88166666666666671</v>
      </c>
      <c r="G790" t="s">
        <v>47</v>
      </c>
      <c r="H790">
        <v>31</v>
      </c>
      <c r="I790" t="s">
        <v>21</v>
      </c>
      <c r="J790" t="s">
        <v>22</v>
      </c>
      <c r="K790" s="12">
        <f>IF(OR(E790=0, H790=0), 0, E790/H790)</f>
        <v>102.38709677419355</v>
      </c>
      <c r="L790">
        <v>1350709200</v>
      </c>
      <c r="M790" s="10">
        <f>(((L790/60)/60)/24)+DATE(1970,1,1)</f>
        <v>41202.208333333336</v>
      </c>
      <c r="N790">
        <v>1352527200</v>
      </c>
      <c r="O790" s="10">
        <f>(((N790/60)/60)/24)+DATE(1970,1,1)</f>
        <v>41223.25</v>
      </c>
      <c r="P790" t="b">
        <v>0</v>
      </c>
      <c r="Q790" t="b">
        <v>0</v>
      </c>
      <c r="R790" t="s">
        <v>71</v>
      </c>
      <c r="S790" t="s">
        <v>2040</v>
      </c>
      <c r="T790" t="s">
        <v>2048</v>
      </c>
    </row>
    <row r="791" spans="1:20" ht="15.75" customHeight="1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>Table1[[#This Row],[pledged]]/Table1[[#This Row],[goal]]</f>
        <v>0.37233333333333335</v>
      </c>
      <c r="G791" t="s">
        <v>14</v>
      </c>
      <c r="H791">
        <v>45</v>
      </c>
      <c r="I791" t="s">
        <v>21</v>
      </c>
      <c r="J791" t="s">
        <v>22</v>
      </c>
      <c r="K791" s="12">
        <f>IF(OR(E791=0, H791=0), 0, E791/H791)</f>
        <v>74.466666666666669</v>
      </c>
      <c r="L791">
        <v>1401166800</v>
      </c>
      <c r="M791" s="10">
        <f>(((L791/60)/60)/24)+DATE(1970,1,1)</f>
        <v>41786.208333333336</v>
      </c>
      <c r="N791">
        <v>1404363600</v>
      </c>
      <c r="O791" s="10">
        <f>(((N791/60)/60)/24)+DATE(1970,1,1)</f>
        <v>41823.208333333336</v>
      </c>
      <c r="P791" t="b">
        <v>0</v>
      </c>
      <c r="Q791" t="b">
        <v>0</v>
      </c>
      <c r="R791" t="s">
        <v>33</v>
      </c>
      <c r="S791" t="s">
        <v>2038</v>
      </c>
      <c r="T791" t="s">
        <v>2039</v>
      </c>
    </row>
    <row r="792" spans="1:20" ht="15.75" customHeight="1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>Table1[[#This Row],[pledged]]/Table1[[#This Row],[goal]]</f>
        <v>0.30540075309306081</v>
      </c>
      <c r="G792" t="s">
        <v>74</v>
      </c>
      <c r="H792">
        <v>1113</v>
      </c>
      <c r="I792" t="s">
        <v>21</v>
      </c>
      <c r="J792" t="s">
        <v>22</v>
      </c>
      <c r="K792" s="12">
        <f>IF(OR(E792=0, H792=0), 0, E792/H792)</f>
        <v>51.009883198562441</v>
      </c>
      <c r="L792">
        <v>1266127200</v>
      </c>
      <c r="M792" s="10">
        <f>(((L792/60)/60)/24)+DATE(1970,1,1)</f>
        <v>40223.25</v>
      </c>
      <c r="N792">
        <v>1266645600</v>
      </c>
      <c r="O792" s="10">
        <f>(((N792/60)/60)/24)+DATE(1970,1,1)</f>
        <v>40229.25</v>
      </c>
      <c r="P792" t="b">
        <v>0</v>
      </c>
      <c r="Q792" t="b">
        <v>0</v>
      </c>
      <c r="R792" t="s">
        <v>33</v>
      </c>
      <c r="S792" t="s">
        <v>2038</v>
      </c>
      <c r="T792" t="s">
        <v>2039</v>
      </c>
    </row>
    <row r="793" spans="1:20" ht="15.75" customHeight="1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>Table1[[#This Row],[pledged]]/Table1[[#This Row],[goal]]</f>
        <v>0.25714285714285712</v>
      </c>
      <c r="G793" t="s">
        <v>14</v>
      </c>
      <c r="H793">
        <v>6</v>
      </c>
      <c r="I793" t="s">
        <v>21</v>
      </c>
      <c r="J793" t="s">
        <v>22</v>
      </c>
      <c r="K793" s="12">
        <f>IF(OR(E793=0, H793=0), 0, E793/H793)</f>
        <v>90</v>
      </c>
      <c r="L793">
        <v>1481436000</v>
      </c>
      <c r="M793" s="10">
        <f>(((L793/60)/60)/24)+DATE(1970,1,1)</f>
        <v>42715.25</v>
      </c>
      <c r="N793">
        <v>1482818400</v>
      </c>
      <c r="O793" s="10">
        <f>(((N793/60)/60)/24)+DATE(1970,1,1)</f>
        <v>42731.25</v>
      </c>
      <c r="P793" t="b">
        <v>0</v>
      </c>
      <c r="Q793" t="b">
        <v>0</v>
      </c>
      <c r="R793" t="s">
        <v>17</v>
      </c>
      <c r="S793" t="s">
        <v>2032</v>
      </c>
      <c r="T793" t="s">
        <v>2033</v>
      </c>
    </row>
    <row r="794" spans="1:20" ht="15.75" customHeight="1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>Table1[[#This Row],[pledged]]/Table1[[#This Row],[goal]]</f>
        <v>0.34</v>
      </c>
      <c r="G794" t="s">
        <v>14</v>
      </c>
      <c r="H794">
        <v>7</v>
      </c>
      <c r="I794" t="s">
        <v>21</v>
      </c>
      <c r="J794" t="s">
        <v>22</v>
      </c>
      <c r="K794" s="12">
        <f>IF(OR(E794=0, H794=0), 0, E794/H794)</f>
        <v>97.142857142857139</v>
      </c>
      <c r="L794">
        <v>1372222800</v>
      </c>
      <c r="M794" s="10">
        <f>(((L794/60)/60)/24)+DATE(1970,1,1)</f>
        <v>41451.208333333336</v>
      </c>
      <c r="N794">
        <v>1374642000</v>
      </c>
      <c r="O794" s="10">
        <f>(((N794/60)/60)/24)+DATE(1970,1,1)</f>
        <v>41479.208333333336</v>
      </c>
      <c r="P794" t="b">
        <v>0</v>
      </c>
      <c r="Q794" t="b">
        <v>1</v>
      </c>
      <c r="R794" t="s">
        <v>33</v>
      </c>
      <c r="S794" t="s">
        <v>2038</v>
      </c>
      <c r="T794" t="s">
        <v>2039</v>
      </c>
    </row>
    <row r="795" spans="1:20" ht="15.75" customHeight="1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>Table1[[#This Row],[pledged]]/Table1[[#This Row],[goal]]</f>
        <v>11.859090909090909</v>
      </c>
      <c r="G795" t="s">
        <v>20</v>
      </c>
      <c r="H795">
        <v>181</v>
      </c>
      <c r="I795" t="s">
        <v>98</v>
      </c>
      <c r="J795" t="s">
        <v>99</v>
      </c>
      <c r="K795" s="12">
        <f>IF(OR(E795=0, H795=0), 0, E795/H795)</f>
        <v>72.071823204419886</v>
      </c>
      <c r="L795">
        <v>1372136400</v>
      </c>
      <c r="M795" s="10">
        <f>(((L795/60)/60)/24)+DATE(1970,1,1)</f>
        <v>41450.208333333336</v>
      </c>
      <c r="N795">
        <v>1372482000</v>
      </c>
      <c r="O795" s="10">
        <f>(((N795/60)/60)/24)+DATE(1970,1,1)</f>
        <v>41454.208333333336</v>
      </c>
      <c r="P795" t="b">
        <v>0</v>
      </c>
      <c r="Q795" t="b">
        <v>0</v>
      </c>
      <c r="R795" t="s">
        <v>68</v>
      </c>
      <c r="S795" t="s">
        <v>2046</v>
      </c>
      <c r="T795" t="s">
        <v>2047</v>
      </c>
    </row>
    <row r="796" spans="1:20" ht="15.75" customHeight="1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>Table1[[#This Row],[pledged]]/Table1[[#This Row],[goal]]</f>
        <v>1.2539393939393939</v>
      </c>
      <c r="G796" t="s">
        <v>20</v>
      </c>
      <c r="H796">
        <v>110</v>
      </c>
      <c r="I796" t="s">
        <v>21</v>
      </c>
      <c r="J796" t="s">
        <v>22</v>
      </c>
      <c r="K796" s="12">
        <f>IF(OR(E796=0, H796=0), 0, E796/H796)</f>
        <v>75.236363636363635</v>
      </c>
      <c r="L796">
        <v>1513922400</v>
      </c>
      <c r="M796" s="10">
        <f>(((L796/60)/60)/24)+DATE(1970,1,1)</f>
        <v>43091.25</v>
      </c>
      <c r="N796">
        <v>1514959200</v>
      </c>
      <c r="O796" s="10">
        <f>(((N796/60)/60)/24)+DATE(1970,1,1)</f>
        <v>43103.25</v>
      </c>
      <c r="P796" t="b">
        <v>0</v>
      </c>
      <c r="Q796" t="b">
        <v>0</v>
      </c>
      <c r="R796" t="s">
        <v>23</v>
      </c>
      <c r="S796" t="s">
        <v>2034</v>
      </c>
      <c r="T796" t="s">
        <v>2035</v>
      </c>
    </row>
    <row r="797" spans="1:20" ht="15.75" customHeight="1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>Table1[[#This Row],[pledged]]/Table1[[#This Row],[goal]]</f>
        <v>0.14394366197183098</v>
      </c>
      <c r="G797" t="s">
        <v>14</v>
      </c>
      <c r="H797">
        <v>31</v>
      </c>
      <c r="I797" t="s">
        <v>21</v>
      </c>
      <c r="J797" t="s">
        <v>22</v>
      </c>
      <c r="K797" s="12">
        <f>IF(OR(E797=0, H797=0), 0, E797/H797)</f>
        <v>32.967741935483872</v>
      </c>
      <c r="L797">
        <v>1477976400</v>
      </c>
      <c r="M797" s="10">
        <f>(((L797/60)/60)/24)+DATE(1970,1,1)</f>
        <v>42675.208333333328</v>
      </c>
      <c r="N797">
        <v>1478235600</v>
      </c>
      <c r="O797" s="10">
        <f>(((N797/60)/60)/24)+DATE(1970,1,1)</f>
        <v>42678.208333333328</v>
      </c>
      <c r="P797" t="b">
        <v>0</v>
      </c>
      <c r="Q797" t="b">
        <v>0</v>
      </c>
      <c r="R797" t="s">
        <v>53</v>
      </c>
      <c r="S797" t="s">
        <v>2040</v>
      </c>
      <c r="T797" t="s">
        <v>2043</v>
      </c>
    </row>
    <row r="798" spans="1:20" ht="15.75" customHeight="1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>Table1[[#This Row],[pledged]]/Table1[[#This Row],[goal]]</f>
        <v>0.54807692307692313</v>
      </c>
      <c r="G798" t="s">
        <v>14</v>
      </c>
      <c r="H798">
        <v>78</v>
      </c>
      <c r="I798" t="s">
        <v>21</v>
      </c>
      <c r="J798" t="s">
        <v>22</v>
      </c>
      <c r="K798" s="12">
        <f>IF(OR(E798=0, H798=0), 0, E798/H798)</f>
        <v>54.807692307692307</v>
      </c>
      <c r="L798">
        <v>1407474000</v>
      </c>
      <c r="M798" s="10">
        <f>(((L798/60)/60)/24)+DATE(1970,1,1)</f>
        <v>41859.208333333336</v>
      </c>
      <c r="N798">
        <v>1408078800</v>
      </c>
      <c r="O798" s="10">
        <f>(((N798/60)/60)/24)+DATE(1970,1,1)</f>
        <v>41866.208333333336</v>
      </c>
      <c r="P798" t="b">
        <v>0</v>
      </c>
      <c r="Q798" t="b">
        <v>1</v>
      </c>
      <c r="R798" t="s">
        <v>292</v>
      </c>
      <c r="S798" t="s">
        <v>2049</v>
      </c>
      <c r="T798" t="s">
        <v>2060</v>
      </c>
    </row>
    <row r="799" spans="1:20" ht="15.75" customHeight="1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>Table1[[#This Row],[pledged]]/Table1[[#This Row],[goal]]</f>
        <v>1.0963157894736841</v>
      </c>
      <c r="G799" t="s">
        <v>20</v>
      </c>
      <c r="H799">
        <v>185</v>
      </c>
      <c r="I799" t="s">
        <v>21</v>
      </c>
      <c r="J799" t="s">
        <v>22</v>
      </c>
      <c r="K799" s="12">
        <f>IF(OR(E799=0, H799=0), 0, E799/H799)</f>
        <v>45.037837837837834</v>
      </c>
      <c r="L799">
        <v>1546149600</v>
      </c>
      <c r="M799" s="10">
        <f>(((L799/60)/60)/24)+DATE(1970,1,1)</f>
        <v>43464.25</v>
      </c>
      <c r="N799">
        <v>1548136800</v>
      </c>
      <c r="O799" s="10">
        <f>(((N799/60)/60)/24)+DATE(1970,1,1)</f>
        <v>43487.25</v>
      </c>
      <c r="P799" t="b">
        <v>0</v>
      </c>
      <c r="Q799" t="b">
        <v>0</v>
      </c>
      <c r="R799" t="s">
        <v>28</v>
      </c>
      <c r="S799" t="s">
        <v>2036</v>
      </c>
      <c r="T799" t="s">
        <v>2037</v>
      </c>
    </row>
    <row r="800" spans="1:20" ht="15.75" customHeight="1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>Table1[[#This Row],[pledged]]/Table1[[#This Row],[goal]]</f>
        <v>1.8847058823529412</v>
      </c>
      <c r="G800" t="s">
        <v>20</v>
      </c>
      <c r="H800">
        <v>121</v>
      </c>
      <c r="I800" t="s">
        <v>21</v>
      </c>
      <c r="J800" t="s">
        <v>22</v>
      </c>
      <c r="K800" s="12">
        <f>IF(OR(E800=0, H800=0), 0, E800/H800)</f>
        <v>52.958677685950413</v>
      </c>
      <c r="L800">
        <v>1338440400</v>
      </c>
      <c r="M800" s="10">
        <f>(((L800/60)/60)/24)+DATE(1970,1,1)</f>
        <v>41060.208333333336</v>
      </c>
      <c r="N800">
        <v>1340859600</v>
      </c>
      <c r="O800" s="10">
        <f>(((N800/60)/60)/24)+DATE(1970,1,1)</f>
        <v>41088.208333333336</v>
      </c>
      <c r="P800" t="b">
        <v>0</v>
      </c>
      <c r="Q800" t="b">
        <v>1</v>
      </c>
      <c r="R800" t="s">
        <v>33</v>
      </c>
      <c r="S800" t="s">
        <v>2038</v>
      </c>
      <c r="T800" t="s">
        <v>2039</v>
      </c>
    </row>
    <row r="801" spans="1:20" ht="15.75" customHeight="1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>Table1[[#This Row],[pledged]]/Table1[[#This Row],[goal]]</f>
        <v>0.87008284023668636</v>
      </c>
      <c r="G801" t="s">
        <v>14</v>
      </c>
      <c r="H801">
        <v>1225</v>
      </c>
      <c r="I801" t="s">
        <v>40</v>
      </c>
      <c r="J801" t="s">
        <v>41</v>
      </c>
      <c r="K801" s="12">
        <f>IF(OR(E801=0, H801=0), 0, E801/H801)</f>
        <v>60.017959183673469</v>
      </c>
      <c r="L801">
        <v>1454133600</v>
      </c>
      <c r="M801" s="10">
        <f>(((L801/60)/60)/24)+DATE(1970,1,1)</f>
        <v>42399.25</v>
      </c>
      <c r="N801">
        <v>1454479200</v>
      </c>
      <c r="O801" s="10">
        <f>(((N801/60)/60)/24)+DATE(1970,1,1)</f>
        <v>42403.25</v>
      </c>
      <c r="P801" t="b">
        <v>0</v>
      </c>
      <c r="Q801" t="b">
        <v>0</v>
      </c>
      <c r="R801" t="s">
        <v>33</v>
      </c>
      <c r="S801" t="s">
        <v>2038</v>
      </c>
      <c r="T801" t="s">
        <v>2039</v>
      </c>
    </row>
    <row r="802" spans="1:20" ht="15.75" customHeight="1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>Table1[[#This Row],[pledged]]/Table1[[#This Row],[goal]]</f>
        <v>0.01</v>
      </c>
      <c r="G802" t="s">
        <v>14</v>
      </c>
      <c r="H802">
        <v>1</v>
      </c>
      <c r="I802" t="s">
        <v>98</v>
      </c>
      <c r="J802" t="s">
        <v>99</v>
      </c>
      <c r="K802" s="12">
        <f>IF(OR(E802=0, H802=0), 0, E802/H802)</f>
        <v>1</v>
      </c>
      <c r="L802">
        <v>1434085200</v>
      </c>
      <c r="M802" s="10">
        <f>(((L802/60)/60)/24)+DATE(1970,1,1)</f>
        <v>42167.208333333328</v>
      </c>
      <c r="N802">
        <v>1434430800</v>
      </c>
      <c r="O802" s="10">
        <f>(((N802/60)/60)/24)+DATE(1970,1,1)</f>
        <v>42171.208333333328</v>
      </c>
      <c r="P802" t="b">
        <v>0</v>
      </c>
      <c r="Q802" t="b">
        <v>0</v>
      </c>
      <c r="R802" t="s">
        <v>23</v>
      </c>
      <c r="S802" t="s">
        <v>2034</v>
      </c>
      <c r="T802" t="s">
        <v>2035</v>
      </c>
    </row>
    <row r="803" spans="1:20" ht="15.75" customHeight="1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>Table1[[#This Row],[pledged]]/Table1[[#This Row],[goal]]</f>
        <v>2.0291304347826089</v>
      </c>
      <c r="G803" t="s">
        <v>20</v>
      </c>
      <c r="H803">
        <v>106</v>
      </c>
      <c r="I803" t="s">
        <v>21</v>
      </c>
      <c r="J803" t="s">
        <v>22</v>
      </c>
      <c r="K803" s="12">
        <f>IF(OR(E803=0, H803=0), 0, E803/H803)</f>
        <v>44.028301886792455</v>
      </c>
      <c r="L803">
        <v>1577772000</v>
      </c>
      <c r="M803" s="10">
        <f>(((L803/60)/60)/24)+DATE(1970,1,1)</f>
        <v>43830.25</v>
      </c>
      <c r="N803">
        <v>1579672800</v>
      </c>
      <c r="O803" s="10">
        <f>(((N803/60)/60)/24)+DATE(1970,1,1)</f>
        <v>43852.25</v>
      </c>
      <c r="P803" t="b">
        <v>0</v>
      </c>
      <c r="Q803" t="b">
        <v>1</v>
      </c>
      <c r="R803" t="s">
        <v>122</v>
      </c>
      <c r="S803" t="s">
        <v>2053</v>
      </c>
      <c r="T803" t="s">
        <v>2054</v>
      </c>
    </row>
    <row r="804" spans="1:20" ht="15.75" customHeight="1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>Table1[[#This Row],[pledged]]/Table1[[#This Row],[goal]]</f>
        <v>1.9703225806451612</v>
      </c>
      <c r="G804" t="s">
        <v>20</v>
      </c>
      <c r="H804">
        <v>142</v>
      </c>
      <c r="I804" t="s">
        <v>21</v>
      </c>
      <c r="J804" t="s">
        <v>22</v>
      </c>
      <c r="K804" s="12">
        <f>IF(OR(E804=0, H804=0), 0, E804/H804)</f>
        <v>86.028169014084511</v>
      </c>
      <c r="L804">
        <v>1562216400</v>
      </c>
      <c r="M804" s="10">
        <f>(((L804/60)/60)/24)+DATE(1970,1,1)</f>
        <v>43650.208333333328</v>
      </c>
      <c r="N804">
        <v>1562389200</v>
      </c>
      <c r="O804" s="10">
        <f>(((N804/60)/60)/24)+DATE(1970,1,1)</f>
        <v>43652.208333333328</v>
      </c>
      <c r="P804" t="b">
        <v>0</v>
      </c>
      <c r="Q804" t="b">
        <v>0</v>
      </c>
      <c r="R804" t="s">
        <v>122</v>
      </c>
      <c r="S804" t="s">
        <v>2053</v>
      </c>
      <c r="T804" t="s">
        <v>2054</v>
      </c>
    </row>
    <row r="805" spans="1:20" ht="15.75" customHeight="1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>Table1[[#This Row],[pledged]]/Table1[[#This Row],[goal]]</f>
        <v>1.07</v>
      </c>
      <c r="G805" t="s">
        <v>20</v>
      </c>
      <c r="H805">
        <v>233</v>
      </c>
      <c r="I805" t="s">
        <v>21</v>
      </c>
      <c r="J805" t="s">
        <v>22</v>
      </c>
      <c r="K805" s="12">
        <f>IF(OR(E805=0, H805=0), 0, E805/H805)</f>
        <v>28.012875536480685</v>
      </c>
      <c r="L805">
        <v>1548568800</v>
      </c>
      <c r="M805" s="10">
        <f>(((L805/60)/60)/24)+DATE(1970,1,1)</f>
        <v>43492.25</v>
      </c>
      <c r="N805">
        <v>1551506400</v>
      </c>
      <c r="O805" s="10">
        <f>(((N805/60)/60)/24)+DATE(1970,1,1)</f>
        <v>43526.25</v>
      </c>
      <c r="P805" t="b">
        <v>0</v>
      </c>
      <c r="Q805" t="b">
        <v>0</v>
      </c>
      <c r="R805" t="s">
        <v>33</v>
      </c>
      <c r="S805" t="s">
        <v>2038</v>
      </c>
      <c r="T805" t="s">
        <v>2039</v>
      </c>
    </row>
    <row r="806" spans="1:20" ht="15.75" customHeight="1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>Table1[[#This Row],[pledged]]/Table1[[#This Row],[goal]]</f>
        <v>2.6873076923076922</v>
      </c>
      <c r="G806" t="s">
        <v>20</v>
      </c>
      <c r="H806">
        <v>218</v>
      </c>
      <c r="I806" t="s">
        <v>21</v>
      </c>
      <c r="J806" t="s">
        <v>22</v>
      </c>
      <c r="K806" s="12">
        <f>IF(OR(E806=0, H806=0), 0, E806/H806)</f>
        <v>32.050458715596328</v>
      </c>
      <c r="L806">
        <v>1514872800</v>
      </c>
      <c r="M806" s="10">
        <f>(((L806/60)/60)/24)+DATE(1970,1,1)</f>
        <v>43102.25</v>
      </c>
      <c r="N806">
        <v>1516600800</v>
      </c>
      <c r="O806" s="10">
        <f>(((N806/60)/60)/24)+DATE(1970,1,1)</f>
        <v>43122.25</v>
      </c>
      <c r="P806" t="b">
        <v>0</v>
      </c>
      <c r="Q806" t="b">
        <v>0</v>
      </c>
      <c r="R806" t="s">
        <v>23</v>
      </c>
      <c r="S806" t="s">
        <v>2034</v>
      </c>
      <c r="T806" t="s">
        <v>2035</v>
      </c>
    </row>
    <row r="807" spans="1:20" ht="15.75" customHeight="1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>Table1[[#This Row],[pledged]]/Table1[[#This Row],[goal]]</f>
        <v>0.50845360824742269</v>
      </c>
      <c r="G807" t="s">
        <v>14</v>
      </c>
      <c r="H807">
        <v>67</v>
      </c>
      <c r="I807" t="s">
        <v>26</v>
      </c>
      <c r="J807" t="s">
        <v>27</v>
      </c>
      <c r="K807" s="12">
        <f>IF(OR(E807=0, H807=0), 0, E807/H807)</f>
        <v>73.611940298507463</v>
      </c>
      <c r="L807">
        <v>1416031200</v>
      </c>
      <c r="M807" s="10">
        <f>(((L807/60)/60)/24)+DATE(1970,1,1)</f>
        <v>41958.25</v>
      </c>
      <c r="N807">
        <v>1420437600</v>
      </c>
      <c r="O807" s="10">
        <f>(((N807/60)/60)/24)+DATE(1970,1,1)</f>
        <v>42009.25</v>
      </c>
      <c r="P807" t="b">
        <v>0</v>
      </c>
      <c r="Q807" t="b">
        <v>0</v>
      </c>
      <c r="R807" t="s">
        <v>42</v>
      </c>
      <c r="S807" t="s">
        <v>2040</v>
      </c>
      <c r="T807" t="s">
        <v>2041</v>
      </c>
    </row>
    <row r="808" spans="1:20" ht="15.75" customHeight="1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>Table1[[#This Row],[pledged]]/Table1[[#This Row],[goal]]</f>
        <v>11.802857142857142</v>
      </c>
      <c r="G808" t="s">
        <v>20</v>
      </c>
      <c r="H808">
        <v>76</v>
      </c>
      <c r="I808" t="s">
        <v>21</v>
      </c>
      <c r="J808" t="s">
        <v>22</v>
      </c>
      <c r="K808" s="12">
        <f>IF(OR(E808=0, H808=0), 0, E808/H808)</f>
        <v>108.71052631578948</v>
      </c>
      <c r="L808">
        <v>1330927200</v>
      </c>
      <c r="M808" s="10">
        <f>(((L808/60)/60)/24)+DATE(1970,1,1)</f>
        <v>40973.25</v>
      </c>
      <c r="N808">
        <v>1332997200</v>
      </c>
      <c r="O808" s="10">
        <f>(((N808/60)/60)/24)+DATE(1970,1,1)</f>
        <v>40997.208333333336</v>
      </c>
      <c r="P808" t="b">
        <v>0</v>
      </c>
      <c r="Q808" t="b">
        <v>1</v>
      </c>
      <c r="R808" t="s">
        <v>53</v>
      </c>
      <c r="S808" t="s">
        <v>2040</v>
      </c>
      <c r="T808" t="s">
        <v>2043</v>
      </c>
    </row>
    <row r="809" spans="1:20" ht="15.75" customHeight="1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>Table1[[#This Row],[pledged]]/Table1[[#This Row],[goal]]</f>
        <v>2.64</v>
      </c>
      <c r="G809" t="s">
        <v>20</v>
      </c>
      <c r="H809">
        <v>43</v>
      </c>
      <c r="I809" t="s">
        <v>21</v>
      </c>
      <c r="J809" t="s">
        <v>22</v>
      </c>
      <c r="K809" s="12">
        <f>IF(OR(E809=0, H809=0), 0, E809/H809)</f>
        <v>42.97674418604651</v>
      </c>
      <c r="L809">
        <v>1571115600</v>
      </c>
      <c r="M809" s="10">
        <f>(((L809/60)/60)/24)+DATE(1970,1,1)</f>
        <v>43753.208333333328</v>
      </c>
      <c r="N809">
        <v>1574920800</v>
      </c>
      <c r="O809" s="10">
        <f>(((N809/60)/60)/24)+DATE(1970,1,1)</f>
        <v>43797.25</v>
      </c>
      <c r="P809" t="b">
        <v>0</v>
      </c>
      <c r="Q809" t="b">
        <v>1</v>
      </c>
      <c r="R809" t="s">
        <v>33</v>
      </c>
      <c r="S809" t="s">
        <v>2038</v>
      </c>
      <c r="T809" t="s">
        <v>2039</v>
      </c>
    </row>
    <row r="810" spans="1:20" ht="15.75" customHeight="1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>Table1[[#This Row],[pledged]]/Table1[[#This Row],[goal]]</f>
        <v>0.30442307692307691</v>
      </c>
      <c r="G810" t="s">
        <v>14</v>
      </c>
      <c r="H810">
        <v>19</v>
      </c>
      <c r="I810" t="s">
        <v>21</v>
      </c>
      <c r="J810" t="s">
        <v>22</v>
      </c>
      <c r="K810" s="12">
        <f>IF(OR(E810=0, H810=0), 0, E810/H810)</f>
        <v>83.315789473684205</v>
      </c>
      <c r="L810">
        <v>1463461200</v>
      </c>
      <c r="M810" s="10">
        <f>(((L810/60)/60)/24)+DATE(1970,1,1)</f>
        <v>42507.208333333328</v>
      </c>
      <c r="N810">
        <v>1464930000</v>
      </c>
      <c r="O810" s="10">
        <f>(((N810/60)/60)/24)+DATE(1970,1,1)</f>
        <v>42524.208333333328</v>
      </c>
      <c r="P810" t="b">
        <v>0</v>
      </c>
      <c r="Q810" t="b">
        <v>0</v>
      </c>
      <c r="R810" t="s">
        <v>17</v>
      </c>
      <c r="S810" t="s">
        <v>2032</v>
      </c>
      <c r="T810" t="s">
        <v>2033</v>
      </c>
    </row>
    <row r="811" spans="1:20" ht="15.75" customHeight="1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>Table1[[#This Row],[pledged]]/Table1[[#This Row],[goal]]</f>
        <v>0.62880681818181816</v>
      </c>
      <c r="G811" t="s">
        <v>14</v>
      </c>
      <c r="H811">
        <v>2108</v>
      </c>
      <c r="I811" t="s">
        <v>98</v>
      </c>
      <c r="J811" t="s">
        <v>99</v>
      </c>
      <c r="K811" s="12">
        <f>IF(OR(E811=0, H811=0), 0, E811/H811)</f>
        <v>42</v>
      </c>
      <c r="L811">
        <v>1344920400</v>
      </c>
      <c r="M811" s="10">
        <f>(((L811/60)/60)/24)+DATE(1970,1,1)</f>
        <v>41135.208333333336</v>
      </c>
      <c r="N811">
        <v>1345006800</v>
      </c>
      <c r="O811" s="10">
        <f>(((N811/60)/60)/24)+DATE(1970,1,1)</f>
        <v>41136.208333333336</v>
      </c>
      <c r="P811" t="b">
        <v>0</v>
      </c>
      <c r="Q811" t="b">
        <v>0</v>
      </c>
      <c r="R811" t="s">
        <v>42</v>
      </c>
      <c r="S811" t="s">
        <v>2040</v>
      </c>
      <c r="T811" t="s">
        <v>2041</v>
      </c>
    </row>
    <row r="812" spans="1:20" ht="15.75" customHeight="1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>Table1[[#This Row],[pledged]]/Table1[[#This Row],[goal]]</f>
        <v>1.9312499999999999</v>
      </c>
      <c r="G812" t="s">
        <v>20</v>
      </c>
      <c r="H812">
        <v>221</v>
      </c>
      <c r="I812" t="s">
        <v>21</v>
      </c>
      <c r="J812" t="s">
        <v>22</v>
      </c>
      <c r="K812" s="12">
        <f>IF(OR(E812=0, H812=0), 0, E812/H812)</f>
        <v>55.927601809954751</v>
      </c>
      <c r="L812">
        <v>1511848800</v>
      </c>
      <c r="M812" s="10">
        <f>(((L812/60)/60)/24)+DATE(1970,1,1)</f>
        <v>43067.25</v>
      </c>
      <c r="N812">
        <v>1512712800</v>
      </c>
      <c r="O812" s="10">
        <f>(((N812/60)/60)/24)+DATE(1970,1,1)</f>
        <v>43077.25</v>
      </c>
      <c r="P812" t="b">
        <v>0</v>
      </c>
      <c r="Q812" t="b">
        <v>1</v>
      </c>
      <c r="R812" t="s">
        <v>33</v>
      </c>
      <c r="S812" t="s">
        <v>2038</v>
      </c>
      <c r="T812" t="s">
        <v>2039</v>
      </c>
    </row>
    <row r="813" spans="1:20" ht="15.75" customHeight="1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>Table1[[#This Row],[pledged]]/Table1[[#This Row],[goal]]</f>
        <v>0.77102702702702708</v>
      </c>
      <c r="G813" t="s">
        <v>14</v>
      </c>
      <c r="H813">
        <v>679</v>
      </c>
      <c r="I813" t="s">
        <v>21</v>
      </c>
      <c r="J813" t="s">
        <v>22</v>
      </c>
      <c r="K813" s="12">
        <f>IF(OR(E813=0, H813=0), 0, E813/H813)</f>
        <v>105.03681885125184</v>
      </c>
      <c r="L813">
        <v>1452319200</v>
      </c>
      <c r="M813" s="10">
        <f>(((L813/60)/60)/24)+DATE(1970,1,1)</f>
        <v>42378.25</v>
      </c>
      <c r="N813">
        <v>1452492000</v>
      </c>
      <c r="O813" s="10">
        <f>(((N813/60)/60)/24)+DATE(1970,1,1)</f>
        <v>42380.25</v>
      </c>
      <c r="P813" t="b">
        <v>0</v>
      </c>
      <c r="Q813" t="b">
        <v>1</v>
      </c>
      <c r="R813" t="s">
        <v>89</v>
      </c>
      <c r="S813" t="s">
        <v>2049</v>
      </c>
      <c r="T813" t="s">
        <v>2050</v>
      </c>
    </row>
    <row r="814" spans="1:20" ht="15.75" customHeight="1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>Table1[[#This Row],[pledged]]/Table1[[#This Row],[goal]]</f>
        <v>2.2552763819095478</v>
      </c>
      <c r="G814" t="s">
        <v>20</v>
      </c>
      <c r="H814">
        <v>2805</v>
      </c>
      <c r="I814" t="s">
        <v>15</v>
      </c>
      <c r="J814" t="s">
        <v>16</v>
      </c>
      <c r="K814" s="12">
        <f>IF(OR(E814=0, H814=0), 0, E814/H814)</f>
        <v>48</v>
      </c>
      <c r="L814">
        <v>1523854800</v>
      </c>
      <c r="M814" s="10">
        <f>(((L814/60)/60)/24)+DATE(1970,1,1)</f>
        <v>43206.208333333328</v>
      </c>
      <c r="N814">
        <v>1524286800</v>
      </c>
      <c r="O814" s="10">
        <f>(((N814/60)/60)/24)+DATE(1970,1,1)</f>
        <v>43211.208333333328</v>
      </c>
      <c r="P814" t="b">
        <v>0</v>
      </c>
      <c r="Q814" t="b">
        <v>0</v>
      </c>
      <c r="R814" t="s">
        <v>68</v>
      </c>
      <c r="S814" t="s">
        <v>2046</v>
      </c>
      <c r="T814" t="s">
        <v>2047</v>
      </c>
    </row>
    <row r="815" spans="1:20" ht="15.75" customHeight="1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>Table1[[#This Row],[pledged]]/Table1[[#This Row],[goal]]</f>
        <v>2.3940625</v>
      </c>
      <c r="G815" t="s">
        <v>20</v>
      </c>
      <c r="H815">
        <v>68</v>
      </c>
      <c r="I815" t="s">
        <v>21</v>
      </c>
      <c r="J815" t="s">
        <v>22</v>
      </c>
      <c r="K815" s="12">
        <f>IF(OR(E815=0, H815=0), 0, E815/H815)</f>
        <v>112.66176470588235</v>
      </c>
      <c r="L815">
        <v>1346043600</v>
      </c>
      <c r="M815" s="10">
        <f>(((L815/60)/60)/24)+DATE(1970,1,1)</f>
        <v>41148.208333333336</v>
      </c>
      <c r="N815">
        <v>1346907600</v>
      </c>
      <c r="O815" s="10">
        <f>(((N815/60)/60)/24)+DATE(1970,1,1)</f>
        <v>41158.208333333336</v>
      </c>
      <c r="P815" t="b">
        <v>0</v>
      </c>
      <c r="Q815" t="b">
        <v>0</v>
      </c>
      <c r="R815" t="s">
        <v>89</v>
      </c>
      <c r="S815" t="s">
        <v>2049</v>
      </c>
      <c r="T815" t="s">
        <v>2050</v>
      </c>
    </row>
    <row r="816" spans="1:20" ht="15.75" customHeight="1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>Table1[[#This Row],[pledged]]/Table1[[#This Row],[goal]]</f>
        <v>0.921875</v>
      </c>
      <c r="G816" t="s">
        <v>14</v>
      </c>
      <c r="H816">
        <v>36</v>
      </c>
      <c r="I816" t="s">
        <v>36</v>
      </c>
      <c r="J816" t="s">
        <v>37</v>
      </c>
      <c r="K816" s="12">
        <f>IF(OR(E816=0, H816=0), 0, E816/H816)</f>
        <v>81.944444444444443</v>
      </c>
      <c r="L816">
        <v>1464325200</v>
      </c>
      <c r="M816" s="10">
        <f>(((L816/60)/60)/24)+DATE(1970,1,1)</f>
        <v>42517.208333333328</v>
      </c>
      <c r="N816">
        <v>1464498000</v>
      </c>
      <c r="O816" s="10">
        <f>(((N816/60)/60)/24)+DATE(1970,1,1)</f>
        <v>42519.208333333328</v>
      </c>
      <c r="P816" t="b">
        <v>0</v>
      </c>
      <c r="Q816" t="b">
        <v>1</v>
      </c>
      <c r="R816" t="s">
        <v>23</v>
      </c>
      <c r="S816" t="s">
        <v>2034</v>
      </c>
      <c r="T816" t="s">
        <v>2035</v>
      </c>
    </row>
    <row r="817" spans="1:20" ht="15.75" customHeight="1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>Table1[[#This Row],[pledged]]/Table1[[#This Row],[goal]]</f>
        <v>1.3023333333333333</v>
      </c>
      <c r="G817" t="s">
        <v>20</v>
      </c>
      <c r="H817">
        <v>183</v>
      </c>
      <c r="I817" t="s">
        <v>15</v>
      </c>
      <c r="J817" t="s">
        <v>16</v>
      </c>
      <c r="K817" s="12">
        <f>IF(OR(E817=0, H817=0), 0, E817/H817)</f>
        <v>64.049180327868854</v>
      </c>
      <c r="L817">
        <v>1511935200</v>
      </c>
      <c r="M817" s="10">
        <f>(((L817/60)/60)/24)+DATE(1970,1,1)</f>
        <v>43068.25</v>
      </c>
      <c r="N817">
        <v>1514181600</v>
      </c>
      <c r="O817" s="10">
        <f>(((N817/60)/60)/24)+DATE(1970,1,1)</f>
        <v>43094.25</v>
      </c>
      <c r="P817" t="b">
        <v>0</v>
      </c>
      <c r="Q817" t="b">
        <v>0</v>
      </c>
      <c r="R817" t="s">
        <v>23</v>
      </c>
      <c r="S817" t="s">
        <v>2034</v>
      </c>
      <c r="T817" t="s">
        <v>2035</v>
      </c>
    </row>
    <row r="818" spans="1:20" ht="15.75" customHeight="1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>Table1[[#This Row],[pledged]]/Table1[[#This Row],[goal]]</f>
        <v>6.1521739130434785</v>
      </c>
      <c r="G818" t="s">
        <v>20</v>
      </c>
      <c r="H818">
        <v>133</v>
      </c>
      <c r="I818" t="s">
        <v>21</v>
      </c>
      <c r="J818" t="s">
        <v>22</v>
      </c>
      <c r="K818" s="12">
        <f>IF(OR(E818=0, H818=0), 0, E818/H818)</f>
        <v>106.39097744360902</v>
      </c>
      <c r="L818">
        <v>1392012000</v>
      </c>
      <c r="M818" s="10">
        <f>(((L818/60)/60)/24)+DATE(1970,1,1)</f>
        <v>41680.25</v>
      </c>
      <c r="N818">
        <v>1392184800</v>
      </c>
      <c r="O818" s="10">
        <f>(((N818/60)/60)/24)+DATE(1970,1,1)</f>
        <v>41682.25</v>
      </c>
      <c r="P818" t="b">
        <v>1</v>
      </c>
      <c r="Q818" t="b">
        <v>1</v>
      </c>
      <c r="R818" t="s">
        <v>33</v>
      </c>
      <c r="S818" t="s">
        <v>2038</v>
      </c>
      <c r="T818" t="s">
        <v>2039</v>
      </c>
    </row>
    <row r="819" spans="1:20" ht="15.75" customHeight="1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>Table1[[#This Row],[pledged]]/Table1[[#This Row],[goal]]</f>
        <v>3.687953216374269</v>
      </c>
      <c r="G819" t="s">
        <v>20</v>
      </c>
      <c r="H819">
        <v>2489</v>
      </c>
      <c r="I819" t="s">
        <v>107</v>
      </c>
      <c r="J819" t="s">
        <v>108</v>
      </c>
      <c r="K819" s="12">
        <f>IF(OR(E819=0, H819=0), 0, E819/H819)</f>
        <v>76.011249497790274</v>
      </c>
      <c r="L819">
        <v>1556946000</v>
      </c>
      <c r="M819" s="10">
        <f>(((L819/60)/60)/24)+DATE(1970,1,1)</f>
        <v>43589.208333333328</v>
      </c>
      <c r="N819">
        <v>1559365200</v>
      </c>
      <c r="O819" s="10">
        <f>(((N819/60)/60)/24)+DATE(1970,1,1)</f>
        <v>43617.208333333328</v>
      </c>
      <c r="P819" t="b">
        <v>0</v>
      </c>
      <c r="Q819" t="b">
        <v>1</v>
      </c>
      <c r="R819" t="s">
        <v>68</v>
      </c>
      <c r="S819" t="s">
        <v>2046</v>
      </c>
      <c r="T819" t="s">
        <v>2047</v>
      </c>
    </row>
    <row r="820" spans="1:20" ht="15.75" customHeight="1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>Table1[[#This Row],[pledged]]/Table1[[#This Row],[goal]]</f>
        <v>10.948571428571428</v>
      </c>
      <c r="G820" t="s">
        <v>20</v>
      </c>
      <c r="H820">
        <v>69</v>
      </c>
      <c r="I820" t="s">
        <v>21</v>
      </c>
      <c r="J820" t="s">
        <v>22</v>
      </c>
      <c r="K820" s="12">
        <f>IF(OR(E820=0, H820=0), 0, E820/H820)</f>
        <v>111.07246376811594</v>
      </c>
      <c r="L820">
        <v>1548050400</v>
      </c>
      <c r="M820" s="10">
        <f>(((L820/60)/60)/24)+DATE(1970,1,1)</f>
        <v>43486.25</v>
      </c>
      <c r="N820">
        <v>1549173600</v>
      </c>
      <c r="O820" s="10">
        <f>(((N820/60)/60)/24)+DATE(1970,1,1)</f>
        <v>43499.25</v>
      </c>
      <c r="P820" t="b">
        <v>0</v>
      </c>
      <c r="Q820" t="b">
        <v>1</v>
      </c>
      <c r="R820" t="s">
        <v>33</v>
      </c>
      <c r="S820" t="s">
        <v>2038</v>
      </c>
      <c r="T820" t="s">
        <v>2039</v>
      </c>
    </row>
    <row r="821" spans="1:20" ht="15.75" customHeight="1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>Table1[[#This Row],[pledged]]/Table1[[#This Row],[goal]]</f>
        <v>0.50662921348314605</v>
      </c>
      <c r="G821" t="s">
        <v>14</v>
      </c>
      <c r="H821">
        <v>47</v>
      </c>
      <c r="I821" t="s">
        <v>21</v>
      </c>
      <c r="J821" t="s">
        <v>22</v>
      </c>
      <c r="K821" s="12">
        <f>IF(OR(E821=0, H821=0), 0, E821/H821)</f>
        <v>95.936170212765958</v>
      </c>
      <c r="L821">
        <v>1353736800</v>
      </c>
      <c r="M821" s="10">
        <f>(((L821/60)/60)/24)+DATE(1970,1,1)</f>
        <v>41237.25</v>
      </c>
      <c r="N821">
        <v>1355032800</v>
      </c>
      <c r="O821" s="10">
        <f>(((N821/60)/60)/24)+DATE(1970,1,1)</f>
        <v>41252.25</v>
      </c>
      <c r="P821" t="b">
        <v>1</v>
      </c>
      <c r="Q821" t="b">
        <v>0</v>
      </c>
      <c r="R821" t="s">
        <v>89</v>
      </c>
      <c r="S821" t="s">
        <v>2049</v>
      </c>
      <c r="T821" t="s">
        <v>2050</v>
      </c>
    </row>
    <row r="822" spans="1:20" ht="15.75" customHeight="1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>Table1[[#This Row],[pledged]]/Table1[[#This Row],[goal]]</f>
        <v>8.0060000000000002</v>
      </c>
      <c r="G822" t="s">
        <v>20</v>
      </c>
      <c r="H822">
        <v>279</v>
      </c>
      <c r="I822" t="s">
        <v>40</v>
      </c>
      <c r="J822" t="s">
        <v>41</v>
      </c>
      <c r="K822" s="12">
        <f>IF(OR(E822=0, H822=0), 0, E822/H822)</f>
        <v>43.043010752688176</v>
      </c>
      <c r="L822">
        <v>1532840400</v>
      </c>
      <c r="M822" s="10">
        <f>(((L822/60)/60)/24)+DATE(1970,1,1)</f>
        <v>43310.208333333328</v>
      </c>
      <c r="N822">
        <v>1533963600</v>
      </c>
      <c r="O822" s="10">
        <f>(((N822/60)/60)/24)+DATE(1970,1,1)</f>
        <v>43323.208333333328</v>
      </c>
      <c r="P822" t="b">
        <v>0</v>
      </c>
      <c r="Q822" t="b">
        <v>1</v>
      </c>
      <c r="R822" t="s">
        <v>23</v>
      </c>
      <c r="S822" t="s">
        <v>2034</v>
      </c>
      <c r="T822" t="s">
        <v>2035</v>
      </c>
    </row>
    <row r="823" spans="1:20" ht="15.75" customHeight="1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>Table1[[#This Row],[pledged]]/Table1[[#This Row],[goal]]</f>
        <v>2.9128571428571428</v>
      </c>
      <c r="G823" t="s">
        <v>20</v>
      </c>
      <c r="H823">
        <v>210</v>
      </c>
      <c r="I823" t="s">
        <v>21</v>
      </c>
      <c r="J823" t="s">
        <v>22</v>
      </c>
      <c r="K823" s="12">
        <f>IF(OR(E823=0, H823=0), 0, E823/H823)</f>
        <v>67.966666666666669</v>
      </c>
      <c r="L823">
        <v>1488261600</v>
      </c>
      <c r="M823" s="10">
        <f>(((L823/60)/60)/24)+DATE(1970,1,1)</f>
        <v>42794.25</v>
      </c>
      <c r="N823">
        <v>1489381200</v>
      </c>
      <c r="O823" s="10">
        <f>(((N823/60)/60)/24)+DATE(1970,1,1)</f>
        <v>42807.208333333328</v>
      </c>
      <c r="P823" t="b">
        <v>0</v>
      </c>
      <c r="Q823" t="b">
        <v>0</v>
      </c>
      <c r="R823" t="s">
        <v>42</v>
      </c>
      <c r="S823" t="s">
        <v>2040</v>
      </c>
      <c r="T823" t="s">
        <v>2041</v>
      </c>
    </row>
    <row r="824" spans="1:20" ht="15.75" customHeight="1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>Table1[[#This Row],[pledged]]/Table1[[#This Row],[goal]]</f>
        <v>3.4996666666666667</v>
      </c>
      <c r="G824" t="s">
        <v>20</v>
      </c>
      <c r="H824">
        <v>2100</v>
      </c>
      <c r="I824" t="s">
        <v>21</v>
      </c>
      <c r="J824" t="s">
        <v>22</v>
      </c>
      <c r="K824" s="12">
        <f>IF(OR(E824=0, H824=0), 0, E824/H824)</f>
        <v>89.991428571428571</v>
      </c>
      <c r="L824">
        <v>1393567200</v>
      </c>
      <c r="M824" s="10">
        <f>(((L824/60)/60)/24)+DATE(1970,1,1)</f>
        <v>41698.25</v>
      </c>
      <c r="N824">
        <v>1395032400</v>
      </c>
      <c r="O824" s="10">
        <f>(((N824/60)/60)/24)+DATE(1970,1,1)</f>
        <v>41715.208333333336</v>
      </c>
      <c r="P824" t="b">
        <v>0</v>
      </c>
      <c r="Q824" t="b">
        <v>0</v>
      </c>
      <c r="R824" t="s">
        <v>23</v>
      </c>
      <c r="S824" t="s">
        <v>2034</v>
      </c>
      <c r="T824" t="s">
        <v>2035</v>
      </c>
    </row>
    <row r="825" spans="1:20" ht="15.75" customHeight="1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>Table1[[#This Row],[pledged]]/Table1[[#This Row],[goal]]</f>
        <v>3.5707317073170732</v>
      </c>
      <c r="G825" t="s">
        <v>20</v>
      </c>
      <c r="H825">
        <v>252</v>
      </c>
      <c r="I825" t="s">
        <v>21</v>
      </c>
      <c r="J825" t="s">
        <v>22</v>
      </c>
      <c r="K825" s="12">
        <f>IF(OR(E825=0, H825=0), 0, E825/H825)</f>
        <v>58.095238095238095</v>
      </c>
      <c r="L825">
        <v>1410325200</v>
      </c>
      <c r="M825" s="10">
        <f>(((L825/60)/60)/24)+DATE(1970,1,1)</f>
        <v>41892.208333333336</v>
      </c>
      <c r="N825">
        <v>1412485200</v>
      </c>
      <c r="O825" s="10">
        <f>(((N825/60)/60)/24)+DATE(1970,1,1)</f>
        <v>41917.208333333336</v>
      </c>
      <c r="P825" t="b">
        <v>1</v>
      </c>
      <c r="Q825" t="b">
        <v>1</v>
      </c>
      <c r="R825" t="s">
        <v>23</v>
      </c>
      <c r="S825" t="s">
        <v>2034</v>
      </c>
      <c r="T825" t="s">
        <v>2035</v>
      </c>
    </row>
    <row r="826" spans="1:20" ht="15.75" customHeight="1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>Table1[[#This Row],[pledged]]/Table1[[#This Row],[goal]]</f>
        <v>1.2648941176470587</v>
      </c>
      <c r="G826" t="s">
        <v>20</v>
      </c>
      <c r="H826">
        <v>1280</v>
      </c>
      <c r="I826" t="s">
        <v>21</v>
      </c>
      <c r="J826" t="s">
        <v>22</v>
      </c>
      <c r="K826" s="12">
        <f>IF(OR(E826=0, H826=0), 0, E826/H826)</f>
        <v>83.996875000000003</v>
      </c>
      <c r="L826">
        <v>1276923600</v>
      </c>
      <c r="M826" s="10">
        <f>(((L826/60)/60)/24)+DATE(1970,1,1)</f>
        <v>40348.208333333336</v>
      </c>
      <c r="N826">
        <v>1279688400</v>
      </c>
      <c r="O826" s="10">
        <f>(((N826/60)/60)/24)+DATE(1970,1,1)</f>
        <v>40380.208333333336</v>
      </c>
      <c r="P826" t="b">
        <v>0</v>
      </c>
      <c r="Q826" t="b">
        <v>1</v>
      </c>
      <c r="R826" t="s">
        <v>68</v>
      </c>
      <c r="S826" t="s">
        <v>2046</v>
      </c>
      <c r="T826" t="s">
        <v>2047</v>
      </c>
    </row>
    <row r="827" spans="1:20" ht="15.75" customHeight="1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>Table1[[#This Row],[pledged]]/Table1[[#This Row],[goal]]</f>
        <v>3.875</v>
      </c>
      <c r="G827" t="s">
        <v>20</v>
      </c>
      <c r="H827">
        <v>157</v>
      </c>
      <c r="I827" t="s">
        <v>40</v>
      </c>
      <c r="J827" t="s">
        <v>41</v>
      </c>
      <c r="K827" s="12">
        <f>IF(OR(E827=0, H827=0), 0, E827/H827)</f>
        <v>88.853503184713375</v>
      </c>
      <c r="L827">
        <v>1500958800</v>
      </c>
      <c r="M827" s="10">
        <f>(((L827/60)/60)/24)+DATE(1970,1,1)</f>
        <v>42941.208333333328</v>
      </c>
      <c r="N827">
        <v>1501995600</v>
      </c>
      <c r="O827" s="10">
        <f>(((N827/60)/60)/24)+DATE(1970,1,1)</f>
        <v>42953.208333333328</v>
      </c>
      <c r="P827" t="b">
        <v>0</v>
      </c>
      <c r="Q827" t="b">
        <v>0</v>
      </c>
      <c r="R827" t="s">
        <v>100</v>
      </c>
      <c r="S827" t="s">
        <v>2040</v>
      </c>
      <c r="T827" t="s">
        <v>2051</v>
      </c>
    </row>
    <row r="828" spans="1:20" ht="15.75" customHeight="1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>Table1[[#This Row],[pledged]]/Table1[[#This Row],[goal]]</f>
        <v>4.5703571428571426</v>
      </c>
      <c r="G828" t="s">
        <v>20</v>
      </c>
      <c r="H828">
        <v>194</v>
      </c>
      <c r="I828" t="s">
        <v>21</v>
      </c>
      <c r="J828" t="s">
        <v>22</v>
      </c>
      <c r="K828" s="12">
        <f>IF(OR(E828=0, H828=0), 0, E828/H828)</f>
        <v>65.963917525773198</v>
      </c>
      <c r="L828">
        <v>1292220000</v>
      </c>
      <c r="M828" s="10">
        <f>(((L828/60)/60)/24)+DATE(1970,1,1)</f>
        <v>40525.25</v>
      </c>
      <c r="N828">
        <v>1294639200</v>
      </c>
      <c r="O828" s="10">
        <f>(((N828/60)/60)/24)+DATE(1970,1,1)</f>
        <v>40553.25</v>
      </c>
      <c r="P828" t="b">
        <v>0</v>
      </c>
      <c r="Q828" t="b">
        <v>1</v>
      </c>
      <c r="R828" t="s">
        <v>33</v>
      </c>
      <c r="S828" t="s">
        <v>2038</v>
      </c>
      <c r="T828" t="s">
        <v>2039</v>
      </c>
    </row>
    <row r="829" spans="1:20" ht="15.75" customHeight="1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>Table1[[#This Row],[pledged]]/Table1[[#This Row],[goal]]</f>
        <v>2.6669565217391304</v>
      </c>
      <c r="G829" t="s">
        <v>20</v>
      </c>
      <c r="H829">
        <v>82</v>
      </c>
      <c r="I829" t="s">
        <v>26</v>
      </c>
      <c r="J829" t="s">
        <v>27</v>
      </c>
      <c r="K829" s="12">
        <f>IF(OR(E829=0, H829=0), 0, E829/H829)</f>
        <v>74.804878048780495</v>
      </c>
      <c r="L829">
        <v>1304398800</v>
      </c>
      <c r="M829" s="10">
        <f>(((L829/60)/60)/24)+DATE(1970,1,1)</f>
        <v>40666.208333333336</v>
      </c>
      <c r="N829">
        <v>1305435600</v>
      </c>
      <c r="O829" s="10">
        <f>(((N829/60)/60)/24)+DATE(1970,1,1)</f>
        <v>40678.208333333336</v>
      </c>
      <c r="P829" t="b">
        <v>0</v>
      </c>
      <c r="Q829" t="b">
        <v>1</v>
      </c>
      <c r="R829" t="s">
        <v>53</v>
      </c>
      <c r="S829" t="s">
        <v>2040</v>
      </c>
      <c r="T829" t="s">
        <v>2043</v>
      </c>
    </row>
    <row r="830" spans="1:20" ht="15.75" customHeight="1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>Table1[[#This Row],[pledged]]/Table1[[#This Row],[goal]]</f>
        <v>0.69</v>
      </c>
      <c r="G830" t="s">
        <v>14</v>
      </c>
      <c r="H830">
        <v>70</v>
      </c>
      <c r="I830" t="s">
        <v>21</v>
      </c>
      <c r="J830" t="s">
        <v>22</v>
      </c>
      <c r="K830" s="12">
        <f>IF(OR(E830=0, H830=0), 0, E830/H830)</f>
        <v>69.98571428571428</v>
      </c>
      <c r="L830">
        <v>1535432400</v>
      </c>
      <c r="M830" s="10">
        <f>(((L830/60)/60)/24)+DATE(1970,1,1)</f>
        <v>43340.208333333328</v>
      </c>
      <c r="N830">
        <v>1537592400</v>
      </c>
      <c r="O830" s="10">
        <f>(((N830/60)/60)/24)+DATE(1970,1,1)</f>
        <v>43365.208333333328</v>
      </c>
      <c r="P830" t="b">
        <v>0</v>
      </c>
      <c r="Q830" t="b">
        <v>0</v>
      </c>
      <c r="R830" t="s">
        <v>33</v>
      </c>
      <c r="S830" t="s">
        <v>2038</v>
      </c>
      <c r="T830" t="s">
        <v>2039</v>
      </c>
    </row>
    <row r="831" spans="1:20" ht="15.75" customHeight="1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>Table1[[#This Row],[pledged]]/Table1[[#This Row],[goal]]</f>
        <v>0.51343749999999999</v>
      </c>
      <c r="G831" t="s">
        <v>14</v>
      </c>
      <c r="H831">
        <v>154</v>
      </c>
      <c r="I831" t="s">
        <v>21</v>
      </c>
      <c r="J831" t="s">
        <v>22</v>
      </c>
      <c r="K831" s="12">
        <f>IF(OR(E831=0, H831=0), 0, E831/H831)</f>
        <v>32.006493506493506</v>
      </c>
      <c r="L831">
        <v>1433826000</v>
      </c>
      <c r="M831" s="10">
        <f>(((L831/60)/60)/24)+DATE(1970,1,1)</f>
        <v>42164.208333333328</v>
      </c>
      <c r="N831">
        <v>1435122000</v>
      </c>
      <c r="O831" s="10">
        <f>(((N831/60)/60)/24)+DATE(1970,1,1)</f>
        <v>42179.208333333328</v>
      </c>
      <c r="P831" t="b">
        <v>0</v>
      </c>
      <c r="Q831" t="b">
        <v>0</v>
      </c>
      <c r="R831" t="s">
        <v>33</v>
      </c>
      <c r="S831" t="s">
        <v>2038</v>
      </c>
      <c r="T831" t="s">
        <v>2039</v>
      </c>
    </row>
    <row r="832" spans="1:20" ht="15.75" customHeight="1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>Table1[[#This Row],[pledged]]/Table1[[#This Row],[goal]]</f>
        <v>1.1710526315789473E-2</v>
      </c>
      <c r="G832" t="s">
        <v>14</v>
      </c>
      <c r="H832">
        <v>22</v>
      </c>
      <c r="I832" t="s">
        <v>21</v>
      </c>
      <c r="J832" t="s">
        <v>22</v>
      </c>
      <c r="K832" s="12">
        <f>IF(OR(E832=0, H832=0), 0, E832/H832)</f>
        <v>64.727272727272734</v>
      </c>
      <c r="L832">
        <v>1514959200</v>
      </c>
      <c r="M832" s="10">
        <f>(((L832/60)/60)/24)+DATE(1970,1,1)</f>
        <v>43103.25</v>
      </c>
      <c r="N832">
        <v>1520056800</v>
      </c>
      <c r="O832" s="10">
        <f>(((N832/60)/60)/24)+DATE(1970,1,1)</f>
        <v>43162.25</v>
      </c>
      <c r="P832" t="b">
        <v>0</v>
      </c>
      <c r="Q832" t="b">
        <v>0</v>
      </c>
      <c r="R832" t="s">
        <v>33</v>
      </c>
      <c r="S832" t="s">
        <v>2038</v>
      </c>
      <c r="T832" t="s">
        <v>2039</v>
      </c>
    </row>
    <row r="833" spans="1:20" ht="15.75" customHeight="1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>Table1[[#This Row],[pledged]]/Table1[[#This Row],[goal]]</f>
        <v>1.089773429454171</v>
      </c>
      <c r="G833" t="s">
        <v>20</v>
      </c>
      <c r="H833">
        <v>4233</v>
      </c>
      <c r="I833" t="s">
        <v>21</v>
      </c>
      <c r="J833" t="s">
        <v>22</v>
      </c>
      <c r="K833" s="12">
        <f>IF(OR(E833=0, H833=0), 0, E833/H833)</f>
        <v>24.998110087408456</v>
      </c>
      <c r="L833">
        <v>1332738000</v>
      </c>
      <c r="M833" s="10">
        <f>(((L833/60)/60)/24)+DATE(1970,1,1)</f>
        <v>40994.208333333336</v>
      </c>
      <c r="N833">
        <v>1335675600</v>
      </c>
      <c r="O833" s="10">
        <f>(((N833/60)/60)/24)+DATE(1970,1,1)</f>
        <v>41028.208333333336</v>
      </c>
      <c r="P833" t="b">
        <v>0</v>
      </c>
      <c r="Q833" t="b">
        <v>0</v>
      </c>
      <c r="R833" t="s">
        <v>122</v>
      </c>
      <c r="S833" t="s">
        <v>2053</v>
      </c>
      <c r="T833" t="s">
        <v>2054</v>
      </c>
    </row>
    <row r="834" spans="1:20" ht="15.75" customHeight="1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>Table1[[#This Row],[pledged]]/Table1[[#This Row],[goal]]</f>
        <v>3.1517592592592591</v>
      </c>
      <c r="G834" t="s">
        <v>20</v>
      </c>
      <c r="H834">
        <v>1297</v>
      </c>
      <c r="I834" t="s">
        <v>36</v>
      </c>
      <c r="J834" t="s">
        <v>37</v>
      </c>
      <c r="K834" s="12">
        <f>IF(OR(E834=0, H834=0), 0, E834/H834)</f>
        <v>104.97764070932922</v>
      </c>
      <c r="L834">
        <v>1445490000</v>
      </c>
      <c r="M834" s="10">
        <f>(((L834/60)/60)/24)+DATE(1970,1,1)</f>
        <v>42299.208333333328</v>
      </c>
      <c r="N834">
        <v>1448431200</v>
      </c>
      <c r="O834" s="10">
        <f>(((N834/60)/60)/24)+DATE(1970,1,1)</f>
        <v>42333.25</v>
      </c>
      <c r="P834" t="b">
        <v>1</v>
      </c>
      <c r="Q834" t="b">
        <v>0</v>
      </c>
      <c r="R834" t="s">
        <v>206</v>
      </c>
      <c r="S834" t="s">
        <v>2046</v>
      </c>
      <c r="T834" t="s">
        <v>2058</v>
      </c>
    </row>
    <row r="835" spans="1:20" ht="15.75" customHeight="1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>Table1[[#This Row],[pledged]]/Table1[[#This Row],[goal]]</f>
        <v>1.5769117647058823</v>
      </c>
      <c r="G835" t="s">
        <v>20</v>
      </c>
      <c r="H835">
        <v>165</v>
      </c>
      <c r="I835" t="s">
        <v>36</v>
      </c>
      <c r="J835" t="s">
        <v>37</v>
      </c>
      <c r="K835" s="12">
        <f>IF(OR(E835=0, H835=0), 0, E835/H835)</f>
        <v>64.987878787878785</v>
      </c>
      <c r="L835">
        <v>1297663200</v>
      </c>
      <c r="M835" s="10">
        <f>(((L835/60)/60)/24)+DATE(1970,1,1)</f>
        <v>40588.25</v>
      </c>
      <c r="N835">
        <v>1298613600</v>
      </c>
      <c r="O835" s="10">
        <f>(((N835/60)/60)/24)+DATE(1970,1,1)</f>
        <v>40599.25</v>
      </c>
      <c r="P835" t="b">
        <v>0</v>
      </c>
      <c r="Q835" t="b">
        <v>0</v>
      </c>
      <c r="R835" t="s">
        <v>206</v>
      </c>
      <c r="S835" t="s">
        <v>2046</v>
      </c>
      <c r="T835" t="s">
        <v>2058</v>
      </c>
    </row>
    <row r="836" spans="1:20" ht="15.75" customHeight="1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>Table1[[#This Row],[pledged]]/Table1[[#This Row],[goal]]</f>
        <v>1.5380821917808218</v>
      </c>
      <c r="G836" t="s">
        <v>20</v>
      </c>
      <c r="H836">
        <v>119</v>
      </c>
      <c r="I836" t="s">
        <v>21</v>
      </c>
      <c r="J836" t="s">
        <v>22</v>
      </c>
      <c r="K836" s="12">
        <f>IF(OR(E836=0, H836=0), 0, E836/H836)</f>
        <v>94.352941176470594</v>
      </c>
      <c r="L836">
        <v>1371963600</v>
      </c>
      <c r="M836" s="10">
        <f>(((L836/60)/60)/24)+DATE(1970,1,1)</f>
        <v>41448.208333333336</v>
      </c>
      <c r="N836">
        <v>1372482000</v>
      </c>
      <c r="O836" s="10">
        <f>(((N836/60)/60)/24)+DATE(1970,1,1)</f>
        <v>41454.208333333336</v>
      </c>
      <c r="P836" t="b">
        <v>0</v>
      </c>
      <c r="Q836" t="b">
        <v>0</v>
      </c>
      <c r="R836" t="s">
        <v>33</v>
      </c>
      <c r="S836" t="s">
        <v>2038</v>
      </c>
      <c r="T836" t="s">
        <v>2039</v>
      </c>
    </row>
    <row r="837" spans="1:20" ht="15.75" customHeight="1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>Table1[[#This Row],[pledged]]/Table1[[#This Row],[goal]]</f>
        <v>0.89738979118329465</v>
      </c>
      <c r="G837" t="s">
        <v>14</v>
      </c>
      <c r="H837">
        <v>1758</v>
      </c>
      <c r="I837" t="s">
        <v>21</v>
      </c>
      <c r="J837" t="s">
        <v>22</v>
      </c>
      <c r="K837" s="12">
        <f>IF(OR(E837=0, H837=0), 0, E837/H837)</f>
        <v>44.001706484641637</v>
      </c>
      <c r="L837">
        <v>1425103200</v>
      </c>
      <c r="M837" s="10">
        <f>(((L837/60)/60)/24)+DATE(1970,1,1)</f>
        <v>42063.25</v>
      </c>
      <c r="N837">
        <v>1425621600</v>
      </c>
      <c r="O837" s="10">
        <f>(((N837/60)/60)/24)+DATE(1970,1,1)</f>
        <v>42069.25</v>
      </c>
      <c r="P837" t="b">
        <v>0</v>
      </c>
      <c r="Q837" t="b">
        <v>0</v>
      </c>
      <c r="R837" t="s">
        <v>28</v>
      </c>
      <c r="S837" t="s">
        <v>2036</v>
      </c>
      <c r="T837" t="s">
        <v>2037</v>
      </c>
    </row>
    <row r="838" spans="1:20" ht="15.75" customHeight="1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>Table1[[#This Row],[pledged]]/Table1[[#This Row],[goal]]</f>
        <v>0.75135802469135804</v>
      </c>
      <c r="G838" t="s">
        <v>14</v>
      </c>
      <c r="H838">
        <v>94</v>
      </c>
      <c r="I838" t="s">
        <v>21</v>
      </c>
      <c r="J838" t="s">
        <v>22</v>
      </c>
      <c r="K838" s="12">
        <f>IF(OR(E838=0, H838=0), 0, E838/H838)</f>
        <v>64.744680851063833</v>
      </c>
      <c r="L838">
        <v>1265349600</v>
      </c>
      <c r="M838" s="10">
        <f>(((L838/60)/60)/24)+DATE(1970,1,1)</f>
        <v>40214.25</v>
      </c>
      <c r="N838">
        <v>1266300000</v>
      </c>
      <c r="O838" s="10">
        <f>(((N838/60)/60)/24)+DATE(1970,1,1)</f>
        <v>40225.25</v>
      </c>
      <c r="P838" t="b">
        <v>0</v>
      </c>
      <c r="Q838" t="b">
        <v>0</v>
      </c>
      <c r="R838" t="s">
        <v>60</v>
      </c>
      <c r="S838" t="s">
        <v>2034</v>
      </c>
      <c r="T838" t="s">
        <v>2044</v>
      </c>
    </row>
    <row r="839" spans="1:20" ht="15.75" customHeight="1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>Table1[[#This Row],[pledged]]/Table1[[#This Row],[goal]]</f>
        <v>8.5288135593220336</v>
      </c>
      <c r="G839" t="s">
        <v>20</v>
      </c>
      <c r="H839">
        <v>1797</v>
      </c>
      <c r="I839" t="s">
        <v>21</v>
      </c>
      <c r="J839" t="s">
        <v>22</v>
      </c>
      <c r="K839" s="12">
        <f>IF(OR(E839=0, H839=0), 0, E839/H839)</f>
        <v>84.00667779632721</v>
      </c>
      <c r="L839">
        <v>1301202000</v>
      </c>
      <c r="M839" s="10">
        <f>(((L839/60)/60)/24)+DATE(1970,1,1)</f>
        <v>40629.208333333336</v>
      </c>
      <c r="N839">
        <v>1305867600</v>
      </c>
      <c r="O839" s="10">
        <f>(((N839/60)/60)/24)+DATE(1970,1,1)</f>
        <v>40683.208333333336</v>
      </c>
      <c r="P839" t="b">
        <v>0</v>
      </c>
      <c r="Q839" t="b">
        <v>0</v>
      </c>
      <c r="R839" t="s">
        <v>159</v>
      </c>
      <c r="S839" t="s">
        <v>2034</v>
      </c>
      <c r="T839" t="s">
        <v>2057</v>
      </c>
    </row>
    <row r="840" spans="1:20" ht="15.75" customHeight="1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>Table1[[#This Row],[pledged]]/Table1[[#This Row],[goal]]</f>
        <v>1.3890625000000001</v>
      </c>
      <c r="G840" t="s">
        <v>20</v>
      </c>
      <c r="H840">
        <v>261</v>
      </c>
      <c r="I840" t="s">
        <v>21</v>
      </c>
      <c r="J840" t="s">
        <v>22</v>
      </c>
      <c r="K840" s="12">
        <f>IF(OR(E840=0, H840=0), 0, E840/H840)</f>
        <v>34.061302681992338</v>
      </c>
      <c r="L840">
        <v>1538024400</v>
      </c>
      <c r="M840" s="10">
        <f>(((L840/60)/60)/24)+DATE(1970,1,1)</f>
        <v>43370.208333333328</v>
      </c>
      <c r="N840">
        <v>1538802000</v>
      </c>
      <c r="O840" s="10">
        <f>(((N840/60)/60)/24)+DATE(1970,1,1)</f>
        <v>43379.208333333328</v>
      </c>
      <c r="P840" t="b">
        <v>0</v>
      </c>
      <c r="Q840" t="b">
        <v>0</v>
      </c>
      <c r="R840" t="s">
        <v>33</v>
      </c>
      <c r="S840" t="s">
        <v>2038</v>
      </c>
      <c r="T840" t="s">
        <v>2039</v>
      </c>
    </row>
    <row r="841" spans="1:20" ht="15.75" customHeight="1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>Table1[[#This Row],[pledged]]/Table1[[#This Row],[goal]]</f>
        <v>1.9018181818181819</v>
      </c>
      <c r="G841" t="s">
        <v>20</v>
      </c>
      <c r="H841">
        <v>157</v>
      </c>
      <c r="I841" t="s">
        <v>21</v>
      </c>
      <c r="J841" t="s">
        <v>22</v>
      </c>
      <c r="K841" s="12">
        <f>IF(OR(E841=0, H841=0), 0, E841/H841)</f>
        <v>93.273885350318466</v>
      </c>
      <c r="L841">
        <v>1395032400</v>
      </c>
      <c r="M841" s="10">
        <f>(((L841/60)/60)/24)+DATE(1970,1,1)</f>
        <v>41715.208333333336</v>
      </c>
      <c r="N841">
        <v>1398920400</v>
      </c>
      <c r="O841" s="10">
        <f>(((N841/60)/60)/24)+DATE(1970,1,1)</f>
        <v>41760.208333333336</v>
      </c>
      <c r="P841" t="b">
        <v>0</v>
      </c>
      <c r="Q841" t="b">
        <v>1</v>
      </c>
      <c r="R841" t="s">
        <v>42</v>
      </c>
      <c r="S841" t="s">
        <v>2040</v>
      </c>
      <c r="T841" t="s">
        <v>2041</v>
      </c>
    </row>
    <row r="842" spans="1:20" ht="15.75" customHeight="1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>Table1[[#This Row],[pledged]]/Table1[[#This Row],[goal]]</f>
        <v>1.0024333619948409</v>
      </c>
      <c r="G842" t="s">
        <v>20</v>
      </c>
      <c r="H842">
        <v>3533</v>
      </c>
      <c r="I842" t="s">
        <v>21</v>
      </c>
      <c r="J842" t="s">
        <v>22</v>
      </c>
      <c r="K842" s="12">
        <f>IF(OR(E842=0, H842=0), 0, E842/H842)</f>
        <v>32.998301726577978</v>
      </c>
      <c r="L842">
        <v>1405486800</v>
      </c>
      <c r="M842" s="10">
        <f>(((L842/60)/60)/24)+DATE(1970,1,1)</f>
        <v>41836.208333333336</v>
      </c>
      <c r="N842">
        <v>1405659600</v>
      </c>
      <c r="O842" s="10">
        <f>(((N842/60)/60)/24)+DATE(1970,1,1)</f>
        <v>41838.208333333336</v>
      </c>
      <c r="P842" t="b">
        <v>0</v>
      </c>
      <c r="Q842" t="b">
        <v>1</v>
      </c>
      <c r="R842" t="s">
        <v>33</v>
      </c>
      <c r="S842" t="s">
        <v>2038</v>
      </c>
      <c r="T842" t="s">
        <v>2039</v>
      </c>
    </row>
    <row r="843" spans="1:20" ht="15.75" customHeight="1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>Table1[[#This Row],[pledged]]/Table1[[#This Row],[goal]]</f>
        <v>1.4275824175824177</v>
      </c>
      <c r="G843" t="s">
        <v>20</v>
      </c>
      <c r="H843">
        <v>155</v>
      </c>
      <c r="I843" t="s">
        <v>21</v>
      </c>
      <c r="J843" t="s">
        <v>22</v>
      </c>
      <c r="K843" s="12">
        <f>IF(OR(E843=0, H843=0), 0, E843/H843)</f>
        <v>83.812903225806451</v>
      </c>
      <c r="L843">
        <v>1455861600</v>
      </c>
      <c r="M843" s="10">
        <f>(((L843/60)/60)/24)+DATE(1970,1,1)</f>
        <v>42419.25</v>
      </c>
      <c r="N843">
        <v>1457244000</v>
      </c>
      <c r="O843" s="10">
        <f>(((N843/60)/60)/24)+DATE(1970,1,1)</f>
        <v>42435.25</v>
      </c>
      <c r="P843" t="b">
        <v>0</v>
      </c>
      <c r="Q843" t="b">
        <v>0</v>
      </c>
      <c r="R843" t="s">
        <v>28</v>
      </c>
      <c r="S843" t="s">
        <v>2036</v>
      </c>
      <c r="T843" t="s">
        <v>2037</v>
      </c>
    </row>
    <row r="844" spans="1:20" ht="15.75" customHeight="1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>Table1[[#This Row],[pledged]]/Table1[[#This Row],[goal]]</f>
        <v>5.6313333333333331</v>
      </c>
      <c r="G844" t="s">
        <v>20</v>
      </c>
      <c r="H844">
        <v>132</v>
      </c>
      <c r="I844" t="s">
        <v>107</v>
      </c>
      <c r="J844" t="s">
        <v>108</v>
      </c>
      <c r="K844" s="12">
        <f>IF(OR(E844=0, H844=0), 0, E844/H844)</f>
        <v>63.992424242424242</v>
      </c>
      <c r="L844">
        <v>1529038800</v>
      </c>
      <c r="M844" s="10">
        <f>(((L844/60)/60)/24)+DATE(1970,1,1)</f>
        <v>43266.208333333328</v>
      </c>
      <c r="N844">
        <v>1529298000</v>
      </c>
      <c r="O844" s="10">
        <f>(((N844/60)/60)/24)+DATE(1970,1,1)</f>
        <v>43269.208333333328</v>
      </c>
      <c r="P844" t="b">
        <v>0</v>
      </c>
      <c r="Q844" t="b">
        <v>0</v>
      </c>
      <c r="R844" t="s">
        <v>65</v>
      </c>
      <c r="S844" t="s">
        <v>2036</v>
      </c>
      <c r="T844" t="s">
        <v>2045</v>
      </c>
    </row>
    <row r="845" spans="1:20" ht="15.75" customHeight="1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>Table1[[#This Row],[pledged]]/Table1[[#This Row],[goal]]</f>
        <v>0.30715909090909088</v>
      </c>
      <c r="G845" t="s">
        <v>14</v>
      </c>
      <c r="H845">
        <v>33</v>
      </c>
      <c r="I845" t="s">
        <v>21</v>
      </c>
      <c r="J845" t="s">
        <v>22</v>
      </c>
      <c r="K845" s="12">
        <f>IF(OR(E845=0, H845=0), 0, E845/H845)</f>
        <v>81.909090909090907</v>
      </c>
      <c r="L845">
        <v>1535259600</v>
      </c>
      <c r="M845" s="10">
        <f>(((L845/60)/60)/24)+DATE(1970,1,1)</f>
        <v>43338.208333333328</v>
      </c>
      <c r="N845">
        <v>1535778000</v>
      </c>
      <c r="O845" s="10">
        <f>(((N845/60)/60)/24)+DATE(1970,1,1)</f>
        <v>43344.208333333328</v>
      </c>
      <c r="P845" t="b">
        <v>0</v>
      </c>
      <c r="Q845" t="b">
        <v>0</v>
      </c>
      <c r="R845" t="s">
        <v>122</v>
      </c>
      <c r="S845" t="s">
        <v>2053</v>
      </c>
      <c r="T845" t="s">
        <v>2054</v>
      </c>
    </row>
    <row r="846" spans="1:20" ht="15.75" customHeight="1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>Table1[[#This Row],[pledged]]/Table1[[#This Row],[goal]]</f>
        <v>0.99397727272727276</v>
      </c>
      <c r="G846" t="s">
        <v>74</v>
      </c>
      <c r="H846">
        <v>94</v>
      </c>
      <c r="I846" t="s">
        <v>21</v>
      </c>
      <c r="J846" t="s">
        <v>22</v>
      </c>
      <c r="K846" s="12">
        <f>IF(OR(E846=0, H846=0), 0, E846/H846)</f>
        <v>93.053191489361708</v>
      </c>
      <c r="L846">
        <v>1327212000</v>
      </c>
      <c r="M846" s="10">
        <f>(((L846/60)/60)/24)+DATE(1970,1,1)</f>
        <v>40930.25</v>
      </c>
      <c r="N846">
        <v>1327471200</v>
      </c>
      <c r="O846" s="10">
        <f>(((N846/60)/60)/24)+DATE(1970,1,1)</f>
        <v>40933.25</v>
      </c>
      <c r="P846" t="b">
        <v>0</v>
      </c>
      <c r="Q846" t="b">
        <v>0</v>
      </c>
      <c r="R846" t="s">
        <v>42</v>
      </c>
      <c r="S846" t="s">
        <v>2040</v>
      </c>
      <c r="T846" t="s">
        <v>2041</v>
      </c>
    </row>
    <row r="847" spans="1:20" ht="15.75" customHeight="1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>Table1[[#This Row],[pledged]]/Table1[[#This Row],[goal]]</f>
        <v>1.9754935622317598</v>
      </c>
      <c r="G847" t="s">
        <v>20</v>
      </c>
      <c r="H847">
        <v>1354</v>
      </c>
      <c r="I847" t="s">
        <v>40</v>
      </c>
      <c r="J847" t="s">
        <v>41</v>
      </c>
      <c r="K847" s="12">
        <f>IF(OR(E847=0, H847=0), 0, E847/H847)</f>
        <v>101.98449039881831</v>
      </c>
      <c r="L847">
        <v>1526360400</v>
      </c>
      <c r="M847" s="10">
        <f>(((L847/60)/60)/24)+DATE(1970,1,1)</f>
        <v>43235.208333333328</v>
      </c>
      <c r="N847">
        <v>1529557200</v>
      </c>
      <c r="O847" s="10">
        <f>(((N847/60)/60)/24)+DATE(1970,1,1)</f>
        <v>43272.208333333328</v>
      </c>
      <c r="P847" t="b">
        <v>0</v>
      </c>
      <c r="Q847" t="b">
        <v>0</v>
      </c>
      <c r="R847" t="s">
        <v>28</v>
      </c>
      <c r="S847" t="s">
        <v>2036</v>
      </c>
      <c r="T847" t="s">
        <v>2037</v>
      </c>
    </row>
    <row r="848" spans="1:20" ht="15.75" customHeight="1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>Table1[[#This Row],[pledged]]/Table1[[#This Row],[goal]]</f>
        <v>5.085</v>
      </c>
      <c r="G848" t="s">
        <v>20</v>
      </c>
      <c r="H848">
        <v>48</v>
      </c>
      <c r="I848" t="s">
        <v>21</v>
      </c>
      <c r="J848" t="s">
        <v>22</v>
      </c>
      <c r="K848" s="12">
        <f>IF(OR(E848=0, H848=0), 0, E848/H848)</f>
        <v>105.9375</v>
      </c>
      <c r="L848">
        <v>1532149200</v>
      </c>
      <c r="M848" s="10">
        <f>(((L848/60)/60)/24)+DATE(1970,1,1)</f>
        <v>43302.208333333328</v>
      </c>
      <c r="N848">
        <v>1535259600</v>
      </c>
      <c r="O848" s="10">
        <f>(((N848/60)/60)/24)+DATE(1970,1,1)</f>
        <v>43338.208333333328</v>
      </c>
      <c r="P848" t="b">
        <v>1</v>
      </c>
      <c r="Q848" t="b">
        <v>1</v>
      </c>
      <c r="R848" t="s">
        <v>28</v>
      </c>
      <c r="S848" t="s">
        <v>2036</v>
      </c>
      <c r="T848" t="s">
        <v>2037</v>
      </c>
    </row>
    <row r="849" spans="1:20" ht="15.75" customHeight="1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>Table1[[#This Row],[pledged]]/Table1[[#This Row],[goal]]</f>
        <v>2.3774468085106384</v>
      </c>
      <c r="G849" t="s">
        <v>20</v>
      </c>
      <c r="H849">
        <v>110</v>
      </c>
      <c r="I849" t="s">
        <v>21</v>
      </c>
      <c r="J849" t="s">
        <v>22</v>
      </c>
      <c r="K849" s="12">
        <f>IF(OR(E849=0, H849=0), 0, E849/H849)</f>
        <v>101.58181818181818</v>
      </c>
      <c r="L849">
        <v>1515304800</v>
      </c>
      <c r="M849" s="10">
        <f>(((L849/60)/60)/24)+DATE(1970,1,1)</f>
        <v>43107.25</v>
      </c>
      <c r="N849">
        <v>1515564000</v>
      </c>
      <c r="O849" s="10">
        <f>(((N849/60)/60)/24)+DATE(1970,1,1)</f>
        <v>43110.25</v>
      </c>
      <c r="P849" t="b">
        <v>0</v>
      </c>
      <c r="Q849" t="b">
        <v>0</v>
      </c>
      <c r="R849" t="s">
        <v>17</v>
      </c>
      <c r="S849" t="s">
        <v>2032</v>
      </c>
      <c r="T849" t="s">
        <v>2033</v>
      </c>
    </row>
    <row r="850" spans="1:20" ht="15.75" customHeight="1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>Table1[[#This Row],[pledged]]/Table1[[#This Row],[goal]]</f>
        <v>3.3846875000000001</v>
      </c>
      <c r="G850" t="s">
        <v>20</v>
      </c>
      <c r="H850">
        <v>172</v>
      </c>
      <c r="I850" t="s">
        <v>21</v>
      </c>
      <c r="J850" t="s">
        <v>22</v>
      </c>
      <c r="K850" s="12">
        <f>IF(OR(E850=0, H850=0), 0, E850/H850)</f>
        <v>62.970930232558139</v>
      </c>
      <c r="L850">
        <v>1276318800</v>
      </c>
      <c r="M850" s="10">
        <f>(((L850/60)/60)/24)+DATE(1970,1,1)</f>
        <v>40341.208333333336</v>
      </c>
      <c r="N850">
        <v>1277096400</v>
      </c>
      <c r="O850" s="10">
        <f>(((N850/60)/60)/24)+DATE(1970,1,1)</f>
        <v>40350.208333333336</v>
      </c>
      <c r="P850" t="b">
        <v>0</v>
      </c>
      <c r="Q850" t="b">
        <v>0</v>
      </c>
      <c r="R850" t="s">
        <v>53</v>
      </c>
      <c r="S850" t="s">
        <v>2040</v>
      </c>
      <c r="T850" t="s">
        <v>2043</v>
      </c>
    </row>
    <row r="851" spans="1:20" ht="15.75" customHeight="1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>Table1[[#This Row],[pledged]]/Table1[[#This Row],[goal]]</f>
        <v>1.3308955223880596</v>
      </c>
      <c r="G851" t="s">
        <v>20</v>
      </c>
      <c r="H851">
        <v>307</v>
      </c>
      <c r="I851" t="s">
        <v>21</v>
      </c>
      <c r="J851" t="s">
        <v>22</v>
      </c>
      <c r="K851" s="12">
        <f>IF(OR(E851=0, H851=0), 0, E851/H851)</f>
        <v>29.045602605863191</v>
      </c>
      <c r="L851">
        <v>1328767200</v>
      </c>
      <c r="M851" s="10">
        <f>(((L851/60)/60)/24)+DATE(1970,1,1)</f>
        <v>40948.25</v>
      </c>
      <c r="N851">
        <v>1329026400</v>
      </c>
      <c r="O851" s="10">
        <f>(((N851/60)/60)/24)+DATE(1970,1,1)</f>
        <v>40951.25</v>
      </c>
      <c r="P851" t="b">
        <v>0</v>
      </c>
      <c r="Q851" t="b">
        <v>1</v>
      </c>
      <c r="R851" t="s">
        <v>60</v>
      </c>
      <c r="S851" t="s">
        <v>2034</v>
      </c>
      <c r="T851" t="s">
        <v>2044</v>
      </c>
    </row>
    <row r="852" spans="1:20" ht="15.75" customHeight="1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>Table1[[#This Row],[pledged]]/Table1[[#This Row],[goal]]</f>
        <v>0.01</v>
      </c>
      <c r="G852" t="s">
        <v>14</v>
      </c>
      <c r="H852">
        <v>1</v>
      </c>
      <c r="I852" t="s">
        <v>21</v>
      </c>
      <c r="J852" t="s">
        <v>22</v>
      </c>
      <c r="K852" s="12">
        <f>IF(OR(E852=0, H852=0), 0, E852/H852)</f>
        <v>1</v>
      </c>
      <c r="L852">
        <v>1321682400</v>
      </c>
      <c r="M852" s="10">
        <f>(((L852/60)/60)/24)+DATE(1970,1,1)</f>
        <v>40866.25</v>
      </c>
      <c r="N852">
        <v>1322978400</v>
      </c>
      <c r="O852" s="10">
        <f>(((N852/60)/60)/24)+DATE(1970,1,1)</f>
        <v>40881.25</v>
      </c>
      <c r="P852" t="b">
        <v>1</v>
      </c>
      <c r="Q852" t="b">
        <v>0</v>
      </c>
      <c r="R852" t="s">
        <v>23</v>
      </c>
      <c r="S852" t="s">
        <v>2034</v>
      </c>
      <c r="T852" t="s">
        <v>2035</v>
      </c>
    </row>
    <row r="853" spans="1:20" ht="15.75" customHeight="1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>Table1[[#This Row],[pledged]]/Table1[[#This Row],[goal]]</f>
        <v>2.0779999999999998</v>
      </c>
      <c r="G853" t="s">
        <v>20</v>
      </c>
      <c r="H853">
        <v>160</v>
      </c>
      <c r="I853" t="s">
        <v>21</v>
      </c>
      <c r="J853" t="s">
        <v>22</v>
      </c>
      <c r="K853" s="12">
        <f>IF(OR(E853=0, H853=0), 0, E853/H853)</f>
        <v>77.924999999999997</v>
      </c>
      <c r="L853">
        <v>1335934800</v>
      </c>
      <c r="M853" s="10">
        <f>(((L853/60)/60)/24)+DATE(1970,1,1)</f>
        <v>41031.208333333336</v>
      </c>
      <c r="N853">
        <v>1338786000</v>
      </c>
      <c r="O853" s="10">
        <f>(((N853/60)/60)/24)+DATE(1970,1,1)</f>
        <v>41064.208333333336</v>
      </c>
      <c r="P853" t="b">
        <v>0</v>
      </c>
      <c r="Q853" t="b">
        <v>0</v>
      </c>
      <c r="R853" t="s">
        <v>50</v>
      </c>
      <c r="S853" t="s">
        <v>2034</v>
      </c>
      <c r="T853" t="s">
        <v>2042</v>
      </c>
    </row>
    <row r="854" spans="1:20" ht="15.75" customHeight="1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>Table1[[#This Row],[pledged]]/Table1[[#This Row],[goal]]</f>
        <v>0.51122448979591839</v>
      </c>
      <c r="G854" t="s">
        <v>14</v>
      </c>
      <c r="H854">
        <v>31</v>
      </c>
      <c r="I854" t="s">
        <v>21</v>
      </c>
      <c r="J854" t="s">
        <v>22</v>
      </c>
      <c r="K854" s="12">
        <f>IF(OR(E854=0, H854=0), 0, E854/H854)</f>
        <v>80.806451612903231</v>
      </c>
      <c r="L854">
        <v>1310792400</v>
      </c>
      <c r="M854" s="10">
        <f>(((L854/60)/60)/24)+DATE(1970,1,1)</f>
        <v>40740.208333333336</v>
      </c>
      <c r="N854">
        <v>1311656400</v>
      </c>
      <c r="O854" s="10">
        <f>(((N854/60)/60)/24)+DATE(1970,1,1)</f>
        <v>40750.208333333336</v>
      </c>
      <c r="P854" t="b">
        <v>0</v>
      </c>
      <c r="Q854" t="b">
        <v>1</v>
      </c>
      <c r="R854" t="s">
        <v>89</v>
      </c>
      <c r="S854" t="s">
        <v>2049</v>
      </c>
      <c r="T854" t="s">
        <v>2050</v>
      </c>
    </row>
    <row r="855" spans="1:20" ht="15.75" customHeight="1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>Table1[[#This Row],[pledged]]/Table1[[#This Row],[goal]]</f>
        <v>6.5205847953216374</v>
      </c>
      <c r="G855" t="s">
        <v>20</v>
      </c>
      <c r="H855">
        <v>1467</v>
      </c>
      <c r="I855" t="s">
        <v>15</v>
      </c>
      <c r="J855" t="s">
        <v>16</v>
      </c>
      <c r="K855" s="12">
        <f>IF(OR(E855=0, H855=0), 0, E855/H855)</f>
        <v>76.006816632583508</v>
      </c>
      <c r="L855">
        <v>1308546000</v>
      </c>
      <c r="M855" s="10">
        <f>(((L855/60)/60)/24)+DATE(1970,1,1)</f>
        <v>40714.208333333336</v>
      </c>
      <c r="N855">
        <v>1308978000</v>
      </c>
      <c r="O855" s="10">
        <f>(((N855/60)/60)/24)+DATE(1970,1,1)</f>
        <v>40719.208333333336</v>
      </c>
      <c r="P855" t="b">
        <v>0</v>
      </c>
      <c r="Q855" t="b">
        <v>1</v>
      </c>
      <c r="R855" t="s">
        <v>60</v>
      </c>
      <c r="S855" t="s">
        <v>2034</v>
      </c>
      <c r="T855" t="s">
        <v>2044</v>
      </c>
    </row>
    <row r="856" spans="1:20" ht="15.75" customHeight="1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>Table1[[#This Row],[pledged]]/Table1[[#This Row],[goal]]</f>
        <v>1.1363099415204678</v>
      </c>
      <c r="G856" t="s">
        <v>20</v>
      </c>
      <c r="H856">
        <v>2662</v>
      </c>
      <c r="I856" t="s">
        <v>15</v>
      </c>
      <c r="J856" t="s">
        <v>16</v>
      </c>
      <c r="K856" s="12">
        <f>IF(OR(E856=0, H856=0), 0, E856/H856)</f>
        <v>72.993613824192337</v>
      </c>
      <c r="L856">
        <v>1574056800</v>
      </c>
      <c r="M856" s="10">
        <f>(((L856/60)/60)/24)+DATE(1970,1,1)</f>
        <v>43787.25</v>
      </c>
      <c r="N856">
        <v>1576389600</v>
      </c>
      <c r="O856" s="10">
        <f>(((N856/60)/60)/24)+DATE(1970,1,1)</f>
        <v>43814.25</v>
      </c>
      <c r="P856" t="b">
        <v>0</v>
      </c>
      <c r="Q856" t="b">
        <v>0</v>
      </c>
      <c r="R856" t="s">
        <v>119</v>
      </c>
      <c r="S856" t="s">
        <v>2046</v>
      </c>
      <c r="T856" t="s">
        <v>2052</v>
      </c>
    </row>
    <row r="857" spans="1:20" ht="15.75" customHeight="1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>Table1[[#This Row],[pledged]]/Table1[[#This Row],[goal]]</f>
        <v>1.0237606837606839</v>
      </c>
      <c r="G857" t="s">
        <v>20</v>
      </c>
      <c r="H857">
        <v>452</v>
      </c>
      <c r="I857" t="s">
        <v>26</v>
      </c>
      <c r="J857" t="s">
        <v>27</v>
      </c>
      <c r="K857" s="12">
        <f>IF(OR(E857=0, H857=0), 0, E857/H857)</f>
        <v>53</v>
      </c>
      <c r="L857">
        <v>1308373200</v>
      </c>
      <c r="M857" s="10">
        <f>(((L857/60)/60)/24)+DATE(1970,1,1)</f>
        <v>40712.208333333336</v>
      </c>
      <c r="N857">
        <v>1311051600</v>
      </c>
      <c r="O857" s="10">
        <f>(((N857/60)/60)/24)+DATE(1970,1,1)</f>
        <v>40743.208333333336</v>
      </c>
      <c r="P857" t="b">
        <v>0</v>
      </c>
      <c r="Q857" t="b">
        <v>0</v>
      </c>
      <c r="R857" t="s">
        <v>33</v>
      </c>
      <c r="S857" t="s">
        <v>2038</v>
      </c>
      <c r="T857" t="s">
        <v>2039</v>
      </c>
    </row>
    <row r="858" spans="1:20" ht="15.75" customHeight="1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>Table1[[#This Row],[pledged]]/Table1[[#This Row],[goal]]</f>
        <v>3.5658333333333334</v>
      </c>
      <c r="G858" t="s">
        <v>20</v>
      </c>
      <c r="H858">
        <v>158</v>
      </c>
      <c r="I858" t="s">
        <v>21</v>
      </c>
      <c r="J858" t="s">
        <v>22</v>
      </c>
      <c r="K858" s="12">
        <f>IF(OR(E858=0, H858=0), 0, E858/H858)</f>
        <v>54.164556962025316</v>
      </c>
      <c r="L858">
        <v>1335243600</v>
      </c>
      <c r="M858" s="10">
        <f>(((L858/60)/60)/24)+DATE(1970,1,1)</f>
        <v>41023.208333333336</v>
      </c>
      <c r="N858">
        <v>1336712400</v>
      </c>
      <c r="O858" s="10">
        <f>(((N858/60)/60)/24)+DATE(1970,1,1)</f>
        <v>41040.208333333336</v>
      </c>
      <c r="P858" t="b">
        <v>0</v>
      </c>
      <c r="Q858" t="b">
        <v>0</v>
      </c>
      <c r="R858" t="s">
        <v>17</v>
      </c>
      <c r="S858" t="s">
        <v>2032</v>
      </c>
      <c r="T858" t="s">
        <v>2033</v>
      </c>
    </row>
    <row r="859" spans="1:20" ht="15.75" customHeight="1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>Table1[[#This Row],[pledged]]/Table1[[#This Row],[goal]]</f>
        <v>1.3986792452830188</v>
      </c>
      <c r="G859" t="s">
        <v>20</v>
      </c>
      <c r="H859">
        <v>225</v>
      </c>
      <c r="I859" t="s">
        <v>98</v>
      </c>
      <c r="J859" t="s">
        <v>99</v>
      </c>
      <c r="K859" s="12">
        <f>IF(OR(E859=0, H859=0), 0, E859/H859)</f>
        <v>32.946666666666665</v>
      </c>
      <c r="L859">
        <v>1328421600</v>
      </c>
      <c r="M859" s="10">
        <f>(((L859/60)/60)/24)+DATE(1970,1,1)</f>
        <v>40944.25</v>
      </c>
      <c r="N859">
        <v>1330408800</v>
      </c>
      <c r="O859" s="10">
        <f>(((N859/60)/60)/24)+DATE(1970,1,1)</f>
        <v>40967.25</v>
      </c>
      <c r="P859" t="b">
        <v>1</v>
      </c>
      <c r="Q859" t="b">
        <v>0</v>
      </c>
      <c r="R859" t="s">
        <v>100</v>
      </c>
      <c r="S859" t="s">
        <v>2040</v>
      </c>
      <c r="T859" t="s">
        <v>2051</v>
      </c>
    </row>
    <row r="860" spans="1:20" ht="15.75" customHeight="1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>Table1[[#This Row],[pledged]]/Table1[[#This Row],[goal]]</f>
        <v>0.69450000000000001</v>
      </c>
      <c r="G860" t="s">
        <v>14</v>
      </c>
      <c r="H860">
        <v>35</v>
      </c>
      <c r="I860" t="s">
        <v>21</v>
      </c>
      <c r="J860" t="s">
        <v>22</v>
      </c>
      <c r="K860" s="12">
        <f>IF(OR(E860=0, H860=0), 0, E860/H860)</f>
        <v>79.371428571428567</v>
      </c>
      <c r="L860">
        <v>1524286800</v>
      </c>
      <c r="M860" s="10">
        <f>(((L860/60)/60)/24)+DATE(1970,1,1)</f>
        <v>43211.208333333328</v>
      </c>
      <c r="N860">
        <v>1524891600</v>
      </c>
      <c r="O860" s="10">
        <f>(((N860/60)/60)/24)+DATE(1970,1,1)</f>
        <v>43218.208333333328</v>
      </c>
      <c r="P860" t="b">
        <v>1</v>
      </c>
      <c r="Q860" t="b">
        <v>0</v>
      </c>
      <c r="R860" t="s">
        <v>17</v>
      </c>
      <c r="S860" t="s">
        <v>2032</v>
      </c>
      <c r="T860" t="s">
        <v>2033</v>
      </c>
    </row>
    <row r="861" spans="1:20" ht="15.75" customHeight="1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>Table1[[#This Row],[pledged]]/Table1[[#This Row],[goal]]</f>
        <v>0.35534246575342465</v>
      </c>
      <c r="G861" t="s">
        <v>14</v>
      </c>
      <c r="H861">
        <v>63</v>
      </c>
      <c r="I861" t="s">
        <v>21</v>
      </c>
      <c r="J861" t="s">
        <v>22</v>
      </c>
      <c r="K861" s="12">
        <f>IF(OR(E861=0, H861=0), 0, E861/H861)</f>
        <v>41.174603174603178</v>
      </c>
      <c r="L861">
        <v>1362117600</v>
      </c>
      <c r="M861" s="10">
        <f>(((L861/60)/60)/24)+DATE(1970,1,1)</f>
        <v>41334.25</v>
      </c>
      <c r="N861">
        <v>1363669200</v>
      </c>
      <c r="O861" s="10">
        <f>(((N861/60)/60)/24)+DATE(1970,1,1)</f>
        <v>41352.208333333336</v>
      </c>
      <c r="P861" t="b">
        <v>0</v>
      </c>
      <c r="Q861" t="b">
        <v>1</v>
      </c>
      <c r="R861" t="s">
        <v>33</v>
      </c>
      <c r="S861" t="s">
        <v>2038</v>
      </c>
      <c r="T861" t="s">
        <v>2039</v>
      </c>
    </row>
    <row r="862" spans="1:20" ht="15.75" customHeight="1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>Table1[[#This Row],[pledged]]/Table1[[#This Row],[goal]]</f>
        <v>2.5165000000000002</v>
      </c>
      <c r="G862" t="s">
        <v>20</v>
      </c>
      <c r="H862">
        <v>65</v>
      </c>
      <c r="I862" t="s">
        <v>21</v>
      </c>
      <c r="J862" t="s">
        <v>22</v>
      </c>
      <c r="K862" s="12">
        <f>IF(OR(E862=0, H862=0), 0, E862/H862)</f>
        <v>77.430769230769229</v>
      </c>
      <c r="L862">
        <v>1550556000</v>
      </c>
      <c r="M862" s="10">
        <f>(((L862/60)/60)/24)+DATE(1970,1,1)</f>
        <v>43515.25</v>
      </c>
      <c r="N862">
        <v>1551420000</v>
      </c>
      <c r="O862" s="10">
        <f>(((N862/60)/60)/24)+DATE(1970,1,1)</f>
        <v>43525.25</v>
      </c>
      <c r="P862" t="b">
        <v>0</v>
      </c>
      <c r="Q862" t="b">
        <v>1</v>
      </c>
      <c r="R862" t="s">
        <v>65</v>
      </c>
      <c r="S862" t="s">
        <v>2036</v>
      </c>
      <c r="T862" t="s">
        <v>2045</v>
      </c>
    </row>
    <row r="863" spans="1:20" ht="15.75" customHeight="1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>Table1[[#This Row],[pledged]]/Table1[[#This Row],[goal]]</f>
        <v>1.0587500000000001</v>
      </c>
      <c r="G863" t="s">
        <v>20</v>
      </c>
      <c r="H863">
        <v>163</v>
      </c>
      <c r="I863" t="s">
        <v>21</v>
      </c>
      <c r="J863" t="s">
        <v>22</v>
      </c>
      <c r="K863" s="12">
        <f>IF(OR(E863=0, H863=0), 0, E863/H863)</f>
        <v>57.159509202453989</v>
      </c>
      <c r="L863">
        <v>1269147600</v>
      </c>
      <c r="M863" s="10">
        <f>(((L863/60)/60)/24)+DATE(1970,1,1)</f>
        <v>40258.208333333336</v>
      </c>
      <c r="N863">
        <v>1269838800</v>
      </c>
      <c r="O863" s="10">
        <f>(((N863/60)/60)/24)+DATE(1970,1,1)</f>
        <v>40266.208333333336</v>
      </c>
      <c r="P863" t="b">
        <v>0</v>
      </c>
      <c r="Q863" t="b">
        <v>0</v>
      </c>
      <c r="R863" t="s">
        <v>33</v>
      </c>
      <c r="S863" t="s">
        <v>2038</v>
      </c>
      <c r="T863" t="s">
        <v>2039</v>
      </c>
    </row>
    <row r="864" spans="1:20" ht="15.75" customHeight="1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>Table1[[#This Row],[pledged]]/Table1[[#This Row],[goal]]</f>
        <v>1.8742857142857143</v>
      </c>
      <c r="G864" t="s">
        <v>20</v>
      </c>
      <c r="H864">
        <v>85</v>
      </c>
      <c r="I864" t="s">
        <v>21</v>
      </c>
      <c r="J864" t="s">
        <v>22</v>
      </c>
      <c r="K864" s="12">
        <f>IF(OR(E864=0, H864=0), 0, E864/H864)</f>
        <v>77.17647058823529</v>
      </c>
      <c r="L864">
        <v>1312174800</v>
      </c>
      <c r="M864" s="10">
        <f>(((L864/60)/60)/24)+DATE(1970,1,1)</f>
        <v>40756.208333333336</v>
      </c>
      <c r="N864">
        <v>1312520400</v>
      </c>
      <c r="O864" s="10">
        <f>(((N864/60)/60)/24)+DATE(1970,1,1)</f>
        <v>40760.208333333336</v>
      </c>
      <c r="P864" t="b">
        <v>0</v>
      </c>
      <c r="Q864" t="b">
        <v>0</v>
      </c>
      <c r="R864" t="s">
        <v>33</v>
      </c>
      <c r="S864" t="s">
        <v>2038</v>
      </c>
      <c r="T864" t="s">
        <v>2039</v>
      </c>
    </row>
    <row r="865" spans="1:20" ht="15.75" customHeight="1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>Table1[[#This Row],[pledged]]/Table1[[#This Row],[goal]]</f>
        <v>3.8678571428571429</v>
      </c>
      <c r="G865" t="s">
        <v>20</v>
      </c>
      <c r="H865">
        <v>217</v>
      </c>
      <c r="I865" t="s">
        <v>21</v>
      </c>
      <c r="J865" t="s">
        <v>22</v>
      </c>
      <c r="K865" s="12">
        <f>IF(OR(E865=0, H865=0), 0, E865/H865)</f>
        <v>24.953917050691246</v>
      </c>
      <c r="L865">
        <v>1434517200</v>
      </c>
      <c r="M865" s="10">
        <f>(((L865/60)/60)/24)+DATE(1970,1,1)</f>
        <v>42172.208333333328</v>
      </c>
      <c r="N865">
        <v>1436504400</v>
      </c>
      <c r="O865" s="10">
        <f>(((N865/60)/60)/24)+DATE(1970,1,1)</f>
        <v>42195.208333333328</v>
      </c>
      <c r="P865" t="b">
        <v>0</v>
      </c>
      <c r="Q865" t="b">
        <v>1</v>
      </c>
      <c r="R865" t="s">
        <v>269</v>
      </c>
      <c r="S865" t="s">
        <v>2040</v>
      </c>
      <c r="T865" t="s">
        <v>2059</v>
      </c>
    </row>
    <row r="866" spans="1:20" ht="15.75" customHeight="1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>Table1[[#This Row],[pledged]]/Table1[[#This Row],[goal]]</f>
        <v>3.4707142857142856</v>
      </c>
      <c r="G866" t="s">
        <v>20</v>
      </c>
      <c r="H866">
        <v>150</v>
      </c>
      <c r="I866" t="s">
        <v>21</v>
      </c>
      <c r="J866" t="s">
        <v>22</v>
      </c>
      <c r="K866" s="12">
        <f>IF(OR(E866=0, H866=0), 0, E866/H866)</f>
        <v>97.18</v>
      </c>
      <c r="L866">
        <v>1471582800</v>
      </c>
      <c r="M866" s="10">
        <f>(((L866/60)/60)/24)+DATE(1970,1,1)</f>
        <v>42601.208333333328</v>
      </c>
      <c r="N866">
        <v>1472014800</v>
      </c>
      <c r="O866" s="10">
        <f>(((N866/60)/60)/24)+DATE(1970,1,1)</f>
        <v>42606.208333333328</v>
      </c>
      <c r="P866" t="b">
        <v>0</v>
      </c>
      <c r="Q866" t="b">
        <v>0</v>
      </c>
      <c r="R866" t="s">
        <v>100</v>
      </c>
      <c r="S866" t="s">
        <v>2040</v>
      </c>
      <c r="T866" t="s">
        <v>2051</v>
      </c>
    </row>
    <row r="867" spans="1:20" ht="15.75" customHeight="1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>Table1[[#This Row],[pledged]]/Table1[[#This Row],[goal]]</f>
        <v>1.8582098765432098</v>
      </c>
      <c r="G867" t="s">
        <v>20</v>
      </c>
      <c r="H867">
        <v>3272</v>
      </c>
      <c r="I867" t="s">
        <v>21</v>
      </c>
      <c r="J867" t="s">
        <v>22</v>
      </c>
      <c r="K867" s="12">
        <f>IF(OR(E867=0, H867=0), 0, E867/H867)</f>
        <v>46.000916870415651</v>
      </c>
      <c r="L867">
        <v>1410757200</v>
      </c>
      <c r="M867" s="10">
        <f>(((L867/60)/60)/24)+DATE(1970,1,1)</f>
        <v>41897.208333333336</v>
      </c>
      <c r="N867">
        <v>1411534800</v>
      </c>
      <c r="O867" s="10">
        <f>(((N867/60)/60)/24)+DATE(1970,1,1)</f>
        <v>41906.208333333336</v>
      </c>
      <c r="P867" t="b">
        <v>0</v>
      </c>
      <c r="Q867" t="b">
        <v>0</v>
      </c>
      <c r="R867" t="s">
        <v>33</v>
      </c>
      <c r="S867" t="s">
        <v>2038</v>
      </c>
      <c r="T867" t="s">
        <v>2039</v>
      </c>
    </row>
    <row r="868" spans="1:20" ht="15.75" customHeight="1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>Table1[[#This Row],[pledged]]/Table1[[#This Row],[goal]]</f>
        <v>0.43241247264770238</v>
      </c>
      <c r="G868" t="s">
        <v>74</v>
      </c>
      <c r="H868">
        <v>898</v>
      </c>
      <c r="I868" t="s">
        <v>21</v>
      </c>
      <c r="J868" t="s">
        <v>22</v>
      </c>
      <c r="K868" s="12">
        <f>IF(OR(E868=0, H868=0), 0, E868/H868)</f>
        <v>88.023385300668153</v>
      </c>
      <c r="L868">
        <v>1304830800</v>
      </c>
      <c r="M868" s="10">
        <f>(((L868/60)/60)/24)+DATE(1970,1,1)</f>
        <v>40671.208333333336</v>
      </c>
      <c r="N868">
        <v>1304917200</v>
      </c>
      <c r="O868" s="10">
        <f>(((N868/60)/60)/24)+DATE(1970,1,1)</f>
        <v>40672.208333333336</v>
      </c>
      <c r="P868" t="b">
        <v>0</v>
      </c>
      <c r="Q868" t="b">
        <v>0</v>
      </c>
      <c r="R868" t="s">
        <v>122</v>
      </c>
      <c r="S868" t="s">
        <v>2053</v>
      </c>
      <c r="T868" t="s">
        <v>2054</v>
      </c>
    </row>
    <row r="869" spans="1:20" ht="15.75" customHeight="1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>Table1[[#This Row],[pledged]]/Table1[[#This Row],[goal]]</f>
        <v>1.6243749999999999</v>
      </c>
      <c r="G869" t="s">
        <v>20</v>
      </c>
      <c r="H869">
        <v>300</v>
      </c>
      <c r="I869" t="s">
        <v>21</v>
      </c>
      <c r="J869" t="s">
        <v>22</v>
      </c>
      <c r="K869" s="12">
        <f>IF(OR(E869=0, H869=0), 0, E869/H869)</f>
        <v>25.99</v>
      </c>
      <c r="L869">
        <v>1539061200</v>
      </c>
      <c r="M869" s="10">
        <f>(((L869/60)/60)/24)+DATE(1970,1,1)</f>
        <v>43382.208333333328</v>
      </c>
      <c r="N869">
        <v>1539579600</v>
      </c>
      <c r="O869" s="10">
        <f>(((N869/60)/60)/24)+DATE(1970,1,1)</f>
        <v>43388.208333333328</v>
      </c>
      <c r="P869" t="b">
        <v>0</v>
      </c>
      <c r="Q869" t="b">
        <v>0</v>
      </c>
      <c r="R869" t="s">
        <v>17</v>
      </c>
      <c r="S869" t="s">
        <v>2032</v>
      </c>
      <c r="T869" t="s">
        <v>2033</v>
      </c>
    </row>
    <row r="870" spans="1:20" ht="15.75" customHeight="1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>Table1[[#This Row],[pledged]]/Table1[[#This Row],[goal]]</f>
        <v>1.8484285714285715</v>
      </c>
      <c r="G870" t="s">
        <v>20</v>
      </c>
      <c r="H870">
        <v>126</v>
      </c>
      <c r="I870" t="s">
        <v>21</v>
      </c>
      <c r="J870" t="s">
        <v>22</v>
      </c>
      <c r="K870" s="12">
        <f>IF(OR(E870=0, H870=0), 0, E870/H870)</f>
        <v>102.69047619047619</v>
      </c>
      <c r="L870">
        <v>1381554000</v>
      </c>
      <c r="M870" s="10">
        <f>(((L870/60)/60)/24)+DATE(1970,1,1)</f>
        <v>41559.208333333336</v>
      </c>
      <c r="N870">
        <v>1382504400</v>
      </c>
      <c r="O870" s="10">
        <f>(((N870/60)/60)/24)+DATE(1970,1,1)</f>
        <v>41570.208333333336</v>
      </c>
      <c r="P870" t="b">
        <v>0</v>
      </c>
      <c r="Q870" t="b">
        <v>0</v>
      </c>
      <c r="R870" t="s">
        <v>33</v>
      </c>
      <c r="S870" t="s">
        <v>2038</v>
      </c>
      <c r="T870" t="s">
        <v>2039</v>
      </c>
    </row>
    <row r="871" spans="1:20" ht="15.75" customHeight="1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>Table1[[#This Row],[pledged]]/Table1[[#This Row],[goal]]</f>
        <v>0.23703520691785052</v>
      </c>
      <c r="G871" t="s">
        <v>14</v>
      </c>
      <c r="H871">
        <v>526</v>
      </c>
      <c r="I871" t="s">
        <v>21</v>
      </c>
      <c r="J871" t="s">
        <v>22</v>
      </c>
      <c r="K871" s="12">
        <f>IF(OR(E871=0, H871=0), 0, E871/H871)</f>
        <v>72.958174904942965</v>
      </c>
      <c r="L871">
        <v>1277096400</v>
      </c>
      <c r="M871" s="10">
        <f>(((L871/60)/60)/24)+DATE(1970,1,1)</f>
        <v>40350.208333333336</v>
      </c>
      <c r="N871">
        <v>1278306000</v>
      </c>
      <c r="O871" s="10">
        <f>(((N871/60)/60)/24)+DATE(1970,1,1)</f>
        <v>40364.208333333336</v>
      </c>
      <c r="P871" t="b">
        <v>0</v>
      </c>
      <c r="Q871" t="b">
        <v>0</v>
      </c>
      <c r="R871" t="s">
        <v>53</v>
      </c>
      <c r="S871" t="s">
        <v>2040</v>
      </c>
      <c r="T871" t="s">
        <v>2043</v>
      </c>
    </row>
    <row r="872" spans="1:20" ht="15.75" customHeight="1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>Table1[[#This Row],[pledged]]/Table1[[#This Row],[goal]]</f>
        <v>0.89870129870129867</v>
      </c>
      <c r="G872" t="s">
        <v>14</v>
      </c>
      <c r="H872">
        <v>121</v>
      </c>
      <c r="I872" t="s">
        <v>21</v>
      </c>
      <c r="J872" t="s">
        <v>22</v>
      </c>
      <c r="K872" s="12">
        <f>IF(OR(E872=0, H872=0), 0, E872/H872)</f>
        <v>57.190082644628099</v>
      </c>
      <c r="L872">
        <v>1440392400</v>
      </c>
      <c r="M872" s="10">
        <f>(((L872/60)/60)/24)+DATE(1970,1,1)</f>
        <v>42240.208333333328</v>
      </c>
      <c r="N872">
        <v>1442552400</v>
      </c>
      <c r="O872" s="10">
        <f>(((N872/60)/60)/24)+DATE(1970,1,1)</f>
        <v>42265.208333333328</v>
      </c>
      <c r="P872" t="b">
        <v>0</v>
      </c>
      <c r="Q872" t="b">
        <v>0</v>
      </c>
      <c r="R872" t="s">
        <v>33</v>
      </c>
      <c r="S872" t="s">
        <v>2038</v>
      </c>
      <c r="T872" t="s">
        <v>2039</v>
      </c>
    </row>
    <row r="873" spans="1:20" ht="15.75" customHeight="1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>Table1[[#This Row],[pledged]]/Table1[[#This Row],[goal]]</f>
        <v>2.7260419580419581</v>
      </c>
      <c r="G873" t="s">
        <v>20</v>
      </c>
      <c r="H873">
        <v>2320</v>
      </c>
      <c r="I873" t="s">
        <v>21</v>
      </c>
      <c r="J873" t="s">
        <v>22</v>
      </c>
      <c r="K873" s="12">
        <f>IF(OR(E873=0, H873=0), 0, E873/H873)</f>
        <v>84.013793103448279</v>
      </c>
      <c r="L873">
        <v>1509512400</v>
      </c>
      <c r="M873" s="10">
        <f>(((L873/60)/60)/24)+DATE(1970,1,1)</f>
        <v>43040.208333333328</v>
      </c>
      <c r="N873">
        <v>1511071200</v>
      </c>
      <c r="O873" s="10">
        <f>(((N873/60)/60)/24)+DATE(1970,1,1)</f>
        <v>43058.25</v>
      </c>
      <c r="P873" t="b">
        <v>0</v>
      </c>
      <c r="Q873" t="b">
        <v>1</v>
      </c>
      <c r="R873" t="s">
        <v>33</v>
      </c>
      <c r="S873" t="s">
        <v>2038</v>
      </c>
      <c r="T873" t="s">
        <v>2039</v>
      </c>
    </row>
    <row r="874" spans="1:20" ht="15.75" customHeight="1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>Table1[[#This Row],[pledged]]/Table1[[#This Row],[goal]]</f>
        <v>1.7004255319148935</v>
      </c>
      <c r="G874" t="s">
        <v>20</v>
      </c>
      <c r="H874">
        <v>81</v>
      </c>
      <c r="I874" t="s">
        <v>26</v>
      </c>
      <c r="J874" t="s">
        <v>27</v>
      </c>
      <c r="K874" s="12">
        <f>IF(OR(E874=0, H874=0), 0, E874/H874)</f>
        <v>98.666666666666671</v>
      </c>
      <c r="L874">
        <v>1535950800</v>
      </c>
      <c r="M874" s="10">
        <f>(((L874/60)/60)/24)+DATE(1970,1,1)</f>
        <v>43346.208333333328</v>
      </c>
      <c r="N874">
        <v>1536382800</v>
      </c>
      <c r="O874" s="10">
        <f>(((N874/60)/60)/24)+DATE(1970,1,1)</f>
        <v>43351.208333333328</v>
      </c>
      <c r="P874" t="b">
        <v>0</v>
      </c>
      <c r="Q874" t="b">
        <v>0</v>
      </c>
      <c r="R874" t="s">
        <v>474</v>
      </c>
      <c r="S874" t="s">
        <v>2040</v>
      </c>
      <c r="T874" t="s">
        <v>2062</v>
      </c>
    </row>
    <row r="875" spans="1:20" ht="15.75" customHeight="1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>Table1[[#This Row],[pledged]]/Table1[[#This Row],[goal]]</f>
        <v>1.8828503562945369</v>
      </c>
      <c r="G875" t="s">
        <v>20</v>
      </c>
      <c r="H875">
        <v>1887</v>
      </c>
      <c r="I875" t="s">
        <v>21</v>
      </c>
      <c r="J875" t="s">
        <v>22</v>
      </c>
      <c r="K875" s="12">
        <f>IF(OR(E875=0, H875=0), 0, E875/H875)</f>
        <v>42.007419183889773</v>
      </c>
      <c r="L875">
        <v>1389160800</v>
      </c>
      <c r="M875" s="10">
        <f>(((L875/60)/60)/24)+DATE(1970,1,1)</f>
        <v>41647.25</v>
      </c>
      <c r="N875">
        <v>1389592800</v>
      </c>
      <c r="O875" s="10">
        <f>(((N875/60)/60)/24)+DATE(1970,1,1)</f>
        <v>41652.25</v>
      </c>
      <c r="P875" t="b">
        <v>0</v>
      </c>
      <c r="Q875" t="b">
        <v>0</v>
      </c>
      <c r="R875" t="s">
        <v>122</v>
      </c>
      <c r="S875" t="s">
        <v>2053</v>
      </c>
      <c r="T875" t="s">
        <v>2054</v>
      </c>
    </row>
    <row r="876" spans="1:20" ht="15.75" customHeight="1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>Table1[[#This Row],[pledged]]/Table1[[#This Row],[goal]]</f>
        <v>3.4693532338308457</v>
      </c>
      <c r="G876" t="s">
        <v>20</v>
      </c>
      <c r="H876">
        <v>4358</v>
      </c>
      <c r="I876" t="s">
        <v>21</v>
      </c>
      <c r="J876" t="s">
        <v>22</v>
      </c>
      <c r="K876" s="12">
        <f>IF(OR(E876=0, H876=0), 0, E876/H876)</f>
        <v>32.002753556677376</v>
      </c>
      <c r="L876">
        <v>1271998800</v>
      </c>
      <c r="M876" s="10">
        <f>(((L876/60)/60)/24)+DATE(1970,1,1)</f>
        <v>40291.208333333336</v>
      </c>
      <c r="N876">
        <v>1275282000</v>
      </c>
      <c r="O876" s="10">
        <f>(((N876/60)/60)/24)+DATE(1970,1,1)</f>
        <v>40329.208333333336</v>
      </c>
      <c r="P876" t="b">
        <v>0</v>
      </c>
      <c r="Q876" t="b">
        <v>1</v>
      </c>
      <c r="R876" t="s">
        <v>122</v>
      </c>
      <c r="S876" t="s">
        <v>2053</v>
      </c>
      <c r="T876" t="s">
        <v>2054</v>
      </c>
    </row>
    <row r="877" spans="1:20" ht="15.75" customHeight="1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>Table1[[#This Row],[pledged]]/Table1[[#This Row],[goal]]</f>
        <v>0.6917721518987342</v>
      </c>
      <c r="G877" t="s">
        <v>14</v>
      </c>
      <c r="H877">
        <v>67</v>
      </c>
      <c r="I877" t="s">
        <v>21</v>
      </c>
      <c r="J877" t="s">
        <v>22</v>
      </c>
      <c r="K877" s="12">
        <f>IF(OR(E877=0, H877=0), 0, E877/H877)</f>
        <v>81.567164179104481</v>
      </c>
      <c r="L877">
        <v>1294898400</v>
      </c>
      <c r="M877" s="10">
        <f>(((L877/60)/60)/24)+DATE(1970,1,1)</f>
        <v>40556.25</v>
      </c>
      <c r="N877">
        <v>1294984800</v>
      </c>
      <c r="O877" s="10">
        <f>(((N877/60)/60)/24)+DATE(1970,1,1)</f>
        <v>40557.25</v>
      </c>
      <c r="P877" t="b">
        <v>0</v>
      </c>
      <c r="Q877" t="b">
        <v>0</v>
      </c>
      <c r="R877" t="s">
        <v>23</v>
      </c>
      <c r="S877" t="s">
        <v>2034</v>
      </c>
      <c r="T877" t="s">
        <v>2035</v>
      </c>
    </row>
    <row r="878" spans="1:20" ht="15.75" customHeight="1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>Table1[[#This Row],[pledged]]/Table1[[#This Row],[goal]]</f>
        <v>0.25433734939759034</v>
      </c>
      <c r="G878" t="s">
        <v>14</v>
      </c>
      <c r="H878">
        <v>57</v>
      </c>
      <c r="I878" t="s">
        <v>15</v>
      </c>
      <c r="J878" t="s">
        <v>16</v>
      </c>
      <c r="K878" s="12">
        <f>IF(OR(E878=0, H878=0), 0, E878/H878)</f>
        <v>37.035087719298247</v>
      </c>
      <c r="L878">
        <v>1559970000</v>
      </c>
      <c r="M878" s="10">
        <f>(((L878/60)/60)/24)+DATE(1970,1,1)</f>
        <v>43624.208333333328</v>
      </c>
      <c r="N878">
        <v>1562043600</v>
      </c>
      <c r="O878" s="10">
        <f>(((N878/60)/60)/24)+DATE(1970,1,1)</f>
        <v>43648.208333333328</v>
      </c>
      <c r="P878" t="b">
        <v>0</v>
      </c>
      <c r="Q878" t="b">
        <v>0</v>
      </c>
      <c r="R878" t="s">
        <v>122</v>
      </c>
      <c r="S878" t="s">
        <v>2053</v>
      </c>
      <c r="T878" t="s">
        <v>2054</v>
      </c>
    </row>
    <row r="879" spans="1:20" ht="15.75" customHeight="1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>Table1[[#This Row],[pledged]]/Table1[[#This Row],[goal]]</f>
        <v>0.77400977995110021</v>
      </c>
      <c r="G879" t="s">
        <v>14</v>
      </c>
      <c r="H879">
        <v>1229</v>
      </c>
      <c r="I879" t="s">
        <v>21</v>
      </c>
      <c r="J879" t="s">
        <v>22</v>
      </c>
      <c r="K879" s="12">
        <f>IF(OR(E879=0, H879=0), 0, E879/H879)</f>
        <v>103.033360455655</v>
      </c>
      <c r="L879">
        <v>1469509200</v>
      </c>
      <c r="M879" s="10">
        <f>(((L879/60)/60)/24)+DATE(1970,1,1)</f>
        <v>42577.208333333328</v>
      </c>
      <c r="N879">
        <v>1469595600</v>
      </c>
      <c r="O879" s="10">
        <f>(((N879/60)/60)/24)+DATE(1970,1,1)</f>
        <v>42578.208333333328</v>
      </c>
      <c r="P879" t="b">
        <v>0</v>
      </c>
      <c r="Q879" t="b">
        <v>0</v>
      </c>
      <c r="R879" t="s">
        <v>17</v>
      </c>
      <c r="S879" t="s">
        <v>2032</v>
      </c>
      <c r="T879" t="s">
        <v>2033</v>
      </c>
    </row>
    <row r="880" spans="1:20" ht="15.75" customHeight="1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>Table1[[#This Row],[pledged]]/Table1[[#This Row],[goal]]</f>
        <v>0.37481481481481482</v>
      </c>
      <c r="G880" t="s">
        <v>14</v>
      </c>
      <c r="H880">
        <v>12</v>
      </c>
      <c r="I880" t="s">
        <v>107</v>
      </c>
      <c r="J880" t="s">
        <v>108</v>
      </c>
      <c r="K880" s="12">
        <f>IF(OR(E880=0, H880=0), 0, E880/H880)</f>
        <v>84.333333333333329</v>
      </c>
      <c r="L880">
        <v>1579068000</v>
      </c>
      <c r="M880" s="10">
        <f>(((L880/60)/60)/24)+DATE(1970,1,1)</f>
        <v>43845.25</v>
      </c>
      <c r="N880">
        <v>1581141600</v>
      </c>
      <c r="O880" s="10">
        <f>(((N880/60)/60)/24)+DATE(1970,1,1)</f>
        <v>43869.25</v>
      </c>
      <c r="P880" t="b">
        <v>0</v>
      </c>
      <c r="Q880" t="b">
        <v>0</v>
      </c>
      <c r="R880" t="s">
        <v>148</v>
      </c>
      <c r="S880" t="s">
        <v>2034</v>
      </c>
      <c r="T880" t="s">
        <v>2056</v>
      </c>
    </row>
    <row r="881" spans="1:20" ht="15.75" customHeight="1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>Table1[[#This Row],[pledged]]/Table1[[#This Row],[goal]]</f>
        <v>5.4379999999999997</v>
      </c>
      <c r="G881" t="s">
        <v>20</v>
      </c>
      <c r="H881">
        <v>53</v>
      </c>
      <c r="I881" t="s">
        <v>21</v>
      </c>
      <c r="J881" t="s">
        <v>22</v>
      </c>
      <c r="K881" s="12">
        <f>IF(OR(E881=0, H881=0), 0, E881/H881)</f>
        <v>102.60377358490567</v>
      </c>
      <c r="L881">
        <v>1487743200</v>
      </c>
      <c r="M881" s="10">
        <f>(((L881/60)/60)/24)+DATE(1970,1,1)</f>
        <v>42788.25</v>
      </c>
      <c r="N881">
        <v>1488520800</v>
      </c>
      <c r="O881" s="10">
        <f>(((N881/60)/60)/24)+DATE(1970,1,1)</f>
        <v>42797.25</v>
      </c>
      <c r="P881" t="b">
        <v>0</v>
      </c>
      <c r="Q881" t="b">
        <v>0</v>
      </c>
      <c r="R881" t="s">
        <v>68</v>
      </c>
      <c r="S881" t="s">
        <v>2046</v>
      </c>
      <c r="T881" t="s">
        <v>2047</v>
      </c>
    </row>
    <row r="882" spans="1:20" ht="15.75" customHeight="1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>Table1[[#This Row],[pledged]]/Table1[[#This Row],[goal]]</f>
        <v>2.2852189349112426</v>
      </c>
      <c r="G882" t="s">
        <v>20</v>
      </c>
      <c r="H882">
        <v>2414</v>
      </c>
      <c r="I882" t="s">
        <v>21</v>
      </c>
      <c r="J882" t="s">
        <v>22</v>
      </c>
      <c r="K882" s="12">
        <f>IF(OR(E882=0, H882=0), 0, E882/H882)</f>
        <v>79.992129246064621</v>
      </c>
      <c r="L882">
        <v>1563685200</v>
      </c>
      <c r="M882" s="10">
        <f>(((L882/60)/60)/24)+DATE(1970,1,1)</f>
        <v>43667.208333333328</v>
      </c>
      <c r="N882">
        <v>1563858000</v>
      </c>
      <c r="O882" s="10">
        <f>(((N882/60)/60)/24)+DATE(1970,1,1)</f>
        <v>43669.208333333328</v>
      </c>
      <c r="P882" t="b">
        <v>0</v>
      </c>
      <c r="Q882" t="b">
        <v>0</v>
      </c>
      <c r="R882" t="s">
        <v>50</v>
      </c>
      <c r="S882" t="s">
        <v>2034</v>
      </c>
      <c r="T882" t="s">
        <v>2042</v>
      </c>
    </row>
    <row r="883" spans="1:20" ht="15.75" customHeight="1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>Table1[[#This Row],[pledged]]/Table1[[#This Row],[goal]]</f>
        <v>0.38948339483394834</v>
      </c>
      <c r="G883" t="s">
        <v>14</v>
      </c>
      <c r="H883">
        <v>452</v>
      </c>
      <c r="I883" t="s">
        <v>21</v>
      </c>
      <c r="J883" t="s">
        <v>22</v>
      </c>
      <c r="K883" s="12">
        <f>IF(OR(E883=0, H883=0), 0, E883/H883)</f>
        <v>70.055309734513273</v>
      </c>
      <c r="L883">
        <v>1436418000</v>
      </c>
      <c r="M883" s="10">
        <f>(((L883/60)/60)/24)+DATE(1970,1,1)</f>
        <v>42194.208333333328</v>
      </c>
      <c r="N883">
        <v>1438923600</v>
      </c>
      <c r="O883" s="10">
        <f>(((N883/60)/60)/24)+DATE(1970,1,1)</f>
        <v>42223.208333333328</v>
      </c>
      <c r="P883" t="b">
        <v>0</v>
      </c>
      <c r="Q883" t="b">
        <v>1</v>
      </c>
      <c r="R883" t="s">
        <v>33</v>
      </c>
      <c r="S883" t="s">
        <v>2038</v>
      </c>
      <c r="T883" t="s">
        <v>2039</v>
      </c>
    </row>
    <row r="884" spans="1:20" ht="15.75" customHeight="1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>Table1[[#This Row],[pledged]]/Table1[[#This Row],[goal]]</f>
        <v>3.7</v>
      </c>
      <c r="G884" t="s">
        <v>20</v>
      </c>
      <c r="H884">
        <v>80</v>
      </c>
      <c r="I884" t="s">
        <v>21</v>
      </c>
      <c r="J884" t="s">
        <v>22</v>
      </c>
      <c r="K884" s="12">
        <f>IF(OR(E884=0, H884=0), 0, E884/H884)</f>
        <v>37</v>
      </c>
      <c r="L884">
        <v>1421820000</v>
      </c>
      <c r="M884" s="10">
        <f>(((L884/60)/60)/24)+DATE(1970,1,1)</f>
        <v>42025.25</v>
      </c>
      <c r="N884">
        <v>1422165600</v>
      </c>
      <c r="O884" s="10">
        <f>(((N884/60)/60)/24)+DATE(1970,1,1)</f>
        <v>42029.25</v>
      </c>
      <c r="P884" t="b">
        <v>0</v>
      </c>
      <c r="Q884" t="b">
        <v>0</v>
      </c>
      <c r="R884" t="s">
        <v>33</v>
      </c>
      <c r="S884" t="s">
        <v>2038</v>
      </c>
      <c r="T884" t="s">
        <v>2039</v>
      </c>
    </row>
    <row r="885" spans="1:20" ht="15.75" customHeight="1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>Table1[[#This Row],[pledged]]/Table1[[#This Row],[goal]]</f>
        <v>2.3791176470588233</v>
      </c>
      <c r="G885" t="s">
        <v>20</v>
      </c>
      <c r="H885">
        <v>193</v>
      </c>
      <c r="I885" t="s">
        <v>21</v>
      </c>
      <c r="J885" t="s">
        <v>22</v>
      </c>
      <c r="K885" s="12">
        <f>IF(OR(E885=0, H885=0), 0, E885/H885)</f>
        <v>41.911917098445599</v>
      </c>
      <c r="L885">
        <v>1274763600</v>
      </c>
      <c r="M885" s="10">
        <f>(((L885/60)/60)/24)+DATE(1970,1,1)</f>
        <v>40323.208333333336</v>
      </c>
      <c r="N885">
        <v>1277874000</v>
      </c>
      <c r="O885" s="10">
        <f>(((N885/60)/60)/24)+DATE(1970,1,1)</f>
        <v>40359.208333333336</v>
      </c>
      <c r="P885" t="b">
        <v>0</v>
      </c>
      <c r="Q885" t="b">
        <v>0</v>
      </c>
      <c r="R885" t="s">
        <v>100</v>
      </c>
      <c r="S885" t="s">
        <v>2040</v>
      </c>
      <c r="T885" t="s">
        <v>2051</v>
      </c>
    </row>
    <row r="886" spans="1:20" ht="15.75" customHeight="1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>Table1[[#This Row],[pledged]]/Table1[[#This Row],[goal]]</f>
        <v>0.64036299765807958</v>
      </c>
      <c r="G886" t="s">
        <v>14</v>
      </c>
      <c r="H886">
        <v>1886</v>
      </c>
      <c r="I886" t="s">
        <v>21</v>
      </c>
      <c r="J886" t="s">
        <v>22</v>
      </c>
      <c r="K886" s="12">
        <f>IF(OR(E886=0, H886=0), 0, E886/H886)</f>
        <v>57.992576882290564</v>
      </c>
      <c r="L886">
        <v>1399179600</v>
      </c>
      <c r="M886" s="10">
        <f>(((L886/60)/60)/24)+DATE(1970,1,1)</f>
        <v>41763.208333333336</v>
      </c>
      <c r="N886">
        <v>1399352400</v>
      </c>
      <c r="O886" s="10">
        <f>(((N886/60)/60)/24)+DATE(1970,1,1)</f>
        <v>41765.208333333336</v>
      </c>
      <c r="P886" t="b">
        <v>0</v>
      </c>
      <c r="Q886" t="b">
        <v>1</v>
      </c>
      <c r="R886" t="s">
        <v>33</v>
      </c>
      <c r="S886" t="s">
        <v>2038</v>
      </c>
      <c r="T886" t="s">
        <v>2039</v>
      </c>
    </row>
    <row r="887" spans="1:20" ht="15.75" customHeight="1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>Table1[[#This Row],[pledged]]/Table1[[#This Row],[goal]]</f>
        <v>1.1827777777777777</v>
      </c>
      <c r="G887" t="s">
        <v>20</v>
      </c>
      <c r="H887">
        <v>52</v>
      </c>
      <c r="I887" t="s">
        <v>21</v>
      </c>
      <c r="J887" t="s">
        <v>22</v>
      </c>
      <c r="K887" s="12">
        <f>IF(OR(E887=0, H887=0), 0, E887/H887)</f>
        <v>40.942307692307693</v>
      </c>
      <c r="L887">
        <v>1275800400</v>
      </c>
      <c r="M887" s="10">
        <f>(((L887/60)/60)/24)+DATE(1970,1,1)</f>
        <v>40335.208333333336</v>
      </c>
      <c r="N887">
        <v>1279083600</v>
      </c>
      <c r="O887" s="10">
        <f>(((N887/60)/60)/24)+DATE(1970,1,1)</f>
        <v>40373.208333333336</v>
      </c>
      <c r="P887" t="b">
        <v>0</v>
      </c>
      <c r="Q887" t="b">
        <v>0</v>
      </c>
      <c r="R887" t="s">
        <v>33</v>
      </c>
      <c r="S887" t="s">
        <v>2038</v>
      </c>
      <c r="T887" t="s">
        <v>2039</v>
      </c>
    </row>
    <row r="888" spans="1:20" ht="15.75" customHeight="1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>Table1[[#This Row],[pledged]]/Table1[[#This Row],[goal]]</f>
        <v>0.84824037184594958</v>
      </c>
      <c r="G888" t="s">
        <v>14</v>
      </c>
      <c r="H888">
        <v>1825</v>
      </c>
      <c r="I888" t="s">
        <v>21</v>
      </c>
      <c r="J888" t="s">
        <v>22</v>
      </c>
      <c r="K888" s="12">
        <f>IF(OR(E888=0, H888=0), 0, E888/H888)</f>
        <v>69.9972602739726</v>
      </c>
      <c r="L888">
        <v>1282798800</v>
      </c>
      <c r="M888" s="10">
        <f>(((L888/60)/60)/24)+DATE(1970,1,1)</f>
        <v>40416.208333333336</v>
      </c>
      <c r="N888">
        <v>1284354000</v>
      </c>
      <c r="O888" s="10">
        <f>(((N888/60)/60)/24)+DATE(1970,1,1)</f>
        <v>40434.208333333336</v>
      </c>
      <c r="P888" t="b">
        <v>0</v>
      </c>
      <c r="Q888" t="b">
        <v>0</v>
      </c>
      <c r="R888" t="s">
        <v>60</v>
      </c>
      <c r="S888" t="s">
        <v>2034</v>
      </c>
      <c r="T888" t="s">
        <v>2044</v>
      </c>
    </row>
    <row r="889" spans="1:20" ht="15.75" customHeight="1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>Table1[[#This Row],[pledged]]/Table1[[#This Row],[goal]]</f>
        <v>0.29346153846153844</v>
      </c>
      <c r="G889" t="s">
        <v>14</v>
      </c>
      <c r="H889">
        <v>31</v>
      </c>
      <c r="I889" t="s">
        <v>21</v>
      </c>
      <c r="J889" t="s">
        <v>22</v>
      </c>
      <c r="K889" s="12">
        <f>IF(OR(E889=0, H889=0), 0, E889/H889)</f>
        <v>73.838709677419359</v>
      </c>
      <c r="L889">
        <v>1437109200</v>
      </c>
      <c r="M889" s="10">
        <f>(((L889/60)/60)/24)+DATE(1970,1,1)</f>
        <v>42202.208333333328</v>
      </c>
      <c r="N889">
        <v>1441170000</v>
      </c>
      <c r="O889" s="10">
        <f>(((N889/60)/60)/24)+DATE(1970,1,1)</f>
        <v>42249.208333333328</v>
      </c>
      <c r="P889" t="b">
        <v>0</v>
      </c>
      <c r="Q889" t="b">
        <v>1</v>
      </c>
      <c r="R889" t="s">
        <v>33</v>
      </c>
      <c r="S889" t="s">
        <v>2038</v>
      </c>
      <c r="T889" t="s">
        <v>2039</v>
      </c>
    </row>
    <row r="890" spans="1:20" ht="15.75" customHeight="1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>Table1[[#This Row],[pledged]]/Table1[[#This Row],[goal]]</f>
        <v>2.0989655172413793</v>
      </c>
      <c r="G890" t="s">
        <v>20</v>
      </c>
      <c r="H890">
        <v>290</v>
      </c>
      <c r="I890" t="s">
        <v>21</v>
      </c>
      <c r="J890" t="s">
        <v>22</v>
      </c>
      <c r="K890" s="12">
        <f>IF(OR(E890=0, H890=0), 0, E890/H890)</f>
        <v>41.979310344827589</v>
      </c>
      <c r="L890">
        <v>1491886800</v>
      </c>
      <c r="M890" s="10">
        <f>(((L890/60)/60)/24)+DATE(1970,1,1)</f>
        <v>42836.208333333328</v>
      </c>
      <c r="N890">
        <v>1493528400</v>
      </c>
      <c r="O890" s="10">
        <f>(((N890/60)/60)/24)+DATE(1970,1,1)</f>
        <v>42855.208333333328</v>
      </c>
      <c r="P890" t="b">
        <v>0</v>
      </c>
      <c r="Q890" t="b">
        <v>0</v>
      </c>
      <c r="R890" t="s">
        <v>33</v>
      </c>
      <c r="S890" t="s">
        <v>2038</v>
      </c>
      <c r="T890" t="s">
        <v>2039</v>
      </c>
    </row>
    <row r="891" spans="1:20" ht="15.75" customHeight="1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>Table1[[#This Row],[pledged]]/Table1[[#This Row],[goal]]</f>
        <v>1.697857142857143</v>
      </c>
      <c r="G891" t="s">
        <v>20</v>
      </c>
      <c r="H891">
        <v>122</v>
      </c>
      <c r="I891" t="s">
        <v>21</v>
      </c>
      <c r="J891" t="s">
        <v>22</v>
      </c>
      <c r="K891" s="12">
        <f>IF(OR(E891=0, H891=0), 0, E891/H891)</f>
        <v>77.93442622950819</v>
      </c>
      <c r="L891">
        <v>1394600400</v>
      </c>
      <c r="M891" s="10">
        <f>(((L891/60)/60)/24)+DATE(1970,1,1)</f>
        <v>41710.208333333336</v>
      </c>
      <c r="N891">
        <v>1395205200</v>
      </c>
      <c r="O891" s="10">
        <f>(((N891/60)/60)/24)+DATE(1970,1,1)</f>
        <v>41717.208333333336</v>
      </c>
      <c r="P891" t="b">
        <v>0</v>
      </c>
      <c r="Q891" t="b">
        <v>1</v>
      </c>
      <c r="R891" t="s">
        <v>50</v>
      </c>
      <c r="S891" t="s">
        <v>2034</v>
      </c>
      <c r="T891" t="s">
        <v>2042</v>
      </c>
    </row>
    <row r="892" spans="1:20" ht="15.75" customHeight="1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>Table1[[#This Row],[pledged]]/Table1[[#This Row],[goal]]</f>
        <v>1.1595907738095239</v>
      </c>
      <c r="G892" t="s">
        <v>20</v>
      </c>
      <c r="H892">
        <v>1470</v>
      </c>
      <c r="I892" t="s">
        <v>21</v>
      </c>
      <c r="J892" t="s">
        <v>22</v>
      </c>
      <c r="K892" s="12">
        <f>IF(OR(E892=0, H892=0), 0, E892/H892)</f>
        <v>106.01972789115646</v>
      </c>
      <c r="L892">
        <v>1561352400</v>
      </c>
      <c r="M892" s="10">
        <f>(((L892/60)/60)/24)+DATE(1970,1,1)</f>
        <v>43640.208333333328</v>
      </c>
      <c r="N892">
        <v>1561438800</v>
      </c>
      <c r="O892" s="10">
        <f>(((N892/60)/60)/24)+DATE(1970,1,1)</f>
        <v>43641.208333333328</v>
      </c>
      <c r="P892" t="b">
        <v>0</v>
      </c>
      <c r="Q892" t="b">
        <v>0</v>
      </c>
      <c r="R892" t="s">
        <v>60</v>
      </c>
      <c r="S892" t="s">
        <v>2034</v>
      </c>
      <c r="T892" t="s">
        <v>2044</v>
      </c>
    </row>
    <row r="893" spans="1:20" ht="15.75" customHeight="1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>Table1[[#This Row],[pledged]]/Table1[[#This Row],[goal]]</f>
        <v>2.5859999999999999</v>
      </c>
      <c r="G893" t="s">
        <v>20</v>
      </c>
      <c r="H893">
        <v>165</v>
      </c>
      <c r="I893" t="s">
        <v>15</v>
      </c>
      <c r="J893" t="s">
        <v>16</v>
      </c>
      <c r="K893" s="12">
        <f>IF(OR(E893=0, H893=0), 0, E893/H893)</f>
        <v>47.018181818181816</v>
      </c>
      <c r="L893">
        <v>1322892000</v>
      </c>
      <c r="M893" s="10">
        <f>(((L893/60)/60)/24)+DATE(1970,1,1)</f>
        <v>40880.25</v>
      </c>
      <c r="N893">
        <v>1326693600</v>
      </c>
      <c r="O893" s="10">
        <f>(((N893/60)/60)/24)+DATE(1970,1,1)</f>
        <v>40924.25</v>
      </c>
      <c r="P893" t="b">
        <v>0</v>
      </c>
      <c r="Q893" t="b">
        <v>0</v>
      </c>
      <c r="R893" t="s">
        <v>42</v>
      </c>
      <c r="S893" t="s">
        <v>2040</v>
      </c>
      <c r="T893" t="s">
        <v>2041</v>
      </c>
    </row>
    <row r="894" spans="1:20" ht="15.75" customHeight="1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>Table1[[#This Row],[pledged]]/Table1[[#This Row],[goal]]</f>
        <v>2.3058333333333332</v>
      </c>
      <c r="G894" t="s">
        <v>20</v>
      </c>
      <c r="H894">
        <v>182</v>
      </c>
      <c r="I894" t="s">
        <v>21</v>
      </c>
      <c r="J894" t="s">
        <v>22</v>
      </c>
      <c r="K894" s="12">
        <f>IF(OR(E894=0, H894=0), 0, E894/H894)</f>
        <v>76.016483516483518</v>
      </c>
      <c r="L894">
        <v>1274418000</v>
      </c>
      <c r="M894" s="10">
        <f>(((L894/60)/60)/24)+DATE(1970,1,1)</f>
        <v>40319.208333333336</v>
      </c>
      <c r="N894">
        <v>1277960400</v>
      </c>
      <c r="O894" s="10">
        <f>(((N894/60)/60)/24)+DATE(1970,1,1)</f>
        <v>40360.208333333336</v>
      </c>
      <c r="P894" t="b">
        <v>0</v>
      </c>
      <c r="Q894" t="b">
        <v>0</v>
      </c>
      <c r="R894" t="s">
        <v>206</v>
      </c>
      <c r="S894" t="s">
        <v>2046</v>
      </c>
      <c r="T894" t="s">
        <v>2058</v>
      </c>
    </row>
    <row r="895" spans="1:20" ht="15.75" customHeight="1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>Table1[[#This Row],[pledged]]/Table1[[#This Row],[goal]]</f>
        <v>1.2821428571428573</v>
      </c>
      <c r="G895" t="s">
        <v>20</v>
      </c>
      <c r="H895">
        <v>199</v>
      </c>
      <c r="I895" t="s">
        <v>107</v>
      </c>
      <c r="J895" t="s">
        <v>108</v>
      </c>
      <c r="K895" s="12">
        <f>IF(OR(E895=0, H895=0), 0, E895/H895)</f>
        <v>54.120603015075375</v>
      </c>
      <c r="L895">
        <v>1434344400</v>
      </c>
      <c r="M895" s="10">
        <f>(((L895/60)/60)/24)+DATE(1970,1,1)</f>
        <v>42170.208333333328</v>
      </c>
      <c r="N895">
        <v>1434690000</v>
      </c>
      <c r="O895" s="10">
        <f>(((N895/60)/60)/24)+DATE(1970,1,1)</f>
        <v>42174.208333333328</v>
      </c>
      <c r="P895" t="b">
        <v>0</v>
      </c>
      <c r="Q895" t="b">
        <v>1</v>
      </c>
      <c r="R895" t="s">
        <v>42</v>
      </c>
      <c r="S895" t="s">
        <v>2040</v>
      </c>
      <c r="T895" t="s">
        <v>2041</v>
      </c>
    </row>
    <row r="896" spans="1:20" ht="15.75" customHeight="1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>Table1[[#This Row],[pledged]]/Table1[[#This Row],[goal]]</f>
        <v>1.8870588235294117</v>
      </c>
      <c r="G896" t="s">
        <v>20</v>
      </c>
      <c r="H896">
        <v>56</v>
      </c>
      <c r="I896" t="s">
        <v>40</v>
      </c>
      <c r="J896" t="s">
        <v>41</v>
      </c>
      <c r="K896" s="12">
        <f>IF(OR(E896=0, H896=0), 0, E896/H896)</f>
        <v>57.285714285714285</v>
      </c>
      <c r="L896">
        <v>1373518800</v>
      </c>
      <c r="M896" s="10">
        <f>(((L896/60)/60)/24)+DATE(1970,1,1)</f>
        <v>41466.208333333336</v>
      </c>
      <c r="N896">
        <v>1376110800</v>
      </c>
      <c r="O896" s="10">
        <f>(((N896/60)/60)/24)+DATE(1970,1,1)</f>
        <v>41496.208333333336</v>
      </c>
      <c r="P896" t="b">
        <v>0</v>
      </c>
      <c r="Q896" t="b">
        <v>1</v>
      </c>
      <c r="R896" t="s">
        <v>269</v>
      </c>
      <c r="S896" t="s">
        <v>2040</v>
      </c>
      <c r="T896" t="s">
        <v>2059</v>
      </c>
    </row>
    <row r="897" spans="1:20" ht="15.75" customHeight="1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>Table1[[#This Row],[pledged]]/Table1[[#This Row],[goal]]</f>
        <v>6.9511889862327911E-2</v>
      </c>
      <c r="G897" t="s">
        <v>14</v>
      </c>
      <c r="H897">
        <v>107</v>
      </c>
      <c r="I897" t="s">
        <v>21</v>
      </c>
      <c r="J897" t="s">
        <v>22</v>
      </c>
      <c r="K897" s="12">
        <f>IF(OR(E897=0, H897=0), 0, E897/H897)</f>
        <v>103.81308411214954</v>
      </c>
      <c r="L897">
        <v>1517637600</v>
      </c>
      <c r="M897" s="10">
        <f>(((L897/60)/60)/24)+DATE(1970,1,1)</f>
        <v>43134.25</v>
      </c>
      <c r="N897">
        <v>1518415200</v>
      </c>
      <c r="O897" s="10">
        <f>(((N897/60)/60)/24)+DATE(1970,1,1)</f>
        <v>43143.25</v>
      </c>
      <c r="P897" t="b">
        <v>0</v>
      </c>
      <c r="Q897" t="b">
        <v>0</v>
      </c>
      <c r="R897" t="s">
        <v>33</v>
      </c>
      <c r="S897" t="s">
        <v>2038</v>
      </c>
      <c r="T897" t="s">
        <v>2039</v>
      </c>
    </row>
    <row r="898" spans="1:20" ht="15.75" customHeight="1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>Table1[[#This Row],[pledged]]/Table1[[#This Row],[goal]]</f>
        <v>7.7443434343434348</v>
      </c>
      <c r="G898" t="s">
        <v>20</v>
      </c>
      <c r="H898">
        <v>1460</v>
      </c>
      <c r="I898" t="s">
        <v>26</v>
      </c>
      <c r="J898" t="s">
        <v>27</v>
      </c>
      <c r="K898" s="12">
        <f>IF(OR(E898=0, H898=0), 0, E898/H898)</f>
        <v>105.02602739726028</v>
      </c>
      <c r="L898">
        <v>1310619600</v>
      </c>
      <c r="M898" s="10">
        <f>(((L898/60)/60)/24)+DATE(1970,1,1)</f>
        <v>40738.208333333336</v>
      </c>
      <c r="N898">
        <v>1310878800</v>
      </c>
      <c r="O898" s="10">
        <f>(((N898/60)/60)/24)+DATE(1970,1,1)</f>
        <v>40741.208333333336</v>
      </c>
      <c r="P898" t="b">
        <v>0</v>
      </c>
      <c r="Q898" t="b">
        <v>1</v>
      </c>
      <c r="R898" t="s">
        <v>17</v>
      </c>
      <c r="S898" t="s">
        <v>2032</v>
      </c>
      <c r="T898" t="s">
        <v>2033</v>
      </c>
    </row>
    <row r="899" spans="1:20" ht="15.75" customHeight="1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>Table1[[#This Row],[pledged]]/Table1[[#This Row],[goal]]</f>
        <v>0.27693181818181817</v>
      </c>
      <c r="G899" t="s">
        <v>14</v>
      </c>
      <c r="H899">
        <v>27</v>
      </c>
      <c r="I899" t="s">
        <v>21</v>
      </c>
      <c r="J899" t="s">
        <v>22</v>
      </c>
      <c r="K899" s="12">
        <f>IF(OR(E899=0, H899=0), 0, E899/H899)</f>
        <v>90.259259259259252</v>
      </c>
      <c r="L899">
        <v>1556427600</v>
      </c>
      <c r="M899" s="10">
        <f>(((L899/60)/60)/24)+DATE(1970,1,1)</f>
        <v>43583.208333333328</v>
      </c>
      <c r="N899">
        <v>1556600400</v>
      </c>
      <c r="O899" s="10">
        <f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2038</v>
      </c>
      <c r="T899" t="s">
        <v>2039</v>
      </c>
    </row>
    <row r="900" spans="1:20" ht="15.75" customHeight="1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>Table1[[#This Row],[pledged]]/Table1[[#This Row],[goal]]</f>
        <v>0.52479620323841425</v>
      </c>
      <c r="G900" t="s">
        <v>14</v>
      </c>
      <c r="H900">
        <v>1221</v>
      </c>
      <c r="I900" t="s">
        <v>21</v>
      </c>
      <c r="J900" t="s">
        <v>22</v>
      </c>
      <c r="K900" s="12">
        <f>IF(OR(E900=0, H900=0), 0, E900/H900)</f>
        <v>76.978705978705975</v>
      </c>
      <c r="L900">
        <v>1576476000</v>
      </c>
      <c r="M900" s="10">
        <f>(((L900/60)/60)/24)+DATE(1970,1,1)</f>
        <v>43815.25</v>
      </c>
      <c r="N900">
        <v>1576994400</v>
      </c>
      <c r="O900" s="10">
        <f>(((N900/60)/60)/24)+DATE(1970,1,1)</f>
        <v>43821.25</v>
      </c>
      <c r="P900" t="b">
        <v>0</v>
      </c>
      <c r="Q900" t="b">
        <v>0</v>
      </c>
      <c r="R900" t="s">
        <v>42</v>
      </c>
      <c r="S900" t="s">
        <v>2040</v>
      </c>
      <c r="T900" t="s">
        <v>2041</v>
      </c>
    </row>
    <row r="901" spans="1:20" ht="15.75" customHeight="1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>Table1[[#This Row],[pledged]]/Table1[[#This Row],[goal]]</f>
        <v>4.0709677419354842</v>
      </c>
      <c r="G901" t="s">
        <v>20</v>
      </c>
      <c r="H901">
        <v>123</v>
      </c>
      <c r="I901" t="s">
        <v>98</v>
      </c>
      <c r="J901" t="s">
        <v>99</v>
      </c>
      <c r="K901" s="12">
        <f>IF(OR(E901=0, H901=0), 0, E901/H901)</f>
        <v>102.60162601626017</v>
      </c>
      <c r="L901">
        <v>1381122000</v>
      </c>
      <c r="M901" s="10">
        <f>(((L901/60)/60)/24)+DATE(1970,1,1)</f>
        <v>41554.208333333336</v>
      </c>
      <c r="N901">
        <v>1382677200</v>
      </c>
      <c r="O901" s="10">
        <f>(((N901/60)/60)/24)+DATE(1970,1,1)</f>
        <v>41572.208333333336</v>
      </c>
      <c r="P901" t="b">
        <v>0</v>
      </c>
      <c r="Q901" t="b">
        <v>0</v>
      </c>
      <c r="R901" t="s">
        <v>159</v>
      </c>
      <c r="S901" t="s">
        <v>2034</v>
      </c>
      <c r="T901" t="s">
        <v>2057</v>
      </c>
    </row>
    <row r="902" spans="1:20" ht="15.75" customHeight="1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>Table1[[#This Row],[pledged]]/Table1[[#This Row],[goal]]</f>
        <v>0.02</v>
      </c>
      <c r="G902" t="s">
        <v>14</v>
      </c>
      <c r="H902">
        <v>1</v>
      </c>
      <c r="I902" t="s">
        <v>21</v>
      </c>
      <c r="J902" t="s">
        <v>22</v>
      </c>
      <c r="K902" s="12">
        <f>IF(OR(E902=0, H902=0), 0, E902/H902)</f>
        <v>2</v>
      </c>
      <c r="L902">
        <v>1411102800</v>
      </c>
      <c r="M902" s="10">
        <f>(((L902/60)/60)/24)+DATE(1970,1,1)</f>
        <v>41901.208333333336</v>
      </c>
      <c r="N902">
        <v>1411189200</v>
      </c>
      <c r="O902" s="10">
        <f>(((N902/60)/60)/24)+DATE(1970,1,1)</f>
        <v>41902.208333333336</v>
      </c>
      <c r="P902" t="b">
        <v>0</v>
      </c>
      <c r="Q902" t="b">
        <v>1</v>
      </c>
      <c r="R902" t="s">
        <v>28</v>
      </c>
      <c r="S902" t="s">
        <v>2036</v>
      </c>
      <c r="T902" t="s">
        <v>2037</v>
      </c>
    </row>
    <row r="903" spans="1:20" ht="15.75" customHeight="1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>Table1[[#This Row],[pledged]]/Table1[[#This Row],[goal]]</f>
        <v>1.5617857142857143</v>
      </c>
      <c r="G903" t="s">
        <v>20</v>
      </c>
      <c r="H903">
        <v>159</v>
      </c>
      <c r="I903" t="s">
        <v>21</v>
      </c>
      <c r="J903" t="s">
        <v>22</v>
      </c>
      <c r="K903" s="12">
        <f>IF(OR(E903=0, H903=0), 0, E903/H903)</f>
        <v>55.0062893081761</v>
      </c>
      <c r="L903">
        <v>1531803600</v>
      </c>
      <c r="M903" s="10">
        <f>(((L903/60)/60)/24)+DATE(1970,1,1)</f>
        <v>43298.208333333328</v>
      </c>
      <c r="N903">
        <v>1534654800</v>
      </c>
      <c r="O903" s="10">
        <f>(((N903/60)/60)/24)+DATE(1970,1,1)</f>
        <v>43331.208333333328</v>
      </c>
      <c r="P903" t="b">
        <v>0</v>
      </c>
      <c r="Q903" t="b">
        <v>1</v>
      </c>
      <c r="R903" t="s">
        <v>23</v>
      </c>
      <c r="S903" t="s">
        <v>2034</v>
      </c>
      <c r="T903" t="s">
        <v>2035</v>
      </c>
    </row>
    <row r="904" spans="1:20" ht="15.75" customHeight="1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>Table1[[#This Row],[pledged]]/Table1[[#This Row],[goal]]</f>
        <v>2.5242857142857145</v>
      </c>
      <c r="G904" t="s">
        <v>20</v>
      </c>
      <c r="H904">
        <v>110</v>
      </c>
      <c r="I904" t="s">
        <v>21</v>
      </c>
      <c r="J904" t="s">
        <v>22</v>
      </c>
      <c r="K904" s="12">
        <f>IF(OR(E904=0, H904=0), 0, E904/H904)</f>
        <v>32.127272727272725</v>
      </c>
      <c r="L904">
        <v>1454133600</v>
      </c>
      <c r="M904" s="10">
        <f>(((L904/60)/60)/24)+DATE(1970,1,1)</f>
        <v>42399.25</v>
      </c>
      <c r="N904">
        <v>1457762400</v>
      </c>
      <c r="O904" s="10">
        <f>(((N904/60)/60)/24)+DATE(1970,1,1)</f>
        <v>42441.25</v>
      </c>
      <c r="P904" t="b">
        <v>0</v>
      </c>
      <c r="Q904" t="b">
        <v>0</v>
      </c>
      <c r="R904" t="s">
        <v>28</v>
      </c>
      <c r="S904" t="s">
        <v>2036</v>
      </c>
      <c r="T904" t="s">
        <v>2037</v>
      </c>
    </row>
    <row r="905" spans="1:20" ht="15.75" customHeight="1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>Table1[[#This Row],[pledged]]/Table1[[#This Row],[goal]]</f>
        <v>1.729268292682927E-2</v>
      </c>
      <c r="G905" t="s">
        <v>47</v>
      </c>
      <c r="H905">
        <v>14</v>
      </c>
      <c r="I905" t="s">
        <v>21</v>
      </c>
      <c r="J905" t="s">
        <v>22</v>
      </c>
      <c r="K905" s="12">
        <f>IF(OR(E905=0, H905=0), 0, E905/H905)</f>
        <v>50.642857142857146</v>
      </c>
      <c r="L905">
        <v>1336194000</v>
      </c>
      <c r="M905" s="10">
        <f>(((L905/60)/60)/24)+DATE(1970,1,1)</f>
        <v>41034.208333333336</v>
      </c>
      <c r="N905">
        <v>1337490000</v>
      </c>
      <c r="O905" s="10">
        <f>(((N905/60)/60)/24)+DATE(1970,1,1)</f>
        <v>41049.208333333336</v>
      </c>
      <c r="P905" t="b">
        <v>0</v>
      </c>
      <c r="Q905" t="b">
        <v>1</v>
      </c>
      <c r="R905" t="s">
        <v>68</v>
      </c>
      <c r="S905" t="s">
        <v>2046</v>
      </c>
      <c r="T905" t="s">
        <v>2047</v>
      </c>
    </row>
    <row r="906" spans="1:20" ht="15.75" customHeight="1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>Table1[[#This Row],[pledged]]/Table1[[#This Row],[goal]]</f>
        <v>0.12230769230769231</v>
      </c>
      <c r="G906" t="s">
        <v>14</v>
      </c>
      <c r="H906">
        <v>16</v>
      </c>
      <c r="I906" t="s">
        <v>21</v>
      </c>
      <c r="J906" t="s">
        <v>22</v>
      </c>
      <c r="K906" s="12">
        <f>IF(OR(E906=0, H906=0), 0, E906/H906)</f>
        <v>49.6875</v>
      </c>
      <c r="L906">
        <v>1349326800</v>
      </c>
      <c r="M906" s="10">
        <f>(((L906/60)/60)/24)+DATE(1970,1,1)</f>
        <v>41186.208333333336</v>
      </c>
      <c r="N906">
        <v>1349672400</v>
      </c>
      <c r="O906" s="10">
        <f>(((N906/60)/60)/24)+DATE(1970,1,1)</f>
        <v>41190.208333333336</v>
      </c>
      <c r="P906" t="b">
        <v>0</v>
      </c>
      <c r="Q906" t="b">
        <v>0</v>
      </c>
      <c r="R906" t="s">
        <v>133</v>
      </c>
      <c r="S906" t="s">
        <v>2046</v>
      </c>
      <c r="T906" t="s">
        <v>2055</v>
      </c>
    </row>
    <row r="907" spans="1:20" ht="15.75" customHeight="1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>Table1[[#This Row],[pledged]]/Table1[[#This Row],[goal]]</f>
        <v>1.6398734177215191</v>
      </c>
      <c r="G907" t="s">
        <v>20</v>
      </c>
      <c r="H907">
        <v>236</v>
      </c>
      <c r="I907" t="s">
        <v>21</v>
      </c>
      <c r="J907" t="s">
        <v>22</v>
      </c>
      <c r="K907" s="12">
        <f>IF(OR(E907=0, H907=0), 0, E907/H907)</f>
        <v>54.894067796610166</v>
      </c>
      <c r="L907">
        <v>1379566800</v>
      </c>
      <c r="M907" s="10">
        <f>(((L907/60)/60)/24)+DATE(1970,1,1)</f>
        <v>41536.208333333336</v>
      </c>
      <c r="N907">
        <v>1379826000</v>
      </c>
      <c r="O907" s="10">
        <f>(((N907/60)/60)/24)+DATE(1970,1,1)</f>
        <v>41539.208333333336</v>
      </c>
      <c r="P907" t="b">
        <v>0</v>
      </c>
      <c r="Q907" t="b">
        <v>0</v>
      </c>
      <c r="R907" t="s">
        <v>33</v>
      </c>
      <c r="S907" t="s">
        <v>2038</v>
      </c>
      <c r="T907" t="s">
        <v>2039</v>
      </c>
    </row>
    <row r="908" spans="1:20" ht="15.75" customHeight="1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>Table1[[#This Row],[pledged]]/Table1[[#This Row],[goal]]</f>
        <v>1.6298181818181818</v>
      </c>
      <c r="G908" t="s">
        <v>20</v>
      </c>
      <c r="H908">
        <v>191</v>
      </c>
      <c r="I908" t="s">
        <v>21</v>
      </c>
      <c r="J908" t="s">
        <v>22</v>
      </c>
      <c r="K908" s="12">
        <f>IF(OR(E908=0, H908=0), 0, E908/H908)</f>
        <v>46.931937172774866</v>
      </c>
      <c r="L908">
        <v>1494651600</v>
      </c>
      <c r="M908" s="10">
        <f>(((L908/60)/60)/24)+DATE(1970,1,1)</f>
        <v>42868.208333333328</v>
      </c>
      <c r="N908">
        <v>1497762000</v>
      </c>
      <c r="O908" s="10">
        <f>(((N908/60)/60)/24)+DATE(1970,1,1)</f>
        <v>42904.208333333328</v>
      </c>
      <c r="P908" t="b">
        <v>1</v>
      </c>
      <c r="Q908" t="b">
        <v>1</v>
      </c>
      <c r="R908" t="s">
        <v>42</v>
      </c>
      <c r="S908" t="s">
        <v>2040</v>
      </c>
      <c r="T908" t="s">
        <v>2041</v>
      </c>
    </row>
    <row r="909" spans="1:20" ht="15.75" customHeight="1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>Table1[[#This Row],[pledged]]/Table1[[#This Row],[goal]]</f>
        <v>0.20252747252747252</v>
      </c>
      <c r="G909" t="s">
        <v>14</v>
      </c>
      <c r="H909">
        <v>41</v>
      </c>
      <c r="I909" t="s">
        <v>21</v>
      </c>
      <c r="J909" t="s">
        <v>22</v>
      </c>
      <c r="K909" s="12">
        <f>IF(OR(E909=0, H909=0), 0, E909/H909)</f>
        <v>44.951219512195124</v>
      </c>
      <c r="L909">
        <v>1303880400</v>
      </c>
      <c r="M909" s="10">
        <f>(((L909/60)/60)/24)+DATE(1970,1,1)</f>
        <v>40660.208333333336</v>
      </c>
      <c r="N909">
        <v>1304485200</v>
      </c>
      <c r="O909" s="10">
        <f>(((N909/60)/60)/24)+DATE(1970,1,1)</f>
        <v>40667.208333333336</v>
      </c>
      <c r="P909" t="b">
        <v>0</v>
      </c>
      <c r="Q909" t="b">
        <v>0</v>
      </c>
      <c r="R909" t="s">
        <v>33</v>
      </c>
      <c r="S909" t="s">
        <v>2038</v>
      </c>
      <c r="T909" t="s">
        <v>2039</v>
      </c>
    </row>
    <row r="910" spans="1:20" ht="15.75" customHeight="1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>Table1[[#This Row],[pledged]]/Table1[[#This Row],[goal]]</f>
        <v>3.1924083769633507</v>
      </c>
      <c r="G910" t="s">
        <v>20</v>
      </c>
      <c r="H910">
        <v>3934</v>
      </c>
      <c r="I910" t="s">
        <v>21</v>
      </c>
      <c r="J910" t="s">
        <v>22</v>
      </c>
      <c r="K910" s="12">
        <f>IF(OR(E910=0, H910=0), 0, E910/H910)</f>
        <v>30.99898322318251</v>
      </c>
      <c r="L910">
        <v>1335934800</v>
      </c>
      <c r="M910" s="10">
        <f>(((L910/60)/60)/24)+DATE(1970,1,1)</f>
        <v>41031.208333333336</v>
      </c>
      <c r="N910">
        <v>1336885200</v>
      </c>
      <c r="O910" s="10">
        <f>(((N910/60)/60)/24)+DATE(1970,1,1)</f>
        <v>41042.208333333336</v>
      </c>
      <c r="P910" t="b">
        <v>0</v>
      </c>
      <c r="Q910" t="b">
        <v>0</v>
      </c>
      <c r="R910" t="s">
        <v>89</v>
      </c>
      <c r="S910" t="s">
        <v>2049</v>
      </c>
      <c r="T910" t="s">
        <v>2050</v>
      </c>
    </row>
    <row r="911" spans="1:20" ht="15.75" customHeight="1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>Table1[[#This Row],[pledged]]/Table1[[#This Row],[goal]]</f>
        <v>4.7894444444444444</v>
      </c>
      <c r="G911" t="s">
        <v>20</v>
      </c>
      <c r="H911">
        <v>80</v>
      </c>
      <c r="I911" t="s">
        <v>15</v>
      </c>
      <c r="J911" t="s">
        <v>16</v>
      </c>
      <c r="K911" s="12">
        <f>IF(OR(E911=0, H911=0), 0, E911/H911)</f>
        <v>107.7625</v>
      </c>
      <c r="L911">
        <v>1528088400</v>
      </c>
      <c r="M911" s="10">
        <f>(((L911/60)/60)/24)+DATE(1970,1,1)</f>
        <v>43255.208333333328</v>
      </c>
      <c r="N911">
        <v>1530421200</v>
      </c>
      <c r="O911" s="10">
        <f>(((N911/60)/60)/24)+DATE(1970,1,1)</f>
        <v>43282.208333333328</v>
      </c>
      <c r="P911" t="b">
        <v>0</v>
      </c>
      <c r="Q911" t="b">
        <v>1</v>
      </c>
      <c r="R911" t="s">
        <v>33</v>
      </c>
      <c r="S911" t="s">
        <v>2038</v>
      </c>
      <c r="T911" t="s">
        <v>2039</v>
      </c>
    </row>
    <row r="912" spans="1:20" ht="15.75" customHeight="1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>Table1[[#This Row],[pledged]]/Table1[[#This Row],[goal]]</f>
        <v>0.19556634304207121</v>
      </c>
      <c r="G912" t="s">
        <v>74</v>
      </c>
      <c r="H912">
        <v>296</v>
      </c>
      <c r="I912" t="s">
        <v>21</v>
      </c>
      <c r="J912" t="s">
        <v>22</v>
      </c>
      <c r="K912" s="12">
        <f>IF(OR(E912=0, H912=0), 0, E912/H912)</f>
        <v>102.07770270270271</v>
      </c>
      <c r="L912">
        <v>1421906400</v>
      </c>
      <c r="M912" s="10">
        <f>(((L912/60)/60)/24)+DATE(1970,1,1)</f>
        <v>42026.25</v>
      </c>
      <c r="N912">
        <v>1421992800</v>
      </c>
      <c r="O912" s="10">
        <f>(((N912/60)/60)/24)+DATE(1970,1,1)</f>
        <v>42027.25</v>
      </c>
      <c r="P912" t="b">
        <v>0</v>
      </c>
      <c r="Q912" t="b">
        <v>0</v>
      </c>
      <c r="R912" t="s">
        <v>33</v>
      </c>
      <c r="S912" t="s">
        <v>2038</v>
      </c>
      <c r="T912" t="s">
        <v>2039</v>
      </c>
    </row>
    <row r="913" spans="1:20" ht="15.75" customHeight="1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>Table1[[#This Row],[pledged]]/Table1[[#This Row],[goal]]</f>
        <v>1.9894827586206896</v>
      </c>
      <c r="G913" t="s">
        <v>20</v>
      </c>
      <c r="H913">
        <v>462</v>
      </c>
      <c r="I913" t="s">
        <v>21</v>
      </c>
      <c r="J913" t="s">
        <v>22</v>
      </c>
      <c r="K913" s="12">
        <f>IF(OR(E913=0, H913=0), 0, E913/H913)</f>
        <v>24.976190476190474</v>
      </c>
      <c r="L913">
        <v>1568005200</v>
      </c>
      <c r="M913" s="10">
        <f>(((L913/60)/60)/24)+DATE(1970,1,1)</f>
        <v>43717.208333333328</v>
      </c>
      <c r="N913">
        <v>1568178000</v>
      </c>
      <c r="O913" s="10">
        <f>(((N913/60)/60)/24)+DATE(1970,1,1)</f>
        <v>43719.208333333328</v>
      </c>
      <c r="P913" t="b">
        <v>1</v>
      </c>
      <c r="Q913" t="b">
        <v>0</v>
      </c>
      <c r="R913" t="s">
        <v>28</v>
      </c>
      <c r="S913" t="s">
        <v>2036</v>
      </c>
      <c r="T913" t="s">
        <v>2037</v>
      </c>
    </row>
    <row r="914" spans="1:20" ht="15.75" customHeight="1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>Table1[[#This Row],[pledged]]/Table1[[#This Row],[goal]]</f>
        <v>7.95</v>
      </c>
      <c r="G914" t="s">
        <v>20</v>
      </c>
      <c r="H914">
        <v>179</v>
      </c>
      <c r="I914" t="s">
        <v>21</v>
      </c>
      <c r="J914" t="s">
        <v>22</v>
      </c>
      <c r="K914" s="12">
        <f>IF(OR(E914=0, H914=0), 0, E914/H914)</f>
        <v>79.944134078212286</v>
      </c>
      <c r="L914">
        <v>1346821200</v>
      </c>
      <c r="M914" s="10">
        <f>(((L914/60)/60)/24)+DATE(1970,1,1)</f>
        <v>41157.208333333336</v>
      </c>
      <c r="N914">
        <v>1347944400</v>
      </c>
      <c r="O914" s="10">
        <f>(((N914/60)/60)/24)+DATE(1970,1,1)</f>
        <v>41170.208333333336</v>
      </c>
      <c r="P914" t="b">
        <v>1</v>
      </c>
      <c r="Q914" t="b">
        <v>0</v>
      </c>
      <c r="R914" t="s">
        <v>53</v>
      </c>
      <c r="S914" t="s">
        <v>2040</v>
      </c>
      <c r="T914" t="s">
        <v>2043</v>
      </c>
    </row>
    <row r="915" spans="1:20" ht="15.75" customHeight="1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>Table1[[#This Row],[pledged]]/Table1[[#This Row],[goal]]</f>
        <v>0.50621082621082625</v>
      </c>
      <c r="G915" t="s">
        <v>14</v>
      </c>
      <c r="H915">
        <v>523</v>
      </c>
      <c r="I915" t="s">
        <v>26</v>
      </c>
      <c r="J915" t="s">
        <v>27</v>
      </c>
      <c r="K915" s="12">
        <f>IF(OR(E915=0, H915=0), 0, E915/H915)</f>
        <v>67.946462715105156</v>
      </c>
      <c r="L915">
        <v>1557637200</v>
      </c>
      <c r="M915" s="10">
        <f>(((L915/60)/60)/24)+DATE(1970,1,1)</f>
        <v>43597.208333333328</v>
      </c>
      <c r="N915">
        <v>1558760400</v>
      </c>
      <c r="O915" s="10">
        <f>(((N915/60)/60)/24)+DATE(1970,1,1)</f>
        <v>43610.208333333328</v>
      </c>
      <c r="P915" t="b">
        <v>0</v>
      </c>
      <c r="Q915" t="b">
        <v>0</v>
      </c>
      <c r="R915" t="s">
        <v>53</v>
      </c>
      <c r="S915" t="s">
        <v>2040</v>
      </c>
      <c r="T915" t="s">
        <v>2043</v>
      </c>
    </row>
    <row r="916" spans="1:20" ht="15.75" customHeight="1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>Table1[[#This Row],[pledged]]/Table1[[#This Row],[goal]]</f>
        <v>0.57437499999999997</v>
      </c>
      <c r="G916" t="s">
        <v>14</v>
      </c>
      <c r="H916">
        <v>141</v>
      </c>
      <c r="I916" t="s">
        <v>40</v>
      </c>
      <c r="J916" t="s">
        <v>41</v>
      </c>
      <c r="K916" s="12">
        <f>IF(OR(E916=0, H916=0), 0, E916/H916)</f>
        <v>26.070921985815602</v>
      </c>
      <c r="L916">
        <v>1375592400</v>
      </c>
      <c r="M916" s="10">
        <f>(((L916/60)/60)/24)+DATE(1970,1,1)</f>
        <v>41490.208333333336</v>
      </c>
      <c r="N916">
        <v>1376629200</v>
      </c>
      <c r="O916" s="10">
        <f>(((N916/60)/60)/24)+DATE(1970,1,1)</f>
        <v>41502.208333333336</v>
      </c>
      <c r="P916" t="b">
        <v>0</v>
      </c>
      <c r="Q916" t="b">
        <v>0</v>
      </c>
      <c r="R916" t="s">
        <v>33</v>
      </c>
      <c r="S916" t="s">
        <v>2038</v>
      </c>
      <c r="T916" t="s">
        <v>2039</v>
      </c>
    </row>
    <row r="917" spans="1:20" ht="15.75" customHeight="1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>Table1[[#This Row],[pledged]]/Table1[[#This Row],[goal]]</f>
        <v>1.5562827640984909</v>
      </c>
      <c r="G917" t="s">
        <v>20</v>
      </c>
      <c r="H917">
        <v>1866</v>
      </c>
      <c r="I917" t="s">
        <v>40</v>
      </c>
      <c r="J917" t="s">
        <v>41</v>
      </c>
      <c r="K917" s="12">
        <f>IF(OR(E917=0, H917=0), 0, E917/H917)</f>
        <v>105.0032154340836</v>
      </c>
      <c r="L917">
        <v>1503982800</v>
      </c>
      <c r="M917" s="10">
        <f>(((L917/60)/60)/24)+DATE(1970,1,1)</f>
        <v>42976.208333333328</v>
      </c>
      <c r="N917">
        <v>1504760400</v>
      </c>
      <c r="O917" s="10">
        <f>(((N917/60)/60)/24)+DATE(1970,1,1)</f>
        <v>42985.208333333328</v>
      </c>
      <c r="P917" t="b">
        <v>0</v>
      </c>
      <c r="Q917" t="b">
        <v>0</v>
      </c>
      <c r="R917" t="s">
        <v>269</v>
      </c>
      <c r="S917" t="s">
        <v>2040</v>
      </c>
      <c r="T917" t="s">
        <v>2059</v>
      </c>
    </row>
    <row r="918" spans="1:20" ht="15.75" customHeight="1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>Table1[[#This Row],[pledged]]/Table1[[#This Row],[goal]]</f>
        <v>0.36297297297297298</v>
      </c>
      <c r="G918" t="s">
        <v>14</v>
      </c>
      <c r="H918">
        <v>52</v>
      </c>
      <c r="I918" t="s">
        <v>21</v>
      </c>
      <c r="J918" t="s">
        <v>22</v>
      </c>
      <c r="K918" s="12">
        <f>IF(OR(E918=0, H918=0), 0, E918/H918)</f>
        <v>25.826923076923077</v>
      </c>
      <c r="L918">
        <v>1418882400</v>
      </c>
      <c r="M918" s="10">
        <f>(((L918/60)/60)/24)+DATE(1970,1,1)</f>
        <v>41991.25</v>
      </c>
      <c r="N918">
        <v>1419660000</v>
      </c>
      <c r="O918" s="10">
        <f>(((N918/60)/60)/24)+DATE(1970,1,1)</f>
        <v>42000.25</v>
      </c>
      <c r="P918" t="b">
        <v>0</v>
      </c>
      <c r="Q918" t="b">
        <v>0</v>
      </c>
      <c r="R918" t="s">
        <v>122</v>
      </c>
      <c r="S918" t="s">
        <v>2053</v>
      </c>
      <c r="T918" t="s">
        <v>2054</v>
      </c>
    </row>
    <row r="919" spans="1:20" ht="15.75" customHeight="1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>Table1[[#This Row],[pledged]]/Table1[[#This Row],[goal]]</f>
        <v>0.58250000000000002</v>
      </c>
      <c r="G919" t="s">
        <v>47</v>
      </c>
      <c r="H919">
        <v>27</v>
      </c>
      <c r="I919" t="s">
        <v>40</v>
      </c>
      <c r="J919" t="s">
        <v>41</v>
      </c>
      <c r="K919" s="12">
        <f>IF(OR(E919=0, H919=0), 0, E919/H919)</f>
        <v>77.666666666666671</v>
      </c>
      <c r="L919">
        <v>1309237200</v>
      </c>
      <c r="M919" s="10">
        <f>(((L919/60)/60)/24)+DATE(1970,1,1)</f>
        <v>40722.208333333336</v>
      </c>
      <c r="N919">
        <v>1311310800</v>
      </c>
      <c r="O919" s="10">
        <f>(((N919/60)/60)/24)+DATE(1970,1,1)</f>
        <v>40746.208333333336</v>
      </c>
      <c r="P919" t="b">
        <v>0</v>
      </c>
      <c r="Q919" t="b">
        <v>1</v>
      </c>
      <c r="R919" t="s">
        <v>100</v>
      </c>
      <c r="S919" t="s">
        <v>2040</v>
      </c>
      <c r="T919" t="s">
        <v>2051</v>
      </c>
    </row>
    <row r="920" spans="1:20" ht="15.75" customHeight="1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>Table1[[#This Row],[pledged]]/Table1[[#This Row],[goal]]</f>
        <v>2.3739473684210526</v>
      </c>
      <c r="G920" t="s">
        <v>20</v>
      </c>
      <c r="H920">
        <v>156</v>
      </c>
      <c r="I920" t="s">
        <v>98</v>
      </c>
      <c r="J920" t="s">
        <v>99</v>
      </c>
      <c r="K920" s="12">
        <f>IF(OR(E920=0, H920=0), 0, E920/H920)</f>
        <v>57.82692307692308</v>
      </c>
      <c r="L920">
        <v>1343365200</v>
      </c>
      <c r="M920" s="10">
        <f>(((L920/60)/60)/24)+DATE(1970,1,1)</f>
        <v>41117.208333333336</v>
      </c>
      <c r="N920">
        <v>1344315600</v>
      </c>
      <c r="O920" s="10">
        <f>(((N920/60)/60)/24)+DATE(1970,1,1)</f>
        <v>41128.208333333336</v>
      </c>
      <c r="P920" t="b">
        <v>0</v>
      </c>
      <c r="Q920" t="b">
        <v>0</v>
      </c>
      <c r="R920" t="s">
        <v>133</v>
      </c>
      <c r="S920" t="s">
        <v>2046</v>
      </c>
      <c r="T920" t="s">
        <v>2055</v>
      </c>
    </row>
    <row r="921" spans="1:20" ht="15.75" customHeight="1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>Table1[[#This Row],[pledged]]/Table1[[#This Row],[goal]]</f>
        <v>0.58750000000000002</v>
      </c>
      <c r="G921" t="s">
        <v>14</v>
      </c>
      <c r="H921">
        <v>225</v>
      </c>
      <c r="I921" t="s">
        <v>26</v>
      </c>
      <c r="J921" t="s">
        <v>27</v>
      </c>
      <c r="K921" s="12">
        <f>IF(OR(E921=0, H921=0), 0, E921/H921)</f>
        <v>92.955555555555549</v>
      </c>
      <c r="L921">
        <v>1507957200</v>
      </c>
      <c r="M921" s="10">
        <f>(((L921/60)/60)/24)+DATE(1970,1,1)</f>
        <v>43022.208333333328</v>
      </c>
      <c r="N921">
        <v>1510725600</v>
      </c>
      <c r="O921" s="10">
        <f>(((N921/60)/60)/24)+DATE(1970,1,1)</f>
        <v>43054.25</v>
      </c>
      <c r="P921" t="b">
        <v>0</v>
      </c>
      <c r="Q921" t="b">
        <v>1</v>
      </c>
      <c r="R921" t="s">
        <v>33</v>
      </c>
      <c r="S921" t="s">
        <v>2038</v>
      </c>
      <c r="T921" t="s">
        <v>2039</v>
      </c>
    </row>
    <row r="922" spans="1:20" ht="15.75" customHeight="1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>Table1[[#This Row],[pledged]]/Table1[[#This Row],[goal]]</f>
        <v>1.8256603773584905</v>
      </c>
      <c r="G922" t="s">
        <v>20</v>
      </c>
      <c r="H922">
        <v>255</v>
      </c>
      <c r="I922" t="s">
        <v>21</v>
      </c>
      <c r="J922" t="s">
        <v>22</v>
      </c>
      <c r="K922" s="12">
        <f>IF(OR(E922=0, H922=0), 0, E922/H922)</f>
        <v>37.945098039215686</v>
      </c>
      <c r="L922">
        <v>1549519200</v>
      </c>
      <c r="M922" s="10">
        <f>(((L922/60)/60)/24)+DATE(1970,1,1)</f>
        <v>43503.25</v>
      </c>
      <c r="N922">
        <v>1551247200</v>
      </c>
      <c r="O922" s="10">
        <f>(((N922/60)/60)/24)+DATE(1970,1,1)</f>
        <v>43523.25</v>
      </c>
      <c r="P922" t="b">
        <v>1</v>
      </c>
      <c r="Q922" t="b">
        <v>0</v>
      </c>
      <c r="R922" t="s">
        <v>71</v>
      </c>
      <c r="S922" t="s">
        <v>2040</v>
      </c>
      <c r="T922" t="s">
        <v>2048</v>
      </c>
    </row>
    <row r="923" spans="1:20" ht="15.75" customHeight="1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>Table1[[#This Row],[pledged]]/Table1[[#This Row],[goal]]</f>
        <v>7.5436408977556111E-3</v>
      </c>
      <c r="G923" t="s">
        <v>14</v>
      </c>
      <c r="H923">
        <v>38</v>
      </c>
      <c r="I923" t="s">
        <v>21</v>
      </c>
      <c r="J923" t="s">
        <v>22</v>
      </c>
      <c r="K923" s="12">
        <f>IF(OR(E923=0, H923=0), 0, E923/H923)</f>
        <v>31.842105263157894</v>
      </c>
      <c r="L923">
        <v>1329026400</v>
      </c>
      <c r="M923" s="10">
        <f>(((L923/60)/60)/24)+DATE(1970,1,1)</f>
        <v>40951.25</v>
      </c>
      <c r="N923">
        <v>1330236000</v>
      </c>
      <c r="O923" s="10">
        <f>(((N923/60)/60)/24)+DATE(1970,1,1)</f>
        <v>40965.25</v>
      </c>
      <c r="P923" t="b">
        <v>0</v>
      </c>
      <c r="Q923" t="b">
        <v>0</v>
      </c>
      <c r="R923" t="s">
        <v>28</v>
      </c>
      <c r="S923" t="s">
        <v>2036</v>
      </c>
      <c r="T923" t="s">
        <v>2037</v>
      </c>
    </row>
    <row r="924" spans="1:20" ht="15.75" customHeight="1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>Table1[[#This Row],[pledged]]/Table1[[#This Row],[goal]]</f>
        <v>1.7595330739299611</v>
      </c>
      <c r="G924" t="s">
        <v>20</v>
      </c>
      <c r="H924">
        <v>2261</v>
      </c>
      <c r="I924" t="s">
        <v>21</v>
      </c>
      <c r="J924" t="s">
        <v>22</v>
      </c>
      <c r="K924" s="12">
        <f>IF(OR(E924=0, H924=0), 0, E924/H924)</f>
        <v>40</v>
      </c>
      <c r="L924">
        <v>1544335200</v>
      </c>
      <c r="M924" s="10">
        <f>(((L924/60)/60)/24)+DATE(1970,1,1)</f>
        <v>43443.25</v>
      </c>
      <c r="N924">
        <v>1545112800</v>
      </c>
      <c r="O924" s="10">
        <f>(((N924/60)/60)/24)+DATE(1970,1,1)</f>
        <v>43452.25</v>
      </c>
      <c r="P924" t="b">
        <v>0</v>
      </c>
      <c r="Q924" t="b">
        <v>1</v>
      </c>
      <c r="R924" t="s">
        <v>319</v>
      </c>
      <c r="S924" t="s">
        <v>2034</v>
      </c>
      <c r="T924" t="s">
        <v>2061</v>
      </c>
    </row>
    <row r="925" spans="1:20" ht="15.75" customHeight="1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>Table1[[#This Row],[pledged]]/Table1[[#This Row],[goal]]</f>
        <v>2.3788235294117648</v>
      </c>
      <c r="G925" t="s">
        <v>20</v>
      </c>
      <c r="H925">
        <v>40</v>
      </c>
      <c r="I925" t="s">
        <v>21</v>
      </c>
      <c r="J925" t="s">
        <v>22</v>
      </c>
      <c r="K925" s="12">
        <f>IF(OR(E925=0, H925=0), 0, E925/H925)</f>
        <v>101.1</v>
      </c>
      <c r="L925">
        <v>1279083600</v>
      </c>
      <c r="M925" s="10">
        <f>(((L925/60)/60)/24)+DATE(1970,1,1)</f>
        <v>40373.208333333336</v>
      </c>
      <c r="N925">
        <v>1279170000</v>
      </c>
      <c r="O925" s="10">
        <f>(((N925/60)/60)/24)+DATE(1970,1,1)</f>
        <v>40374.208333333336</v>
      </c>
      <c r="P925" t="b">
        <v>0</v>
      </c>
      <c r="Q925" t="b">
        <v>0</v>
      </c>
      <c r="R925" t="s">
        <v>33</v>
      </c>
      <c r="S925" t="s">
        <v>2038</v>
      </c>
      <c r="T925" t="s">
        <v>2039</v>
      </c>
    </row>
    <row r="926" spans="1:20" ht="15.75" customHeight="1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>Table1[[#This Row],[pledged]]/Table1[[#This Row],[goal]]</f>
        <v>4.8805076142131982</v>
      </c>
      <c r="G926" t="s">
        <v>20</v>
      </c>
      <c r="H926">
        <v>2289</v>
      </c>
      <c r="I926" t="s">
        <v>107</v>
      </c>
      <c r="J926" t="s">
        <v>108</v>
      </c>
      <c r="K926" s="12">
        <f>IF(OR(E926=0, H926=0), 0, E926/H926)</f>
        <v>84.006989951944078</v>
      </c>
      <c r="L926">
        <v>1572498000</v>
      </c>
      <c r="M926" s="10">
        <f>(((L926/60)/60)/24)+DATE(1970,1,1)</f>
        <v>43769.208333333328</v>
      </c>
      <c r="N926">
        <v>1573452000</v>
      </c>
      <c r="O926" s="10">
        <f>(((N926/60)/60)/24)+DATE(1970,1,1)</f>
        <v>43780.25</v>
      </c>
      <c r="P926" t="b">
        <v>0</v>
      </c>
      <c r="Q926" t="b">
        <v>0</v>
      </c>
      <c r="R926" t="s">
        <v>33</v>
      </c>
      <c r="S926" t="s">
        <v>2038</v>
      </c>
      <c r="T926" t="s">
        <v>2039</v>
      </c>
    </row>
    <row r="927" spans="1:20" ht="15.75" customHeight="1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>Table1[[#This Row],[pledged]]/Table1[[#This Row],[goal]]</f>
        <v>2.2406666666666668</v>
      </c>
      <c r="G927" t="s">
        <v>20</v>
      </c>
      <c r="H927">
        <v>65</v>
      </c>
      <c r="I927" t="s">
        <v>21</v>
      </c>
      <c r="J927" t="s">
        <v>22</v>
      </c>
      <c r="K927" s="12">
        <f>IF(OR(E927=0, H927=0), 0, E927/H927)</f>
        <v>103.41538461538461</v>
      </c>
      <c r="L927">
        <v>1506056400</v>
      </c>
      <c r="M927" s="10">
        <f>(((L927/60)/60)/24)+DATE(1970,1,1)</f>
        <v>43000.208333333328</v>
      </c>
      <c r="N927">
        <v>1507093200</v>
      </c>
      <c r="O927" s="10">
        <f>(((N927/60)/60)/24)+DATE(1970,1,1)</f>
        <v>43012.208333333328</v>
      </c>
      <c r="P927" t="b">
        <v>0</v>
      </c>
      <c r="Q927" t="b">
        <v>0</v>
      </c>
      <c r="R927" t="s">
        <v>33</v>
      </c>
      <c r="S927" t="s">
        <v>2038</v>
      </c>
      <c r="T927" t="s">
        <v>2039</v>
      </c>
    </row>
    <row r="928" spans="1:20" ht="15.75" customHeight="1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>Table1[[#This Row],[pledged]]/Table1[[#This Row],[goal]]</f>
        <v>0.18126436781609195</v>
      </c>
      <c r="G928" t="s">
        <v>14</v>
      </c>
      <c r="H928">
        <v>15</v>
      </c>
      <c r="I928" t="s">
        <v>21</v>
      </c>
      <c r="J928" t="s">
        <v>22</v>
      </c>
      <c r="K928" s="12">
        <f>IF(OR(E928=0, H928=0), 0, E928/H928)</f>
        <v>105.13333333333334</v>
      </c>
      <c r="L928">
        <v>1463029200</v>
      </c>
      <c r="M928" s="10">
        <f>(((L928/60)/60)/24)+DATE(1970,1,1)</f>
        <v>42502.208333333328</v>
      </c>
      <c r="N928">
        <v>1463374800</v>
      </c>
      <c r="O928" s="10">
        <f>(((N928/60)/60)/24)+DATE(1970,1,1)</f>
        <v>42506.208333333328</v>
      </c>
      <c r="P928" t="b">
        <v>0</v>
      </c>
      <c r="Q928" t="b">
        <v>0</v>
      </c>
      <c r="R928" t="s">
        <v>17</v>
      </c>
      <c r="S928" t="s">
        <v>2032</v>
      </c>
      <c r="T928" t="s">
        <v>2033</v>
      </c>
    </row>
    <row r="929" spans="1:20" ht="15.75" customHeight="1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>Table1[[#This Row],[pledged]]/Table1[[#This Row],[goal]]</f>
        <v>0.45847222222222223</v>
      </c>
      <c r="G929" t="s">
        <v>14</v>
      </c>
      <c r="H929">
        <v>37</v>
      </c>
      <c r="I929" t="s">
        <v>21</v>
      </c>
      <c r="J929" t="s">
        <v>22</v>
      </c>
      <c r="K929" s="12">
        <f>IF(OR(E929=0, H929=0), 0, E929/H929)</f>
        <v>89.21621621621621</v>
      </c>
      <c r="L929">
        <v>1342069200</v>
      </c>
      <c r="M929" s="10">
        <f>(((L929/60)/60)/24)+DATE(1970,1,1)</f>
        <v>41102.208333333336</v>
      </c>
      <c r="N929">
        <v>1344574800</v>
      </c>
      <c r="O929" s="10">
        <f>(((N929/60)/60)/24)+DATE(1970,1,1)</f>
        <v>41131.208333333336</v>
      </c>
      <c r="P929" t="b">
        <v>0</v>
      </c>
      <c r="Q929" t="b">
        <v>0</v>
      </c>
      <c r="R929" t="s">
        <v>33</v>
      </c>
      <c r="S929" t="s">
        <v>2038</v>
      </c>
      <c r="T929" t="s">
        <v>2039</v>
      </c>
    </row>
    <row r="930" spans="1:20" ht="15.75" customHeight="1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>Table1[[#This Row],[pledged]]/Table1[[#This Row],[goal]]</f>
        <v>1.1731541218637993</v>
      </c>
      <c r="G930" t="s">
        <v>20</v>
      </c>
      <c r="H930">
        <v>3777</v>
      </c>
      <c r="I930" t="s">
        <v>107</v>
      </c>
      <c r="J930" t="s">
        <v>108</v>
      </c>
      <c r="K930" s="12">
        <f>IF(OR(E930=0, H930=0), 0, E930/H930)</f>
        <v>51.995234312946785</v>
      </c>
      <c r="L930">
        <v>1388296800</v>
      </c>
      <c r="M930" s="10">
        <f>(((L930/60)/60)/24)+DATE(1970,1,1)</f>
        <v>41637.25</v>
      </c>
      <c r="N930">
        <v>1389074400</v>
      </c>
      <c r="O930" s="10">
        <f>(((N930/60)/60)/24)+DATE(1970,1,1)</f>
        <v>41646.25</v>
      </c>
      <c r="P930" t="b">
        <v>0</v>
      </c>
      <c r="Q930" t="b">
        <v>0</v>
      </c>
      <c r="R930" t="s">
        <v>28</v>
      </c>
      <c r="S930" t="s">
        <v>2036</v>
      </c>
      <c r="T930" t="s">
        <v>2037</v>
      </c>
    </row>
    <row r="931" spans="1:20" ht="15.75" customHeight="1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>Table1[[#This Row],[pledged]]/Table1[[#This Row],[goal]]</f>
        <v>2.173090909090909</v>
      </c>
      <c r="G931" t="s">
        <v>20</v>
      </c>
      <c r="H931">
        <v>184</v>
      </c>
      <c r="I931" t="s">
        <v>40</v>
      </c>
      <c r="J931" t="s">
        <v>41</v>
      </c>
      <c r="K931" s="12">
        <f>IF(OR(E931=0, H931=0), 0, E931/H931)</f>
        <v>64.956521739130437</v>
      </c>
      <c r="L931">
        <v>1493787600</v>
      </c>
      <c r="M931" s="10">
        <f>(((L931/60)/60)/24)+DATE(1970,1,1)</f>
        <v>42858.208333333328</v>
      </c>
      <c r="N931">
        <v>1494997200</v>
      </c>
      <c r="O931" s="10">
        <f>(((N931/60)/60)/24)+DATE(1970,1,1)</f>
        <v>42872.208333333328</v>
      </c>
      <c r="P931" t="b">
        <v>0</v>
      </c>
      <c r="Q931" t="b">
        <v>0</v>
      </c>
      <c r="R931" t="s">
        <v>33</v>
      </c>
      <c r="S931" t="s">
        <v>2038</v>
      </c>
      <c r="T931" t="s">
        <v>2039</v>
      </c>
    </row>
    <row r="932" spans="1:20" ht="15.75" customHeight="1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>Table1[[#This Row],[pledged]]/Table1[[#This Row],[goal]]</f>
        <v>1.1228571428571428</v>
      </c>
      <c r="G932" t="s">
        <v>20</v>
      </c>
      <c r="H932">
        <v>85</v>
      </c>
      <c r="I932" t="s">
        <v>21</v>
      </c>
      <c r="J932" t="s">
        <v>22</v>
      </c>
      <c r="K932" s="12">
        <f>IF(OR(E932=0, H932=0), 0, E932/H932)</f>
        <v>46.235294117647058</v>
      </c>
      <c r="L932">
        <v>1424844000</v>
      </c>
      <c r="M932" s="10">
        <f>(((L932/60)/60)/24)+DATE(1970,1,1)</f>
        <v>42060.25</v>
      </c>
      <c r="N932">
        <v>1425448800</v>
      </c>
      <c r="O932" s="10">
        <f>(((N932/60)/60)/24)+DATE(1970,1,1)</f>
        <v>42067.25</v>
      </c>
      <c r="P932" t="b">
        <v>0</v>
      </c>
      <c r="Q932" t="b">
        <v>1</v>
      </c>
      <c r="R932" t="s">
        <v>33</v>
      </c>
      <c r="S932" t="s">
        <v>2038</v>
      </c>
      <c r="T932" t="s">
        <v>2039</v>
      </c>
    </row>
    <row r="933" spans="1:20" ht="15.75" customHeight="1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>Table1[[#This Row],[pledged]]/Table1[[#This Row],[goal]]</f>
        <v>0.72518987341772156</v>
      </c>
      <c r="G933" t="s">
        <v>14</v>
      </c>
      <c r="H933">
        <v>112</v>
      </c>
      <c r="I933" t="s">
        <v>21</v>
      </c>
      <c r="J933" t="s">
        <v>22</v>
      </c>
      <c r="K933" s="12">
        <f>IF(OR(E933=0, H933=0), 0, E933/H933)</f>
        <v>51.151785714285715</v>
      </c>
      <c r="L933">
        <v>1403931600</v>
      </c>
      <c r="M933" s="10">
        <f>(((L933/60)/60)/24)+DATE(1970,1,1)</f>
        <v>41818.208333333336</v>
      </c>
      <c r="N933">
        <v>1404104400</v>
      </c>
      <c r="O933" s="10">
        <f>(((N933/60)/60)/24)+DATE(1970,1,1)</f>
        <v>41820.208333333336</v>
      </c>
      <c r="P933" t="b">
        <v>0</v>
      </c>
      <c r="Q933" t="b">
        <v>1</v>
      </c>
      <c r="R933" t="s">
        <v>33</v>
      </c>
      <c r="S933" t="s">
        <v>2038</v>
      </c>
      <c r="T933" t="s">
        <v>2039</v>
      </c>
    </row>
    <row r="934" spans="1:20" ht="15.75" customHeight="1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>Table1[[#This Row],[pledged]]/Table1[[#This Row],[goal]]</f>
        <v>2.1230434782608696</v>
      </c>
      <c r="G934" t="s">
        <v>20</v>
      </c>
      <c r="H934">
        <v>144</v>
      </c>
      <c r="I934" t="s">
        <v>21</v>
      </c>
      <c r="J934" t="s">
        <v>22</v>
      </c>
      <c r="K934" s="12">
        <f>IF(OR(E934=0, H934=0), 0, E934/H934)</f>
        <v>33.909722222222221</v>
      </c>
      <c r="L934">
        <v>1394514000</v>
      </c>
      <c r="M934" s="10">
        <f>(((L934/60)/60)/24)+DATE(1970,1,1)</f>
        <v>41709.208333333336</v>
      </c>
      <c r="N934">
        <v>1394773200</v>
      </c>
      <c r="O934" s="10">
        <f>(((N934/60)/60)/24)+DATE(1970,1,1)</f>
        <v>41712.208333333336</v>
      </c>
      <c r="P934" t="b">
        <v>0</v>
      </c>
      <c r="Q934" t="b">
        <v>0</v>
      </c>
      <c r="R934" t="s">
        <v>23</v>
      </c>
      <c r="S934" t="s">
        <v>2034</v>
      </c>
      <c r="T934" t="s">
        <v>2035</v>
      </c>
    </row>
    <row r="935" spans="1:20" ht="15.75" customHeight="1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>Table1[[#This Row],[pledged]]/Table1[[#This Row],[goal]]</f>
        <v>2.3974657534246577</v>
      </c>
      <c r="G935" t="s">
        <v>20</v>
      </c>
      <c r="H935">
        <v>1902</v>
      </c>
      <c r="I935" t="s">
        <v>21</v>
      </c>
      <c r="J935" t="s">
        <v>22</v>
      </c>
      <c r="K935" s="12">
        <f>IF(OR(E935=0, H935=0), 0, E935/H935)</f>
        <v>92.016298633017882</v>
      </c>
      <c r="L935">
        <v>1365397200</v>
      </c>
      <c r="M935" s="10">
        <f>(((L935/60)/60)/24)+DATE(1970,1,1)</f>
        <v>41372.208333333336</v>
      </c>
      <c r="N935">
        <v>1366520400</v>
      </c>
      <c r="O935" s="10">
        <f>(((N935/60)/60)/24)+DATE(1970,1,1)</f>
        <v>41385.208333333336</v>
      </c>
      <c r="P935" t="b">
        <v>0</v>
      </c>
      <c r="Q935" t="b">
        <v>0</v>
      </c>
      <c r="R935" t="s">
        <v>33</v>
      </c>
      <c r="S935" t="s">
        <v>2038</v>
      </c>
      <c r="T935" t="s">
        <v>2039</v>
      </c>
    </row>
    <row r="936" spans="1:20" ht="15.75" customHeight="1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>Table1[[#This Row],[pledged]]/Table1[[#This Row],[goal]]</f>
        <v>1.8193548387096774</v>
      </c>
      <c r="G936" t="s">
        <v>20</v>
      </c>
      <c r="H936">
        <v>105</v>
      </c>
      <c r="I936" t="s">
        <v>21</v>
      </c>
      <c r="J936" t="s">
        <v>22</v>
      </c>
      <c r="K936" s="12">
        <f>IF(OR(E936=0, H936=0), 0, E936/H936)</f>
        <v>107.42857142857143</v>
      </c>
      <c r="L936">
        <v>1456120800</v>
      </c>
      <c r="M936" s="10">
        <f>(((L936/60)/60)/24)+DATE(1970,1,1)</f>
        <v>42422.25</v>
      </c>
      <c r="N936">
        <v>1456639200</v>
      </c>
      <c r="O936" s="10">
        <f>(((N936/60)/60)/24)+DATE(1970,1,1)</f>
        <v>42428.25</v>
      </c>
      <c r="P936" t="b">
        <v>0</v>
      </c>
      <c r="Q936" t="b">
        <v>0</v>
      </c>
      <c r="R936" t="s">
        <v>33</v>
      </c>
      <c r="S936" t="s">
        <v>2038</v>
      </c>
      <c r="T936" t="s">
        <v>2039</v>
      </c>
    </row>
    <row r="937" spans="1:20" ht="15.75" customHeight="1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>Table1[[#This Row],[pledged]]/Table1[[#This Row],[goal]]</f>
        <v>1.6413114754098361</v>
      </c>
      <c r="G937" t="s">
        <v>20</v>
      </c>
      <c r="H937">
        <v>132</v>
      </c>
      <c r="I937" t="s">
        <v>21</v>
      </c>
      <c r="J937" t="s">
        <v>22</v>
      </c>
      <c r="K937" s="12">
        <f>IF(OR(E937=0, H937=0), 0, E937/H937)</f>
        <v>75.848484848484844</v>
      </c>
      <c r="L937">
        <v>1437714000</v>
      </c>
      <c r="M937" s="10">
        <f>(((L937/60)/60)/24)+DATE(1970,1,1)</f>
        <v>42209.208333333328</v>
      </c>
      <c r="N937">
        <v>1438318800</v>
      </c>
      <c r="O937" s="10">
        <f>(((N937/60)/60)/24)+DATE(1970,1,1)</f>
        <v>42216.208333333328</v>
      </c>
      <c r="P937" t="b">
        <v>0</v>
      </c>
      <c r="Q937" t="b">
        <v>0</v>
      </c>
      <c r="R937" t="s">
        <v>33</v>
      </c>
      <c r="S937" t="s">
        <v>2038</v>
      </c>
      <c r="T937" t="s">
        <v>2039</v>
      </c>
    </row>
    <row r="938" spans="1:20" ht="15.75" customHeight="1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>Table1[[#This Row],[pledged]]/Table1[[#This Row],[goal]]</f>
        <v>1.6375968992248063E-2</v>
      </c>
      <c r="G938" t="s">
        <v>14</v>
      </c>
      <c r="H938">
        <v>21</v>
      </c>
      <c r="I938" t="s">
        <v>21</v>
      </c>
      <c r="J938" t="s">
        <v>22</v>
      </c>
      <c r="K938" s="12">
        <f>IF(OR(E938=0, H938=0), 0, E938/H938)</f>
        <v>80.476190476190482</v>
      </c>
      <c r="L938">
        <v>1563771600</v>
      </c>
      <c r="M938" s="10">
        <f>(((L938/60)/60)/24)+DATE(1970,1,1)</f>
        <v>43668.208333333328</v>
      </c>
      <c r="N938">
        <v>1564030800</v>
      </c>
      <c r="O938" s="10">
        <f>(((N938/60)/60)/24)+DATE(1970,1,1)</f>
        <v>43671.208333333328</v>
      </c>
      <c r="P938" t="b">
        <v>1</v>
      </c>
      <c r="Q938" t="b">
        <v>0</v>
      </c>
      <c r="R938" t="s">
        <v>33</v>
      </c>
      <c r="S938" t="s">
        <v>2038</v>
      </c>
      <c r="T938" t="s">
        <v>2039</v>
      </c>
    </row>
    <row r="939" spans="1:20" ht="15.75" customHeight="1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>Table1[[#This Row],[pledged]]/Table1[[#This Row],[goal]]</f>
        <v>0.49643859649122807</v>
      </c>
      <c r="G939" t="s">
        <v>74</v>
      </c>
      <c r="H939">
        <v>976</v>
      </c>
      <c r="I939" t="s">
        <v>21</v>
      </c>
      <c r="J939" t="s">
        <v>22</v>
      </c>
      <c r="K939" s="12">
        <f>IF(OR(E939=0, H939=0), 0, E939/H939)</f>
        <v>86.978483606557376</v>
      </c>
      <c r="L939">
        <v>1448517600</v>
      </c>
      <c r="M939" s="10">
        <f>(((L939/60)/60)/24)+DATE(1970,1,1)</f>
        <v>42334.25</v>
      </c>
      <c r="N939">
        <v>1449295200</v>
      </c>
      <c r="O939" s="10">
        <f>(((N939/60)/60)/24)+DATE(1970,1,1)</f>
        <v>42343.25</v>
      </c>
      <c r="P939" t="b">
        <v>0</v>
      </c>
      <c r="Q939" t="b">
        <v>0</v>
      </c>
      <c r="R939" t="s">
        <v>42</v>
      </c>
      <c r="S939" t="s">
        <v>2040</v>
      </c>
      <c r="T939" t="s">
        <v>2041</v>
      </c>
    </row>
    <row r="940" spans="1:20" ht="15.75" customHeight="1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>Table1[[#This Row],[pledged]]/Table1[[#This Row],[goal]]</f>
        <v>1.0970652173913042</v>
      </c>
      <c r="G940" t="s">
        <v>20</v>
      </c>
      <c r="H940">
        <v>96</v>
      </c>
      <c r="I940" t="s">
        <v>21</v>
      </c>
      <c r="J940" t="s">
        <v>22</v>
      </c>
      <c r="K940" s="12">
        <f>IF(OR(E940=0, H940=0), 0, E940/H940)</f>
        <v>105.13541666666667</v>
      </c>
      <c r="L940">
        <v>1528779600</v>
      </c>
      <c r="M940" s="10">
        <f>(((L940/60)/60)/24)+DATE(1970,1,1)</f>
        <v>43263.208333333328</v>
      </c>
      <c r="N940">
        <v>1531890000</v>
      </c>
      <c r="O940" s="10">
        <f>(((N940/60)/60)/24)+DATE(1970,1,1)</f>
        <v>43299.208333333328</v>
      </c>
      <c r="P940" t="b">
        <v>0</v>
      </c>
      <c r="Q940" t="b">
        <v>1</v>
      </c>
      <c r="R940" t="s">
        <v>119</v>
      </c>
      <c r="S940" t="s">
        <v>2046</v>
      </c>
      <c r="T940" t="s">
        <v>2052</v>
      </c>
    </row>
    <row r="941" spans="1:20" ht="15.75" customHeight="1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>Table1[[#This Row],[pledged]]/Table1[[#This Row],[goal]]</f>
        <v>0.49217948717948717</v>
      </c>
      <c r="G941" t="s">
        <v>14</v>
      </c>
      <c r="H941">
        <v>67</v>
      </c>
      <c r="I941" t="s">
        <v>21</v>
      </c>
      <c r="J941" t="s">
        <v>22</v>
      </c>
      <c r="K941" s="12">
        <f>IF(OR(E941=0, H941=0), 0, E941/H941)</f>
        <v>57.298507462686565</v>
      </c>
      <c r="L941">
        <v>1304744400</v>
      </c>
      <c r="M941" s="10">
        <f>(((L941/60)/60)/24)+DATE(1970,1,1)</f>
        <v>40670.208333333336</v>
      </c>
      <c r="N941">
        <v>1306213200</v>
      </c>
      <c r="O941" s="10">
        <f>(((N941/60)/60)/24)+DATE(1970,1,1)</f>
        <v>40687.208333333336</v>
      </c>
      <c r="P941" t="b">
        <v>0</v>
      </c>
      <c r="Q941" t="b">
        <v>1</v>
      </c>
      <c r="R941" t="s">
        <v>89</v>
      </c>
      <c r="S941" t="s">
        <v>2049</v>
      </c>
      <c r="T941" t="s">
        <v>2050</v>
      </c>
    </row>
    <row r="942" spans="1:20" ht="15.75" customHeight="1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>Table1[[#This Row],[pledged]]/Table1[[#This Row],[goal]]</f>
        <v>0.62232323232323228</v>
      </c>
      <c r="G942" t="s">
        <v>47</v>
      </c>
      <c r="H942">
        <v>66</v>
      </c>
      <c r="I942" t="s">
        <v>15</v>
      </c>
      <c r="J942" t="s">
        <v>16</v>
      </c>
      <c r="K942" s="12">
        <f>IF(OR(E942=0, H942=0), 0, E942/H942)</f>
        <v>93.348484848484844</v>
      </c>
      <c r="L942">
        <v>1354341600</v>
      </c>
      <c r="M942" s="10">
        <f>(((L942/60)/60)/24)+DATE(1970,1,1)</f>
        <v>41244.25</v>
      </c>
      <c r="N942">
        <v>1356242400</v>
      </c>
      <c r="O942" s="10">
        <f>(((N942/60)/60)/24)+DATE(1970,1,1)</f>
        <v>41266.25</v>
      </c>
      <c r="P942" t="b">
        <v>0</v>
      </c>
      <c r="Q942" t="b">
        <v>0</v>
      </c>
      <c r="R942" t="s">
        <v>28</v>
      </c>
      <c r="S942" t="s">
        <v>2036</v>
      </c>
      <c r="T942" t="s">
        <v>2037</v>
      </c>
    </row>
    <row r="943" spans="1:20" ht="15.75" customHeight="1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>Table1[[#This Row],[pledged]]/Table1[[#This Row],[goal]]</f>
        <v>0.1305813953488372</v>
      </c>
      <c r="G943" t="s">
        <v>14</v>
      </c>
      <c r="H943">
        <v>78</v>
      </c>
      <c r="I943" t="s">
        <v>21</v>
      </c>
      <c r="J943" t="s">
        <v>22</v>
      </c>
      <c r="K943" s="12">
        <f>IF(OR(E943=0, H943=0), 0, E943/H943)</f>
        <v>71.987179487179489</v>
      </c>
      <c r="L943">
        <v>1294552800</v>
      </c>
      <c r="M943" s="10">
        <f>(((L943/60)/60)/24)+DATE(1970,1,1)</f>
        <v>40552.25</v>
      </c>
      <c r="N943">
        <v>1297576800</v>
      </c>
      <c r="O943" s="10">
        <f>(((N943/60)/60)/24)+DATE(1970,1,1)</f>
        <v>40587.25</v>
      </c>
      <c r="P943" t="b">
        <v>1</v>
      </c>
      <c r="Q943" t="b">
        <v>0</v>
      </c>
      <c r="R943" t="s">
        <v>33</v>
      </c>
      <c r="S943" t="s">
        <v>2038</v>
      </c>
      <c r="T943" t="s">
        <v>2039</v>
      </c>
    </row>
    <row r="944" spans="1:20" ht="15.75" customHeight="1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>Table1[[#This Row],[pledged]]/Table1[[#This Row],[goal]]</f>
        <v>0.64635416666666667</v>
      </c>
      <c r="G944" t="s">
        <v>14</v>
      </c>
      <c r="H944">
        <v>67</v>
      </c>
      <c r="I944" t="s">
        <v>26</v>
      </c>
      <c r="J944" t="s">
        <v>27</v>
      </c>
      <c r="K944" s="12">
        <f>IF(OR(E944=0, H944=0), 0, E944/H944)</f>
        <v>92.611940298507463</v>
      </c>
      <c r="L944">
        <v>1295935200</v>
      </c>
      <c r="M944" s="10">
        <f>(((L944/60)/60)/24)+DATE(1970,1,1)</f>
        <v>40568.25</v>
      </c>
      <c r="N944">
        <v>1296194400</v>
      </c>
      <c r="O944" s="10">
        <f>(((N944/60)/60)/24)+DATE(1970,1,1)</f>
        <v>40571.25</v>
      </c>
      <c r="P944" t="b">
        <v>0</v>
      </c>
      <c r="Q944" t="b">
        <v>0</v>
      </c>
      <c r="R944" t="s">
        <v>33</v>
      </c>
      <c r="S944" t="s">
        <v>2038</v>
      </c>
      <c r="T944" t="s">
        <v>2039</v>
      </c>
    </row>
    <row r="945" spans="1:20" ht="15.75" customHeight="1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>Table1[[#This Row],[pledged]]/Table1[[#This Row],[goal]]</f>
        <v>1.5958666666666668</v>
      </c>
      <c r="G945" t="s">
        <v>20</v>
      </c>
      <c r="H945">
        <v>114</v>
      </c>
      <c r="I945" t="s">
        <v>21</v>
      </c>
      <c r="J945" t="s">
        <v>22</v>
      </c>
      <c r="K945" s="12">
        <f>IF(OR(E945=0, H945=0), 0, E945/H945)</f>
        <v>104.99122807017544</v>
      </c>
      <c r="L945">
        <v>1411534800</v>
      </c>
      <c r="M945" s="10">
        <f>(((L945/60)/60)/24)+DATE(1970,1,1)</f>
        <v>41906.208333333336</v>
      </c>
      <c r="N945">
        <v>1414558800</v>
      </c>
      <c r="O945" s="10">
        <f>(((N945/60)/60)/24)+DATE(1970,1,1)</f>
        <v>41941.208333333336</v>
      </c>
      <c r="P945" t="b">
        <v>0</v>
      </c>
      <c r="Q945" t="b">
        <v>0</v>
      </c>
      <c r="R945" t="s">
        <v>17</v>
      </c>
      <c r="S945" t="s">
        <v>2032</v>
      </c>
      <c r="T945" t="s">
        <v>2033</v>
      </c>
    </row>
    <row r="946" spans="1:20" ht="15.75" customHeight="1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>Table1[[#This Row],[pledged]]/Table1[[#This Row],[goal]]</f>
        <v>0.81420000000000003</v>
      </c>
      <c r="G946" t="s">
        <v>14</v>
      </c>
      <c r="H946">
        <v>263</v>
      </c>
      <c r="I946" t="s">
        <v>26</v>
      </c>
      <c r="J946" t="s">
        <v>27</v>
      </c>
      <c r="K946" s="12">
        <f>IF(OR(E946=0, H946=0), 0, E946/H946)</f>
        <v>30.958174904942965</v>
      </c>
      <c r="L946">
        <v>1486706400</v>
      </c>
      <c r="M946" s="10">
        <f>(((L946/60)/60)/24)+DATE(1970,1,1)</f>
        <v>42776.25</v>
      </c>
      <c r="N946">
        <v>1488348000</v>
      </c>
      <c r="O946" s="10">
        <f>(((N946/60)/60)/24)+DATE(1970,1,1)</f>
        <v>42795.25</v>
      </c>
      <c r="P946" t="b">
        <v>0</v>
      </c>
      <c r="Q946" t="b">
        <v>0</v>
      </c>
      <c r="R946" t="s">
        <v>122</v>
      </c>
      <c r="S946" t="s">
        <v>2053</v>
      </c>
      <c r="T946" t="s">
        <v>2054</v>
      </c>
    </row>
    <row r="947" spans="1:20" ht="15.75" customHeight="1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>Table1[[#This Row],[pledged]]/Table1[[#This Row],[goal]]</f>
        <v>0.32444767441860467</v>
      </c>
      <c r="G947" t="s">
        <v>14</v>
      </c>
      <c r="H947">
        <v>1691</v>
      </c>
      <c r="I947" t="s">
        <v>21</v>
      </c>
      <c r="J947" t="s">
        <v>22</v>
      </c>
      <c r="K947" s="12">
        <f>IF(OR(E947=0, H947=0), 0, E947/H947)</f>
        <v>33.001182732111175</v>
      </c>
      <c r="L947">
        <v>1333602000</v>
      </c>
      <c r="M947" s="10">
        <f>(((L947/60)/60)/24)+DATE(1970,1,1)</f>
        <v>41004.208333333336</v>
      </c>
      <c r="N947">
        <v>1334898000</v>
      </c>
      <c r="O947" s="10">
        <f>(((N947/60)/60)/24)+DATE(1970,1,1)</f>
        <v>41019.208333333336</v>
      </c>
      <c r="P947" t="b">
        <v>1</v>
      </c>
      <c r="Q947" t="b">
        <v>0</v>
      </c>
      <c r="R947" t="s">
        <v>122</v>
      </c>
      <c r="S947" t="s">
        <v>2053</v>
      </c>
      <c r="T947" t="s">
        <v>2054</v>
      </c>
    </row>
    <row r="948" spans="1:20" ht="15.75" customHeight="1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>Table1[[#This Row],[pledged]]/Table1[[#This Row],[goal]]</f>
        <v>9.9141184124918666E-2</v>
      </c>
      <c r="G948" t="s">
        <v>14</v>
      </c>
      <c r="H948">
        <v>181</v>
      </c>
      <c r="I948" t="s">
        <v>21</v>
      </c>
      <c r="J948" t="s">
        <v>22</v>
      </c>
      <c r="K948" s="12">
        <f>IF(OR(E948=0, H948=0), 0, E948/H948)</f>
        <v>84.187845303867405</v>
      </c>
      <c r="L948">
        <v>1308200400</v>
      </c>
      <c r="M948" s="10">
        <f>(((L948/60)/60)/24)+DATE(1970,1,1)</f>
        <v>40710.208333333336</v>
      </c>
      <c r="N948">
        <v>1308373200</v>
      </c>
      <c r="O948" s="10">
        <f>(((N948/60)/60)/24)+DATE(1970,1,1)</f>
        <v>40712.208333333336</v>
      </c>
      <c r="P948" t="b">
        <v>0</v>
      </c>
      <c r="Q948" t="b">
        <v>0</v>
      </c>
      <c r="R948" t="s">
        <v>33</v>
      </c>
      <c r="S948" t="s">
        <v>2038</v>
      </c>
      <c r="T948" t="s">
        <v>2039</v>
      </c>
    </row>
    <row r="949" spans="1:20" ht="15.75" customHeight="1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>Table1[[#This Row],[pledged]]/Table1[[#This Row],[goal]]</f>
        <v>0.26694444444444443</v>
      </c>
      <c r="G949" t="s">
        <v>14</v>
      </c>
      <c r="H949">
        <v>13</v>
      </c>
      <c r="I949" t="s">
        <v>21</v>
      </c>
      <c r="J949" t="s">
        <v>22</v>
      </c>
      <c r="K949" s="12">
        <f>IF(OR(E949=0, H949=0), 0, E949/H949)</f>
        <v>73.92307692307692</v>
      </c>
      <c r="L949">
        <v>1411707600</v>
      </c>
      <c r="M949" s="10">
        <f>(((L949/60)/60)/24)+DATE(1970,1,1)</f>
        <v>41908.208333333336</v>
      </c>
      <c r="N949">
        <v>1412312400</v>
      </c>
      <c r="O949" s="10">
        <f>(((N949/60)/60)/24)+DATE(1970,1,1)</f>
        <v>41915.208333333336</v>
      </c>
      <c r="P949" t="b">
        <v>0</v>
      </c>
      <c r="Q949" t="b">
        <v>0</v>
      </c>
      <c r="R949" t="s">
        <v>33</v>
      </c>
      <c r="S949" t="s">
        <v>2038</v>
      </c>
      <c r="T949" t="s">
        <v>2039</v>
      </c>
    </row>
    <row r="950" spans="1:20" ht="15.75" customHeight="1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>Table1[[#This Row],[pledged]]/Table1[[#This Row],[goal]]</f>
        <v>0.62957446808510642</v>
      </c>
      <c r="G950" t="s">
        <v>74</v>
      </c>
      <c r="H950">
        <v>160</v>
      </c>
      <c r="I950" t="s">
        <v>21</v>
      </c>
      <c r="J950" t="s">
        <v>22</v>
      </c>
      <c r="K950" s="12">
        <f>IF(OR(E950=0, H950=0), 0, E950/H950)</f>
        <v>36.987499999999997</v>
      </c>
      <c r="L950">
        <v>1418364000</v>
      </c>
      <c r="M950" s="10">
        <f>(((L950/60)/60)/24)+DATE(1970,1,1)</f>
        <v>41985.25</v>
      </c>
      <c r="N950">
        <v>1419228000</v>
      </c>
      <c r="O950" s="10">
        <f>(((N950/60)/60)/24)+DATE(1970,1,1)</f>
        <v>41995.25</v>
      </c>
      <c r="P950" t="b">
        <v>1</v>
      </c>
      <c r="Q950" t="b">
        <v>1</v>
      </c>
      <c r="R950" t="s">
        <v>42</v>
      </c>
      <c r="S950" t="s">
        <v>2040</v>
      </c>
      <c r="T950" t="s">
        <v>2041</v>
      </c>
    </row>
    <row r="951" spans="1:20" ht="15.75" customHeight="1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>Table1[[#This Row],[pledged]]/Table1[[#This Row],[goal]]</f>
        <v>1.6135593220338984</v>
      </c>
      <c r="G951" t="s">
        <v>20</v>
      </c>
      <c r="H951">
        <v>203</v>
      </c>
      <c r="I951" t="s">
        <v>21</v>
      </c>
      <c r="J951" t="s">
        <v>22</v>
      </c>
      <c r="K951" s="12">
        <f>IF(OR(E951=0, H951=0), 0, E951/H951)</f>
        <v>46.896551724137929</v>
      </c>
      <c r="L951">
        <v>1429333200</v>
      </c>
      <c r="M951" s="10">
        <f>(((L951/60)/60)/24)+DATE(1970,1,1)</f>
        <v>42112.208333333328</v>
      </c>
      <c r="N951">
        <v>1430974800</v>
      </c>
      <c r="O951" s="10">
        <f>(((N951/60)/60)/24)+DATE(1970,1,1)</f>
        <v>42131.208333333328</v>
      </c>
      <c r="P951" t="b">
        <v>0</v>
      </c>
      <c r="Q951" t="b">
        <v>0</v>
      </c>
      <c r="R951" t="s">
        <v>28</v>
      </c>
      <c r="S951" t="s">
        <v>2036</v>
      </c>
      <c r="T951" t="s">
        <v>2037</v>
      </c>
    </row>
    <row r="952" spans="1:20" ht="15.75" customHeight="1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>Table1[[#This Row],[pledged]]/Table1[[#This Row],[goal]]</f>
        <v>0.05</v>
      </c>
      <c r="G952" t="s">
        <v>14</v>
      </c>
      <c r="H952">
        <v>1</v>
      </c>
      <c r="I952" t="s">
        <v>21</v>
      </c>
      <c r="J952" t="s">
        <v>22</v>
      </c>
      <c r="K952" s="12">
        <f>IF(OR(E952=0, H952=0), 0, E952/H952)</f>
        <v>5</v>
      </c>
      <c r="L952">
        <v>1555390800</v>
      </c>
      <c r="M952" s="10">
        <f>(((L952/60)/60)/24)+DATE(1970,1,1)</f>
        <v>43571.208333333328</v>
      </c>
      <c r="N952">
        <v>1555822800</v>
      </c>
      <c r="O952" s="10">
        <f>(((N952/60)/60)/24)+DATE(1970,1,1)</f>
        <v>43576.208333333328</v>
      </c>
      <c r="P952" t="b">
        <v>0</v>
      </c>
      <c r="Q952" t="b">
        <v>1</v>
      </c>
      <c r="R952" t="s">
        <v>33</v>
      </c>
      <c r="S952" t="s">
        <v>2038</v>
      </c>
      <c r="T952" t="s">
        <v>2039</v>
      </c>
    </row>
    <row r="953" spans="1:20" ht="15.75" customHeight="1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>Table1[[#This Row],[pledged]]/Table1[[#This Row],[goal]]</f>
        <v>10.969379310344827</v>
      </c>
      <c r="G953" t="s">
        <v>20</v>
      </c>
      <c r="H953">
        <v>1559</v>
      </c>
      <c r="I953" t="s">
        <v>21</v>
      </c>
      <c r="J953" t="s">
        <v>22</v>
      </c>
      <c r="K953" s="12">
        <f>IF(OR(E953=0, H953=0), 0, E953/H953)</f>
        <v>102.02437459910199</v>
      </c>
      <c r="L953">
        <v>1482732000</v>
      </c>
      <c r="M953" s="10">
        <f>(((L953/60)/60)/24)+DATE(1970,1,1)</f>
        <v>42730.25</v>
      </c>
      <c r="N953">
        <v>1482818400</v>
      </c>
      <c r="O953" s="10">
        <f>(((N953/60)/60)/24)+DATE(1970,1,1)</f>
        <v>42731.25</v>
      </c>
      <c r="P953" t="b">
        <v>0</v>
      </c>
      <c r="Q953" t="b">
        <v>1</v>
      </c>
      <c r="R953" t="s">
        <v>23</v>
      </c>
      <c r="S953" t="s">
        <v>2034</v>
      </c>
      <c r="T953" t="s">
        <v>2035</v>
      </c>
    </row>
    <row r="954" spans="1:20" ht="15.75" customHeight="1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>Table1[[#This Row],[pledged]]/Table1[[#This Row],[goal]]</f>
        <v>0.70094158075601376</v>
      </c>
      <c r="G954" t="s">
        <v>74</v>
      </c>
      <c r="H954">
        <v>2266</v>
      </c>
      <c r="I954" t="s">
        <v>21</v>
      </c>
      <c r="J954" t="s">
        <v>22</v>
      </c>
      <c r="K954" s="12">
        <f>IF(OR(E954=0, H954=0), 0, E954/H954)</f>
        <v>45.007502206531335</v>
      </c>
      <c r="L954">
        <v>1470718800</v>
      </c>
      <c r="M954" s="10">
        <f>(((L954/60)/60)/24)+DATE(1970,1,1)</f>
        <v>42591.208333333328</v>
      </c>
      <c r="N954">
        <v>1471928400</v>
      </c>
      <c r="O954" s="10">
        <f>(((N954/60)/60)/24)+DATE(1970,1,1)</f>
        <v>42605.208333333328</v>
      </c>
      <c r="P954" t="b">
        <v>0</v>
      </c>
      <c r="Q954" t="b">
        <v>0</v>
      </c>
      <c r="R954" t="s">
        <v>42</v>
      </c>
      <c r="S954" t="s">
        <v>2040</v>
      </c>
      <c r="T954" t="s">
        <v>2041</v>
      </c>
    </row>
    <row r="955" spans="1:20" ht="15.75" customHeight="1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>Table1[[#This Row],[pledged]]/Table1[[#This Row],[goal]]</f>
        <v>0.6</v>
      </c>
      <c r="G955" t="s">
        <v>14</v>
      </c>
      <c r="H955">
        <v>21</v>
      </c>
      <c r="I955" t="s">
        <v>21</v>
      </c>
      <c r="J955" t="s">
        <v>22</v>
      </c>
      <c r="K955" s="12">
        <f>IF(OR(E955=0, H955=0), 0, E955/H955)</f>
        <v>94.285714285714292</v>
      </c>
      <c r="L955">
        <v>1450591200</v>
      </c>
      <c r="M955" s="10">
        <f>(((L955/60)/60)/24)+DATE(1970,1,1)</f>
        <v>42358.25</v>
      </c>
      <c r="N955">
        <v>1453701600</v>
      </c>
      <c r="O955" s="10">
        <f>(((N955/60)/60)/24)+DATE(1970,1,1)</f>
        <v>42394.25</v>
      </c>
      <c r="P955" t="b">
        <v>0</v>
      </c>
      <c r="Q955" t="b">
        <v>1</v>
      </c>
      <c r="R955" t="s">
        <v>474</v>
      </c>
      <c r="S955" t="s">
        <v>2040</v>
      </c>
      <c r="T955" t="s">
        <v>2062</v>
      </c>
    </row>
    <row r="956" spans="1:20" ht="15.75" customHeight="1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>Table1[[#This Row],[pledged]]/Table1[[#This Row],[goal]]</f>
        <v>3.6709859154929578</v>
      </c>
      <c r="G956" t="s">
        <v>20</v>
      </c>
      <c r="H956">
        <v>1548</v>
      </c>
      <c r="I956" t="s">
        <v>26</v>
      </c>
      <c r="J956" t="s">
        <v>27</v>
      </c>
      <c r="K956" s="12">
        <f>IF(OR(E956=0, H956=0), 0, E956/H956)</f>
        <v>101.02325581395348</v>
      </c>
      <c r="L956">
        <v>1348290000</v>
      </c>
      <c r="M956" s="10">
        <f>(((L956/60)/60)/24)+DATE(1970,1,1)</f>
        <v>41174.208333333336</v>
      </c>
      <c r="N956">
        <v>1350363600</v>
      </c>
      <c r="O956" s="10">
        <f>(((N956/60)/60)/24)+DATE(1970,1,1)</f>
        <v>41198.208333333336</v>
      </c>
      <c r="P956" t="b">
        <v>0</v>
      </c>
      <c r="Q956" t="b">
        <v>0</v>
      </c>
      <c r="R956" t="s">
        <v>28</v>
      </c>
      <c r="S956" t="s">
        <v>2036</v>
      </c>
      <c r="T956" t="s">
        <v>2037</v>
      </c>
    </row>
    <row r="957" spans="1:20" ht="15.75" customHeight="1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>Table1[[#This Row],[pledged]]/Table1[[#This Row],[goal]]</f>
        <v>11.09</v>
      </c>
      <c r="G957" t="s">
        <v>20</v>
      </c>
      <c r="H957">
        <v>80</v>
      </c>
      <c r="I957" t="s">
        <v>21</v>
      </c>
      <c r="J957" t="s">
        <v>22</v>
      </c>
      <c r="K957" s="12">
        <f>IF(OR(E957=0, H957=0), 0, E957/H957)</f>
        <v>97.037499999999994</v>
      </c>
      <c r="L957">
        <v>1353823200</v>
      </c>
      <c r="M957" s="10">
        <f>(((L957/60)/60)/24)+DATE(1970,1,1)</f>
        <v>41238.25</v>
      </c>
      <c r="N957">
        <v>1353996000</v>
      </c>
      <c r="O957" s="10">
        <f>(((N957/60)/60)/24)+DATE(1970,1,1)</f>
        <v>41240.25</v>
      </c>
      <c r="P957" t="b">
        <v>0</v>
      </c>
      <c r="Q957" t="b">
        <v>0</v>
      </c>
      <c r="R957" t="s">
        <v>33</v>
      </c>
      <c r="S957" t="s">
        <v>2038</v>
      </c>
      <c r="T957" t="s">
        <v>2039</v>
      </c>
    </row>
    <row r="958" spans="1:20" ht="15.75" customHeight="1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>Table1[[#This Row],[pledged]]/Table1[[#This Row],[goal]]</f>
        <v>0.19028784648187633</v>
      </c>
      <c r="G958" t="s">
        <v>14</v>
      </c>
      <c r="H958">
        <v>830</v>
      </c>
      <c r="I958" t="s">
        <v>21</v>
      </c>
      <c r="J958" t="s">
        <v>22</v>
      </c>
      <c r="K958" s="12">
        <f>IF(OR(E958=0, H958=0), 0, E958/H958)</f>
        <v>43.00963855421687</v>
      </c>
      <c r="L958">
        <v>1450764000</v>
      </c>
      <c r="M958" s="10">
        <f>(((L958/60)/60)/24)+DATE(1970,1,1)</f>
        <v>42360.25</v>
      </c>
      <c r="N958">
        <v>1451109600</v>
      </c>
      <c r="O958" s="10">
        <f>(((N958/60)/60)/24)+DATE(1970,1,1)</f>
        <v>42364.25</v>
      </c>
      <c r="P958" t="b">
        <v>0</v>
      </c>
      <c r="Q958" t="b">
        <v>0</v>
      </c>
      <c r="R958" t="s">
        <v>474</v>
      </c>
      <c r="S958" t="s">
        <v>2040</v>
      </c>
      <c r="T958" t="s">
        <v>2062</v>
      </c>
    </row>
    <row r="959" spans="1:20" ht="15.75" customHeight="1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>Table1[[#This Row],[pledged]]/Table1[[#This Row],[goal]]</f>
        <v>1.2687755102040816</v>
      </c>
      <c r="G959" t="s">
        <v>20</v>
      </c>
      <c r="H959">
        <v>131</v>
      </c>
      <c r="I959" t="s">
        <v>21</v>
      </c>
      <c r="J959" t="s">
        <v>22</v>
      </c>
      <c r="K959" s="12">
        <f>IF(OR(E959=0, H959=0), 0, E959/H959)</f>
        <v>94.916030534351151</v>
      </c>
      <c r="L959">
        <v>1329372000</v>
      </c>
      <c r="M959" s="10">
        <f>(((L959/60)/60)/24)+DATE(1970,1,1)</f>
        <v>40955.25</v>
      </c>
      <c r="N959">
        <v>1329631200</v>
      </c>
      <c r="O959" s="10">
        <f>(((N959/60)/60)/24)+DATE(1970,1,1)</f>
        <v>40958.25</v>
      </c>
      <c r="P959" t="b">
        <v>0</v>
      </c>
      <c r="Q959" t="b">
        <v>0</v>
      </c>
      <c r="R959" t="s">
        <v>33</v>
      </c>
      <c r="S959" t="s">
        <v>2038</v>
      </c>
      <c r="T959" t="s">
        <v>2039</v>
      </c>
    </row>
    <row r="960" spans="1:20" ht="15.75" customHeight="1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>Table1[[#This Row],[pledged]]/Table1[[#This Row],[goal]]</f>
        <v>7.3463636363636367</v>
      </c>
      <c r="G960" t="s">
        <v>20</v>
      </c>
      <c r="H960">
        <v>112</v>
      </c>
      <c r="I960" t="s">
        <v>21</v>
      </c>
      <c r="J960" t="s">
        <v>22</v>
      </c>
      <c r="K960" s="12">
        <f>IF(OR(E960=0, H960=0), 0, E960/H960)</f>
        <v>72.151785714285708</v>
      </c>
      <c r="L960">
        <v>1277096400</v>
      </c>
      <c r="M960" s="10">
        <f>(((L960/60)/60)/24)+DATE(1970,1,1)</f>
        <v>40350.208333333336</v>
      </c>
      <c r="N960">
        <v>1278997200</v>
      </c>
      <c r="O960" s="10">
        <f>(((N960/60)/60)/24)+DATE(1970,1,1)</f>
        <v>40372.208333333336</v>
      </c>
      <c r="P960" t="b">
        <v>0</v>
      </c>
      <c r="Q960" t="b">
        <v>0</v>
      </c>
      <c r="R960" t="s">
        <v>71</v>
      </c>
      <c r="S960" t="s">
        <v>2040</v>
      </c>
      <c r="T960" t="s">
        <v>2048</v>
      </c>
    </row>
    <row r="961" spans="1:20" ht="15.75" customHeight="1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>Table1[[#This Row],[pledged]]/Table1[[#This Row],[goal]]</f>
        <v>4.5731034482758622E-2</v>
      </c>
      <c r="G961" t="s">
        <v>14</v>
      </c>
      <c r="H961">
        <v>130</v>
      </c>
      <c r="I961" t="s">
        <v>21</v>
      </c>
      <c r="J961" t="s">
        <v>22</v>
      </c>
      <c r="K961" s="12">
        <f>IF(OR(E961=0, H961=0), 0, E961/H961)</f>
        <v>51.007692307692309</v>
      </c>
      <c r="L961">
        <v>1277701200</v>
      </c>
      <c r="M961" s="10">
        <f>(((L961/60)/60)/24)+DATE(1970,1,1)</f>
        <v>40357.208333333336</v>
      </c>
      <c r="N961">
        <v>1280120400</v>
      </c>
      <c r="O961" s="10">
        <f>(((N961/60)/60)/24)+DATE(1970,1,1)</f>
        <v>40385.208333333336</v>
      </c>
      <c r="P961" t="b">
        <v>0</v>
      </c>
      <c r="Q961" t="b">
        <v>0</v>
      </c>
      <c r="R961" t="s">
        <v>206</v>
      </c>
      <c r="S961" t="s">
        <v>2046</v>
      </c>
      <c r="T961" t="s">
        <v>2058</v>
      </c>
    </row>
    <row r="962" spans="1:20" ht="15.75" customHeight="1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>Table1[[#This Row],[pledged]]/Table1[[#This Row],[goal]]</f>
        <v>0.85054545454545449</v>
      </c>
      <c r="G962" t="s">
        <v>14</v>
      </c>
      <c r="H962">
        <v>55</v>
      </c>
      <c r="I962" t="s">
        <v>21</v>
      </c>
      <c r="J962" t="s">
        <v>22</v>
      </c>
      <c r="K962" s="12">
        <f>IF(OR(E962=0, H962=0), 0, E962/H962)</f>
        <v>85.054545454545448</v>
      </c>
      <c r="L962">
        <v>1454911200</v>
      </c>
      <c r="M962" s="10">
        <f>(((L962/60)/60)/24)+DATE(1970,1,1)</f>
        <v>42408.25</v>
      </c>
      <c r="N962">
        <v>1458104400</v>
      </c>
      <c r="O962" s="10">
        <f>(((N962/60)/60)/24)+DATE(1970,1,1)</f>
        <v>42445.208333333328</v>
      </c>
      <c r="P962" t="b">
        <v>0</v>
      </c>
      <c r="Q962" t="b">
        <v>0</v>
      </c>
      <c r="R962" t="s">
        <v>28</v>
      </c>
      <c r="S962" t="s">
        <v>2036</v>
      </c>
      <c r="T962" t="s">
        <v>2037</v>
      </c>
    </row>
    <row r="963" spans="1:20" ht="15.75" customHeight="1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>Table1[[#This Row],[pledged]]/Table1[[#This Row],[goal]]</f>
        <v>1.1929824561403508</v>
      </c>
      <c r="G963" t="s">
        <v>20</v>
      </c>
      <c r="H963">
        <v>155</v>
      </c>
      <c r="I963" t="s">
        <v>21</v>
      </c>
      <c r="J963" t="s">
        <v>22</v>
      </c>
      <c r="K963" s="12">
        <f>IF(OR(E963=0, H963=0), 0, E963/H963)</f>
        <v>43.87096774193548</v>
      </c>
      <c r="L963">
        <v>1297922400</v>
      </c>
      <c r="M963" s="10">
        <f>(((L963/60)/60)/24)+DATE(1970,1,1)</f>
        <v>40591.25</v>
      </c>
      <c r="N963">
        <v>1298268000</v>
      </c>
      <c r="O963" s="10">
        <f>(((N963/60)/60)/24)+DATE(1970,1,1)</f>
        <v>40595.25</v>
      </c>
      <c r="P963" t="b">
        <v>0</v>
      </c>
      <c r="Q963" t="b">
        <v>0</v>
      </c>
      <c r="R963" t="s">
        <v>206</v>
      </c>
      <c r="S963" t="s">
        <v>2046</v>
      </c>
      <c r="T963" t="s">
        <v>2058</v>
      </c>
    </row>
    <row r="964" spans="1:20" ht="15.75" customHeight="1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>Table1[[#This Row],[pledged]]/Table1[[#This Row],[goal]]</f>
        <v>2.9602777777777778</v>
      </c>
      <c r="G964" t="s">
        <v>20</v>
      </c>
      <c r="H964">
        <v>266</v>
      </c>
      <c r="I964" t="s">
        <v>21</v>
      </c>
      <c r="J964" t="s">
        <v>22</v>
      </c>
      <c r="K964" s="12">
        <f>IF(OR(E964=0, H964=0), 0, E964/H964)</f>
        <v>40.063909774436091</v>
      </c>
      <c r="L964">
        <v>1384408800</v>
      </c>
      <c r="M964" s="10">
        <f>(((L964/60)/60)/24)+DATE(1970,1,1)</f>
        <v>41592.25</v>
      </c>
      <c r="N964">
        <v>1386223200</v>
      </c>
      <c r="O964" s="10">
        <f>(((N964/60)/60)/24)+DATE(1970,1,1)</f>
        <v>41613.25</v>
      </c>
      <c r="P964" t="b">
        <v>0</v>
      </c>
      <c r="Q964" t="b">
        <v>0</v>
      </c>
      <c r="R964" t="s">
        <v>17</v>
      </c>
      <c r="S964" t="s">
        <v>2032</v>
      </c>
      <c r="T964" t="s">
        <v>2033</v>
      </c>
    </row>
    <row r="965" spans="1:20" ht="15.75" customHeight="1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>Table1[[#This Row],[pledged]]/Table1[[#This Row],[goal]]</f>
        <v>0.84694915254237291</v>
      </c>
      <c r="G965" t="s">
        <v>14</v>
      </c>
      <c r="H965">
        <v>114</v>
      </c>
      <c r="I965" t="s">
        <v>107</v>
      </c>
      <c r="J965" t="s">
        <v>108</v>
      </c>
      <c r="K965" s="12">
        <f>IF(OR(E965=0, H965=0), 0, E965/H965)</f>
        <v>43.833333333333336</v>
      </c>
      <c r="L965">
        <v>1299304800</v>
      </c>
      <c r="M965" s="10">
        <f>(((L965/60)/60)/24)+DATE(1970,1,1)</f>
        <v>40607.25</v>
      </c>
      <c r="N965">
        <v>1299823200</v>
      </c>
      <c r="O965" s="10">
        <f>(((N965/60)/60)/24)+DATE(1970,1,1)</f>
        <v>40613.25</v>
      </c>
      <c r="P965" t="b">
        <v>0</v>
      </c>
      <c r="Q965" t="b">
        <v>1</v>
      </c>
      <c r="R965" t="s">
        <v>122</v>
      </c>
      <c r="S965" t="s">
        <v>2053</v>
      </c>
      <c r="T965" t="s">
        <v>2054</v>
      </c>
    </row>
    <row r="966" spans="1:20" ht="15.75" customHeight="1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>Table1[[#This Row],[pledged]]/Table1[[#This Row],[goal]]</f>
        <v>3.5578378378378379</v>
      </c>
      <c r="G966" t="s">
        <v>20</v>
      </c>
      <c r="H966">
        <v>155</v>
      </c>
      <c r="I966" t="s">
        <v>21</v>
      </c>
      <c r="J966" t="s">
        <v>22</v>
      </c>
      <c r="K966" s="12">
        <f>IF(OR(E966=0, H966=0), 0, E966/H966)</f>
        <v>84.92903225806451</v>
      </c>
      <c r="L966">
        <v>1431320400</v>
      </c>
      <c r="M966" s="10">
        <f>(((L966/60)/60)/24)+DATE(1970,1,1)</f>
        <v>42135.208333333328</v>
      </c>
      <c r="N966">
        <v>1431752400</v>
      </c>
      <c r="O966" s="10">
        <f>(((N966/60)/60)/24)+DATE(1970,1,1)</f>
        <v>42140.208333333328</v>
      </c>
      <c r="P966" t="b">
        <v>0</v>
      </c>
      <c r="Q966" t="b">
        <v>0</v>
      </c>
      <c r="R966" t="s">
        <v>33</v>
      </c>
      <c r="S966" t="s">
        <v>2038</v>
      </c>
      <c r="T966" t="s">
        <v>2039</v>
      </c>
    </row>
    <row r="967" spans="1:20" ht="15.75" customHeight="1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>Table1[[#This Row],[pledged]]/Table1[[#This Row],[goal]]</f>
        <v>3.8640909090909092</v>
      </c>
      <c r="G967" t="s">
        <v>20</v>
      </c>
      <c r="H967">
        <v>207</v>
      </c>
      <c r="I967" t="s">
        <v>40</v>
      </c>
      <c r="J967" t="s">
        <v>41</v>
      </c>
      <c r="K967" s="12">
        <f>IF(OR(E967=0, H967=0), 0, E967/H967)</f>
        <v>41.067632850241544</v>
      </c>
      <c r="L967">
        <v>1264399200</v>
      </c>
      <c r="M967" s="10">
        <f>(((L967/60)/60)/24)+DATE(1970,1,1)</f>
        <v>40203.25</v>
      </c>
      <c r="N967">
        <v>1267855200</v>
      </c>
      <c r="O967" s="10">
        <f>(((N967/60)/60)/24)+DATE(1970,1,1)</f>
        <v>40243.25</v>
      </c>
      <c r="P967" t="b">
        <v>0</v>
      </c>
      <c r="Q967" t="b">
        <v>0</v>
      </c>
      <c r="R967" t="s">
        <v>23</v>
      </c>
      <c r="S967" t="s">
        <v>2034</v>
      </c>
      <c r="T967" t="s">
        <v>2035</v>
      </c>
    </row>
    <row r="968" spans="1:20" ht="15.75" customHeight="1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>Table1[[#This Row],[pledged]]/Table1[[#This Row],[goal]]</f>
        <v>7.9223529411764702</v>
      </c>
      <c r="G968" t="s">
        <v>20</v>
      </c>
      <c r="H968">
        <v>245</v>
      </c>
      <c r="I968" t="s">
        <v>21</v>
      </c>
      <c r="J968" t="s">
        <v>22</v>
      </c>
      <c r="K968" s="12">
        <f>IF(OR(E968=0, H968=0), 0, E968/H968)</f>
        <v>54.971428571428568</v>
      </c>
      <c r="L968">
        <v>1497502800</v>
      </c>
      <c r="M968" s="10">
        <f>(((L968/60)/60)/24)+DATE(1970,1,1)</f>
        <v>42901.208333333328</v>
      </c>
      <c r="N968">
        <v>1497675600</v>
      </c>
      <c r="O968" s="10">
        <f>(((N968/60)/60)/24)+DATE(1970,1,1)</f>
        <v>42903.208333333328</v>
      </c>
      <c r="P968" t="b">
        <v>0</v>
      </c>
      <c r="Q968" t="b">
        <v>0</v>
      </c>
      <c r="R968" t="s">
        <v>33</v>
      </c>
      <c r="S968" t="s">
        <v>2038</v>
      </c>
      <c r="T968" t="s">
        <v>2039</v>
      </c>
    </row>
    <row r="969" spans="1:20" ht="15.75" customHeight="1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>Table1[[#This Row],[pledged]]/Table1[[#This Row],[goal]]</f>
        <v>1.3703393665158372</v>
      </c>
      <c r="G969" t="s">
        <v>20</v>
      </c>
      <c r="H969">
        <v>1573</v>
      </c>
      <c r="I969" t="s">
        <v>21</v>
      </c>
      <c r="J969" t="s">
        <v>22</v>
      </c>
      <c r="K969" s="12">
        <f>IF(OR(E969=0, H969=0), 0, E969/H969)</f>
        <v>77.010807374443743</v>
      </c>
      <c r="L969">
        <v>1333688400</v>
      </c>
      <c r="M969" s="10">
        <f>(((L969/60)/60)/24)+DATE(1970,1,1)</f>
        <v>41005.208333333336</v>
      </c>
      <c r="N969">
        <v>1336885200</v>
      </c>
      <c r="O969" s="10">
        <f>(((N969/60)/60)/24)+DATE(1970,1,1)</f>
        <v>41042.208333333336</v>
      </c>
      <c r="P969" t="b">
        <v>0</v>
      </c>
      <c r="Q969" t="b">
        <v>0</v>
      </c>
      <c r="R969" t="s">
        <v>319</v>
      </c>
      <c r="S969" t="s">
        <v>2034</v>
      </c>
      <c r="T969" t="s">
        <v>2061</v>
      </c>
    </row>
    <row r="970" spans="1:20" ht="15.75" customHeight="1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>Table1[[#This Row],[pledged]]/Table1[[#This Row],[goal]]</f>
        <v>3.3820833333333336</v>
      </c>
      <c r="G970" t="s">
        <v>20</v>
      </c>
      <c r="H970">
        <v>114</v>
      </c>
      <c r="I970" t="s">
        <v>21</v>
      </c>
      <c r="J970" t="s">
        <v>22</v>
      </c>
      <c r="K970" s="12">
        <f>IF(OR(E970=0, H970=0), 0, E970/H970)</f>
        <v>71.201754385964918</v>
      </c>
      <c r="L970">
        <v>1293861600</v>
      </c>
      <c r="M970" s="10">
        <f>(((L970/60)/60)/24)+DATE(1970,1,1)</f>
        <v>40544.25</v>
      </c>
      <c r="N970">
        <v>1295157600</v>
      </c>
      <c r="O970" s="10">
        <f>(((N970/60)/60)/24)+DATE(1970,1,1)</f>
        <v>40559.25</v>
      </c>
      <c r="P970" t="b">
        <v>0</v>
      </c>
      <c r="Q970" t="b">
        <v>0</v>
      </c>
      <c r="R970" t="s">
        <v>17</v>
      </c>
      <c r="S970" t="s">
        <v>2032</v>
      </c>
      <c r="T970" t="s">
        <v>2033</v>
      </c>
    </row>
    <row r="971" spans="1:20" ht="15.75" customHeight="1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>Table1[[#This Row],[pledged]]/Table1[[#This Row],[goal]]</f>
        <v>1.0822784810126582</v>
      </c>
      <c r="G971" t="s">
        <v>20</v>
      </c>
      <c r="H971">
        <v>93</v>
      </c>
      <c r="I971" t="s">
        <v>21</v>
      </c>
      <c r="J971" t="s">
        <v>22</v>
      </c>
      <c r="K971" s="12">
        <f>IF(OR(E971=0, H971=0), 0, E971/H971)</f>
        <v>91.935483870967744</v>
      </c>
      <c r="L971">
        <v>1576994400</v>
      </c>
      <c r="M971" s="10">
        <f>(((L971/60)/60)/24)+DATE(1970,1,1)</f>
        <v>43821.25</v>
      </c>
      <c r="N971">
        <v>1577599200</v>
      </c>
      <c r="O971" s="10">
        <f>(((N971/60)/60)/24)+DATE(1970,1,1)</f>
        <v>43828.25</v>
      </c>
      <c r="P971" t="b">
        <v>0</v>
      </c>
      <c r="Q971" t="b">
        <v>0</v>
      </c>
      <c r="R971" t="s">
        <v>33</v>
      </c>
      <c r="S971" t="s">
        <v>2038</v>
      </c>
      <c r="T971" t="s">
        <v>2039</v>
      </c>
    </row>
    <row r="972" spans="1:20" ht="15.75" customHeight="1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>Table1[[#This Row],[pledged]]/Table1[[#This Row],[goal]]</f>
        <v>0.60757639620653314</v>
      </c>
      <c r="G972" t="s">
        <v>14</v>
      </c>
      <c r="H972">
        <v>594</v>
      </c>
      <c r="I972" t="s">
        <v>21</v>
      </c>
      <c r="J972" t="s">
        <v>22</v>
      </c>
      <c r="K972" s="12">
        <f>IF(OR(E972=0, H972=0), 0, E972/H972)</f>
        <v>97.069023569023571</v>
      </c>
      <c r="L972">
        <v>1304917200</v>
      </c>
      <c r="M972" s="10">
        <f>(((L972/60)/60)/24)+DATE(1970,1,1)</f>
        <v>40672.208333333336</v>
      </c>
      <c r="N972">
        <v>1305003600</v>
      </c>
      <c r="O972" s="10">
        <f>(((N972/60)/60)/24)+DATE(1970,1,1)</f>
        <v>40673.208333333336</v>
      </c>
      <c r="P972" t="b">
        <v>0</v>
      </c>
      <c r="Q972" t="b">
        <v>0</v>
      </c>
      <c r="R972" t="s">
        <v>33</v>
      </c>
      <c r="S972" t="s">
        <v>2038</v>
      </c>
      <c r="T972" t="s">
        <v>2039</v>
      </c>
    </row>
    <row r="973" spans="1:20" ht="15.75" customHeight="1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>Table1[[#This Row],[pledged]]/Table1[[#This Row],[goal]]</f>
        <v>0.27725490196078434</v>
      </c>
      <c r="G973" t="s">
        <v>14</v>
      </c>
      <c r="H973">
        <v>24</v>
      </c>
      <c r="I973" t="s">
        <v>21</v>
      </c>
      <c r="J973" t="s">
        <v>22</v>
      </c>
      <c r="K973" s="12">
        <f>IF(OR(E973=0, H973=0), 0, E973/H973)</f>
        <v>58.916666666666664</v>
      </c>
      <c r="L973">
        <v>1381208400</v>
      </c>
      <c r="M973" s="10">
        <f>(((L973/60)/60)/24)+DATE(1970,1,1)</f>
        <v>41555.208333333336</v>
      </c>
      <c r="N973">
        <v>1381726800</v>
      </c>
      <c r="O973" s="10">
        <f>(((N973/60)/60)/24)+DATE(1970,1,1)</f>
        <v>41561.208333333336</v>
      </c>
      <c r="P973" t="b">
        <v>0</v>
      </c>
      <c r="Q973" t="b">
        <v>0</v>
      </c>
      <c r="R973" t="s">
        <v>269</v>
      </c>
      <c r="S973" t="s">
        <v>2040</v>
      </c>
      <c r="T973" t="s">
        <v>2059</v>
      </c>
    </row>
    <row r="974" spans="1:20" ht="15.75" customHeight="1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>Table1[[#This Row],[pledged]]/Table1[[#This Row],[goal]]</f>
        <v>2.283934426229508</v>
      </c>
      <c r="G974" t="s">
        <v>20</v>
      </c>
      <c r="H974">
        <v>1681</v>
      </c>
      <c r="I974" t="s">
        <v>21</v>
      </c>
      <c r="J974" t="s">
        <v>22</v>
      </c>
      <c r="K974" s="12">
        <f>IF(OR(E974=0, H974=0), 0, E974/H974)</f>
        <v>58.015466983938133</v>
      </c>
      <c r="L974">
        <v>1401685200</v>
      </c>
      <c r="M974" s="10">
        <f>(((L974/60)/60)/24)+DATE(1970,1,1)</f>
        <v>41792.208333333336</v>
      </c>
      <c r="N974">
        <v>1402462800</v>
      </c>
      <c r="O974" s="10">
        <f>(((N974/60)/60)/24)+DATE(1970,1,1)</f>
        <v>41801.208333333336</v>
      </c>
      <c r="P974" t="b">
        <v>0</v>
      </c>
      <c r="Q974" t="b">
        <v>1</v>
      </c>
      <c r="R974" t="s">
        <v>28</v>
      </c>
      <c r="S974" t="s">
        <v>2036</v>
      </c>
      <c r="T974" t="s">
        <v>2037</v>
      </c>
    </row>
    <row r="975" spans="1:20" ht="15.75" customHeight="1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>Table1[[#This Row],[pledged]]/Table1[[#This Row],[goal]]</f>
        <v>0.21615194054500414</v>
      </c>
      <c r="G975" t="s">
        <v>14</v>
      </c>
      <c r="H975">
        <v>252</v>
      </c>
      <c r="I975" t="s">
        <v>21</v>
      </c>
      <c r="J975" t="s">
        <v>22</v>
      </c>
      <c r="K975" s="12">
        <f>IF(OR(E975=0, H975=0), 0, E975/H975)</f>
        <v>103.87301587301587</v>
      </c>
      <c r="L975">
        <v>1291960800</v>
      </c>
      <c r="M975" s="10">
        <f>(((L975/60)/60)/24)+DATE(1970,1,1)</f>
        <v>40522.25</v>
      </c>
      <c r="N975">
        <v>1292133600</v>
      </c>
      <c r="O975" s="10">
        <f>(((N975/60)/60)/24)+DATE(1970,1,1)</f>
        <v>40524.25</v>
      </c>
      <c r="P975" t="b">
        <v>0</v>
      </c>
      <c r="Q975" t="b">
        <v>1</v>
      </c>
      <c r="R975" t="s">
        <v>33</v>
      </c>
      <c r="S975" t="s">
        <v>2038</v>
      </c>
      <c r="T975" t="s">
        <v>2039</v>
      </c>
    </row>
    <row r="976" spans="1:20" ht="15.75" customHeight="1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>Table1[[#This Row],[pledged]]/Table1[[#This Row],[goal]]</f>
        <v>3.73875</v>
      </c>
      <c r="G976" t="s">
        <v>20</v>
      </c>
      <c r="H976">
        <v>32</v>
      </c>
      <c r="I976" t="s">
        <v>21</v>
      </c>
      <c r="J976" t="s">
        <v>22</v>
      </c>
      <c r="K976" s="12">
        <f>IF(OR(E976=0, H976=0), 0, E976/H976)</f>
        <v>93.46875</v>
      </c>
      <c r="L976">
        <v>1368853200</v>
      </c>
      <c r="M976" s="10">
        <f>(((L976/60)/60)/24)+DATE(1970,1,1)</f>
        <v>41412.208333333336</v>
      </c>
      <c r="N976">
        <v>1368939600</v>
      </c>
      <c r="O976" s="10">
        <f>(((N976/60)/60)/24)+DATE(1970,1,1)</f>
        <v>41413.208333333336</v>
      </c>
      <c r="P976" t="b">
        <v>0</v>
      </c>
      <c r="Q976" t="b">
        <v>0</v>
      </c>
      <c r="R976" t="s">
        <v>60</v>
      </c>
      <c r="S976" t="s">
        <v>2034</v>
      </c>
      <c r="T976" t="s">
        <v>2044</v>
      </c>
    </row>
    <row r="977" spans="1:20" ht="15.75" customHeight="1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>Table1[[#This Row],[pledged]]/Table1[[#This Row],[goal]]</f>
        <v>1.5492592592592593</v>
      </c>
      <c r="G977" t="s">
        <v>20</v>
      </c>
      <c r="H977">
        <v>135</v>
      </c>
      <c r="I977" t="s">
        <v>21</v>
      </c>
      <c r="J977" t="s">
        <v>22</v>
      </c>
      <c r="K977" s="12">
        <f>IF(OR(E977=0, H977=0), 0, E977/H977)</f>
        <v>61.970370370370368</v>
      </c>
      <c r="L977">
        <v>1448776800</v>
      </c>
      <c r="M977" s="10">
        <f>(((L977/60)/60)/24)+DATE(1970,1,1)</f>
        <v>42337.25</v>
      </c>
      <c r="N977">
        <v>1452146400</v>
      </c>
      <c r="O977" s="10">
        <f>(((N977/60)/60)/24)+DATE(1970,1,1)</f>
        <v>42376.25</v>
      </c>
      <c r="P977" t="b">
        <v>0</v>
      </c>
      <c r="Q977" t="b">
        <v>1</v>
      </c>
      <c r="R977" t="s">
        <v>33</v>
      </c>
      <c r="S977" t="s">
        <v>2038</v>
      </c>
      <c r="T977" t="s">
        <v>2039</v>
      </c>
    </row>
    <row r="978" spans="1:20" ht="15.75" customHeight="1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>Table1[[#This Row],[pledged]]/Table1[[#This Row],[goal]]</f>
        <v>3.2214999999999998</v>
      </c>
      <c r="G978" t="s">
        <v>20</v>
      </c>
      <c r="H978">
        <v>140</v>
      </c>
      <c r="I978" t="s">
        <v>21</v>
      </c>
      <c r="J978" t="s">
        <v>22</v>
      </c>
      <c r="K978" s="12">
        <f>IF(OR(E978=0, H978=0), 0, E978/H978)</f>
        <v>92.042857142857144</v>
      </c>
      <c r="L978">
        <v>1296194400</v>
      </c>
      <c r="M978" s="10">
        <f>(((L978/60)/60)/24)+DATE(1970,1,1)</f>
        <v>40571.25</v>
      </c>
      <c r="N978">
        <v>1296712800</v>
      </c>
      <c r="O978" s="10">
        <f>(((N978/60)/60)/24)+DATE(1970,1,1)</f>
        <v>40577.25</v>
      </c>
      <c r="P978" t="b">
        <v>0</v>
      </c>
      <c r="Q978" t="b">
        <v>1</v>
      </c>
      <c r="R978" t="s">
        <v>33</v>
      </c>
      <c r="S978" t="s">
        <v>2038</v>
      </c>
      <c r="T978" t="s">
        <v>2039</v>
      </c>
    </row>
    <row r="979" spans="1:20" ht="15.75" customHeight="1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>Table1[[#This Row],[pledged]]/Table1[[#This Row],[goal]]</f>
        <v>0.73957142857142855</v>
      </c>
      <c r="G979" t="s">
        <v>14</v>
      </c>
      <c r="H979">
        <v>67</v>
      </c>
      <c r="I979" t="s">
        <v>21</v>
      </c>
      <c r="J979" t="s">
        <v>22</v>
      </c>
      <c r="K979" s="12">
        <f>IF(OR(E979=0, H979=0), 0, E979/H979)</f>
        <v>77.268656716417908</v>
      </c>
      <c r="L979">
        <v>1517983200</v>
      </c>
      <c r="M979" s="10">
        <f>(((L979/60)/60)/24)+DATE(1970,1,1)</f>
        <v>43138.25</v>
      </c>
      <c r="N979">
        <v>1520748000</v>
      </c>
      <c r="O979" s="10">
        <f>(((N979/60)/60)/24)+DATE(1970,1,1)</f>
        <v>43170.25</v>
      </c>
      <c r="P979" t="b">
        <v>0</v>
      </c>
      <c r="Q979" t="b">
        <v>0</v>
      </c>
      <c r="R979" t="s">
        <v>17</v>
      </c>
      <c r="S979" t="s">
        <v>2032</v>
      </c>
      <c r="T979" t="s">
        <v>2033</v>
      </c>
    </row>
    <row r="980" spans="1:20" ht="15.75" customHeight="1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>Table1[[#This Row],[pledged]]/Table1[[#This Row],[goal]]</f>
        <v>8.641</v>
      </c>
      <c r="G980" t="s">
        <v>20</v>
      </c>
      <c r="H980">
        <v>92</v>
      </c>
      <c r="I980" t="s">
        <v>21</v>
      </c>
      <c r="J980" t="s">
        <v>22</v>
      </c>
      <c r="K980" s="12">
        <f>IF(OR(E980=0, H980=0), 0, E980/H980)</f>
        <v>93.923913043478265</v>
      </c>
      <c r="L980">
        <v>1478930400</v>
      </c>
      <c r="M980" s="10">
        <f>(((L980/60)/60)/24)+DATE(1970,1,1)</f>
        <v>42686.25</v>
      </c>
      <c r="N980">
        <v>1480831200</v>
      </c>
      <c r="O980" s="10">
        <f>(((N980/60)/60)/24)+DATE(1970,1,1)</f>
        <v>42708.25</v>
      </c>
      <c r="P980" t="b">
        <v>0</v>
      </c>
      <c r="Q980" t="b">
        <v>0</v>
      </c>
      <c r="R980" t="s">
        <v>89</v>
      </c>
      <c r="S980" t="s">
        <v>2049</v>
      </c>
      <c r="T980" t="s">
        <v>2050</v>
      </c>
    </row>
    <row r="981" spans="1:20" ht="15.75" customHeight="1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>Table1[[#This Row],[pledged]]/Table1[[#This Row],[goal]]</f>
        <v>1.432624584717608</v>
      </c>
      <c r="G981" t="s">
        <v>20</v>
      </c>
      <c r="H981">
        <v>1015</v>
      </c>
      <c r="I981" t="s">
        <v>40</v>
      </c>
      <c r="J981" t="s">
        <v>41</v>
      </c>
      <c r="K981" s="12">
        <f>IF(OR(E981=0, H981=0), 0, E981/H981)</f>
        <v>84.969458128078813</v>
      </c>
      <c r="L981">
        <v>1426395600</v>
      </c>
      <c r="M981" s="10">
        <f>(((L981/60)/60)/24)+DATE(1970,1,1)</f>
        <v>42078.208333333328</v>
      </c>
      <c r="N981">
        <v>1426914000</v>
      </c>
      <c r="O981" s="10">
        <f>(((N981/60)/60)/24)+DATE(1970,1,1)</f>
        <v>42084.208333333328</v>
      </c>
      <c r="P981" t="b">
        <v>0</v>
      </c>
      <c r="Q981" t="b">
        <v>0</v>
      </c>
      <c r="R981" t="s">
        <v>33</v>
      </c>
      <c r="S981" t="s">
        <v>2038</v>
      </c>
      <c r="T981" t="s">
        <v>2039</v>
      </c>
    </row>
    <row r="982" spans="1:20" ht="15.75" customHeight="1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>Table1[[#This Row],[pledged]]/Table1[[#This Row],[goal]]</f>
        <v>0.40281762295081969</v>
      </c>
      <c r="G982" t="s">
        <v>14</v>
      </c>
      <c r="H982">
        <v>742</v>
      </c>
      <c r="I982" t="s">
        <v>21</v>
      </c>
      <c r="J982" t="s">
        <v>22</v>
      </c>
      <c r="K982" s="12">
        <f>IF(OR(E982=0, H982=0), 0, E982/H982)</f>
        <v>105.97035040431267</v>
      </c>
      <c r="L982">
        <v>1446181200</v>
      </c>
      <c r="M982" s="10">
        <f>(((L982/60)/60)/24)+DATE(1970,1,1)</f>
        <v>42307.208333333328</v>
      </c>
      <c r="N982">
        <v>1446616800</v>
      </c>
      <c r="O982" s="10">
        <f>(((N982/60)/60)/24)+DATE(1970,1,1)</f>
        <v>42312.25</v>
      </c>
      <c r="P982" t="b">
        <v>1</v>
      </c>
      <c r="Q982" t="b">
        <v>0</v>
      </c>
      <c r="R982" t="s">
        <v>68</v>
      </c>
      <c r="S982" t="s">
        <v>2046</v>
      </c>
      <c r="T982" t="s">
        <v>2047</v>
      </c>
    </row>
    <row r="983" spans="1:20" ht="15.75" customHeight="1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>Table1[[#This Row],[pledged]]/Table1[[#This Row],[goal]]</f>
        <v>1.7822388059701493</v>
      </c>
      <c r="G983" t="s">
        <v>20</v>
      </c>
      <c r="H983">
        <v>323</v>
      </c>
      <c r="I983" t="s">
        <v>21</v>
      </c>
      <c r="J983" t="s">
        <v>22</v>
      </c>
      <c r="K983" s="12">
        <f>IF(OR(E983=0, H983=0), 0, E983/H983)</f>
        <v>36.969040247678016</v>
      </c>
      <c r="L983">
        <v>1514181600</v>
      </c>
      <c r="M983" s="10">
        <f>(((L983/60)/60)/24)+DATE(1970,1,1)</f>
        <v>43094.25</v>
      </c>
      <c r="N983">
        <v>1517032800</v>
      </c>
      <c r="O983" s="10">
        <f>(((N983/60)/60)/24)+DATE(1970,1,1)</f>
        <v>43127.25</v>
      </c>
      <c r="P983" t="b">
        <v>0</v>
      </c>
      <c r="Q983" t="b">
        <v>0</v>
      </c>
      <c r="R983" t="s">
        <v>28</v>
      </c>
      <c r="S983" t="s">
        <v>2036</v>
      </c>
      <c r="T983" t="s">
        <v>2037</v>
      </c>
    </row>
    <row r="984" spans="1:20" ht="15.75" customHeight="1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>Table1[[#This Row],[pledged]]/Table1[[#This Row],[goal]]</f>
        <v>0.84930555555555554</v>
      </c>
      <c r="G984" t="s">
        <v>14</v>
      </c>
      <c r="H984">
        <v>75</v>
      </c>
      <c r="I984" t="s">
        <v>21</v>
      </c>
      <c r="J984" t="s">
        <v>22</v>
      </c>
      <c r="K984" s="12">
        <f>IF(OR(E984=0, H984=0), 0, E984/H984)</f>
        <v>81.533333333333331</v>
      </c>
      <c r="L984">
        <v>1311051600</v>
      </c>
      <c r="M984" s="10">
        <f>(((L984/60)/60)/24)+DATE(1970,1,1)</f>
        <v>40743.208333333336</v>
      </c>
      <c r="N984">
        <v>1311224400</v>
      </c>
      <c r="O984" s="10">
        <f>(((N984/60)/60)/24)+DATE(1970,1,1)</f>
        <v>40745.208333333336</v>
      </c>
      <c r="P984" t="b">
        <v>0</v>
      </c>
      <c r="Q984" t="b">
        <v>1</v>
      </c>
      <c r="R984" t="s">
        <v>42</v>
      </c>
      <c r="S984" t="s">
        <v>2040</v>
      </c>
      <c r="T984" t="s">
        <v>2041</v>
      </c>
    </row>
    <row r="985" spans="1:20" ht="15.75" customHeight="1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>Table1[[#This Row],[pledged]]/Table1[[#This Row],[goal]]</f>
        <v>1.4593648334624323</v>
      </c>
      <c r="G985" t="s">
        <v>20</v>
      </c>
      <c r="H985">
        <v>2326</v>
      </c>
      <c r="I985" t="s">
        <v>21</v>
      </c>
      <c r="J985" t="s">
        <v>22</v>
      </c>
      <c r="K985" s="12">
        <f>IF(OR(E985=0, H985=0), 0, E985/H985)</f>
        <v>80.999140154772135</v>
      </c>
      <c r="L985">
        <v>1564894800</v>
      </c>
      <c r="M985" s="10">
        <f>(((L985/60)/60)/24)+DATE(1970,1,1)</f>
        <v>43681.208333333328</v>
      </c>
      <c r="N985">
        <v>1566190800</v>
      </c>
      <c r="O985" s="10">
        <f>(((N985/60)/60)/24)+DATE(1970,1,1)</f>
        <v>43696.208333333328</v>
      </c>
      <c r="P985" t="b">
        <v>0</v>
      </c>
      <c r="Q985" t="b">
        <v>0</v>
      </c>
      <c r="R985" t="s">
        <v>42</v>
      </c>
      <c r="S985" t="s">
        <v>2040</v>
      </c>
      <c r="T985" t="s">
        <v>2041</v>
      </c>
    </row>
    <row r="986" spans="1:20" ht="15.75" customHeight="1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>Table1[[#This Row],[pledged]]/Table1[[#This Row],[goal]]</f>
        <v>1.5246153846153847</v>
      </c>
      <c r="G986" t="s">
        <v>20</v>
      </c>
      <c r="H986">
        <v>381</v>
      </c>
      <c r="I986" t="s">
        <v>21</v>
      </c>
      <c r="J986" t="s">
        <v>22</v>
      </c>
      <c r="K986" s="12">
        <f>IF(OR(E986=0, H986=0), 0, E986/H986)</f>
        <v>26.010498687664043</v>
      </c>
      <c r="L986">
        <v>1567918800</v>
      </c>
      <c r="M986" s="10">
        <f>(((L986/60)/60)/24)+DATE(1970,1,1)</f>
        <v>43716.208333333328</v>
      </c>
      <c r="N986">
        <v>1570165200</v>
      </c>
      <c r="O986" s="10">
        <f>(((N986/60)/60)/24)+DATE(1970,1,1)</f>
        <v>43742.208333333328</v>
      </c>
      <c r="P986" t="b">
        <v>0</v>
      </c>
      <c r="Q986" t="b">
        <v>0</v>
      </c>
      <c r="R986" t="s">
        <v>33</v>
      </c>
      <c r="S986" t="s">
        <v>2038</v>
      </c>
      <c r="T986" t="s">
        <v>2039</v>
      </c>
    </row>
    <row r="987" spans="1:20" ht="15.75" customHeight="1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>Table1[[#This Row],[pledged]]/Table1[[#This Row],[goal]]</f>
        <v>0.67129542790152408</v>
      </c>
      <c r="G987" t="s">
        <v>14</v>
      </c>
      <c r="H987">
        <v>4405</v>
      </c>
      <c r="I987" t="s">
        <v>21</v>
      </c>
      <c r="J987" t="s">
        <v>22</v>
      </c>
      <c r="K987" s="12">
        <f>IF(OR(E987=0, H987=0), 0, E987/H987)</f>
        <v>25.998410896708286</v>
      </c>
      <c r="L987">
        <v>1386309600</v>
      </c>
      <c r="M987" s="10">
        <f>(((L987/60)/60)/24)+DATE(1970,1,1)</f>
        <v>41614.25</v>
      </c>
      <c r="N987">
        <v>1388556000</v>
      </c>
      <c r="O987" s="10">
        <f>(((N987/60)/60)/24)+DATE(1970,1,1)</f>
        <v>41640.25</v>
      </c>
      <c r="P987" t="b">
        <v>0</v>
      </c>
      <c r="Q987" t="b">
        <v>1</v>
      </c>
      <c r="R987" t="s">
        <v>23</v>
      </c>
      <c r="S987" t="s">
        <v>2034</v>
      </c>
      <c r="T987" t="s">
        <v>2035</v>
      </c>
    </row>
    <row r="988" spans="1:20" ht="15.75" customHeight="1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>Table1[[#This Row],[pledged]]/Table1[[#This Row],[goal]]</f>
        <v>0.40307692307692305</v>
      </c>
      <c r="G988" t="s">
        <v>14</v>
      </c>
      <c r="H988">
        <v>92</v>
      </c>
      <c r="I988" t="s">
        <v>21</v>
      </c>
      <c r="J988" t="s">
        <v>22</v>
      </c>
      <c r="K988" s="12">
        <f>IF(OR(E988=0, H988=0), 0, E988/H988)</f>
        <v>34.173913043478258</v>
      </c>
      <c r="L988">
        <v>1301979600</v>
      </c>
      <c r="M988" s="10">
        <f>(((L988/60)/60)/24)+DATE(1970,1,1)</f>
        <v>40638.208333333336</v>
      </c>
      <c r="N988">
        <v>1303189200</v>
      </c>
      <c r="O988" s="10">
        <f>(((N988/60)/60)/24)+DATE(1970,1,1)</f>
        <v>40652.208333333336</v>
      </c>
      <c r="P988" t="b">
        <v>0</v>
      </c>
      <c r="Q988" t="b">
        <v>0</v>
      </c>
      <c r="R988" t="s">
        <v>23</v>
      </c>
      <c r="S988" t="s">
        <v>2034</v>
      </c>
      <c r="T988" t="s">
        <v>2035</v>
      </c>
    </row>
    <row r="989" spans="1:20" ht="15.75" customHeight="1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>Table1[[#This Row],[pledged]]/Table1[[#This Row],[goal]]</f>
        <v>2.1679032258064517</v>
      </c>
      <c r="G989" t="s">
        <v>20</v>
      </c>
      <c r="H989">
        <v>480</v>
      </c>
      <c r="I989" t="s">
        <v>21</v>
      </c>
      <c r="J989" t="s">
        <v>22</v>
      </c>
      <c r="K989" s="12">
        <f>IF(OR(E989=0, H989=0), 0, E989/H989)</f>
        <v>28.002083333333335</v>
      </c>
      <c r="L989">
        <v>1493269200</v>
      </c>
      <c r="M989" s="10">
        <f>(((L989/60)/60)/24)+DATE(1970,1,1)</f>
        <v>42852.208333333328</v>
      </c>
      <c r="N989">
        <v>1494478800</v>
      </c>
      <c r="O989" s="10">
        <f>(((N989/60)/60)/24)+DATE(1970,1,1)</f>
        <v>42866.208333333328</v>
      </c>
      <c r="P989" t="b">
        <v>0</v>
      </c>
      <c r="Q989" t="b">
        <v>0</v>
      </c>
      <c r="R989" t="s">
        <v>42</v>
      </c>
      <c r="S989" t="s">
        <v>2040</v>
      </c>
      <c r="T989" t="s">
        <v>2041</v>
      </c>
    </row>
    <row r="990" spans="1:20" ht="15.75" customHeight="1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>Table1[[#This Row],[pledged]]/Table1[[#This Row],[goal]]</f>
        <v>0.52117021276595743</v>
      </c>
      <c r="G990" t="s">
        <v>14</v>
      </c>
      <c r="H990">
        <v>64</v>
      </c>
      <c r="I990" t="s">
        <v>21</v>
      </c>
      <c r="J990" t="s">
        <v>22</v>
      </c>
      <c r="K990" s="12">
        <f>IF(OR(E990=0, H990=0), 0, E990/H990)</f>
        <v>76.546875</v>
      </c>
      <c r="L990">
        <v>1478930400</v>
      </c>
      <c r="M990" s="10">
        <f>(((L990/60)/60)/24)+DATE(1970,1,1)</f>
        <v>42686.25</v>
      </c>
      <c r="N990">
        <v>1480744800</v>
      </c>
      <c r="O990" s="10">
        <f>(((N990/60)/60)/24)+DATE(1970,1,1)</f>
        <v>42707.25</v>
      </c>
      <c r="P990" t="b">
        <v>0</v>
      </c>
      <c r="Q990" t="b">
        <v>0</v>
      </c>
      <c r="R990" t="s">
        <v>133</v>
      </c>
      <c r="S990" t="s">
        <v>2046</v>
      </c>
      <c r="T990" t="s">
        <v>2055</v>
      </c>
    </row>
    <row r="991" spans="1:20" ht="15.75" customHeight="1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>Table1[[#This Row],[pledged]]/Table1[[#This Row],[goal]]</f>
        <v>4.9958333333333336</v>
      </c>
      <c r="G991" t="s">
        <v>20</v>
      </c>
      <c r="H991">
        <v>226</v>
      </c>
      <c r="I991" t="s">
        <v>21</v>
      </c>
      <c r="J991" t="s">
        <v>22</v>
      </c>
      <c r="K991" s="12">
        <f>IF(OR(E991=0, H991=0), 0, E991/H991)</f>
        <v>53.053097345132741</v>
      </c>
      <c r="L991">
        <v>1555390800</v>
      </c>
      <c r="M991" s="10">
        <f>(((L991/60)/60)/24)+DATE(1970,1,1)</f>
        <v>43571.208333333328</v>
      </c>
      <c r="N991">
        <v>1555822800</v>
      </c>
      <c r="O991" s="10">
        <f>(((N991/60)/60)/24)+DATE(1970,1,1)</f>
        <v>43576.208333333328</v>
      </c>
      <c r="P991" t="b">
        <v>0</v>
      </c>
      <c r="Q991" t="b">
        <v>0</v>
      </c>
      <c r="R991" t="s">
        <v>206</v>
      </c>
      <c r="S991" t="s">
        <v>2046</v>
      </c>
      <c r="T991" t="s">
        <v>2058</v>
      </c>
    </row>
    <row r="992" spans="1:20" ht="15.75" customHeight="1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>Table1[[#This Row],[pledged]]/Table1[[#This Row],[goal]]</f>
        <v>0.87679487179487181</v>
      </c>
      <c r="G992" t="s">
        <v>14</v>
      </c>
      <c r="H992">
        <v>64</v>
      </c>
      <c r="I992" t="s">
        <v>21</v>
      </c>
      <c r="J992" t="s">
        <v>22</v>
      </c>
      <c r="K992" s="12">
        <f>IF(OR(E992=0, H992=0), 0, E992/H992)</f>
        <v>106.859375</v>
      </c>
      <c r="L992">
        <v>1456984800</v>
      </c>
      <c r="M992" s="10">
        <f>(((L992/60)/60)/24)+DATE(1970,1,1)</f>
        <v>42432.25</v>
      </c>
      <c r="N992">
        <v>1458882000</v>
      </c>
      <c r="O992" s="10">
        <f>(((N992/60)/60)/24)+DATE(1970,1,1)</f>
        <v>42454.208333333328</v>
      </c>
      <c r="P992" t="b">
        <v>0</v>
      </c>
      <c r="Q992" t="b">
        <v>1</v>
      </c>
      <c r="R992" t="s">
        <v>53</v>
      </c>
      <c r="S992" t="s">
        <v>2040</v>
      </c>
      <c r="T992" t="s">
        <v>2043</v>
      </c>
    </row>
    <row r="993" spans="1:20" ht="15.75" customHeight="1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>Table1[[#This Row],[pledged]]/Table1[[#This Row],[goal]]</f>
        <v>1.131734693877551</v>
      </c>
      <c r="G993" t="s">
        <v>20</v>
      </c>
      <c r="H993">
        <v>241</v>
      </c>
      <c r="I993" t="s">
        <v>21</v>
      </c>
      <c r="J993" t="s">
        <v>22</v>
      </c>
      <c r="K993" s="12">
        <f>IF(OR(E993=0, H993=0), 0, E993/H993)</f>
        <v>46.020746887966808</v>
      </c>
      <c r="L993">
        <v>1411621200</v>
      </c>
      <c r="M993" s="10">
        <f>(((L993/60)/60)/24)+DATE(1970,1,1)</f>
        <v>41907.208333333336</v>
      </c>
      <c r="N993">
        <v>1411966800</v>
      </c>
      <c r="O993" s="10">
        <f>(((N993/60)/60)/24)+DATE(1970,1,1)</f>
        <v>41911.208333333336</v>
      </c>
      <c r="P993" t="b">
        <v>0</v>
      </c>
      <c r="Q993" t="b">
        <v>1</v>
      </c>
      <c r="R993" t="s">
        <v>23</v>
      </c>
      <c r="S993" t="s">
        <v>2034</v>
      </c>
      <c r="T993" t="s">
        <v>2035</v>
      </c>
    </row>
    <row r="994" spans="1:20" ht="15.75" customHeight="1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>Table1[[#This Row],[pledged]]/Table1[[#This Row],[goal]]</f>
        <v>4.2654838709677421</v>
      </c>
      <c r="G994" t="s">
        <v>20</v>
      </c>
      <c r="H994">
        <v>132</v>
      </c>
      <c r="I994" t="s">
        <v>21</v>
      </c>
      <c r="J994" t="s">
        <v>22</v>
      </c>
      <c r="K994" s="12">
        <f>IF(OR(E994=0, H994=0), 0, E994/H994)</f>
        <v>100.17424242424242</v>
      </c>
      <c r="L994">
        <v>1525669200</v>
      </c>
      <c r="M994" s="10">
        <f>(((L994/60)/60)/24)+DATE(1970,1,1)</f>
        <v>43227.208333333328</v>
      </c>
      <c r="N994">
        <v>1526878800</v>
      </c>
      <c r="O994" s="10">
        <f>(((N994/60)/60)/24)+DATE(1970,1,1)</f>
        <v>43241.208333333328</v>
      </c>
      <c r="P994" t="b">
        <v>0</v>
      </c>
      <c r="Q994" t="b">
        <v>1</v>
      </c>
      <c r="R994" t="s">
        <v>53</v>
      </c>
      <c r="S994" t="s">
        <v>2040</v>
      </c>
      <c r="T994" t="s">
        <v>2043</v>
      </c>
    </row>
    <row r="995" spans="1:20" ht="15.75" customHeight="1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>Table1[[#This Row],[pledged]]/Table1[[#This Row],[goal]]</f>
        <v>0.77632653061224488</v>
      </c>
      <c r="G995" t="s">
        <v>74</v>
      </c>
      <c r="H995">
        <v>75</v>
      </c>
      <c r="I995" t="s">
        <v>107</v>
      </c>
      <c r="J995" t="s">
        <v>108</v>
      </c>
      <c r="K995" s="12">
        <f>IF(OR(E995=0, H995=0), 0, E995/H995)</f>
        <v>101.44</v>
      </c>
      <c r="L995">
        <v>1450936800</v>
      </c>
      <c r="M995" s="10">
        <f>(((L995/60)/60)/24)+DATE(1970,1,1)</f>
        <v>42362.25</v>
      </c>
      <c r="N995">
        <v>1452405600</v>
      </c>
      <c r="O995" s="10">
        <f>(((N995/60)/60)/24)+DATE(1970,1,1)</f>
        <v>42379.25</v>
      </c>
      <c r="P995" t="b">
        <v>0</v>
      </c>
      <c r="Q995" t="b">
        <v>1</v>
      </c>
      <c r="R995" t="s">
        <v>122</v>
      </c>
      <c r="S995" t="s">
        <v>2053</v>
      </c>
      <c r="T995" t="s">
        <v>2054</v>
      </c>
    </row>
    <row r="996" spans="1:20" ht="15.75" customHeight="1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>Table1[[#This Row],[pledged]]/Table1[[#This Row],[goal]]</f>
        <v>0.52496810772501767</v>
      </c>
      <c r="G996" t="s">
        <v>14</v>
      </c>
      <c r="H996">
        <v>842</v>
      </c>
      <c r="I996" t="s">
        <v>21</v>
      </c>
      <c r="J996" t="s">
        <v>22</v>
      </c>
      <c r="K996" s="12">
        <f>IF(OR(E996=0, H996=0), 0, E996/H996)</f>
        <v>87.972684085510693</v>
      </c>
      <c r="L996">
        <v>1413522000</v>
      </c>
      <c r="M996" s="10">
        <f>(((L996/60)/60)/24)+DATE(1970,1,1)</f>
        <v>41929.208333333336</v>
      </c>
      <c r="N996">
        <v>1414040400</v>
      </c>
      <c r="O996" s="10">
        <f>(((N996/60)/60)/24)+DATE(1970,1,1)</f>
        <v>41935.208333333336</v>
      </c>
      <c r="P996" t="b">
        <v>0</v>
      </c>
      <c r="Q996" t="b">
        <v>1</v>
      </c>
      <c r="R996" t="s">
        <v>206</v>
      </c>
      <c r="S996" t="s">
        <v>2046</v>
      </c>
      <c r="T996" t="s">
        <v>2058</v>
      </c>
    </row>
    <row r="997" spans="1:20" ht="15.75" customHeight="1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>Table1[[#This Row],[pledged]]/Table1[[#This Row],[goal]]</f>
        <v>1.5746762589928058</v>
      </c>
      <c r="G997" t="s">
        <v>20</v>
      </c>
      <c r="H997">
        <v>2043</v>
      </c>
      <c r="I997" t="s">
        <v>21</v>
      </c>
      <c r="J997" t="s">
        <v>22</v>
      </c>
      <c r="K997" s="12">
        <f>IF(OR(E997=0, H997=0), 0, E997/H997)</f>
        <v>74.995594713656388</v>
      </c>
      <c r="L997">
        <v>1541307600</v>
      </c>
      <c r="M997" s="10">
        <f>(((L997/60)/60)/24)+DATE(1970,1,1)</f>
        <v>43408.208333333328</v>
      </c>
      <c r="N997">
        <v>1543816800</v>
      </c>
      <c r="O997" s="10">
        <f>(((N997/60)/60)/24)+DATE(1970,1,1)</f>
        <v>43437.25</v>
      </c>
      <c r="P997" t="b">
        <v>0</v>
      </c>
      <c r="Q997" t="b">
        <v>1</v>
      </c>
      <c r="R997" t="s">
        <v>17</v>
      </c>
      <c r="S997" t="s">
        <v>2032</v>
      </c>
      <c r="T997" t="s">
        <v>2033</v>
      </c>
    </row>
    <row r="998" spans="1:20" ht="15.75" customHeight="1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>Table1[[#This Row],[pledged]]/Table1[[#This Row],[goal]]</f>
        <v>0.72939393939393937</v>
      </c>
      <c r="G998" t="s">
        <v>14</v>
      </c>
      <c r="H998">
        <v>112</v>
      </c>
      <c r="I998" t="s">
        <v>21</v>
      </c>
      <c r="J998" t="s">
        <v>22</v>
      </c>
      <c r="K998" s="12">
        <f>IF(OR(E998=0, H998=0), 0, E998/H998)</f>
        <v>42.982142857142854</v>
      </c>
      <c r="L998">
        <v>1357106400</v>
      </c>
      <c r="M998" s="10">
        <f>(((L998/60)/60)/24)+DATE(1970,1,1)</f>
        <v>41276.25</v>
      </c>
      <c r="N998">
        <v>1359698400</v>
      </c>
      <c r="O998" s="10">
        <f>(((N998/60)/60)/24)+DATE(1970,1,1)</f>
        <v>41306.25</v>
      </c>
      <c r="P998" t="b">
        <v>0</v>
      </c>
      <c r="Q998" t="b">
        <v>0</v>
      </c>
      <c r="R998" t="s">
        <v>33</v>
      </c>
      <c r="S998" t="s">
        <v>2038</v>
      </c>
      <c r="T998" t="s">
        <v>2039</v>
      </c>
    </row>
    <row r="999" spans="1:20" ht="15.75" customHeight="1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>Table1[[#This Row],[pledged]]/Table1[[#This Row],[goal]]</f>
        <v>0.60565789473684206</v>
      </c>
      <c r="G999" t="s">
        <v>74</v>
      </c>
      <c r="H999">
        <v>139</v>
      </c>
      <c r="I999" t="s">
        <v>107</v>
      </c>
      <c r="J999" t="s">
        <v>108</v>
      </c>
      <c r="K999" s="12">
        <f>IF(OR(E999=0, H999=0), 0, E999/H999)</f>
        <v>33.115107913669064</v>
      </c>
      <c r="L999">
        <v>1390197600</v>
      </c>
      <c r="M999" s="10">
        <f>(((L999/60)/60)/24)+DATE(1970,1,1)</f>
        <v>41659.25</v>
      </c>
      <c r="N999">
        <v>1390629600</v>
      </c>
      <c r="O999" s="10">
        <f>(((N999/60)/60)/24)+DATE(1970,1,1)</f>
        <v>41664.25</v>
      </c>
      <c r="P999" t="b">
        <v>0</v>
      </c>
      <c r="Q999" t="b">
        <v>0</v>
      </c>
      <c r="R999" t="s">
        <v>33</v>
      </c>
      <c r="S999" t="s">
        <v>2038</v>
      </c>
      <c r="T999" t="s">
        <v>2039</v>
      </c>
    </row>
    <row r="1000" spans="1:20" ht="15.75" customHeight="1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>Table1[[#This Row],[pledged]]/Table1[[#This Row],[goal]]</f>
        <v>0.5679129129129129</v>
      </c>
      <c r="G1000" t="s">
        <v>14</v>
      </c>
      <c r="H1000">
        <v>374</v>
      </c>
      <c r="I1000" t="s">
        <v>21</v>
      </c>
      <c r="J1000" t="s">
        <v>22</v>
      </c>
      <c r="K1000" s="12">
        <f>IF(OR(E1000=0, H1000=0), 0, E1000/H1000)</f>
        <v>101.13101604278074</v>
      </c>
      <c r="L1000">
        <v>1265868000</v>
      </c>
      <c r="M1000" s="10">
        <f>(((L1000/60)/60)/24)+DATE(1970,1,1)</f>
        <v>40220.25</v>
      </c>
      <c r="N1000">
        <v>1267077600</v>
      </c>
      <c r="O1000" s="10">
        <f>(((N1000/60)/60)/24)+DATE(1970,1,1)</f>
        <v>40234.25</v>
      </c>
      <c r="P1000" t="b">
        <v>0</v>
      </c>
      <c r="Q1000" t="b">
        <v>1</v>
      </c>
      <c r="R1000" t="s">
        <v>60</v>
      </c>
      <c r="S1000" t="s">
        <v>2034</v>
      </c>
      <c r="T1000" t="s">
        <v>2044</v>
      </c>
    </row>
    <row r="1001" spans="1:20" ht="15.75" customHeight="1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>Table1[[#This Row],[pledged]]/Table1[[#This Row],[goal]]</f>
        <v>0.56542754275427543</v>
      </c>
      <c r="G1001" t="s">
        <v>74</v>
      </c>
      <c r="H1001">
        <v>1122</v>
      </c>
      <c r="I1001" t="s">
        <v>21</v>
      </c>
      <c r="J1001" t="s">
        <v>22</v>
      </c>
      <c r="K1001" s="12">
        <f>IF(OR(E1001=0, H1001=0), 0, E1001/H1001)</f>
        <v>55.98841354723708</v>
      </c>
      <c r="L1001">
        <v>1467176400</v>
      </c>
      <c r="M1001" s="10">
        <f>(((L1001/60)/60)/24)+DATE(1970,1,1)</f>
        <v>42550.208333333328</v>
      </c>
      <c r="N1001">
        <v>1467781200</v>
      </c>
      <c r="O1001" s="10">
        <f>(((N1001/60)/60)/24)+DATE(1970,1,1)</f>
        <v>42557.208333333328</v>
      </c>
      <c r="P1001" t="b">
        <v>0</v>
      </c>
      <c r="Q1001" t="b">
        <v>0</v>
      </c>
      <c r="R1001" t="s">
        <v>17</v>
      </c>
      <c r="S1001" t="s">
        <v>2032</v>
      </c>
      <c r="T1001" t="s">
        <v>2033</v>
      </c>
    </row>
  </sheetData>
  <phoneticPr fontId="19" type="noConversion"/>
  <conditionalFormatting sqref="F1:F1001 F1599:F1048576">
    <cfRule type="cellIs" dxfId="9" priority="1" operator="between">
      <formula>200%</formula>
      <formula>100000%</formula>
    </cfRule>
    <cfRule type="cellIs" dxfId="8" priority="2" operator="between">
      <formula>100%</formula>
      <formula>200%</formula>
    </cfRule>
    <cfRule type="cellIs" dxfId="7" priority="3" operator="between">
      <formula>0%</formula>
      <formula>100%</formula>
    </cfRule>
  </conditionalFormatting>
  <conditionalFormatting sqref="G1:G1048576">
    <cfRule type="containsText" dxfId="6" priority="4" operator="containsText" text="live">
      <formula>NOT(ISERROR(SEARCH("live",G1)))</formula>
    </cfRule>
    <cfRule type="containsText" dxfId="5" priority="5" operator="containsText" text="canceled">
      <formula>NOT(ISERROR(SEARCH("canceled",G1)))</formula>
    </cfRule>
    <cfRule type="containsText" dxfId="4" priority="6" operator="containsText" text="successful">
      <formula>NOT(ISERROR(SEARCH("successful",G1)))</formula>
    </cfRule>
    <cfRule type="containsText" dxfId="3" priority="7" operator="containsText" text="failed">
      <formula>NOT(ISERROR(SEARCH("failed",G1)))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A54C-D579-4B3D-B182-4F5D00B33BE0}">
  <dimension ref="A1:F14"/>
  <sheetViews>
    <sheetView workbookViewId="0">
      <selection activeCell="E5" sqref="E5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2066</v>
      </c>
    </row>
    <row r="3" spans="1:6" x14ac:dyDescent="0.25">
      <c r="A3" s="6" t="s">
        <v>2069</v>
      </c>
      <c r="B3" s="6" t="s">
        <v>2070</v>
      </c>
    </row>
    <row r="4" spans="1:6" x14ac:dyDescent="0.25">
      <c r="A4" s="6" t="s">
        <v>2067</v>
      </c>
      <c r="B4" t="s">
        <v>74</v>
      </c>
      <c r="C4" t="s">
        <v>14</v>
      </c>
      <c r="D4" t="s">
        <v>47</v>
      </c>
      <c r="E4" t="s">
        <v>20</v>
      </c>
      <c r="F4" t="s">
        <v>2068</v>
      </c>
    </row>
    <row r="5" spans="1:6" x14ac:dyDescent="0.25">
      <c r="A5" s="7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2032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2049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2063</v>
      </c>
      <c r="E8">
        <v>4</v>
      </c>
      <c r="F8">
        <v>4</v>
      </c>
    </row>
    <row r="9" spans="1:6" x14ac:dyDescent="0.25">
      <c r="A9" s="7" t="s">
        <v>2034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2053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2036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2038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2068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D086-0189-4541-811A-BDCCC21D1B9D}">
  <dimension ref="A1:F30"/>
  <sheetViews>
    <sheetView workbookViewId="0">
      <selection activeCell="E19" sqref="E19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2066</v>
      </c>
    </row>
    <row r="2" spans="1:6" x14ac:dyDescent="0.25">
      <c r="A2" s="6" t="s">
        <v>2031</v>
      </c>
      <c r="B2" t="s">
        <v>2066</v>
      </c>
    </row>
    <row r="4" spans="1:6" x14ac:dyDescent="0.25">
      <c r="A4" s="6" t="s">
        <v>2069</v>
      </c>
      <c r="B4" s="6" t="s">
        <v>2070</v>
      </c>
    </row>
    <row r="5" spans="1:6" x14ac:dyDescent="0.25">
      <c r="A5" s="6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7" t="s">
        <v>2048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7" t="s">
        <v>2064</v>
      </c>
      <c r="E7">
        <v>4</v>
      </c>
      <c r="F7">
        <v>4</v>
      </c>
    </row>
    <row r="8" spans="1:6" x14ac:dyDescent="0.25">
      <c r="A8" s="7" t="s">
        <v>2041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7" t="s">
        <v>2043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7" t="s">
        <v>2042</v>
      </c>
      <c r="C10">
        <v>8</v>
      </c>
      <c r="E10">
        <v>10</v>
      </c>
      <c r="F10">
        <v>18</v>
      </c>
    </row>
    <row r="11" spans="1:6" x14ac:dyDescent="0.25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7" t="s">
        <v>2033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7" t="s">
        <v>2044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7" t="s">
        <v>2057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7" t="s">
        <v>2056</v>
      </c>
      <c r="C15">
        <v>3</v>
      </c>
      <c r="E15">
        <v>4</v>
      </c>
      <c r="F15">
        <v>7</v>
      </c>
    </row>
    <row r="16" spans="1:6" x14ac:dyDescent="0.25">
      <c r="A16" s="7" t="s">
        <v>2060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7" t="s">
        <v>2047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7" t="s">
        <v>2054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7" t="s">
        <v>2039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7" t="s">
        <v>2055</v>
      </c>
      <c r="C20">
        <v>4</v>
      </c>
      <c r="E20">
        <v>4</v>
      </c>
      <c r="F20">
        <v>8</v>
      </c>
    </row>
    <row r="21" spans="1:6" x14ac:dyDescent="0.25">
      <c r="A21" s="7" t="s">
        <v>2035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7" t="s">
        <v>2062</v>
      </c>
      <c r="C22">
        <v>9</v>
      </c>
      <c r="E22">
        <v>5</v>
      </c>
      <c r="F22">
        <v>14</v>
      </c>
    </row>
    <row r="23" spans="1:6" x14ac:dyDescent="0.25">
      <c r="A23" s="7" t="s">
        <v>2051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7" t="s">
        <v>2059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7" t="s">
        <v>2058</v>
      </c>
      <c r="C25">
        <v>7</v>
      </c>
      <c r="E25">
        <v>14</v>
      </c>
      <c r="F25">
        <v>21</v>
      </c>
    </row>
    <row r="26" spans="1:6" x14ac:dyDescent="0.25">
      <c r="A26" s="7" t="s">
        <v>2050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7" t="s">
        <v>2045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7" t="s">
        <v>2037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7" t="s">
        <v>2061</v>
      </c>
      <c r="E29">
        <v>3</v>
      </c>
      <c r="F29">
        <v>3</v>
      </c>
    </row>
    <row r="30" spans="1:6" x14ac:dyDescent="0.25">
      <c r="A30" s="7" t="s">
        <v>2068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10FBB-B86C-4949-B74A-8165292B5FBE}">
  <dimension ref="A1:F18"/>
  <sheetViews>
    <sheetView workbookViewId="0">
      <selection activeCell="E8" sqref="E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2031</v>
      </c>
      <c r="B1" t="s">
        <v>2066</v>
      </c>
    </row>
    <row r="2" spans="1:6" x14ac:dyDescent="0.25">
      <c r="A2" s="6" t="s">
        <v>2073</v>
      </c>
      <c r="B2" t="s">
        <v>2066</v>
      </c>
    </row>
    <row r="4" spans="1:6" x14ac:dyDescent="0.25">
      <c r="A4" s="6" t="s">
        <v>2069</v>
      </c>
      <c r="B4" s="6" t="s">
        <v>2070</v>
      </c>
    </row>
    <row r="5" spans="1:6" x14ac:dyDescent="0.25">
      <c r="A5" s="6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7" t="s">
        <v>2081</v>
      </c>
      <c r="B6">
        <v>8</v>
      </c>
      <c r="C6">
        <v>34</v>
      </c>
      <c r="D6">
        <v>2</v>
      </c>
      <c r="E6">
        <v>44</v>
      </c>
      <c r="F6">
        <v>88</v>
      </c>
    </row>
    <row r="7" spans="1:6" x14ac:dyDescent="0.25">
      <c r="A7" s="7" t="s">
        <v>2074</v>
      </c>
      <c r="B7">
        <v>4</v>
      </c>
      <c r="C7">
        <v>23</v>
      </c>
      <c r="E7">
        <v>37</v>
      </c>
      <c r="F7">
        <v>64</v>
      </c>
    </row>
    <row r="8" spans="1:6" x14ac:dyDescent="0.25">
      <c r="A8" s="7" t="s">
        <v>2075</v>
      </c>
      <c r="B8">
        <v>6</v>
      </c>
      <c r="C8">
        <v>42</v>
      </c>
      <c r="D8">
        <v>1</v>
      </c>
      <c r="E8">
        <v>59</v>
      </c>
      <c r="F8">
        <v>108</v>
      </c>
    </row>
    <row r="9" spans="1:6" x14ac:dyDescent="0.25">
      <c r="A9" s="7" t="s">
        <v>2082</v>
      </c>
      <c r="B9">
        <v>3</v>
      </c>
      <c r="C9">
        <v>32</v>
      </c>
      <c r="D9">
        <v>1</v>
      </c>
      <c r="E9">
        <v>41</v>
      </c>
      <c r="F9">
        <v>77</v>
      </c>
    </row>
    <row r="10" spans="1:6" x14ac:dyDescent="0.25">
      <c r="A10" s="7" t="s">
        <v>2083</v>
      </c>
      <c r="B10">
        <v>2</v>
      </c>
      <c r="C10">
        <v>32</v>
      </c>
      <c r="D10">
        <v>2</v>
      </c>
      <c r="E10">
        <v>52</v>
      </c>
      <c r="F10">
        <v>88</v>
      </c>
    </row>
    <row r="11" spans="1:6" x14ac:dyDescent="0.25">
      <c r="A11" s="7" t="s">
        <v>2085</v>
      </c>
      <c r="B11">
        <v>1</v>
      </c>
      <c r="C11">
        <v>26</v>
      </c>
      <c r="E11">
        <v>44</v>
      </c>
      <c r="F11">
        <v>71</v>
      </c>
    </row>
    <row r="12" spans="1:6" x14ac:dyDescent="0.25">
      <c r="A12" s="7" t="s">
        <v>2076</v>
      </c>
      <c r="B12">
        <v>5</v>
      </c>
      <c r="C12">
        <v>34</v>
      </c>
      <c r="D12">
        <v>2</v>
      </c>
      <c r="E12">
        <v>58</v>
      </c>
      <c r="F12">
        <v>99</v>
      </c>
    </row>
    <row r="13" spans="1:6" x14ac:dyDescent="0.25">
      <c r="A13" s="7" t="s">
        <v>2077</v>
      </c>
      <c r="B13">
        <v>5</v>
      </c>
      <c r="C13">
        <v>28</v>
      </c>
      <c r="D13">
        <v>1</v>
      </c>
      <c r="E13">
        <v>49</v>
      </c>
      <c r="F13">
        <v>83</v>
      </c>
    </row>
    <row r="14" spans="1:6" x14ac:dyDescent="0.25">
      <c r="A14" s="7" t="s">
        <v>2078</v>
      </c>
      <c r="B14">
        <v>6</v>
      </c>
      <c r="C14">
        <v>35</v>
      </c>
      <c r="E14">
        <v>52</v>
      </c>
      <c r="F14">
        <v>93</v>
      </c>
    </row>
    <row r="15" spans="1:6" x14ac:dyDescent="0.25">
      <c r="A15" s="7" t="s">
        <v>2079</v>
      </c>
      <c r="B15">
        <v>9</v>
      </c>
      <c r="C15">
        <v>18</v>
      </c>
      <c r="E15">
        <v>39</v>
      </c>
      <c r="F15">
        <v>66</v>
      </c>
    </row>
    <row r="16" spans="1:6" x14ac:dyDescent="0.25">
      <c r="A16" s="7" t="s">
        <v>2084</v>
      </c>
      <c r="B16">
        <v>2</v>
      </c>
      <c r="C16">
        <v>30</v>
      </c>
      <c r="D16">
        <v>2</v>
      </c>
      <c r="E16">
        <v>33</v>
      </c>
      <c r="F16">
        <v>67</v>
      </c>
    </row>
    <row r="17" spans="1:6" x14ac:dyDescent="0.25">
      <c r="A17" s="7" t="s">
        <v>2080</v>
      </c>
      <c r="B17">
        <v>6</v>
      </c>
      <c r="C17">
        <v>30</v>
      </c>
      <c r="D17">
        <v>3</v>
      </c>
      <c r="E17">
        <v>57</v>
      </c>
      <c r="F17">
        <v>96</v>
      </c>
    </row>
    <row r="18" spans="1:6" x14ac:dyDescent="0.25">
      <c r="A18" s="7" t="s">
        <v>2068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7D7A-B216-4DEE-A658-1166A499FD7B}">
  <dimension ref="A1:H13"/>
  <sheetViews>
    <sheetView workbookViewId="0">
      <selection activeCell="M24" sqref="M24"/>
    </sheetView>
  </sheetViews>
  <sheetFormatPr defaultRowHeight="15.75" x14ac:dyDescent="0.25"/>
  <cols>
    <col min="1" max="1" width="16.75" bestFit="1" customWidth="1"/>
    <col min="2" max="2" width="18.875" customWidth="1"/>
    <col min="3" max="3" width="15.25" customWidth="1"/>
    <col min="4" max="4" width="17.875" customWidth="1"/>
    <col min="5" max="5" width="14.5" customWidth="1"/>
    <col min="6" max="6" width="21.5" style="15" customWidth="1"/>
    <col min="7" max="7" width="17.875" style="15" customWidth="1"/>
    <col min="8" max="8" width="20.5" style="15" customWidth="1"/>
  </cols>
  <sheetData>
    <row r="1" spans="1:8" x14ac:dyDescent="0.25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s="15" t="s">
        <v>2091</v>
      </c>
      <c r="G1" s="15" t="s">
        <v>2092</v>
      </c>
      <c r="H1" s="15" t="s">
        <v>2093</v>
      </c>
    </row>
    <row r="2" spans="1:8" x14ac:dyDescent="0.25">
      <c r="A2" t="s">
        <v>2094</v>
      </c>
      <c r="B2">
        <f>COUNTIFS(Crowdfunding!G2:G1001, "successful", Crowdfunding!D2:D1001, "&lt;1000")</f>
        <v>30</v>
      </c>
      <c r="C2">
        <f>COUNTIFS(Crowdfunding!G2:G1001, "failed", Crowdfunding!D2:D1001, "&lt;1000")</f>
        <v>20</v>
      </c>
      <c r="D2" s="14">
        <f>COUNTIFS(Crowdfunding!G2:G1001, "canceled", Crowdfunding!D2:D1001, "&lt;1000")</f>
        <v>1</v>
      </c>
      <c r="E2">
        <f>SUM(Table2[[#This Row],[Number Successful]:[Number Canceled]])</f>
        <v>51</v>
      </c>
      <c r="F2" s="15">
        <f>(Table2[[#This Row],[Number Successful]]/Table2[[#This Row],[Total Projects]])</f>
        <v>0.58823529411764708</v>
      </c>
      <c r="G2" s="15">
        <f>Table2[[#This Row],[Number Failed]]/Table2[[#This Row],[Total Projects]]</f>
        <v>0.39215686274509803</v>
      </c>
      <c r="H2" s="15">
        <f>Table2[[#This Row],[Number Canceled]]/Table2[[#This Row],[Total Projects]]</f>
        <v>1.9607843137254902E-2</v>
      </c>
    </row>
    <row r="3" spans="1:8" x14ac:dyDescent="0.25">
      <c r="A3" t="s">
        <v>2095</v>
      </c>
      <c r="B3">
        <f>COUNTIFS(Crowdfunding!G2:G1001, "successful", Crowdfunding!D2:D1001, "&gt;=1000", Crowdfunding!D2:D1001, "&lt;=4999")</f>
        <v>191</v>
      </c>
      <c r="C3" s="14">
        <f>COUNTIFS(Crowdfunding!G2:G1001, "failed", Crowdfunding!D2:D1001, "&gt;=1000", Crowdfunding!D2:D1001, "&lt;=4999")</f>
        <v>38</v>
      </c>
      <c r="D3" s="14">
        <f>COUNTIFS(Crowdfunding!G2:G1001, "canceled", Crowdfunding!D2:D1001, "&gt;=1000", Crowdfunding!D2:D1001, "&lt;=4999")</f>
        <v>2</v>
      </c>
      <c r="E3">
        <f>SUM(Table2[[#This Row],[Number Successful]:[Number Canceled]])</f>
        <v>231</v>
      </c>
      <c r="F3" s="15">
        <f>(Table2[[#This Row],[Number Successful]]/Table2[[#This Row],[Total Projects]])</f>
        <v>0.82683982683982682</v>
      </c>
      <c r="G3" s="15">
        <f>Table2[[#This Row],[Number Failed]]/Table2[[#This Row],[Total Projects]]</f>
        <v>0.16450216450216451</v>
      </c>
      <c r="H3" s="15">
        <f>Table2[[#This Row],[Number Canceled]]/Table2[[#This Row],[Total Projects]]</f>
        <v>8.658008658008658E-3</v>
      </c>
    </row>
    <row r="4" spans="1:8" x14ac:dyDescent="0.25">
      <c r="A4" t="s">
        <v>2096</v>
      </c>
      <c r="B4">
        <f>COUNTIFS(Crowdfunding!G3:G1002, "successful", Crowdfunding!D3:D1002, "&gt;=5000", Crowdfunding!D3:D1002, "&lt;=9999")</f>
        <v>164</v>
      </c>
      <c r="C4" s="14">
        <f>COUNTIFS(Crowdfunding!G3:G1002, "failed", Crowdfunding!D3:D1002, "&gt;=5000", Crowdfunding!D3:D1002, "&lt;=9999")</f>
        <v>126</v>
      </c>
      <c r="D4">
        <f>COUNTIFS(Crowdfunding!G3:G1002, "canceled", Crowdfunding!D3:D1002, "&gt;=5000", Crowdfunding!D3:D1002, "&lt;=9999")</f>
        <v>25</v>
      </c>
      <c r="E4">
        <f>SUM(Table2[[#This Row],[Number Successful]:[Number Canceled]])</f>
        <v>315</v>
      </c>
      <c r="F4" s="15">
        <f>(Table2[[#This Row],[Number Successful]]/Table2[[#This Row],[Total Projects]])</f>
        <v>0.52063492063492067</v>
      </c>
      <c r="G4" s="15">
        <f>Table2[[#This Row],[Number Failed]]/Table2[[#This Row],[Total Projects]]</f>
        <v>0.4</v>
      </c>
      <c r="H4" s="15">
        <f>Table2[[#This Row],[Number Canceled]]/Table2[[#This Row],[Total Projects]]</f>
        <v>7.9365079365079361E-2</v>
      </c>
    </row>
    <row r="5" spans="1:8" x14ac:dyDescent="0.25">
      <c r="A5" t="s">
        <v>2097</v>
      </c>
      <c r="B5">
        <f>COUNTIFS(Crowdfunding!G4:G1003, "successful", Crowdfunding!D4:D1003, "&gt;=10000", Crowdfunding!D4:D1003, "&lt;=14999")</f>
        <v>4</v>
      </c>
      <c r="C5" s="14">
        <f>COUNTIFS(Crowdfunding!G4:G1003, "failed", Crowdfunding!D4:D1003, "&gt;=10000", Crowdfunding!D4:D1003, "&lt;=14999")</f>
        <v>5</v>
      </c>
      <c r="D5" s="14">
        <f>COUNTIFS(Crowdfunding!G4:G1003, "canceled", Crowdfunding!D4:D1003, "&gt;=10000", Crowdfunding!D4:D1003, "&lt;=14999")</f>
        <v>0</v>
      </c>
      <c r="E5">
        <f>SUM(Table2[[#This Row],[Number Successful]:[Number Canceled]])</f>
        <v>9</v>
      </c>
      <c r="F5" s="15">
        <f>(Table2[[#This Row],[Number Successful]]/Table2[[#This Row],[Total Projects]])</f>
        <v>0.44444444444444442</v>
      </c>
      <c r="G5" s="15">
        <f>Table2[[#This Row],[Number Failed]]/Table2[[#This Row],[Total Projects]]</f>
        <v>0.55555555555555558</v>
      </c>
      <c r="H5" s="15">
        <f>Table2[[#This Row],[Number Canceled]]/Table2[[#This Row],[Total Projects]]</f>
        <v>0</v>
      </c>
    </row>
    <row r="6" spans="1:8" x14ac:dyDescent="0.25">
      <c r="A6" t="s">
        <v>2098</v>
      </c>
      <c r="B6">
        <f>COUNTIFS(Crowdfunding!G5:G1004, "successful", Crowdfunding!D5:D1004, "&gt;=15000", Crowdfunding!D5:D1004, "&lt;=19999")</f>
        <v>10</v>
      </c>
      <c r="C6" s="14">
        <f>COUNTIFS(Crowdfunding!G5:G1004, "failed", Crowdfunding!D5:D1004, "&gt;=15000", Crowdfunding!D5:D1004, "&lt;=19999")</f>
        <v>0</v>
      </c>
      <c r="D6" s="14">
        <f>COUNTIFS(Crowdfunding!G5:G1004, "canceled", Crowdfunding!D5:D1004, "&gt;=15000", Crowdfunding!D5:D1004, "&lt;=19999")</f>
        <v>0</v>
      </c>
      <c r="E6">
        <f>SUM(Table2[[#This Row],[Number Successful]:[Number Canceled]])</f>
        <v>10</v>
      </c>
      <c r="F6" s="15">
        <f>(Table2[[#This Row],[Number Successful]]/Table2[[#This Row],[Total Projects]])</f>
        <v>1</v>
      </c>
      <c r="G6" s="15">
        <f>Table2[[#This Row],[Number Failed]]/Table2[[#This Row],[Total Projects]]</f>
        <v>0</v>
      </c>
      <c r="H6" s="15">
        <f>Table2[[#This Row],[Number Canceled]]/Table2[[#This Row],[Total Projects]]</f>
        <v>0</v>
      </c>
    </row>
    <row r="7" spans="1:8" x14ac:dyDescent="0.25">
      <c r="A7" t="s">
        <v>2099</v>
      </c>
      <c r="B7">
        <f>COUNTIFS(Crowdfunding!G6:G1005, "successful", Crowdfunding!D6:D1005, "&gt;=20000", Crowdfunding!D6:D1005, "&lt;=24999")</f>
        <v>7</v>
      </c>
      <c r="C7" s="14">
        <f>COUNTIFS(Crowdfunding!G6:G1005, "failed", Crowdfunding!D6:D1005, "&gt;=20000", Crowdfunding!D6:D1005, "&lt;=24999")</f>
        <v>0</v>
      </c>
      <c r="D7" s="14">
        <f>COUNTIFS(Crowdfunding!G6:G1005, "canceled", Crowdfunding!D6:D1005, "&gt;=20000", Crowdfunding!D6:D1005, "&lt;=24999")</f>
        <v>0</v>
      </c>
      <c r="E7">
        <f>SUM(Table2[[#This Row],[Number Successful]:[Number Canceled]])</f>
        <v>7</v>
      </c>
      <c r="F7" s="15">
        <f>(Table2[[#This Row],[Number Successful]]/Table2[[#This Row],[Total Projects]])</f>
        <v>1</v>
      </c>
      <c r="G7" s="15">
        <f>Table2[[#This Row],[Number Failed]]/Table2[[#This Row],[Total Projects]]</f>
        <v>0</v>
      </c>
      <c r="H7" s="15">
        <f>Table2[[#This Row],[Number Canceled]]/Table2[[#This Row],[Total Projects]]</f>
        <v>0</v>
      </c>
    </row>
    <row r="8" spans="1:8" x14ac:dyDescent="0.25">
      <c r="A8" t="s">
        <v>2100</v>
      </c>
      <c r="B8">
        <f>COUNTIFS(Crowdfunding!G7:G1006, "successful", Crowdfunding!D7:D1006, "&gt;=25000", Crowdfunding!D7:D1006, "&lt;=29999")</f>
        <v>11</v>
      </c>
      <c r="C8" s="14">
        <f>COUNTIFS(Crowdfunding!G7:G1006, "failed", Crowdfunding!D7:D1006, "&gt;=25000", Crowdfunding!D7:D1006, "&lt;=29999")</f>
        <v>3</v>
      </c>
      <c r="D8" s="14">
        <f>COUNTIFS(Crowdfunding!G7:G1006, "canceled", Crowdfunding!D7:D1006, "&gt;=25000", Crowdfunding!D7:D1006, "&lt;=29999")</f>
        <v>0</v>
      </c>
      <c r="E8">
        <f>SUM(Table2[[#This Row],[Number Successful]:[Number Canceled]])</f>
        <v>14</v>
      </c>
      <c r="F8" s="15">
        <f>(Table2[[#This Row],[Number Successful]]/Table2[[#This Row],[Total Projects]])</f>
        <v>0.7857142857142857</v>
      </c>
      <c r="G8" s="15">
        <f>Table2[[#This Row],[Number Failed]]/Table2[[#This Row],[Total Projects]]</f>
        <v>0.21428571428571427</v>
      </c>
      <c r="H8" s="15">
        <f>Table2[[#This Row],[Number Canceled]]/Table2[[#This Row],[Total Projects]]</f>
        <v>0</v>
      </c>
    </row>
    <row r="9" spans="1:8" x14ac:dyDescent="0.25">
      <c r="A9" t="s">
        <v>2101</v>
      </c>
      <c r="B9">
        <f>COUNTIFS(Crowdfunding!G8:G1007, "successful", Crowdfunding!D8:D1007, "&gt;=30000", Crowdfunding!D8:D1007, "&lt;=34999")</f>
        <v>7</v>
      </c>
      <c r="C9" s="14">
        <f>COUNTIFS(Crowdfunding!G8:G1007, "failed", Crowdfunding!D8:D1007, "&gt;=30000", Crowdfunding!D8:D1007, "&lt;=34999")</f>
        <v>0</v>
      </c>
      <c r="D9" s="14">
        <f>COUNTIFS(Crowdfunding!G8:G1007, "canceled", Crowdfunding!D8:D1007, "&gt;=30000", Crowdfunding!D8:D1007, "&lt;=34999")</f>
        <v>0</v>
      </c>
      <c r="E9">
        <f>SUM(Table2[[#This Row],[Number Successful]:[Number Canceled]])</f>
        <v>7</v>
      </c>
      <c r="F9" s="15">
        <f>(Table2[[#This Row],[Number Successful]]/Table2[[#This Row],[Total Projects]])</f>
        <v>1</v>
      </c>
      <c r="G9" s="15">
        <f>Table2[[#This Row],[Number Failed]]/Table2[[#This Row],[Total Projects]]</f>
        <v>0</v>
      </c>
      <c r="H9" s="15">
        <f>Table2[[#This Row],[Number Canceled]]/Table2[[#This Row],[Total Projects]]</f>
        <v>0</v>
      </c>
    </row>
    <row r="10" spans="1:8" x14ac:dyDescent="0.25">
      <c r="A10" t="s">
        <v>2102</v>
      </c>
      <c r="B10">
        <f>COUNTIFS(Crowdfunding!G9:G1008, "successful", Crowdfunding!D9:D1008, "&gt;=35000", Crowdfunding!D9:D1008, "&lt;=39999")</f>
        <v>8</v>
      </c>
      <c r="C10" s="14">
        <f>COUNTIFS(Crowdfunding!G9:G1008, "failed", Crowdfunding!D9:D1008, "&gt;=35000", Crowdfunding!D9:D1008, "&lt;=39999")</f>
        <v>3</v>
      </c>
      <c r="D10" s="14">
        <f>COUNTIFS(Crowdfunding!G9:G1008, "canceled", Crowdfunding!D9:D1008, "&gt;=35000", Crowdfunding!D9:D1008, "&lt;=39999")</f>
        <v>1</v>
      </c>
      <c r="E10">
        <f>SUM(Table2[[#This Row],[Number Successful]:[Number Canceled]])</f>
        <v>12</v>
      </c>
      <c r="F10" s="15">
        <f>(Table2[[#This Row],[Number Successful]]/Table2[[#This Row],[Total Projects]])</f>
        <v>0.66666666666666663</v>
      </c>
      <c r="G10" s="15">
        <f>Table2[[#This Row],[Number Failed]]/Table2[[#This Row],[Total Projects]]</f>
        <v>0.25</v>
      </c>
      <c r="H10" s="15">
        <f>Table2[[#This Row],[Number Canceled]]/Table2[[#This Row],[Total Projects]]</f>
        <v>8.3333333333333329E-2</v>
      </c>
    </row>
    <row r="11" spans="1:8" x14ac:dyDescent="0.25">
      <c r="A11" t="s">
        <v>2103</v>
      </c>
      <c r="B11">
        <f>COUNTIFS(Crowdfunding!G10:G1009, "successful", Crowdfunding!D10:D1009, "&gt;=40000", Crowdfunding!D10:D1009, "&lt;=44999")</f>
        <v>11</v>
      </c>
      <c r="C11" s="14">
        <f>COUNTIFS(Crowdfunding!G10:G1009, "failed", Crowdfunding!D10:D1009, "&gt;=40000", Crowdfunding!D10:D1009, "&lt;=44999")</f>
        <v>3</v>
      </c>
      <c r="D11" s="14">
        <f>COUNTIFS(Crowdfunding!G10:G1009, "canceled", Crowdfunding!D10:D1009, "&gt;=40000", Crowdfunding!D10:D1009, "&lt;=44999")</f>
        <v>0</v>
      </c>
      <c r="E11">
        <f>SUM(Table2[[#This Row],[Number Successful]:[Number Canceled]])</f>
        <v>14</v>
      </c>
      <c r="F11" s="15">
        <f>(Table2[[#This Row],[Number Successful]]/Table2[[#This Row],[Total Projects]])</f>
        <v>0.7857142857142857</v>
      </c>
      <c r="G11" s="15">
        <f>Table2[[#This Row],[Number Failed]]/Table2[[#This Row],[Total Projects]]</f>
        <v>0.21428571428571427</v>
      </c>
      <c r="H11" s="15">
        <f>Table2[[#This Row],[Number Canceled]]/Table2[[#This Row],[Total Projects]]</f>
        <v>0</v>
      </c>
    </row>
    <row r="12" spans="1:8" x14ac:dyDescent="0.25">
      <c r="A12" t="s">
        <v>2104</v>
      </c>
      <c r="B12">
        <f>COUNTIFS(Crowdfunding!G11:G1010, "successful", Crowdfunding!D11:D1010, "&gt;=45000", Crowdfunding!D11:D1010, "&lt;=49999")</f>
        <v>8</v>
      </c>
      <c r="C12">
        <f>COUNTIFS(Crowdfunding!G11:G1010, "failed", Crowdfunding!D11:D1010, "&gt;=45000", Crowdfunding!D11:D1010, "&lt;=49999")</f>
        <v>3</v>
      </c>
      <c r="D12" s="14">
        <f>COUNTIFS(Crowdfunding!G11:G1010, "canceled", Crowdfunding!D11:D1010, "&gt;=45000", Crowdfunding!D11:D1010, "&lt;=49999")</f>
        <v>0</v>
      </c>
      <c r="E12">
        <f>SUM(Table2[[#This Row],[Number Successful]:[Number Canceled]])</f>
        <v>11</v>
      </c>
      <c r="F12" s="15">
        <f>(Table2[[#This Row],[Number Successful]]/Table2[[#This Row],[Total Projects]])</f>
        <v>0.72727272727272729</v>
      </c>
      <c r="G12" s="15">
        <f>Table2[[#This Row],[Number Failed]]/Table2[[#This Row],[Total Projects]]</f>
        <v>0.27272727272727271</v>
      </c>
      <c r="H12" s="15">
        <f>Table2[[#This Row],[Number Canceled]]/Table2[[#This Row],[Total Projects]]</f>
        <v>0</v>
      </c>
    </row>
    <row r="13" spans="1:8" x14ac:dyDescent="0.25">
      <c r="A13" t="s">
        <v>2105</v>
      </c>
      <c r="B13">
        <f>COUNTIFS(Crowdfunding!G2:G1001, "successful", Crowdfunding!D2:D1001, "&gt;50000")</f>
        <v>114</v>
      </c>
      <c r="C13">
        <f>COUNTIFS(Crowdfunding!G2:G1001, "failed", Crowdfunding!D2:D1001, "&gt;50000")</f>
        <v>163</v>
      </c>
      <c r="D13" s="14">
        <f>COUNTIFS(Crowdfunding!G2:G1001, "canceled", Crowdfunding!D2:D1001, "&gt;50000")</f>
        <v>28</v>
      </c>
      <c r="E13">
        <f>SUM(Table2[[#This Row],[Number Successful]:[Number Canceled]])</f>
        <v>305</v>
      </c>
      <c r="F13" s="15">
        <f>(Table2[[#This Row],[Number Successful]]/Table2[[#This Row],[Total Projects]])</f>
        <v>0.3737704918032787</v>
      </c>
      <c r="G13" s="15">
        <f>Table2[[#This Row],[Number Failed]]/Table2[[#This Row],[Total Projects]]</f>
        <v>0.53442622950819674</v>
      </c>
      <c r="H13" s="15">
        <f>Table2[[#This Row],[Number Canceled]]/Table2[[#This Row],[Total Projects]]</f>
        <v>9.1803278688524587E-2</v>
      </c>
    </row>
  </sheetData>
  <pageMargins left="0.7" right="0.7" top="0.75" bottom="0.75" header="0.3" footer="0.3"/>
  <ignoredErrors>
    <ignoredError sqref="B3 B13 C2:C3 C13 D3 D13" calculatedColumn="1"/>
    <ignoredError sqref="B4:B12 C4:C12 D4:D12" formulaRange="1" calculatedColumn="1"/>
  </ignoredErrors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F783-F048-4C4F-9FD5-70EF0AE11399}">
  <dimension ref="A1:H33"/>
  <sheetViews>
    <sheetView tabSelected="1" workbookViewId="0">
      <selection activeCell="D31" sqref="D31"/>
    </sheetView>
  </sheetViews>
  <sheetFormatPr defaultRowHeight="15.75" x14ac:dyDescent="0.25"/>
  <cols>
    <col min="1" max="1" width="14.5" bestFit="1" customWidth="1"/>
    <col min="2" max="2" width="18.875" style="13" customWidth="1"/>
    <col min="3" max="3" width="15.25" style="13" customWidth="1"/>
    <col min="4" max="4" width="17.875" style="13" customWidth="1"/>
    <col min="5" max="5" width="16" style="13" bestFit="1" customWidth="1"/>
    <col min="6" max="6" width="23.25" style="15" bestFit="1" customWidth="1"/>
    <col min="7" max="7" width="19.5" style="15" bestFit="1" customWidth="1"/>
    <col min="8" max="8" width="22.25" style="15" bestFit="1" customWidth="1"/>
  </cols>
  <sheetData>
    <row r="1" spans="1:8" x14ac:dyDescent="0.25">
      <c r="A1" s="13" t="s">
        <v>2106</v>
      </c>
      <c r="B1" s="13" t="s">
        <v>2087</v>
      </c>
      <c r="C1" s="13" t="s">
        <v>2088</v>
      </c>
      <c r="D1" s="13" t="s">
        <v>2089</v>
      </c>
      <c r="E1" s="13" t="s">
        <v>2090</v>
      </c>
      <c r="F1" s="19" t="s">
        <v>2091</v>
      </c>
      <c r="G1" s="19" t="s">
        <v>2092</v>
      </c>
      <c r="H1" s="19" t="s">
        <v>2093</v>
      </c>
    </row>
    <row r="2" spans="1:8" x14ac:dyDescent="0.25">
      <c r="A2" t="s">
        <v>2109</v>
      </c>
      <c r="B2" s="13">
        <f>COUNTIFS(Crowdfunding!G2:G1001, "successful", Crowdfunding!H2:H1001, "&lt;500")</f>
        <v>389</v>
      </c>
      <c r="C2" s="17">
        <f>COUNTIFS(Crowdfunding!G2:G1001, "failed", Crowdfunding!H2:H1001, "&lt;500")</f>
        <v>243</v>
      </c>
      <c r="D2" s="18">
        <f>COUNTIFS(Crowdfunding!G2:G1001, "canceled", Crowdfunding!H2:H1001, "&lt;500")</f>
        <v>39</v>
      </c>
      <c r="E2" s="13">
        <f>SUM(Table3[[#This Row],[Number Successful]:[Number Canceled]])</f>
        <v>671</v>
      </c>
      <c r="F2" s="19">
        <f>Table3[[#This Row],[Number Successful]]/Table3[[#This Row],[Total Projects]]</f>
        <v>0.57973174366616986</v>
      </c>
      <c r="G2" s="19">
        <f>Table3[[#This Row],[Number Failed]]/Table3[[#This Row],[Total Projects]]</f>
        <v>0.36214605067064082</v>
      </c>
      <c r="H2" s="19">
        <f>Table3[[#This Row],[Number Canceled]]/Table3[[#This Row],[Total Projects]]</f>
        <v>5.8122205663189271E-2</v>
      </c>
    </row>
    <row r="3" spans="1:8" x14ac:dyDescent="0.25">
      <c r="A3" t="s">
        <v>2110</v>
      </c>
      <c r="B3" s="13">
        <f>COUNTIFS(Crowdfunding!G2:G1001, "successful", Crowdfunding!H2:H1001, "&gt;=500", Crowdfunding!H2:H1001, "&lt;=999")</f>
        <v>19</v>
      </c>
      <c r="C3" s="18">
        <f>COUNTIFS(Crowdfunding!G2:G1001, "failed", Crowdfunding!H2:H1001, "&gt;=500", Crowdfunding!H2:H1001, "&lt;=999")</f>
        <v>49</v>
      </c>
      <c r="D3" s="18">
        <f>COUNTIFS(Crowdfunding!G2:G1001, "canceled", Crowdfunding!H2:H1001, "&gt;=500", Crowdfunding!H2:H1001, "&lt;=999")</f>
        <v>9</v>
      </c>
      <c r="E3" s="13">
        <f>SUM(Table3[[#This Row],[Number Successful]:[Number Canceled]])</f>
        <v>77</v>
      </c>
      <c r="F3" s="19">
        <f>Table3[[#This Row],[Number Successful]]/Table3[[#This Row],[Total Projects]]</f>
        <v>0.24675324675324675</v>
      </c>
      <c r="G3" s="19">
        <f>Table3[[#This Row],[Number Failed]]/Table3[[#This Row],[Total Projects]]</f>
        <v>0.63636363636363635</v>
      </c>
      <c r="H3" s="19">
        <f>Table3[[#This Row],[Number Canceled]]/Table3[[#This Row],[Total Projects]]</f>
        <v>0.11688311688311688</v>
      </c>
    </row>
    <row r="4" spans="1:8" x14ac:dyDescent="0.25">
      <c r="A4" t="s">
        <v>2111</v>
      </c>
      <c r="B4" s="13">
        <f>COUNTIFS(Crowdfunding!G2:G1001, "successful", Crowdfunding!H2:H1001, "&gt;=1000", Crowdfunding!H2:H1001, "&lt;=1999")</f>
        <v>63</v>
      </c>
      <c r="C4" s="18">
        <f>COUNTIFS(Crowdfunding!G2:G1001, "failed", Crowdfunding!H2:H1001, "&gt;=1000", Crowdfunding!H2:H1001, "&lt;=1999")</f>
        <v>43</v>
      </c>
      <c r="D4" s="18">
        <f>COUNTIFS(Crowdfunding!G2:G1001, "canceled", Crowdfunding!H2:H1001, "&gt;=1000", Crowdfunding!H2:H1001, "&lt;=1999")</f>
        <v>7</v>
      </c>
      <c r="E4" s="13">
        <f>SUM(Table3[[#This Row],[Number Successful]:[Number Canceled]])</f>
        <v>113</v>
      </c>
      <c r="F4" s="19">
        <f>Table3[[#This Row],[Number Successful]]/Table3[[#This Row],[Total Projects]]</f>
        <v>0.55752212389380529</v>
      </c>
      <c r="G4" s="19">
        <f>Table3[[#This Row],[Number Failed]]/Table3[[#This Row],[Total Projects]]</f>
        <v>0.38053097345132741</v>
      </c>
      <c r="H4" s="19">
        <f>Table3[[#This Row],[Number Canceled]]/Table3[[#This Row],[Total Projects]]</f>
        <v>6.1946902654867256E-2</v>
      </c>
    </row>
    <row r="5" spans="1:8" x14ac:dyDescent="0.25">
      <c r="A5" t="s">
        <v>2112</v>
      </c>
      <c r="B5" s="13">
        <f>COUNTIFS(Crowdfunding!G2:G1001, "successful", Crowdfunding!H2:H1001, "&gt;=2000", Crowdfunding!H2:H1001, "&lt;=2999")</f>
        <v>52</v>
      </c>
      <c r="C5" s="18">
        <f>COUNTIFS(Crowdfunding!G2:G1001, "failed", Crowdfunding!H2:H1001, "&gt;=2000", Crowdfunding!H2:H1001, "&lt;=2999")</f>
        <v>16</v>
      </c>
      <c r="D5" s="18">
        <f>COUNTIFS(Crowdfunding!G2:G1001, "canceled", Crowdfunding!H2:H1001, "&gt;=2000", Crowdfunding!H2:H1001, "&lt;=2999")</f>
        <v>2</v>
      </c>
      <c r="E5" s="13">
        <f>SUM(Table3[[#This Row],[Number Successful]:[Number Canceled]])</f>
        <v>70</v>
      </c>
      <c r="F5" s="19">
        <f>Table3[[#This Row],[Number Successful]]/Table3[[#This Row],[Total Projects]]</f>
        <v>0.74285714285714288</v>
      </c>
      <c r="G5" s="19">
        <f>Table3[[#This Row],[Number Failed]]/Table3[[#This Row],[Total Projects]]</f>
        <v>0.22857142857142856</v>
      </c>
      <c r="H5" s="19">
        <f>Table3[[#This Row],[Number Canceled]]/Table3[[#This Row],[Total Projects]]</f>
        <v>2.8571428571428571E-2</v>
      </c>
    </row>
    <row r="6" spans="1:8" x14ac:dyDescent="0.25">
      <c r="A6" t="s">
        <v>2113</v>
      </c>
      <c r="B6" s="13">
        <f>COUNTIFS(Crowdfunding!G2:G1001, "successful", Crowdfunding!H2:H1001, "&gt;=3000", Crowdfunding!H2:H1001, "&lt;=3999")</f>
        <v>22</v>
      </c>
      <c r="C6" s="18">
        <f>COUNTIFS(Crowdfunding!G2:G1001, "failed", Crowdfunding!H2:H1001, "&gt;=3000", Crowdfunding!H2:H1001, "&lt;=3999")</f>
        <v>7</v>
      </c>
      <c r="D6" s="18">
        <f>COUNTIFS(Crowdfunding!G2:G1001, "canceled", Crowdfunding!H2:H1001, "&gt;=3000", Crowdfunding!H2:H1001, "&lt;=3999")</f>
        <v>0</v>
      </c>
      <c r="E6" s="13">
        <f>SUM(Table3[[#This Row],[Number Successful]:[Number Canceled]])</f>
        <v>29</v>
      </c>
      <c r="F6" s="19">
        <f>Table3[[#This Row],[Number Successful]]/Table3[[#This Row],[Total Projects]]</f>
        <v>0.75862068965517238</v>
      </c>
      <c r="G6" s="19">
        <f>Table3[[#This Row],[Number Failed]]/Table3[[#This Row],[Total Projects]]</f>
        <v>0.2413793103448276</v>
      </c>
      <c r="H6" s="19">
        <f>Table3[[#This Row],[Number Canceled]]/Table3[[#This Row],[Total Projects]]</f>
        <v>0</v>
      </c>
    </row>
    <row r="7" spans="1:8" x14ac:dyDescent="0.25">
      <c r="A7" t="s">
        <v>2114</v>
      </c>
      <c r="B7" s="16">
        <f>COUNTIFS(Crowdfunding!G2:G1001, "successful", Crowdfunding!H2:H1001, "&gt;4000")</f>
        <v>20</v>
      </c>
      <c r="C7" s="18">
        <f>COUNTIFS(Crowdfunding!G2:G1001, "failed", Crowdfunding!H2:H1001, "&gt;4000")</f>
        <v>6</v>
      </c>
      <c r="D7" s="18">
        <f>COUNTIFS(Crowdfunding!G2:G1001, "canceled", Crowdfunding!H2:H1001, "&gt;4000")</f>
        <v>0</v>
      </c>
      <c r="E7" s="13">
        <f>SUM(Table3[[#This Row],[Number Successful]:[Number Canceled]])</f>
        <v>26</v>
      </c>
      <c r="F7" s="19">
        <f>Table3[[#This Row],[Number Successful]]/Table3[[#This Row],[Total Projects]]</f>
        <v>0.76923076923076927</v>
      </c>
      <c r="G7" s="19">
        <f>Table3[[#This Row],[Number Failed]]/Table3[[#This Row],[Total Projects]]</f>
        <v>0.23076923076923078</v>
      </c>
      <c r="H7" s="19">
        <f>Table3[[#This Row],[Number Canceled]]/Table3[[#This Row],[Total Projects]]</f>
        <v>0</v>
      </c>
    </row>
    <row r="8" spans="1:8" x14ac:dyDescent="0.25">
      <c r="B8" s="16"/>
    </row>
    <row r="26" spans="1:3" x14ac:dyDescent="0.25">
      <c r="A26" s="13" t="s">
        <v>2106</v>
      </c>
      <c r="B26" s="13" t="s">
        <v>2107</v>
      </c>
      <c r="C26" s="13" t="s">
        <v>2108</v>
      </c>
    </row>
    <row r="27" spans="1:3" x14ac:dyDescent="0.25">
      <c r="A27" t="s">
        <v>2120</v>
      </c>
      <c r="B27" s="20">
        <f>AVERAGEIF(Crowdfunding!G2:G1001, "successful", Crowdfunding!H2:H1001)</f>
        <v>851.14690265486729</v>
      </c>
      <c r="C27" s="20">
        <f>AVERAGEIF(Crowdfunding!G2:G1001, "failed", Crowdfunding!H2:H1001)</f>
        <v>585.61538461538464</v>
      </c>
    </row>
    <row r="28" spans="1:3" x14ac:dyDescent="0.25">
      <c r="A28" t="s">
        <v>2115</v>
      </c>
      <c r="B28" s="20" cm="1">
        <f t="array" ref="B28">MEDIAN(IF(Crowdfunding!G2:G1001= "successful", Crowdfunding!H2:H1001))</f>
        <v>201</v>
      </c>
      <c r="C28" s="20" cm="1">
        <f t="array" ref="C28">MEDIAN(IF(Crowdfunding!G2:G1001= "failed", Crowdfunding!H2:H1001))</f>
        <v>114.5</v>
      </c>
    </row>
    <row r="29" spans="1:3" x14ac:dyDescent="0.25">
      <c r="A29" t="s">
        <v>2121</v>
      </c>
      <c r="B29" s="20" cm="1">
        <f t="array" ref="B29">_xlfn.MODE.SNGL(IF(Crowdfunding!G2:G1001= "successful", Crowdfunding!H2:H1001))</f>
        <v>85</v>
      </c>
      <c r="C29" s="20" cm="1">
        <f t="array" ref="C29">_xlfn.MODE.SNGL(IF(Crowdfunding!G2:G1001= "failed", Crowdfunding!H2:H1001))</f>
        <v>1</v>
      </c>
    </row>
    <row r="30" spans="1:3" x14ac:dyDescent="0.25">
      <c r="A30" t="s">
        <v>2116</v>
      </c>
      <c r="B30" s="20" cm="1">
        <f t="array" ref="B30">MIN(IF(Crowdfunding!G2:G1001= "successful", Crowdfunding!H2:H1001))</f>
        <v>16</v>
      </c>
      <c r="C30" s="20" cm="1">
        <f t="array" ref="C30">MIN(IF(Crowdfunding!G2:G1001= "failed", Crowdfunding!H2:H1001))</f>
        <v>0</v>
      </c>
    </row>
    <row r="31" spans="1:3" x14ac:dyDescent="0.25">
      <c r="A31" t="s">
        <v>2117</v>
      </c>
      <c r="B31" s="20" cm="1">
        <f t="array" ref="B31">MAX(IF(Crowdfunding!G2:G1001= "successful", Crowdfunding!H2:H1001))</f>
        <v>7295</v>
      </c>
      <c r="C31" s="20" cm="1">
        <f t="array" ref="C31">MAX(IF(Crowdfunding!G2:G1001= "failed", Crowdfunding!H2:H1001))</f>
        <v>6080</v>
      </c>
    </row>
    <row r="32" spans="1:3" x14ac:dyDescent="0.25">
      <c r="A32" t="s">
        <v>2118</v>
      </c>
      <c r="B32" s="20" cm="1">
        <f t="array" ref="B32">_xlfn.VAR.S(IF(Crowdfunding!G2:G1001= "successful", Crowdfunding!H2:H1001))</f>
        <v>1606216.5936295739</v>
      </c>
      <c r="C32" s="20" cm="1">
        <f t="array" ref="C32">_xlfn.VAR.S(IF(Crowdfunding!G2:G1001= "failed", Crowdfunding!H2:H1001))</f>
        <v>924113.45496927318</v>
      </c>
    </row>
    <row r="33" spans="1:3" x14ac:dyDescent="0.25">
      <c r="A33" t="s">
        <v>2119</v>
      </c>
      <c r="B33" s="20" cm="1">
        <f t="array" ref="B33">_xlfn.STDEV.S(IF(Crowdfunding!G2:G1001= "successful", Crowdfunding!H2:H1001))</f>
        <v>1267.366006183523</v>
      </c>
      <c r="C33" s="20" cm="1">
        <f t="array" ref="C33">_xlfn.STDEV.S(IF(Crowdfunding!G2:G1001= "failed", Crowdfunding!H2:H1001))</f>
        <v>961.30819978260524</v>
      </c>
    </row>
  </sheetData>
  <pageMargins left="0.7" right="0.7" top="0.75" bottom="0.75" header="0.3" footer="0.3"/>
  <ignoredErrors>
    <ignoredError sqref="B3:B7 C3:C7 D3:D7" calculatedColumn="1"/>
  </ignoredErrors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 vs Outcome</vt:lpstr>
      <vt:lpstr>Sub-Cat vs Outcome</vt:lpstr>
      <vt:lpstr>Date vs Outcome</vt:lpstr>
      <vt:lpstr>Goal Analysis</vt:lpstr>
      <vt:lpstr>Backers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Jennifer Grubb</cp:lastModifiedBy>
  <dcterms:created xsi:type="dcterms:W3CDTF">2021-09-29T18:52:28Z</dcterms:created>
  <dcterms:modified xsi:type="dcterms:W3CDTF">2023-06-14T01:37:00Z</dcterms:modified>
</cp:coreProperties>
</file>