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y Gulickson\GitHub\FX-Other-Integrations\"/>
    </mc:Choice>
  </mc:AlternateContent>
  <bookViews>
    <workbookView xWindow="0" yWindow="4575" windowWidth="19035" windowHeight="8040"/>
  </bookViews>
  <sheets>
    <sheet name="FX DDE Feed" sheetId="1" r:id="rId1"/>
    <sheet name="FX Data" sheetId="2" state="hidden" r:id="rId2"/>
    <sheet name="CFD DDE Feed" sheetId="3" r:id="rId3"/>
    <sheet name="CFD Data" sheetId="4" state="hidden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'CFD DDE Feed'!$B$6:$Q$24</definedName>
    <definedName name="_xlnm._FilterDatabase" localSheetId="0" hidden="1">'FX DDE Feed'!$B$7:$P$62</definedName>
  </definedNames>
  <calcPr calcId="152511"/>
</workbook>
</file>

<file path=xl/calcChain.xml><?xml version="1.0" encoding="utf-8"?>
<calcChain xmlns="http://schemas.openxmlformats.org/spreadsheetml/2006/main">
  <c r="D7" i="3" l="1"/>
  <c r="D10" i="3" l="1"/>
  <c r="D9" i="3"/>
  <c r="D8" i="3"/>
  <c r="D23" i="3"/>
  <c r="D24" i="3"/>
  <c r="C23" i="3" l="1"/>
  <c r="C24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D19" i="3"/>
  <c r="D18" i="3"/>
  <c r="D17" i="3"/>
  <c r="D16" i="3"/>
  <c r="D15" i="3"/>
  <c r="D14" i="3"/>
  <c r="D13" i="3"/>
  <c r="D12" i="3"/>
  <c r="D11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L24" i="3" l="1"/>
  <c r="L23" i="3"/>
  <c r="L22" i="3"/>
  <c r="L21" i="3"/>
  <c r="L20" i="3"/>
  <c r="K24" i="3"/>
  <c r="K23" i="3"/>
  <c r="K22" i="3"/>
  <c r="K21" i="3"/>
  <c r="K20" i="3"/>
  <c r="H14" i="3"/>
  <c r="H15" i="3"/>
  <c r="H19" i="3"/>
  <c r="H20" i="3"/>
  <c r="H21" i="3"/>
  <c r="H22" i="3"/>
  <c r="H23" i="3"/>
  <c r="H24" i="3"/>
  <c r="E10" i="4"/>
  <c r="E11" i="4"/>
  <c r="E15" i="4"/>
  <c r="E16" i="4"/>
  <c r="E17" i="4"/>
  <c r="E18" i="4"/>
  <c r="E19" i="4"/>
  <c r="E20" i="4"/>
  <c r="P23" i="3"/>
  <c r="Q23" i="3" s="1"/>
  <c r="P24" i="3"/>
  <c r="Q24" i="3" s="1"/>
  <c r="P21" i="3"/>
  <c r="Q21" i="3" s="1"/>
  <c r="P22" i="3"/>
  <c r="Q22" i="3" s="1"/>
  <c r="Q13" i="3"/>
  <c r="Q11" i="3"/>
  <c r="Q17" i="3"/>
  <c r="Q19" i="3"/>
  <c r="Q18" i="3"/>
  <c r="Q16" i="3"/>
  <c r="Q15" i="3"/>
  <c r="Q14" i="3"/>
  <c r="Q12" i="3"/>
  <c r="Q10" i="3"/>
  <c r="Q9" i="3"/>
  <c r="Q8" i="3"/>
  <c r="Q7" i="3"/>
  <c r="P20" i="3"/>
  <c r="Q20" i="3" s="1"/>
  <c r="D21" i="3"/>
  <c r="D22" i="3"/>
  <c r="C21" i="3"/>
  <c r="C22" i="3"/>
  <c r="D20" i="3"/>
  <c r="C20" i="3"/>
  <c r="M10" i="3" l="1"/>
  <c r="M14" i="3"/>
  <c r="M18" i="3"/>
  <c r="M22" i="3"/>
  <c r="M8" i="3"/>
  <c r="M12" i="3"/>
  <c r="M16" i="3"/>
  <c r="M20" i="3"/>
  <c r="M24" i="3"/>
  <c r="M9" i="3"/>
  <c r="M13" i="3"/>
  <c r="M17" i="3"/>
  <c r="M21" i="3"/>
  <c r="M11" i="3"/>
  <c r="M15" i="3"/>
  <c r="M19" i="3"/>
  <c r="M23" i="3"/>
  <c r="M7" i="3"/>
  <c r="E13" i="3"/>
  <c r="E9" i="3"/>
  <c r="E10" i="3"/>
  <c r="E23" i="3"/>
  <c r="I23" i="3" s="1"/>
  <c r="E24" i="3"/>
  <c r="I24" i="3" s="1"/>
  <c r="E16" i="3"/>
  <c r="E7" i="3"/>
  <c r="E8" i="3"/>
  <c r="E22" i="3"/>
  <c r="I22" i="3" s="1"/>
  <c r="E14" i="3"/>
  <c r="I14" i="3" s="1"/>
  <c r="E17" i="3"/>
  <c r="E21" i="3"/>
  <c r="I21" i="3" s="1"/>
  <c r="E11" i="3"/>
  <c r="E12" i="3"/>
  <c r="E18" i="3"/>
  <c r="E20" i="3"/>
  <c r="I20" i="3" s="1"/>
  <c r="E15" i="3"/>
  <c r="I15" i="3" s="1"/>
  <c r="E19" i="3"/>
  <c r="I19" i="3" s="1"/>
  <c r="O8" i="1"/>
  <c r="P8" i="1" s="1"/>
  <c r="O9" i="1" l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F7" i="2"/>
  <c r="F25" i="2"/>
  <c r="F32" i="2"/>
  <c r="F3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3" i="2"/>
  <c r="K46" i="1"/>
  <c r="K52" i="1"/>
  <c r="K24" i="1"/>
  <c r="K57" i="1"/>
  <c r="K62" i="1"/>
  <c r="K38" i="1"/>
  <c r="K45" i="1"/>
  <c r="K51" i="1"/>
  <c r="K59" i="1"/>
  <c r="K61" i="1"/>
  <c r="K49" i="1"/>
  <c r="K21" i="1"/>
  <c r="K56" i="1"/>
  <c r="K27" i="1"/>
  <c r="K54" i="1"/>
  <c r="J46" i="1"/>
  <c r="J52" i="1"/>
  <c r="J38" i="1"/>
  <c r="J24" i="1"/>
  <c r="J57" i="1"/>
  <c r="J62" i="1"/>
  <c r="J45" i="1"/>
  <c r="J51" i="1"/>
  <c r="J59" i="1"/>
  <c r="J61" i="1"/>
  <c r="J49" i="1"/>
  <c r="J21" i="1"/>
  <c r="J56" i="1"/>
  <c r="J27" i="1"/>
  <c r="J54" i="1"/>
  <c r="K60" i="1"/>
  <c r="J60" i="1"/>
  <c r="D46" i="1"/>
  <c r="D52" i="1"/>
  <c r="D24" i="1"/>
  <c r="D57" i="1"/>
  <c r="D62" i="1"/>
  <c r="D38" i="1"/>
  <c r="D45" i="1"/>
  <c r="D51" i="1"/>
  <c r="D59" i="1"/>
  <c r="D61" i="1"/>
  <c r="D49" i="1"/>
  <c r="D21" i="1"/>
  <c r="D56" i="1"/>
  <c r="D27" i="1"/>
  <c r="C46" i="1"/>
  <c r="C52" i="1"/>
  <c r="C24" i="1"/>
  <c r="C57" i="1"/>
  <c r="C62" i="1"/>
  <c r="C38" i="1"/>
  <c r="C45" i="1"/>
  <c r="C51" i="1"/>
  <c r="C59" i="1"/>
  <c r="C61" i="1"/>
  <c r="C49" i="1"/>
  <c r="F44" i="2" s="1"/>
  <c r="C21" i="1"/>
  <c r="C56" i="1"/>
  <c r="C27" i="1"/>
  <c r="D54" i="1"/>
  <c r="C54" i="1"/>
  <c r="K16" i="1"/>
  <c r="J16" i="1"/>
  <c r="K17" i="1"/>
  <c r="J17" i="1"/>
  <c r="K40" i="1"/>
  <c r="J40" i="1"/>
  <c r="K13" i="1"/>
  <c r="J13" i="1"/>
  <c r="K41" i="1"/>
  <c r="J41" i="1"/>
  <c r="K29" i="1"/>
  <c r="J29" i="1"/>
  <c r="K44" i="1"/>
  <c r="J44" i="1"/>
  <c r="K39" i="1"/>
  <c r="J39" i="1"/>
  <c r="K36" i="1"/>
  <c r="J36" i="1"/>
  <c r="K22" i="1"/>
  <c r="J22" i="1"/>
  <c r="K26" i="1"/>
  <c r="J26" i="1"/>
  <c r="K9" i="1"/>
  <c r="J9" i="1"/>
  <c r="K55" i="1"/>
  <c r="J55" i="1"/>
  <c r="K25" i="1"/>
  <c r="J25" i="1"/>
  <c r="K28" i="1"/>
  <c r="J28" i="1"/>
  <c r="K50" i="1"/>
  <c r="J50" i="1"/>
  <c r="K58" i="1"/>
  <c r="J58" i="1"/>
  <c r="K11" i="1"/>
  <c r="J11" i="1"/>
  <c r="K31" i="1"/>
  <c r="J31" i="1"/>
  <c r="K35" i="1"/>
  <c r="J35" i="1"/>
  <c r="K32" i="1"/>
  <c r="J32" i="1"/>
  <c r="K42" i="1"/>
  <c r="J42" i="1"/>
  <c r="K14" i="1"/>
  <c r="J14" i="1"/>
  <c r="K10" i="1"/>
  <c r="J10" i="1"/>
  <c r="K8" i="1"/>
  <c r="J8" i="1"/>
  <c r="K19" i="1"/>
  <c r="J19" i="1"/>
  <c r="K18" i="1"/>
  <c r="J18" i="1"/>
  <c r="K33" i="1"/>
  <c r="J33" i="1"/>
  <c r="K15" i="1"/>
  <c r="J15" i="1"/>
  <c r="K34" i="1"/>
  <c r="J34" i="1"/>
  <c r="D16" i="1"/>
  <c r="C16" i="1"/>
  <c r="D17" i="1"/>
  <c r="C17" i="1"/>
  <c r="D40" i="1"/>
  <c r="C40" i="1"/>
  <c r="D13" i="1"/>
  <c r="C13" i="1"/>
  <c r="D41" i="1"/>
  <c r="C41" i="1"/>
  <c r="D29" i="1"/>
  <c r="C29" i="1"/>
  <c r="D60" i="1"/>
  <c r="C60" i="1"/>
  <c r="D44" i="1"/>
  <c r="C44" i="1"/>
  <c r="D39" i="1"/>
  <c r="C39" i="1"/>
  <c r="D36" i="1"/>
  <c r="C36" i="1"/>
  <c r="D22" i="1"/>
  <c r="C22" i="1"/>
  <c r="D26" i="1"/>
  <c r="C26" i="1"/>
  <c r="D9" i="1"/>
  <c r="C9" i="1"/>
  <c r="D55" i="1"/>
  <c r="C55" i="1"/>
  <c r="D25" i="1"/>
  <c r="C25" i="1"/>
  <c r="D28" i="1"/>
  <c r="C28" i="1"/>
  <c r="D50" i="1"/>
  <c r="C50" i="1"/>
  <c r="D58" i="1"/>
  <c r="C58" i="1"/>
  <c r="E13" i="4" s="1"/>
  <c r="H17" i="3" s="1"/>
  <c r="I17" i="3" s="1"/>
  <c r="D11" i="1"/>
  <c r="C11" i="1"/>
  <c r="D31" i="1"/>
  <c r="C31" i="1"/>
  <c r="D35" i="1"/>
  <c r="C35" i="1"/>
  <c r="D32" i="1"/>
  <c r="C32" i="1"/>
  <c r="D42" i="1"/>
  <c r="C42" i="1"/>
  <c r="D14" i="1"/>
  <c r="C14" i="1"/>
  <c r="D10" i="1"/>
  <c r="C10" i="1"/>
  <c r="D8" i="1"/>
  <c r="C8" i="1"/>
  <c r="D19" i="1"/>
  <c r="C19" i="1"/>
  <c r="D18" i="1"/>
  <c r="C18" i="1"/>
  <c r="D33" i="1"/>
  <c r="C33" i="1"/>
  <c r="D15" i="1"/>
  <c r="C15" i="1"/>
  <c r="D34" i="1"/>
  <c r="C34" i="1"/>
  <c r="K23" i="1"/>
  <c r="J23" i="1"/>
  <c r="D23" i="1"/>
  <c r="C23" i="1"/>
  <c r="K43" i="1"/>
  <c r="J43" i="1"/>
  <c r="D43" i="1"/>
  <c r="C43" i="1"/>
  <c r="F6" i="2" s="1"/>
  <c r="K47" i="1"/>
  <c r="J47" i="1"/>
  <c r="D47" i="1"/>
  <c r="C47" i="1"/>
  <c r="F27" i="2" s="1"/>
  <c r="K12" i="1"/>
  <c r="J12" i="1"/>
  <c r="D12" i="1"/>
  <c r="C12" i="1"/>
  <c r="E3" i="4" s="1"/>
  <c r="H7" i="3" s="1"/>
  <c r="I7" i="3" s="1"/>
  <c r="K20" i="1"/>
  <c r="J20" i="1"/>
  <c r="D20" i="1"/>
  <c r="C20" i="1"/>
  <c r="D48" i="1"/>
  <c r="C30" i="1"/>
  <c r="D30" i="1"/>
  <c r="K30" i="1"/>
  <c r="J30" i="1"/>
  <c r="K53" i="1"/>
  <c r="J53" i="1"/>
  <c r="D53" i="1"/>
  <c r="C53" i="1"/>
  <c r="E9" i="4" s="1"/>
  <c r="H13" i="3" s="1"/>
  <c r="I13" i="3" s="1"/>
  <c r="K37" i="1"/>
  <c r="J37" i="1"/>
  <c r="D37" i="1"/>
  <c r="C37" i="1"/>
  <c r="E14" i="4" s="1"/>
  <c r="H18" i="3" s="1"/>
  <c r="I18" i="3" s="1"/>
  <c r="K48" i="1"/>
  <c r="J48" i="1"/>
  <c r="C48" i="1"/>
  <c r="E12" i="4" s="1"/>
  <c r="H16" i="3" s="1"/>
  <c r="I16" i="3" s="1"/>
  <c r="N16" i="3" l="1"/>
  <c r="F46" i="2"/>
  <c r="G51" i="1" s="1"/>
  <c r="E7" i="4"/>
  <c r="H11" i="3" s="1"/>
  <c r="I11" i="3" s="1"/>
  <c r="E4" i="4"/>
  <c r="H8" i="3" s="1"/>
  <c r="I8" i="3" s="1"/>
  <c r="E8" i="4"/>
  <c r="H12" i="3" s="1"/>
  <c r="I12" i="3" s="1"/>
  <c r="E5" i="4"/>
  <c r="H9" i="3" s="1"/>
  <c r="I9" i="3" s="1"/>
  <c r="E6" i="4"/>
  <c r="H10" i="3" s="1"/>
  <c r="I10" i="3" s="1"/>
  <c r="F18" i="2"/>
  <c r="G23" i="1" s="1"/>
  <c r="F26" i="2"/>
  <c r="G31" i="1" s="1"/>
  <c r="F56" i="2"/>
  <c r="G61" i="1" s="1"/>
  <c r="F47" i="2"/>
  <c r="G52" i="1" s="1"/>
  <c r="F10" i="2"/>
  <c r="G15" i="1" s="1"/>
  <c r="F49" i="2"/>
  <c r="G54" i="1" s="1"/>
  <c r="F15" i="2"/>
  <c r="G20" i="1" s="1"/>
  <c r="F52" i="2"/>
  <c r="G57" i="1" s="1"/>
  <c r="F17" i="2"/>
  <c r="G22" i="1" s="1"/>
  <c r="F51" i="2"/>
  <c r="G56" i="1" s="1"/>
  <c r="F54" i="2"/>
  <c r="G59" i="1" s="1"/>
  <c r="F24" i="2"/>
  <c r="G29" i="1" s="1"/>
  <c r="F23" i="2"/>
  <c r="G28" i="1" s="1"/>
  <c r="F11" i="2"/>
  <c r="G16" i="1" s="1"/>
  <c r="N22" i="3"/>
  <c r="N21" i="3"/>
  <c r="N15" i="3"/>
  <c r="G49" i="1"/>
  <c r="G11" i="1"/>
  <c r="G32" i="1"/>
  <c r="G12" i="1"/>
  <c r="G30" i="1"/>
  <c r="G43" i="1"/>
  <c r="G37" i="1"/>
  <c r="L24" i="1"/>
  <c r="L38" i="1"/>
  <c r="L61" i="1"/>
  <c r="L22" i="1"/>
  <c r="L62" i="1"/>
  <c r="L57" i="1"/>
  <c r="L21" i="1"/>
  <c r="L52" i="1"/>
  <c r="L60" i="1"/>
  <c r="L51" i="1"/>
  <c r="L59" i="1"/>
  <c r="L26" i="1"/>
  <c r="L25" i="1"/>
  <c r="L28" i="1"/>
  <c r="L54" i="1"/>
  <c r="L49" i="1"/>
  <c r="L27" i="1"/>
  <c r="L29" i="1"/>
  <c r="L41" i="1"/>
  <c r="L20" i="1"/>
  <c r="L56" i="1"/>
  <c r="L46" i="1"/>
  <c r="L58" i="1"/>
  <c r="L36" i="1"/>
  <c r="L16" i="1"/>
  <c r="L17" i="1"/>
  <c r="L33" i="1"/>
  <c r="L50" i="1"/>
  <c r="L35" i="1"/>
  <c r="L32" i="1"/>
  <c r="L47" i="1"/>
  <c r="L13" i="1"/>
  <c r="L31" i="1"/>
  <c r="L44" i="1"/>
  <c r="L42" i="1"/>
  <c r="L39" i="1"/>
  <c r="L11" i="1"/>
  <c r="L9" i="1"/>
  <c r="L12" i="1"/>
  <c r="L37" i="1"/>
  <c r="L48" i="1"/>
  <c r="L40" i="1"/>
  <c r="L30" i="1"/>
  <c r="L23" i="1"/>
  <c r="L10" i="1"/>
  <c r="L53" i="1"/>
  <c r="L34" i="1"/>
  <c r="L14" i="1"/>
  <c r="L55" i="1"/>
  <c r="L45" i="1"/>
  <c r="L43" i="1"/>
  <c r="L15" i="1"/>
  <c r="L18" i="1"/>
  <c r="L19" i="1"/>
  <c r="L8" i="1"/>
  <c r="F55" i="2"/>
  <c r="F19" i="2"/>
  <c r="F21" i="2"/>
  <c r="F22" i="2"/>
  <c r="F53" i="2"/>
  <c r="F35" i="2"/>
  <c r="F14" i="2"/>
  <c r="F42" i="2"/>
  <c r="F57" i="2"/>
  <c r="F40" i="2"/>
  <c r="F29" i="2"/>
  <c r="F5" i="2"/>
  <c r="F41" i="2"/>
  <c r="F37" i="2"/>
  <c r="F16" i="2"/>
  <c r="F48" i="2"/>
  <c r="F33" i="2"/>
  <c r="F9" i="2"/>
  <c r="F39" i="2"/>
  <c r="F34" i="2"/>
  <c r="F36" i="2"/>
  <c r="F28" i="2"/>
  <c r="F20" i="2"/>
  <c r="F12" i="2"/>
  <c r="F8" i="2"/>
  <c r="F4" i="2"/>
  <c r="F45" i="2"/>
  <c r="F13" i="2"/>
  <c r="F50" i="2"/>
  <c r="F30" i="2"/>
  <c r="F43" i="2"/>
  <c r="F31" i="2"/>
  <c r="F3" i="2"/>
  <c r="E37" i="1"/>
  <c r="E20" i="1"/>
  <c r="E23" i="1"/>
  <c r="E30" i="1"/>
  <c r="E43" i="1"/>
  <c r="E15" i="1"/>
  <c r="E18" i="1"/>
  <c r="E14" i="1"/>
  <c r="E32" i="1"/>
  <c r="E31" i="1"/>
  <c r="E58" i="1"/>
  <c r="E28" i="1"/>
  <c r="E55" i="1"/>
  <c r="E26" i="1"/>
  <c r="E36" i="1"/>
  <c r="E44" i="1"/>
  <c r="E29" i="1"/>
  <c r="E13" i="1"/>
  <c r="E17" i="1"/>
  <c r="E47" i="1"/>
  <c r="E27" i="1"/>
  <c r="E61" i="1"/>
  <c r="E38" i="1"/>
  <c r="E52" i="1"/>
  <c r="E49" i="1"/>
  <c r="E45" i="1"/>
  <c r="E24" i="1"/>
  <c r="E48" i="1"/>
  <c r="E21" i="1"/>
  <c r="E51" i="1"/>
  <c r="E57" i="1"/>
  <c r="E53" i="1"/>
  <c r="E12" i="1"/>
  <c r="E34" i="1"/>
  <c r="E33" i="1"/>
  <c r="E19" i="1"/>
  <c r="E10" i="1"/>
  <c r="E42" i="1"/>
  <c r="E35" i="1"/>
  <c r="E11" i="1"/>
  <c r="E50" i="1"/>
  <c r="E25" i="1"/>
  <c r="E9" i="1"/>
  <c r="E22" i="1"/>
  <c r="E39" i="1"/>
  <c r="E60" i="1"/>
  <c r="E41" i="1"/>
  <c r="E40" i="1"/>
  <c r="E16" i="1"/>
  <c r="E54" i="1"/>
  <c r="E56" i="1"/>
  <c r="E59" i="1"/>
  <c r="E62" i="1"/>
  <c r="E46" i="1"/>
  <c r="E8" i="1"/>
  <c r="N10" i="3" l="1"/>
  <c r="N11" i="3"/>
  <c r="N9" i="3"/>
  <c r="G8" i="1"/>
  <c r="H8" i="1" s="1"/>
  <c r="N7" i="3"/>
  <c r="N14" i="3"/>
  <c r="N20" i="3"/>
  <c r="N24" i="3"/>
  <c r="N13" i="3"/>
  <c r="N17" i="3"/>
  <c r="N23" i="3"/>
  <c r="N12" i="3"/>
  <c r="N19" i="3"/>
  <c r="N18" i="3"/>
  <c r="N8" i="3"/>
  <c r="H22" i="1"/>
  <c r="H32" i="1"/>
  <c r="H56" i="1"/>
  <c r="H12" i="1"/>
  <c r="H59" i="1"/>
  <c r="M23" i="1"/>
  <c r="M29" i="1"/>
  <c r="M22" i="1"/>
  <c r="M54" i="1"/>
  <c r="H23" i="1"/>
  <c r="H31" i="1"/>
  <c r="H49" i="1"/>
  <c r="H29" i="1"/>
  <c r="H52" i="1"/>
  <c r="H28" i="1"/>
  <c r="M31" i="1"/>
  <c r="H54" i="1"/>
  <c r="H20" i="1"/>
  <c r="H16" i="1"/>
  <c r="M11" i="1"/>
  <c r="M16" i="1"/>
  <c r="H11" i="1"/>
  <c r="M49" i="1"/>
  <c r="M52" i="1"/>
  <c r="M20" i="1"/>
  <c r="M56" i="1"/>
  <c r="H61" i="1"/>
  <c r="H15" i="1"/>
  <c r="M32" i="1"/>
  <c r="M57" i="1"/>
  <c r="M15" i="1"/>
  <c r="H57" i="1"/>
  <c r="M12" i="1"/>
  <c r="M59" i="1"/>
  <c r="M61" i="1"/>
  <c r="H51" i="1"/>
  <c r="M28" i="1"/>
  <c r="M51" i="1"/>
  <c r="G55" i="1"/>
  <c r="H55" i="1" s="1"/>
  <c r="G13" i="1"/>
  <c r="M13" i="1" s="1"/>
  <c r="G41" i="1"/>
  <c r="H41" i="1" s="1"/>
  <c r="G38" i="1"/>
  <c r="M38" i="1" s="1"/>
  <c r="G46" i="1"/>
  <c r="M46" i="1" s="1"/>
  <c r="G62" i="1"/>
  <c r="H62" i="1" s="1"/>
  <c r="G58" i="1"/>
  <c r="H58" i="1" s="1"/>
  <c r="G60" i="1"/>
  <c r="H60" i="1" s="1"/>
  <c r="G36" i="1"/>
  <c r="H36" i="1" s="1"/>
  <c r="G18" i="1"/>
  <c r="H18" i="1" s="1"/>
  <c r="G17" i="1"/>
  <c r="M17" i="1" s="1"/>
  <c r="G39" i="1"/>
  <c r="M39" i="1" s="1"/>
  <c r="G53" i="1"/>
  <c r="M53" i="1" s="1"/>
  <c r="G10" i="1"/>
  <c r="M10" i="1" s="1"/>
  <c r="G47" i="1"/>
  <c r="H47" i="1" s="1"/>
  <c r="G27" i="1"/>
  <c r="M27" i="1" s="1"/>
  <c r="G48" i="1"/>
  <c r="H48" i="1" s="1"/>
  <c r="G50" i="1"/>
  <c r="M50" i="1" s="1"/>
  <c r="G25" i="1"/>
  <c r="H25" i="1" s="1"/>
  <c r="G44" i="1"/>
  <c r="H44" i="1" s="1"/>
  <c r="G21" i="1"/>
  <c r="H21" i="1" s="1"/>
  <c r="G34" i="1"/>
  <c r="H34" i="1" s="1"/>
  <c r="G19" i="1"/>
  <c r="M19" i="1" s="1"/>
  <c r="G26" i="1"/>
  <c r="M26" i="1" s="1"/>
  <c r="G35" i="1"/>
  <c r="M35" i="1" s="1"/>
  <c r="G9" i="1"/>
  <c r="M9" i="1" s="1"/>
  <c r="G33" i="1"/>
  <c r="M33" i="1" s="1"/>
  <c r="G14" i="1"/>
  <c r="H14" i="1" s="1"/>
  <c r="G42" i="1"/>
  <c r="M42" i="1" s="1"/>
  <c r="G45" i="1"/>
  <c r="H45" i="1" s="1"/>
  <c r="G40" i="1"/>
  <c r="M40" i="1" s="1"/>
  <c r="G24" i="1"/>
  <c r="H24" i="1" s="1"/>
  <c r="M37" i="1"/>
  <c r="M43" i="1"/>
  <c r="H30" i="1"/>
  <c r="H37" i="1"/>
  <c r="M30" i="1"/>
  <c r="H43" i="1"/>
  <c r="H46" i="1" l="1"/>
  <c r="M36" i="1"/>
  <c r="M55" i="1"/>
  <c r="H38" i="1"/>
  <c r="H39" i="1"/>
  <c r="H26" i="1"/>
  <c r="M60" i="1"/>
  <c r="M8" i="1"/>
  <c r="H27" i="1"/>
  <c r="H53" i="1"/>
  <c r="H10" i="1"/>
  <c r="M48" i="1"/>
  <c r="M62" i="1"/>
  <c r="H13" i="1"/>
  <c r="H35" i="1"/>
  <c r="M18" i="1"/>
  <c r="M41" i="1"/>
  <c r="M58" i="1"/>
  <c r="H19" i="1"/>
  <c r="M25" i="1"/>
  <c r="M47" i="1"/>
  <c r="H17" i="1"/>
  <c r="H9" i="1"/>
  <c r="M44" i="1"/>
  <c r="M14" i="1"/>
  <c r="M21" i="1"/>
  <c r="H50" i="1"/>
  <c r="M34" i="1"/>
  <c r="M45" i="1"/>
  <c r="H42" i="1"/>
  <c r="H33" i="1"/>
  <c r="H40" i="1"/>
  <c r="M24" i="1"/>
</calcChain>
</file>

<file path=xl/sharedStrings.xml><?xml version="1.0" encoding="utf-8"?>
<sst xmlns="http://schemas.openxmlformats.org/spreadsheetml/2006/main" count="305" uniqueCount="114">
  <si>
    <t>Symbol</t>
  </si>
  <si>
    <t>Bid</t>
  </si>
  <si>
    <t>Ask</t>
  </si>
  <si>
    <t>High</t>
  </si>
  <si>
    <t>Low</t>
  </si>
  <si>
    <t>USDCHF</t>
  </si>
  <si>
    <t>GBPUSD</t>
  </si>
  <si>
    <t>USDJPY</t>
  </si>
  <si>
    <t>EURUSD</t>
  </si>
  <si>
    <t>Spread</t>
  </si>
  <si>
    <t>EURCHF</t>
  </si>
  <si>
    <t>AUDUSD</t>
  </si>
  <si>
    <t>USDCAD</t>
  </si>
  <si>
    <t>NZDUSD</t>
  </si>
  <si>
    <t>EURGBP</t>
  </si>
  <si>
    <t>GBPJPY</t>
  </si>
  <si>
    <t>CHFJPY</t>
  </si>
  <si>
    <t>GBPCHF</t>
  </si>
  <si>
    <t>EURAUD</t>
  </si>
  <si>
    <t>EURCAD</t>
  </si>
  <si>
    <t>AUDCAD</t>
  </si>
  <si>
    <t>AUDJPY</t>
  </si>
  <si>
    <t>CADJPY</t>
  </si>
  <si>
    <t>NZDJPY</t>
  </si>
  <si>
    <t>GBPCAD</t>
  </si>
  <si>
    <t>GBPNZD</t>
  </si>
  <si>
    <t>GBPAUD</t>
  </si>
  <si>
    <t>AUDNZD</t>
  </si>
  <si>
    <t>USDSEK</t>
  </si>
  <si>
    <t>USDDKK</t>
  </si>
  <si>
    <t>EURSEK</t>
  </si>
  <si>
    <t>EURNOK</t>
  </si>
  <si>
    <t>USDNOK</t>
  </si>
  <si>
    <t>USDMXN</t>
  </si>
  <si>
    <t>AUDCHF</t>
  </si>
  <si>
    <t>EURNZD</t>
  </si>
  <si>
    <t>EURPLN</t>
  </si>
  <si>
    <t>USDPLN</t>
  </si>
  <si>
    <t>EURCZK</t>
  </si>
  <si>
    <t>USDCZK</t>
  </si>
  <si>
    <t>USDZAR</t>
  </si>
  <si>
    <t>USDSGD</t>
  </si>
  <si>
    <t>USDHKD</t>
  </si>
  <si>
    <t>EURDKK</t>
  </si>
  <si>
    <t>GBPSEK</t>
  </si>
  <si>
    <t>NOKJPY</t>
  </si>
  <si>
    <t>SEKJPY</t>
  </si>
  <si>
    <t>SGDJPY</t>
  </si>
  <si>
    <t>HKDJPY</t>
  </si>
  <si>
    <t>ZARJPY</t>
  </si>
  <si>
    <t>USDTRY</t>
  </si>
  <si>
    <t>EURTRY</t>
  </si>
  <si>
    <t>NZDCHF</t>
  </si>
  <si>
    <t>CADCHF</t>
  </si>
  <si>
    <t>NZDCAD</t>
  </si>
  <si>
    <t>CHFSEK</t>
  </si>
  <si>
    <t>CHFNOK</t>
  </si>
  <si>
    <t>USDRUB</t>
  </si>
  <si>
    <t>EURHUF</t>
  </si>
  <si>
    <t>USDHUF</t>
  </si>
  <si>
    <t>TRYJPY</t>
  </si>
  <si>
    <t>Quote Age (hh:mm)</t>
  </si>
  <si>
    <t>Trade Size</t>
  </si>
  <si>
    <t xml:space="preserve">Quote </t>
  </si>
  <si>
    <t>Cost</t>
  </si>
  <si>
    <t>10K</t>
  </si>
  <si>
    <t>USD Cross</t>
  </si>
  <si>
    <t>Pip Digit</t>
  </si>
  <si>
    <t>Trade</t>
  </si>
  <si>
    <t>Time</t>
  </si>
  <si>
    <t>Native Pip Cost</t>
  </si>
  <si>
    <t>Pip Cost</t>
  </si>
  <si>
    <t>Scalp Cost</t>
  </si>
  <si>
    <t>Pip X</t>
  </si>
  <si>
    <t>Native X</t>
  </si>
  <si>
    <t>Day Range</t>
  </si>
  <si>
    <t xml:space="preserve">Day Cost </t>
  </si>
  <si>
    <t>Quote Time (GMT)</t>
  </si>
  <si>
    <t>1K</t>
  </si>
  <si>
    <t>100K</t>
  </si>
  <si>
    <t>1Mil</t>
  </si>
  <si>
    <t>Trade X</t>
  </si>
  <si>
    <t>GMT Offset</t>
  </si>
  <si>
    <t>Inputs</t>
  </si>
  <si>
    <t>USDOLLAR</t>
  </si>
  <si>
    <t>AUS200</t>
  </si>
  <si>
    <t>ESP35</t>
  </si>
  <si>
    <t>FRA40</t>
  </si>
  <si>
    <t>GER30</t>
  </si>
  <si>
    <t>ITA40</t>
  </si>
  <si>
    <t>NAS100</t>
  </si>
  <si>
    <t>SPX500</t>
  </si>
  <si>
    <t>SUI30</t>
  </si>
  <si>
    <t>UK100</t>
  </si>
  <si>
    <t>US30</t>
  </si>
  <si>
    <t>SWE30</t>
  </si>
  <si>
    <t>HKG33</t>
  </si>
  <si>
    <t>JPN225</t>
  </si>
  <si>
    <t>XAUUSD</t>
  </si>
  <si>
    <t>XAGUSD</t>
  </si>
  <si>
    <t>US Oil</t>
  </si>
  <si>
    <t>UK Oil</t>
  </si>
  <si>
    <t>Locale</t>
  </si>
  <si>
    <t>Australia</t>
  </si>
  <si>
    <t>Europe</t>
  </si>
  <si>
    <t>Asia</t>
  </si>
  <si>
    <t>US</t>
  </si>
  <si>
    <t>NA</t>
  </si>
  <si>
    <t>USD</t>
  </si>
  <si>
    <t>Min Trade Size</t>
  </si>
  <si>
    <t>Open Time</t>
  </si>
  <si>
    <t>Close Time</t>
  </si>
  <si>
    <t>zUK Oil</t>
  </si>
  <si>
    <t xml:space="preserve"> zUS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</si>
</sst>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&quot;р.&quot;_-;\-* #,##0.00&quot;р.&quot;_-;_-* &quot;-&quot;??&quot;р.&quot;_-;_-@_-"/>
    <numFmt numFmtId="165" formatCode="0.00000"/>
    <numFmt numFmtId="166" formatCode="0.0"/>
    <numFmt numFmtId="167" formatCode="_([$$-409]* #,##0.00_);_([$$-409]* \(#,##0.00\);_([$$-409]* &quot;-&quot;??_);_(@_)"/>
    <numFmt numFmtId="168" formatCode="[$-F400]h:mm:ss\ AM/PM"/>
    <numFmt numFmtId="169" formatCode="0.0000"/>
    <numFmt numFmtId="170" formatCode="[hh]:mm"/>
  </numFmts>
  <fonts count="13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 Cyr"/>
      <charset val="204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 Cyr"/>
      <charset val="204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6" fillId="0" borderId="0" xfId="0" applyNumberFormat="1" applyFont="1" applyFill="1" applyBorder="1" applyAlignment="1">
      <alignment horizontal="left"/>
    </xf>
    <xf numFmtId="0" fontId="6" fillId="0" borderId="0" xfId="3" applyFont="1" applyFill="1" applyBorder="1" applyAlignment="1">
      <alignment horizontal="center" wrapText="1"/>
    </xf>
    <xf numFmtId="166" fontId="6" fillId="0" borderId="0" xfId="5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9" fontId="6" fillId="0" borderId="0" xfId="5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/>
    </xf>
    <xf numFmtId="167" fontId="6" fillId="0" borderId="0" xfId="1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68" fontId="6" fillId="0" borderId="0" xfId="2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0" borderId="0" xfId="9" applyFont="1" applyFill="1" applyBorder="1" applyAlignment="1">
      <alignment horizontal="center" wrapText="1"/>
    </xf>
    <xf numFmtId="165" fontId="8" fillId="0" borderId="0" xfId="0" applyNumberFormat="1" applyFont="1" applyFill="1" applyBorder="1" applyAlignment="1">
      <alignment horizontal="left"/>
    </xf>
    <xf numFmtId="167" fontId="8" fillId="0" borderId="0" xfId="1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70" fontId="6" fillId="0" borderId="0" xfId="2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0" borderId="2" xfId="0" applyFont="1" applyFill="1" applyBorder="1" applyAlignment="1">
      <alignment horizontal="right"/>
    </xf>
    <xf numFmtId="166" fontId="6" fillId="0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0" fontId="6" fillId="0" borderId="3" xfId="3" applyFont="1" applyFill="1" applyBorder="1" applyAlignment="1">
      <alignment horizontal="center" wrapText="1"/>
    </xf>
    <xf numFmtId="166" fontId="6" fillId="0" borderId="4" xfId="0" applyNumberFormat="1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right"/>
    </xf>
    <xf numFmtId="166" fontId="6" fillId="0" borderId="7" xfId="0" applyNumberFormat="1" applyFont="1" applyFill="1" applyBorder="1" applyAlignment="1">
      <alignment horizontal="center"/>
    </xf>
    <xf numFmtId="165" fontId="6" fillId="0" borderId="3" xfId="0" applyNumberFormat="1" applyFont="1" applyFill="1" applyBorder="1" applyAlignment="1">
      <alignment horizontal="left"/>
    </xf>
    <xf numFmtId="167" fontId="6" fillId="0" borderId="4" xfId="1" applyNumberFormat="1" applyFont="1" applyFill="1" applyBorder="1" applyAlignment="1">
      <alignment horizontal="left"/>
    </xf>
    <xf numFmtId="165" fontId="6" fillId="0" borderId="5" xfId="0" applyNumberFormat="1" applyFont="1" applyFill="1" applyBorder="1" applyAlignment="1">
      <alignment horizontal="left"/>
    </xf>
    <xf numFmtId="167" fontId="6" fillId="0" borderId="7" xfId="1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166" fontId="6" fillId="0" borderId="6" xfId="0" applyNumberFormat="1" applyFont="1" applyFill="1" applyBorder="1" applyAlignment="1">
      <alignment horizontal="center"/>
    </xf>
    <xf numFmtId="168" fontId="6" fillId="0" borderId="3" xfId="2" applyNumberFormat="1" applyFont="1" applyFill="1" applyBorder="1" applyAlignment="1">
      <alignment horizontal="center"/>
    </xf>
    <xf numFmtId="170" fontId="6" fillId="0" borderId="4" xfId="2" applyNumberFormat="1" applyFont="1" applyFill="1" applyBorder="1" applyAlignment="1">
      <alignment horizontal="center"/>
    </xf>
    <xf numFmtId="168" fontId="6" fillId="0" borderId="5" xfId="2" applyNumberFormat="1" applyFont="1" applyFill="1" applyBorder="1" applyAlignment="1">
      <alignment horizontal="center"/>
    </xf>
    <xf numFmtId="170" fontId="6" fillId="0" borderId="7" xfId="2" applyNumberFormat="1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 wrapText="1"/>
    </xf>
    <xf numFmtId="166" fontId="6" fillId="0" borderId="10" xfId="0" applyNumberFormat="1" applyFont="1" applyFill="1" applyBorder="1" applyAlignment="1">
      <alignment horizontal="center"/>
    </xf>
    <xf numFmtId="165" fontId="6" fillId="0" borderId="8" xfId="0" applyNumberFormat="1" applyFont="1" applyFill="1" applyBorder="1" applyAlignment="1">
      <alignment horizontal="left"/>
    </xf>
    <xf numFmtId="167" fontId="6" fillId="0" borderId="10" xfId="1" applyNumberFormat="1" applyFont="1" applyFill="1" applyBorder="1" applyAlignment="1">
      <alignment horizontal="left"/>
    </xf>
    <xf numFmtId="166" fontId="6" fillId="0" borderId="9" xfId="0" applyNumberFormat="1" applyFont="1" applyFill="1" applyBorder="1" applyAlignment="1">
      <alignment horizontal="center"/>
    </xf>
    <xf numFmtId="168" fontId="6" fillId="0" borderId="8" xfId="2" applyNumberFormat="1" applyFont="1" applyFill="1" applyBorder="1" applyAlignment="1">
      <alignment horizontal="center"/>
    </xf>
    <xf numFmtId="49" fontId="11" fillId="2" borderId="11" xfId="0" applyNumberFormat="1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166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167" fontId="11" fillId="2" borderId="13" xfId="1" applyNumberFormat="1" applyFont="1" applyFill="1" applyBorder="1" applyAlignment="1">
      <alignment horizontal="left" vertical="center"/>
    </xf>
    <xf numFmtId="167" fontId="11" fillId="2" borderId="14" xfId="1" applyNumberFormat="1" applyFont="1" applyFill="1" applyBorder="1" applyAlignment="1">
      <alignment horizontal="left" vertical="center"/>
    </xf>
    <xf numFmtId="168" fontId="11" fillId="2" borderId="1" xfId="2" applyNumberFormat="1" applyFont="1" applyFill="1" applyBorder="1" applyAlignment="1">
      <alignment horizontal="left" vertical="center"/>
    </xf>
    <xf numFmtId="165" fontId="11" fillId="2" borderId="18" xfId="0" applyNumberFormat="1" applyFont="1" applyFill="1" applyBorder="1" applyAlignment="1">
      <alignment horizontal="left"/>
    </xf>
    <xf numFmtId="0" fontId="11" fillId="2" borderId="19" xfId="0" applyNumberFormat="1" applyFont="1" applyFill="1" applyBorder="1" applyAlignment="1">
      <alignment horizontal="left"/>
    </xf>
    <xf numFmtId="170" fontId="6" fillId="0" borderId="10" xfId="2" applyNumberFormat="1" applyFont="1" applyFill="1" applyBorder="1" applyAlignment="1">
      <alignment horizontal="center"/>
    </xf>
    <xf numFmtId="170" fontId="11" fillId="2" borderId="15" xfId="2" applyNumberFormat="1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center"/>
    </xf>
    <xf numFmtId="49" fontId="6" fillId="0" borderId="17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right"/>
    </xf>
    <xf numFmtId="2" fontId="6" fillId="0" borderId="2" xfId="0" applyNumberFormat="1" applyFont="1" applyFill="1" applyBorder="1" applyAlignment="1">
      <alignment horizontal="right"/>
    </xf>
    <xf numFmtId="166" fontId="6" fillId="0" borderId="2" xfId="0" applyNumberFormat="1" applyFont="1" applyFill="1" applyBorder="1" applyAlignment="1">
      <alignment horizontal="right"/>
    </xf>
    <xf numFmtId="1" fontId="6" fillId="0" borderId="2" xfId="0" applyNumberFormat="1" applyFont="1" applyFill="1" applyBorder="1" applyAlignment="1">
      <alignment horizontal="right"/>
    </xf>
    <xf numFmtId="0" fontId="6" fillId="0" borderId="20" xfId="0" applyFont="1" applyFill="1" applyBorder="1" applyAlignment="1">
      <alignment horizontal="center"/>
    </xf>
    <xf numFmtId="165" fontId="11" fillId="2" borderId="1" xfId="0" applyNumberFormat="1" applyFont="1" applyFill="1" applyBorder="1" applyAlignment="1">
      <alignment horizontal="left"/>
    </xf>
    <xf numFmtId="0" fontId="12" fillId="0" borderId="0" xfId="0" applyFont="1"/>
    <xf numFmtId="49" fontId="11" fillId="2" borderId="8" xfId="0" applyNumberFormat="1" applyFont="1" applyFill="1" applyBorder="1" applyAlignment="1">
      <alignment horizontal="left" vertical="center"/>
    </xf>
    <xf numFmtId="49" fontId="11" fillId="2" borderId="9" xfId="0" applyNumberFormat="1" applyFont="1" applyFill="1" applyBorder="1" applyAlignment="1">
      <alignment horizontal="left" vertical="center"/>
    </xf>
    <xf numFmtId="166" fontId="11" fillId="2" borderId="9" xfId="0" applyNumberFormat="1" applyFont="1" applyFill="1" applyBorder="1" applyAlignment="1">
      <alignment horizontal="left" vertical="center"/>
    </xf>
    <xf numFmtId="166" fontId="11" fillId="2" borderId="10" xfId="0" applyNumberFormat="1" applyFont="1" applyFill="1" applyBorder="1" applyAlignment="1">
      <alignment horizontal="left" vertical="center"/>
    </xf>
    <xf numFmtId="0" fontId="8" fillId="0" borderId="22" xfId="0" applyFont="1" applyBorder="1" applyAlignment="1">
      <alignment horizontal="center"/>
    </xf>
    <xf numFmtId="49" fontId="8" fillId="0" borderId="22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5" fontId="6" fillId="0" borderId="23" xfId="0" applyNumberFormat="1" applyFont="1" applyFill="1" applyBorder="1" applyAlignment="1">
      <alignment horizontal="left"/>
    </xf>
    <xf numFmtId="167" fontId="6" fillId="0" borderId="21" xfId="1" applyNumberFormat="1" applyFont="1" applyFill="1" applyBorder="1" applyAlignment="1">
      <alignment horizontal="left"/>
    </xf>
    <xf numFmtId="2" fontId="6" fillId="0" borderId="3" xfId="0" applyNumberFormat="1" applyFont="1" applyFill="1" applyBorder="1" applyAlignment="1">
      <alignment horizontal="right"/>
    </xf>
    <xf numFmtId="1" fontId="6" fillId="0" borderId="3" xfId="0" applyNumberFormat="1" applyFont="1" applyFill="1" applyBorder="1" applyAlignment="1">
      <alignment horizontal="right"/>
    </xf>
    <xf numFmtId="168" fontId="11" fillId="2" borderId="23" xfId="2" applyNumberFormat="1" applyFont="1" applyFill="1" applyBorder="1" applyAlignment="1">
      <alignment horizontal="left" vertical="center"/>
    </xf>
    <xf numFmtId="170" fontId="11" fillId="2" borderId="21" xfId="2" applyNumberFormat="1" applyFont="1" applyFill="1" applyBorder="1" applyAlignment="1">
      <alignment horizontal="left" vertical="center"/>
    </xf>
    <xf numFmtId="168" fontId="11" fillId="3" borderId="20" xfId="2" applyNumberFormat="1" applyFont="1" applyFill="1" applyBorder="1" applyAlignment="1">
      <alignment horizontal="center"/>
    </xf>
    <xf numFmtId="168" fontId="11" fillId="3" borderId="15" xfId="2" applyNumberFormat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165" fontId="11" fillId="3" borderId="20" xfId="0" applyNumberFormat="1" applyFont="1" applyFill="1" applyBorder="1" applyAlignment="1">
      <alignment horizontal="center"/>
    </xf>
    <xf numFmtId="165" fontId="11" fillId="3" borderId="15" xfId="0" applyNumberFormat="1" applyFont="1" applyFill="1" applyBorder="1" applyAlignment="1">
      <alignment horizontal="center"/>
    </xf>
    <xf numFmtId="165" fontId="11" fillId="3" borderId="14" xfId="0" applyNumberFormat="1" applyFont="1" applyFill="1" applyBorder="1" applyAlignment="1">
      <alignment horizontal="center"/>
    </xf>
  </cellXfs>
  <cellStyles count="12">
    <cellStyle name="Currency" xfId="1" builtinId="4"/>
    <cellStyle name="Currency 2" xfId="6"/>
    <cellStyle name="Normal" xfId="0" builtinId="0"/>
    <cellStyle name="Normal 2" xfId="3"/>
    <cellStyle name="Normal 2 2" xfId="8"/>
    <cellStyle name="Normal 2 2 2" xfId="11"/>
    <cellStyle name="Normal 2 3" xfId="9"/>
    <cellStyle name="Normal 3" xfId="5"/>
    <cellStyle name="Normal 4" xfId="4"/>
    <cellStyle name="Normal 4 2" xfId="10"/>
    <cellStyle name="Percent" xfId="2" builtinId="5"/>
    <cellStyle name="Percent 2" xfId="7"/>
  </cellStyles>
  <dxfs count="0"/>
  <tableStyles count="0" defaultTableStyle="TableStyleMedium9" defaultPivotStyle="PivotStyleLight16"/>
  <colors>
    <mruColors>
      <color rgb="FFFCE78E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CAD" advise="1">
        <values>
          <value>
            <val>1.0170699999999999</val>
          </value>
        </values>
      </ddeItem>
      <ddeItem name="AUDCHF" advise="1">
        <values>
          <value>
            <val>0.75012000000000001</val>
          </value>
        </values>
      </ddeItem>
      <ddeItem name="AUDJPY" advise="1">
        <values>
          <value>
            <val>82.206999999999994</val>
          </value>
        </values>
      </ddeItem>
      <ddeItem name="AUDNZD" advise="1">
        <values>
          <value>
            <val>1.071</val>
          </value>
        </values>
      </ddeItem>
      <ddeItem name="AUDUSD" advise="1">
        <values>
          <value>
            <val>0.75368999999999997</val>
          </value>
        </values>
      </ddeItem>
      <ddeItem name="CADCHF" advise="1">
        <values>
          <value>
            <val>0.73701000000000005</val>
          </value>
        </values>
      </ddeItem>
      <ddeItem name="CADJPY" advise="1">
        <values>
          <value>
            <val>80.741</val>
          </value>
        </values>
      </ddeItem>
      <ddeItem name="CHFJPY" advise="1">
        <values>
          <value>
            <val>109.435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1.42106</val>
          </value>
        </values>
      </ddeItem>
      <ddeItem name="EURCAD" advise="1">
        <values>
          <value>
            <val>1.44668</val>
          </value>
        </values>
      </ddeItem>
      <ddeItem name="EURCHF" advise="1">
        <values>
          <value>
            <val>1.06769</val>
          </value>
        </values>
      </ddeItem>
      <ddeItem name="EURCZK" advise="1">
        <values>
          <value>
            <val>26.855550000000001</val>
          </value>
        </values>
      </ddeItem>
      <ddeItem name="EURDKK" advise="1">
        <values>
          <value>
            <val>7.4346899999999998</val>
          </value>
        </values>
      </ddeItem>
      <ddeItem name="EURGBP" advise="1">
        <values>
          <value>
            <val>0.83686000000000005</val>
          </value>
        </values>
      </ddeItem>
      <ddeItem name="EURHUF" advise="1">
        <values>
          <value>
            <val>311.83499999999998</val>
          </value>
        </values>
      </ddeItem>
      <ddeItem name="EURNOK" advise="1">
        <values>
          <value>
            <val>9.2840199999999999</val>
          </value>
        </values>
      </ddeItem>
      <ddeItem name="EURNZD" advise="1">
        <values>
          <value>
            <val>1.5237799999999999</val>
          </value>
        </values>
      </ddeItem>
      <ddeItem name="EURPLN" advise="1">
        <values>
          <value>
            <val>4.2511400000000004</val>
          </value>
        </values>
      </ddeItem>
      <ddeItem name="EURSEK" advise="1">
        <values>
          <value>
            <val>9.6364099999999997</val>
          </value>
        </values>
      </ddeItem>
      <ddeItem name="EURTRY" advise="1">
        <values>
          <value>
            <val>3.8955299999999999</val>
          </value>
        </values>
      </ddeItem>
      <ddeItem name="EURUSD" advise="1">
        <values>
          <value>
            <val>1.07216</val>
          </value>
        </values>
      </ddeItem>
      <ddeItem name="GBPAUD" advise="1">
        <values>
          <value>
            <val>1.6971099999999999</val>
          </value>
        </values>
      </ddeItem>
      <ddeItem name="GBPCAD" advise="1">
        <values>
          <value>
            <val>1.7277800000000001</val>
          </value>
        </values>
      </ddeItem>
      <ddeItem name="GBPCHF" advise="1">
        <values>
          <value>
            <val>1.27502</val>
          </value>
        </values>
      </ddeItem>
      <ddeItem name="GBPJPY" advise="1">
        <values>
          <value>
            <val>139.66300000000001</val>
          </value>
        </values>
      </ddeItem>
      <ddeItem name="GBPNZD" advise="1">
        <values>
          <value>
            <val>1.8192299999999999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1.28023</val>
          </value>
        </values>
      </ddeItem>
      <ddeItem name="HKDJPY" advise="1">
        <values>
          <value>
            <val>14.01951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0.94772999999999996</val>
          </value>
        </values>
      </ddeItem>
      <ddeItem name="NZDCHF" advise="1">
        <values>
          <value>
            <val>0.69886999999999999</val>
          </value>
        </values>
      </ddeItem>
      <ddeItem name="NZDJPY" advise="1">
        <values>
          <value>
            <val>76.602000000000004</val>
          </value>
        </values>
      </ddeItem>
      <ddeItem name="NZDUSD" advise="1">
        <values>
          <value>
            <val>0.70218999999999998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77.980999999999995</val>
          </value>
        </values>
      </ddeItem>
      <ddeItem name="StdDocumentName" ole="1" advise="1"/>
      <ddeItem name="TRYJPY" advise="1">
        <values>
          <value>
            <val>29.873000000000001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1.34887</val>
          </value>
        </values>
      </ddeItem>
      <ddeItem name="USDCHF" advise="1">
        <values>
          <value>
            <val>0.99526999999999999</val>
          </value>
        </values>
      </ddeItem>
      <ddeItem name="USDCZK" advise="1">
        <values>
          <value>
            <val>24.998100000000001</val>
          </value>
        </values>
      </ddeItem>
      <ddeItem name="USDDKK" advise="1">
        <values>
          <value>
            <val>6.9171800000000001</val>
          </value>
        </values>
      </ddeItem>
      <ddeItem name="USDHKD" advise="1">
        <values>
          <value>
            <val>7.7742300000000002</val>
          </value>
        </values>
      </ddeItem>
      <ddeItem name="USDHUF" advise="1">
        <values>
          <value>
            <val>289.94299999999998</val>
          </value>
        </values>
      </ddeItem>
      <ddeItem name="USDJPY" advise="1">
        <values>
          <value>
            <val>109.017</val>
          </value>
        </values>
      </ddeItem>
      <ddeItem name="USDMXN" advise="1">
        <values>
          <value>
            <val>18.778199999999998</val>
          </value>
        </values>
      </ddeItem>
      <ddeItem name="USDNOK" advise="1">
        <values>
          <value>
            <val>8.6512200000000004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3.95485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8.9634699999999992</val>
          </value>
        </values>
      </ddeItem>
      <ddeItem name="USDSGD" advise="1">
        <values>
          <value>
            <val>1.39598</val>
          </value>
        </values>
      </ddeItem>
      <ddeItem name="USDTRY" advise="1">
        <values>
          <value>
            <val>3.6313</val>
          </value>
        </values>
      </ddeItem>
      <ddeItem name="USDZAR" advise="1">
        <values>
          <value>
            <val>13.09417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8.2449999999999992</val>
          </value>
        </values>
      </ddeItem>
      <ddeItem name="_xlbgnm.AUS200" advise="1"/>
      <ddeItem name="_xlbgnm.ESP35" advise="1"/>
      <ddeItem name="_xlbgnm.FRA40" advise="1"/>
      <ddeItem name="_xlbgnm.GER30" advise="1"/>
      <ddeItem name="_xlbgnm.HKG33" advise="1"/>
      <ddeItem name="_xlbgnm.ITA40" advise="1"/>
      <ddeItem name="_xlbgnm.JPN225" advise="1"/>
      <ddeItem name="_xlbgnm.NAS100" advise="1"/>
      <ddeItem name="_xlbgnm.SPX500" advise="1"/>
      <ddeItem name="_xlbgnm.SUI30" advise="1"/>
      <ddeItem name="_xlbgnm.SWE30" advise="1"/>
      <ddeItem name="_xlbgnm.UK100" advise="1"/>
      <ddeItem name="_xlbgnm.US30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CAD" advise="1">
        <values>
          <value>
            <val>1.0190699999999999</val>
          </value>
        </values>
      </ddeItem>
      <ddeItem name="AUDCHF" advise="1">
        <values>
          <value>
            <val>0.75275000000000003</val>
          </value>
        </values>
      </ddeItem>
      <ddeItem name="AUDJPY" advise="1">
        <values>
          <value>
            <val>82.406999999999996</val>
          </value>
        </values>
      </ddeItem>
      <ddeItem name="AUDNZD" advise="1">
        <values>
          <value>
            <val>1.075</val>
          </value>
        </values>
      </ddeItem>
      <ddeItem name="AUDUSD" advise="1">
        <values>
          <value>
            <val>0.75519000000000003</val>
          </value>
        </values>
      </ddeItem>
      <ddeItem name="CADCHF" advise="1">
        <values>
          <value>
            <val>0.73895</val>
          </value>
        </values>
      </ddeItem>
      <ddeItem name="CADJPY" advise="1">
        <values>
          <value>
            <val>80.941000000000003</val>
          </value>
        </values>
      </ddeItem>
      <ddeItem name="CHFJPY" advise="1">
        <values>
          <value>
            <val>109.63500000000001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1.42306</val>
          </value>
        </values>
      </ddeItem>
      <ddeItem name="EURCAD" advise="1">
        <values>
          <value>
            <val>1.44868</val>
          </value>
        </values>
      </ddeItem>
      <ddeItem name="EURCHF" advise="1">
        <values>
          <value>
            <val>1.0691900000000001</val>
          </value>
        </values>
      </ddeItem>
      <ddeItem name="EURCZK" advise="1">
        <values>
          <value>
            <val>27.007349999999999</val>
          </value>
        </values>
      </ddeItem>
      <ddeItem name="EURDKK" advise="1">
        <values>
          <value>
            <val>7.4372800000000003</val>
          </value>
        </values>
      </ddeItem>
      <ddeItem name="EURGBP" advise="1">
        <values>
          <value>
            <val>0.83786000000000005</val>
          </value>
        </values>
      </ddeItem>
      <ddeItem name="EURHUF" advise="1">
        <values>
          <value>
            <val>313.61599999999999</val>
          </value>
        </values>
      </ddeItem>
      <ddeItem name="EURNOK" advise="1">
        <values>
          <value>
            <val>9.3167399999999994</val>
          </value>
        </values>
      </ddeItem>
      <ddeItem name="EURNZD" advise="1">
        <values>
          <value>
            <val>1.5277799999999999</val>
          </value>
        </values>
      </ddeItem>
      <ddeItem name="EURPLN" advise="1">
        <values>
          <value>
            <val>4.274</val>
          </value>
        </values>
      </ddeItem>
      <ddeItem name="EURSEK" advise="1">
        <values>
          <value>
            <val>9.6728799999999993</val>
          </value>
        </values>
      </ddeItem>
      <ddeItem name="EURTRY" advise="1">
        <values>
          <value>
            <val>3.91553</val>
          </value>
        </values>
      </ddeItem>
      <ddeItem name="EURUSD" advise="1">
        <values>
          <value>
            <val>1.0731599999999999</val>
          </value>
        </values>
      </ddeItem>
      <ddeItem name="GBPAUD" advise="1">
        <values>
          <value>
            <val>1.6991099999999999</val>
          </value>
        </values>
      </ddeItem>
      <ddeItem name="GBPCAD" advise="1">
        <values>
          <value>
            <val>1.7297800000000001</val>
          </value>
        </values>
      </ddeItem>
      <ddeItem name="GBPCHF" advise="1">
        <values>
          <value>
            <val>1.27702</val>
          </value>
        </values>
      </ddeItem>
      <ddeItem name="GBPJPY" advise="1">
        <values>
          <value>
            <val>139.863</val>
          </value>
        </values>
      </ddeItem>
      <ddeItem name="GBPNZD" advise="1">
        <values>
          <value>
            <val>1.8252299999999999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1.28173</val>
          </value>
        </values>
      </ddeItem>
      <ddeItem name="HKDJPY" advise="1">
        <values>
          <value>
            <val>14.035729999999999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0.94972999999999996</val>
          </value>
        </values>
      </ddeItem>
      <ddeItem name="NZDCHF" advise="1">
        <values>
          <value>
            <val>0.70191999999999999</val>
          </value>
        </values>
      </ddeItem>
      <ddeItem name="NZDJPY" advise="1">
        <values>
          <value>
            <val>76.802000000000007</val>
          </value>
        </values>
      </ddeItem>
      <ddeItem name="NZDUSD" advise="1">
        <values>
          <value>
            <val>0.70418999999999998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78.165000000000006</val>
          </value>
        </values>
      </ddeItem>
      <ddeItem name="StdDocumentName" ole="1" advise="1"/>
      <ddeItem name="TRYJPY" advise="1">
        <values>
          <value>
            <val>30.053000000000001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1.3503700000000001</val>
          </value>
        </values>
      </ddeItem>
      <ddeItem name="USDCHF" advise="1">
        <values>
          <value>
            <val>0.99677000000000004</val>
          </value>
        </values>
      </ddeItem>
      <ddeItem name="USDCZK" advise="1">
        <values>
          <value>
            <val>25.222549999999998</val>
          </value>
        </values>
      </ddeItem>
      <ddeItem name="USDDKK" advise="1">
        <values>
          <value>
            <val>6.9471800000000004</val>
          </value>
        </values>
      </ddeItem>
      <ddeItem name="USDHKD" advise="1">
        <values>
          <value>
            <val>7.7760899999999999</val>
          </value>
        </values>
      </ddeItem>
      <ddeItem name="USDHUF" advise="1">
        <values>
          <value>
            <val>292.94299999999998</val>
          </value>
        </values>
      </ddeItem>
      <ddeItem name="USDJPY" advise="1">
        <values>
          <value>
            <val>109.117</val>
          </value>
        </values>
      </ddeItem>
      <ddeItem name="USDMXN" advise="1">
        <values>
          <value>
            <val>18.838200000000001</val>
          </value>
        </values>
      </ddeItem>
      <ddeItem name="USDNOK" advise="1">
        <values>
          <value>
            <val>8.6891800000000003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3.9933000000000001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9.0384700000000002</val>
          </value>
        </values>
      </ddeItem>
      <ddeItem name="USDSGD" advise="1">
        <values>
          <value>
            <val>1.39798</val>
          </value>
        </values>
      </ddeItem>
      <ddeItem name="USDTRY" advise="1">
        <values>
          <value>
            <val>3.64873</val>
          </value>
        </values>
      </ddeItem>
      <ddeItem name="USDZAR" advise="1">
        <values>
          <value>
            <val>13.150499999999999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8.3930000000000007</val>
          </value>
        </values>
      </ddeItem>
      <ddeItem name="_xlbgnm.AUS200" advise="1"/>
      <ddeItem name="_xlbgnm.ESP35" advise="1"/>
      <ddeItem name="_xlbgnm.FRA40" advise="1"/>
      <ddeItem name="_xlbgnm.GER30" advise="1"/>
      <ddeItem name="_xlbgnm.HKG33" advise="1"/>
      <ddeItem name="_xlbgnm.ITA40" advise="1"/>
      <ddeItem name="_xlbgnm.JPN225" advise="1"/>
      <ddeItem name="_xlbgnm.NAS100" advise="1"/>
      <ddeItem name="_xlbgnm.SPX500" advise="1"/>
      <ddeItem name="_xlbgnm.SUI30" advise="1"/>
      <ddeItem name="_xlbgnm.SWE30" advise="1"/>
      <ddeItem name="_xlbgnm.UK100" advise="1"/>
      <ddeItem name="_xlbgnm.US30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HIGH">
    <ddeItems>
      <ddeItem name="AUDCAD" advise="1">
        <values>
          <value>
            <val>1.0193700000000001</val>
          </value>
        </values>
      </ddeItem>
      <ddeItem name="AUDCHF" advise="1">
        <values>
          <value>
            <val>0.75343000000000004</val>
          </value>
        </values>
      </ddeItem>
      <ddeItem name="AUDJPY" advise="1">
        <values>
          <value>
            <val>82.432000000000002</val>
          </value>
        </values>
      </ddeItem>
      <ddeItem name="AUDNZD" advise="1">
        <values>
          <value>
            <val>1.0768899999999999</val>
          </value>
        </values>
      </ddeItem>
      <ddeItem name="AUDUSD" advise="1">
        <values>
          <value>
            <val>0.75448999999999999</val>
          </value>
        </values>
      </ddeItem>
      <ddeItem name="CADCHF" advise="1">
        <values>
          <value>
            <val>0.74248999999999998</val>
          </value>
        </values>
      </ddeItem>
      <ddeItem name="CADJPY" advise="1">
        <values>
          <value>
            <val>81.238</val>
          </value>
        </values>
      </ddeItem>
      <ddeItem name="CHFJPY" advise="1">
        <values>
          <value>
            <val>109.63800000000001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1.42614</val>
          </value>
        </values>
      </ddeItem>
      <ddeItem name="EURCAD" advise="1">
        <values>
          <value>
            <val>1.4479500000000001</val>
          </value>
        </values>
      </ddeItem>
      <ddeItem name="EURCHF" advise="1">
        <values>
          <value>
            <val>1.0709500000000001</val>
          </value>
        </values>
      </ddeItem>
      <ddeItem name="EURCZK" advise="1">
        <values>
          <value>
            <val>26.992419999999999</val>
          </value>
        </values>
      </ddeItem>
      <ddeItem name="EURDKK" advise="1">
        <values>
          <value>
            <val>7.4380899999999999</val>
          </value>
        </values>
      </ddeItem>
      <ddeItem name="EURGBP" advise="1">
        <values>
          <value>
            <val>0.83858999999999995</val>
          </value>
        </values>
      </ddeItem>
      <ddeItem name="EURHUF" advise="1">
        <values>
          <value>
            <val>314.19400000000002</val>
          </value>
        </values>
      </ddeItem>
      <ddeItem name="EURNOK" advise="1">
        <values>
          <value>
            <val>9.3035200000000007</val>
          </value>
        </values>
      </ddeItem>
      <ddeItem name="EURNZD" advise="1">
        <values>
          <value>
            <val>1.5335700000000001</val>
          </value>
        </values>
      </ddeItem>
      <ddeItem name="EURPLN" advise="1">
        <values>
          <value>
            <val>4.2830000000000004</val>
          </value>
        </values>
      </ddeItem>
      <ddeItem name="EURSEK" advise="1">
        <values>
          <value>
            <val>9.6673200000000001</val>
          </value>
        </values>
      </ddeItem>
      <ddeItem name="EURTRY" advise="1">
        <values>
          <value>
            <val>3.9167999999999998</val>
          </value>
        </values>
      </ddeItem>
      <ddeItem name="EURUSD" advise="1">
        <values>
          <value>
            <val>1.0737300000000001</val>
          </value>
        </values>
      </ddeItem>
      <ddeItem name="GBPAUD" advise="1">
        <values>
          <value>
            <val>1.7033499999999999</val>
          </value>
        </values>
      </ddeItem>
      <ddeItem name="GBPCAD" advise="1">
        <values>
          <value>
            <val>1.7300199999999999</val>
          </value>
        </values>
      </ddeItem>
      <ddeItem name="GBPCHF" advise="1">
        <values>
          <value>
            <val>1.28033</val>
          </value>
        </values>
      </ddeItem>
      <ddeItem name="GBPJPY" advise="1">
        <values>
          <value>
            <val>140.13999999999999</val>
          </value>
        </values>
      </ddeItem>
      <ddeItem name="GBPNZD" advise="1">
        <values>
          <value>
            <val>1.8326100000000001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1.28342</val>
          </value>
        </values>
      </ddeItem>
      <ddeItem name="HKdJPY" advise="1">
        <values>
          <value>
            <val>14.07333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0.94955999999999996</val>
          </value>
        </values>
      </ddeItem>
      <ddeItem name="NZDCHF" advise="1">
        <values>
          <value>
            <val>0.70170999999999994</val>
          </value>
        </values>
      </ddeItem>
      <ddeItem name="NZDJPY" advise="1">
        <values>
          <value>
            <val>76.787000000000006</val>
          </value>
        </values>
      </ddeItem>
      <ddeItem name="NZDUSD" advise="1">
        <values>
          <value>
            <val>0.70357999999999998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78.292000000000002</val>
          </value>
        </values>
      </ddeItem>
      <ddeItem name="StdDocumentName" ole="1" advise="1"/>
      <ddeItem name="TRYJPY" advise="1">
        <values>
          <value>
            <val>30.061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1.3525100000000001</val>
          </value>
        </values>
      </ddeItem>
      <ddeItem name="USDCHF" advise="1">
        <values>
          <value>
            <val>0.99985999999999997</val>
          </value>
        </values>
      </ddeItem>
      <ddeItem name="USDCZK" advise="1">
        <values>
          <value>
            <val>25.230699999999999</val>
          </value>
        </values>
      </ddeItem>
      <ddeItem name="USDDKK" advise="1">
        <values>
          <value>
            <val>6.9613500000000004</val>
          </value>
        </values>
      </ddeItem>
      <ddeItem name="USDHKD" advise="1">
        <values>
          <value>
            <val>7.7766099999999998</val>
          </value>
        </values>
      </ddeItem>
      <ddeItem name="USDHUF" advise="1">
        <values>
          <value>
            <val>293.834</val>
          </value>
        </values>
      </ddeItem>
      <ddeItem name="USDJPY" advise="1">
        <values>
          <value>
            <val>109.42</val>
          </value>
        </values>
      </ddeItem>
      <ddeItem name="USDmxn" advise="1">
        <values>
          <value>
            <val>18.885459999999998</val>
          </value>
        </values>
      </ddeItem>
      <ddeItem name="USDNOK" advise="1">
        <values>
          <value>
            <val>8.6944199999999991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4.0024300000000004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9.0327999999999999</val>
          </value>
        </values>
      </ddeItem>
      <ddeItem name="USDSGD" advise="1">
        <values>
          <value>
            <val>1.39882</val>
          </value>
        </values>
      </ddeItem>
      <ddeItem name="USDTRY" advise="1">
        <values>
          <value>
            <val>3.6547100000000001</val>
          </value>
        </values>
      </ddeItem>
      <ddeItem name="USDZAR" advise="1">
        <values>
          <value>
            <val>13.1905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8.3170000000000002</val>
          </value>
        </values>
      </ddeItem>
      <ddeItem name="_xlbgnm.AUS200" advise="1"/>
      <ddeItem name="_xlbgnm.ESP35" advise="1"/>
      <ddeItem name="_xlbgnm.FRA40" advise="1"/>
      <ddeItem name="_xlbgnm.GER30" advise="1"/>
      <ddeItem name="_xlbgnm.HKG33" advise="1"/>
      <ddeItem name="_xlbgnm.ITA40" advise="1"/>
      <ddeItem name="_xlbgnm.JPN225" advise="1"/>
      <ddeItem name="_xlbgnm.NAS100" advise="1"/>
      <ddeItem name="_xlbgnm.SPX500" advise="1"/>
      <ddeItem name="_xlbgnm.SUI30" advise="1"/>
      <ddeItem name="_xlbgnm.SWE30" advise="1"/>
      <ddeItem name="_xlbgnm.UK100" advise="1"/>
      <ddeItem name="_xlbgnm.US30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LOW">
    <ddeItems>
      <ddeItem name="AUDCAD" advise="1">
        <values>
          <value>
            <val>1.0125999999999999</val>
          </value>
        </values>
      </ddeItem>
      <ddeItem name="AUDCHF" advise="1">
        <values>
          <value>
            <val>0.74980000000000002</val>
          </value>
        </values>
      </ddeItem>
      <ddeItem name="AUDJPY" advise="1">
        <values>
          <value>
            <val>81.972999999999999</val>
          </value>
        </values>
      </ddeItem>
      <ddeItem name="AUDNZD" advise="1">
        <values>
          <value>
            <val>1.07081</val>
          </value>
        </values>
      </ddeItem>
      <ddeItem name="AUDUSD" advise="1">
        <values>
          <value>
            <val>0.75153000000000003</val>
          </value>
        </values>
      </ddeItem>
      <ddeItem name="CADCHF" advise="1">
        <values>
          <value>
            <val>0.73682999999999998</val>
          </value>
        </values>
      </ddeItem>
      <ddeItem name="CADJPY" advise="1">
        <values>
          <value>
            <val>80.566000000000003</val>
          </value>
        </values>
      </ddeItem>
      <ddeItem name="CHFJPY" advise="1">
        <values>
          <value>
            <val>109.072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>
            <val>1.41675</val>
          </value>
        </values>
      </ddeItem>
      <ddeItem name="EURCAD" advise="1">
        <values>
          <value>
            <val>1.4395899999999999</val>
          </value>
        </values>
      </ddeItem>
      <ddeItem name="EURCHF" advise="1">
        <values>
          <value>
            <val>1.06707</val>
          </value>
        </values>
      </ddeItem>
      <ddeItem name="EURCZK" advise="1">
        <values>
          <value>
            <val>26.824539999999999</val>
          </value>
        </values>
      </ddeItem>
      <ddeItem name="EURDKK" advise="1">
        <values>
          <value>
            <val>7.4346500000000004</val>
          </value>
        </values>
      </ddeItem>
      <ddeItem name="EURGBP" advise="1">
        <values>
          <value>
            <val>0.83511000000000002</val>
          </value>
        </values>
      </ddeItem>
      <ddeItem name="EURHUF" advise="1">
        <values>
          <value>
            <val>311.66800000000001</val>
          </value>
        </values>
      </ddeItem>
      <ddeItem name="EURNOK" advise="1">
        <values>
          <value>
            <val>9.2201500000000003</val>
          </value>
        </values>
      </ddeItem>
      <ddeItem name="EURNZD" advise="1">
        <values>
          <value>
            <val>1.5206500000000001</val>
          </value>
        </values>
      </ddeItem>
      <ddeItem name="EURPLN" advise="1">
        <values>
          <value>
            <val>4.25108</val>
          </value>
        </values>
      </ddeItem>
      <ddeItem name="EURSEK" advise="1">
        <values>
          <value>
            <val>9.6138999999999992</val>
          </value>
        </values>
      </ddeItem>
      <ddeItem name="EURTRY" advise="1">
        <values>
          <value>
            <val>3.8869799999999999</val>
          </value>
        </values>
      </ddeItem>
      <ddeItem name="EURUSD" advise="1">
        <values>
          <value>
            <val>1.0681799999999999</val>
          </value>
        </values>
      </ddeItem>
      <ddeItem name="GBPAUD" advise="1">
        <values>
          <value>
            <val>1.6939900000000001</val>
          </value>
        </values>
      </ddeItem>
      <ddeItem name="GBPCAD" advise="1">
        <values>
          <value>
            <val>1.71828</val>
          </value>
        </values>
      </ddeItem>
      <ddeItem name="GBPCHF" advise="1">
        <values>
          <value>
            <val>1.2741199999999999</val>
          </value>
        </values>
      </ddeItem>
      <ddeItem name="GBPJPY" advise="1">
        <values>
          <value>
            <val>139.17599999999999</val>
          </value>
        </values>
      </ddeItem>
      <ddeItem name="GBPNZD" advise="1">
        <values>
          <value>
            <val>1.8179399999999999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>
            <val>1.2754799999999999</val>
          </value>
        </values>
      </ddeItem>
      <ddeItem name="HKDJPY" advise="1">
        <values>
          <value>
            <val>14.001749999999999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>
            <val>0.94081000000000004</val>
          </value>
        </values>
      </ddeItem>
      <ddeItem name="NZDCHF" advise="1">
        <values>
          <value>
            <val>0.6976</val>
          </value>
        </values>
      </ddeItem>
      <ddeItem name="NZDJPY" advise="1">
        <values>
          <value>
            <val>76.313999999999993</val>
          </value>
        </values>
      </ddeItem>
      <ddeItem name="NZDUSD" advise="1">
        <values>
          <value>
            <val>0.69828000000000001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>
            <val>77.951999999999998</val>
          </value>
        </values>
      </ddeItem>
      <ddeItem name="StdDocumentName" ole="1" advise="1"/>
      <ddeItem name="TRYJPY" advise="1">
        <values>
          <value>
            <val>29.777000000000001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>
            <val>1.3456900000000001</val>
          </value>
        </values>
      </ddeItem>
      <ddeItem name="USDCHF" advise="1">
        <values>
          <value>
            <val>0.99519999999999997</val>
          </value>
        </values>
      </ddeItem>
      <ddeItem name="USDCZK" advise="1">
        <values>
          <value>
            <val>24.855979999999999</val>
          </value>
        </values>
      </ddeItem>
      <ddeItem name="USDDKK" advise="1">
        <values>
          <value>
            <val>6.9171800000000001</val>
          </value>
        </values>
      </ddeItem>
      <ddeItem name="USDHKD" advise="1">
        <values>
          <value>
            <val>7.7738100000000001</val>
          </value>
        </values>
      </ddeItem>
      <ddeItem name="USDHUF" advise="1">
        <values>
          <value>
            <val>289.94299999999998</val>
          </value>
        </values>
      </ddeItem>
      <ddeItem name="USDJPY" advise="1">
        <values>
          <value>
            <val>108.872</val>
          </value>
        </values>
      </ddeItem>
      <ddeItem name="USDMXN" advise="1">
        <values>
          <value>
            <val>18.775099999999998</val>
          </value>
        </values>
      </ddeItem>
      <ddeItem name="USDNOK" advise="1">
        <values>
          <value>
            <val>8.6057600000000001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>
            <val>3.95485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>
            <val>8.9634699999999992</val>
          </value>
        </values>
      </ddeItem>
      <ddeItem name="USDSGD" advise="1">
        <values>
          <value>
            <val>1.39557</val>
          </value>
        </values>
      </ddeItem>
      <ddeItem name="USDTRY" advise="1">
        <values>
          <value>
            <val>3.6313</val>
          </value>
        </values>
      </ddeItem>
      <ddeItem name="USDZAR" advise="1">
        <values>
          <value>
            <val>13.06958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>
            <val>8.234</val>
          </value>
        </values>
      </ddeItem>
      <ddeItem name="_xlbgnm.AUS200" advise="1"/>
      <ddeItem name="_xlbgnm.ESP35" advise="1"/>
      <ddeItem name="_xlbgnm.FRA40" advise="1"/>
      <ddeItem name="_xlbgnm.GER30" advise="1"/>
      <ddeItem name="_xlbgnm.HKG33" advise="1"/>
      <ddeItem name="_xlbgnm.ITA40" advise="1"/>
      <ddeItem name="_xlbgnm.JPN225" advise="1"/>
      <ddeItem name="_xlbgnm.NAS100" advise="1"/>
      <ddeItem name="_xlbgnm.SPX500" advise="1"/>
      <ddeItem name="_xlbgnm.SUI30" advise="1"/>
      <ddeItem name="_xlbgnm.SWE30" advise="1"/>
      <ddeItem name="_xlbgnm.UK100" advise="1"/>
      <ddeItem name="_xlbgnm.US30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TIME">
    <ddeItems>
      <ddeItem name="AUDCAD" advise="1">
        <values>
          <value t="str">
            <val>2017/04/21 23:59</val>
          </value>
        </values>
      </ddeItem>
      <ddeItem name="AUDCHF" advise="1">
        <values>
          <value t="str">
            <val>2017/04/21 23:59</val>
          </value>
        </values>
      </ddeItem>
      <ddeItem name="AUDJPY" advise="1">
        <values>
          <value t="str">
            <val>2017/04/21 23:59</val>
          </value>
        </values>
      </ddeItem>
      <ddeItem name="AUDNZD" advise="1">
        <values>
          <value t="str">
            <val>2017/04/21 23:59</val>
          </value>
        </values>
      </ddeItem>
      <ddeItem name="AUDUSD" advise="1">
        <values>
          <value t="str">
            <val>2017/04/21 23:59</val>
          </value>
        </values>
      </ddeItem>
      <ddeItem name="CADCHF" advise="1">
        <values>
          <value t="str">
            <val>2017/04/21 23:59</val>
          </value>
        </values>
      </ddeItem>
      <ddeItem name="CADJPY" advise="1">
        <values>
          <value t="str">
            <val>2017/04/21 23:59</val>
          </value>
        </values>
      </ddeItem>
      <ddeItem name="CHFJPY" advise="1">
        <values>
          <value t="str">
            <val>2017/04/21 23:59</val>
          </value>
        </values>
      </ddeItem>
      <ddeItem name="CHFNOK" advise="1">
        <values>
          <value t="str">
            <val>N\A</val>
          </value>
        </values>
      </ddeItem>
      <ddeItem name="CHFSEK" advise="1">
        <values>
          <value t="str">
            <val>N\A</val>
          </value>
        </values>
      </ddeItem>
      <ddeItem name="EURAUD" advise="1">
        <values>
          <value t="str">
            <val>2017/04/21 23:59</val>
          </value>
        </values>
      </ddeItem>
      <ddeItem name="EURCAD" advise="1">
        <values>
          <value t="str">
            <val>2017/04/21 23:59</val>
          </value>
        </values>
      </ddeItem>
      <ddeItem name="EURCHF" advise="1">
        <values>
          <value t="str">
            <val>2017/04/21 23:59</val>
          </value>
        </values>
      </ddeItem>
      <ddeItem name="EURCZK" advise="1">
        <values>
          <value t="str">
            <val>2017/04/21 23:59</val>
          </value>
        </values>
      </ddeItem>
      <ddeItem name="EURDKK" advise="1">
        <values>
          <value t="str">
            <val>2017/04/21 23:59</val>
          </value>
        </values>
      </ddeItem>
      <ddeItem name="EURGBP" advise="1">
        <values>
          <value t="str">
            <val>2017/04/21 23:59</val>
          </value>
        </values>
      </ddeItem>
      <ddeItem name="EURHUF" advise="1">
        <values>
          <value t="str">
            <val>2017/04/21 23:59</val>
          </value>
        </values>
      </ddeItem>
      <ddeItem name="EURNOK" advise="1">
        <values>
          <value t="str">
            <val>2017/04/21 23:59</val>
          </value>
        </values>
      </ddeItem>
      <ddeItem name="EURNZD" advise="1">
        <values>
          <value t="str">
            <val>2017/04/21 23:59</val>
          </value>
        </values>
      </ddeItem>
      <ddeItem name="EURPLN" advise="1">
        <values>
          <value t="str">
            <val>2017/04/21 23:59</val>
          </value>
        </values>
      </ddeItem>
      <ddeItem name="EURSEK" advise="1">
        <values>
          <value t="str">
            <val>2017/04/21 23:59</val>
          </value>
        </values>
      </ddeItem>
      <ddeItem name="EURTRY" advise="1">
        <values>
          <value t="str">
            <val>2017/04/21 23:59</val>
          </value>
        </values>
      </ddeItem>
      <ddeItem name="EURUSD" advise="1">
        <values>
          <value t="str">
            <val>2017/04/21 23:59</val>
          </value>
        </values>
      </ddeItem>
      <ddeItem name="GBPAUD" advise="1">
        <values>
          <value t="str">
            <val>2017/04/21 23:59</val>
          </value>
        </values>
      </ddeItem>
      <ddeItem name="GBPCAD" advise="1">
        <values>
          <value t="str">
            <val>2017/04/21 23:59</val>
          </value>
        </values>
      </ddeItem>
      <ddeItem name="GBPCHF" advise="1">
        <values>
          <value t="str">
            <val>2017/04/21 23:59</val>
          </value>
        </values>
      </ddeItem>
      <ddeItem name="GBPJPY" advise="1">
        <values>
          <value t="str">
            <val>2017/04/21 23:59</val>
          </value>
        </values>
      </ddeItem>
      <ddeItem name="GBPNZD" advise="1">
        <values>
          <value t="str">
            <val>2017/04/21 23:59</val>
          </value>
        </values>
      </ddeItem>
      <ddeItem name="GBPSEK" advise="1">
        <values>
          <value t="str">
            <val>N\A</val>
          </value>
        </values>
      </ddeItem>
      <ddeItem name="GBPUSD" advise="1">
        <values>
          <value t="str">
            <val>2017/04/21 23:59</val>
          </value>
        </values>
      </ddeItem>
      <ddeItem name="HKDJPY" advise="1">
        <values>
          <value t="str">
            <val>2017/04/21 23:59</val>
          </value>
        </values>
      </ddeItem>
      <ddeItem name="NOKJPY" advise="1">
        <values>
          <value t="str">
            <val>N\A</val>
          </value>
        </values>
      </ddeItem>
      <ddeItem name="NZDCAD" advise="1">
        <values>
          <value t="str">
            <val>2017/04/21 23:59</val>
          </value>
        </values>
      </ddeItem>
      <ddeItem name="NZDCHF" advise="1">
        <values>
          <value t="str">
            <val>2017/04/21 23:59</val>
          </value>
        </values>
      </ddeItem>
      <ddeItem name="NZDJPY" advise="1">
        <values>
          <value t="str">
            <val>2017/04/21 23:59</val>
          </value>
        </values>
      </ddeItem>
      <ddeItem name="NZDUSD" advise="1">
        <values>
          <value t="str">
            <val>2017/04/21 23:59</val>
          </value>
        </values>
      </ddeItem>
      <ddeItem name="SEKJPY" advise="1">
        <values>
          <value t="str">
            <val>N\A</val>
          </value>
        </values>
      </ddeItem>
      <ddeItem name="SGDJPY" advise="1">
        <values>
          <value t="str">
            <val>2017/04/21 23:59</val>
          </value>
        </values>
      </ddeItem>
      <ddeItem name="StdDocumentName" ole="1" advise="1"/>
      <ddeItem name="TRYJPY" advise="1">
        <values>
          <value t="str">
            <val>2017/04/21 23:59</val>
          </value>
        </values>
      </ddeItem>
      <ddeItem name="UKOIL" advise="1">
        <values>
          <value t="str">
            <val>N\A</val>
          </value>
        </values>
      </ddeItem>
      <ddeItem name="USDCAD" advise="1">
        <values>
          <value t="str">
            <val>2017/04/21 23:59</val>
          </value>
        </values>
      </ddeItem>
      <ddeItem name="USDCHF" advise="1">
        <values>
          <value t="str">
            <val>2017/04/21 23:59</val>
          </value>
        </values>
      </ddeItem>
      <ddeItem name="USDCZK" advise="1">
        <values>
          <value t="str">
            <val>2017/04/21 23:59</val>
          </value>
        </values>
      </ddeItem>
      <ddeItem name="USDDKK" advise="1">
        <values>
          <value t="str">
            <val>2017/04/21 23:59</val>
          </value>
        </values>
      </ddeItem>
      <ddeItem name="USDHKD" advise="1">
        <values>
          <value t="str">
            <val>2017/04/21 23:59</val>
          </value>
        </values>
      </ddeItem>
      <ddeItem name="USDHUF" advise="1">
        <values>
          <value t="str">
            <val>2017/04/21 23:59</val>
          </value>
        </values>
      </ddeItem>
      <ddeItem name="USDJPY" advise="1">
        <values>
          <value t="str">
            <val>2017/04/21 23:59</val>
          </value>
        </values>
      </ddeItem>
      <ddeItem name="USDMXN" advise="1">
        <values>
          <value t="str">
            <val>2017/04/21 23:59</val>
          </value>
        </values>
      </ddeItem>
      <ddeItem name="USDNOK" advise="1">
        <values>
          <value t="str">
            <val>2017/04/21 23:59</val>
          </value>
        </values>
      </ddeItem>
      <ddeItem name="USDOLLAR" advise="1">
        <values>
          <value t="str">
            <val>N\A</val>
          </value>
        </values>
      </ddeItem>
      <ddeItem name="USDPLN" advise="1">
        <values>
          <value t="str">
            <val>2017/04/21 23:59</val>
          </value>
        </values>
      </ddeItem>
      <ddeItem name="USDRUB" advise="1">
        <values>
          <value t="str">
            <val>N\A</val>
          </value>
        </values>
      </ddeItem>
      <ddeItem name="USDSEK" advise="1">
        <values>
          <value t="str">
            <val>2017/04/21 23:59</val>
          </value>
        </values>
      </ddeItem>
      <ddeItem name="USDSGD" advise="1">
        <values>
          <value t="str">
            <val>2017/04/21 23:59</val>
          </value>
        </values>
      </ddeItem>
      <ddeItem name="USDTRY" advise="1">
        <values>
          <value t="str">
            <val>2017/04/21 23:59</val>
          </value>
        </values>
      </ddeItem>
      <ddeItem name="USDZAR" advise="1">
        <values>
          <value t="str">
            <val>2017/04/21 23:59</val>
          </value>
        </values>
      </ddeItem>
      <ddeItem name="USOIL" advise="1">
        <values>
          <value t="str">
            <val>N\A</val>
          </value>
        </values>
      </ddeItem>
      <ddeItem name="XAGUSD" advise="1">
        <values>
          <value t="str">
            <val>N\A</val>
          </value>
        </values>
      </ddeItem>
      <ddeItem name="XAUUSD" advise="1">
        <values>
          <value t="str">
            <val>N\A</val>
          </value>
        </values>
      </ddeItem>
      <ddeItem name="ZARJPY" advise="1">
        <values>
          <value t="str">
            <val>2017/04/21 23:59</val>
          </value>
        </values>
      </ddeItem>
      <ddeItem name="_xlbgnm.AUS200" advise="1"/>
      <ddeItem name="_xlbgnm.ESP35" advise="1"/>
      <ddeItem name="_xlbgnm.FRA40" advise="1"/>
      <ddeItem name="_xlbgnm.GER30" advise="1"/>
      <ddeItem name="_xlbgnm.HKG33" advise="1"/>
      <ddeItem name="_xlbgnm.ITA40" advise="1"/>
      <ddeItem name="_xlbgnm.JPN225" advise="1"/>
      <ddeItem name="_xlbgnm.NAS100" advise="1"/>
      <ddeItem name="_xlbgnm.SPX500" advise="1"/>
      <ddeItem name="_xlbgnm.SUI30" advise="1"/>
      <ddeItem name="_xlbgnm.SWE30" advise="1"/>
      <ddeItem name="_xlbgnm.UK100" advise="1"/>
      <ddeItem name="_xlbgnm.US3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 codeName="Worksheet____1"/>
  <dimension ref="B1:S6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2.7109375" style="6" customWidth="1"/>
    <col min="2" max="2" width="10.7109375" style="11" customWidth="1"/>
    <col min="3" max="4" width="10.7109375" style="10" customWidth="1"/>
    <col min="5" max="5" width="10.7109375" style="4" customWidth="1"/>
    <col min="6" max="6" width="2.7109375" style="7" customWidth="1"/>
    <col min="7" max="8" width="10.7109375" style="7" customWidth="1"/>
    <col min="9" max="9" width="2.7109375" style="7" customWidth="1"/>
    <col min="10" max="11" width="10.7109375" style="10" customWidth="1"/>
    <col min="12" max="12" width="11.7109375" style="7" customWidth="1"/>
    <col min="13" max="13" width="11.7109375" style="8" customWidth="1"/>
    <col min="14" max="14" width="2.7109375" style="8" customWidth="1"/>
    <col min="15" max="15" width="18.7109375" style="13" customWidth="1"/>
    <col min="16" max="16" width="18.7109375" style="20" customWidth="1"/>
    <col min="17" max="17" width="2.7109375" style="6" customWidth="1"/>
    <col min="18" max="19" width="9.140625" style="22"/>
    <col min="20" max="16384" width="9.140625" style="6"/>
  </cols>
  <sheetData>
    <row r="1" spans="2:19" ht="13.5" thickBot="1" x14ac:dyDescent="0.25"/>
    <row r="2" spans="2:19" ht="13.5" thickBot="1" x14ac:dyDescent="0.25">
      <c r="B2" s="92" t="s">
        <v>83</v>
      </c>
      <c r="C2" s="94"/>
    </row>
    <row r="3" spans="2:19" x14ac:dyDescent="0.2">
      <c r="B3" s="66">
        <v>-4</v>
      </c>
      <c r="C3" s="62" t="s">
        <v>82</v>
      </c>
      <c r="P3" s="13"/>
    </row>
    <row r="4" spans="2:19" ht="13.5" thickBot="1" x14ac:dyDescent="0.25">
      <c r="B4" s="67" t="s">
        <v>65</v>
      </c>
      <c r="C4" s="63" t="s">
        <v>62</v>
      </c>
      <c r="D4" s="9"/>
      <c r="F4" s="1"/>
    </row>
    <row r="5" spans="2:19" ht="13.5" thickBot="1" x14ac:dyDescent="0.25">
      <c r="C5" s="9"/>
      <c r="D5" s="9"/>
      <c r="F5" s="1"/>
    </row>
    <row r="6" spans="2:19" s="19" customFormat="1" ht="13.5" thickBot="1" x14ac:dyDescent="0.25">
      <c r="B6" s="92" t="s">
        <v>63</v>
      </c>
      <c r="C6" s="93"/>
      <c r="D6" s="93"/>
      <c r="E6" s="94"/>
      <c r="F6" s="17"/>
      <c r="G6" s="95" t="s">
        <v>64</v>
      </c>
      <c r="H6" s="96"/>
      <c r="I6" s="17"/>
      <c r="J6" s="95" t="s">
        <v>68</v>
      </c>
      <c r="K6" s="97"/>
      <c r="L6" s="97"/>
      <c r="M6" s="96"/>
      <c r="N6" s="18"/>
      <c r="O6" s="90" t="s">
        <v>69</v>
      </c>
      <c r="P6" s="91"/>
      <c r="R6" s="23"/>
      <c r="S6" s="23"/>
    </row>
    <row r="7" spans="2:19" s="25" customFormat="1" ht="13.5" thickBot="1" x14ac:dyDescent="0.25">
      <c r="B7" s="54" t="s">
        <v>0</v>
      </c>
      <c r="C7" s="55" t="s">
        <v>1</v>
      </c>
      <c r="D7" s="55" t="s">
        <v>2</v>
      </c>
      <c r="E7" s="56" t="s">
        <v>9</v>
      </c>
      <c r="F7" s="57"/>
      <c r="G7" s="54" t="s">
        <v>71</v>
      </c>
      <c r="H7" s="58" t="s">
        <v>72</v>
      </c>
      <c r="I7" s="57"/>
      <c r="J7" s="54" t="s">
        <v>3</v>
      </c>
      <c r="K7" s="55" t="s">
        <v>4</v>
      </c>
      <c r="L7" s="55" t="s">
        <v>75</v>
      </c>
      <c r="M7" s="59" t="s">
        <v>76</v>
      </c>
      <c r="N7" s="60"/>
      <c r="O7" s="61" t="s">
        <v>77</v>
      </c>
      <c r="P7" s="65" t="s">
        <v>61</v>
      </c>
      <c r="R7" s="26" t="s">
        <v>82</v>
      </c>
      <c r="S7" s="27" t="s">
        <v>62</v>
      </c>
    </row>
    <row r="8" spans="2:19" x14ac:dyDescent="0.2">
      <c r="B8" s="48" t="s">
        <v>20</v>
      </c>
      <c r="C8" s="68">
        <f>[1]!AUDCAD</f>
        <v>1.0170699999999999</v>
      </c>
      <c r="D8" s="68">
        <f>[2]!AUDCAD</f>
        <v>1.0190699999999999</v>
      </c>
      <c r="E8" s="49">
        <f>(D8-C8)*'FX Data'!E3</f>
        <v>20.000000000000018</v>
      </c>
      <c r="F8" s="6"/>
      <c r="G8" s="50">
        <f>IF(RIGHT('FX Data'!C3,3)="USD",('FX Data'!F3*'FX Data'!G3)*(VLOOKUP($B$4,'FX Data'!$M$2:$N$6,2,FALSE)),((1/'FX Data'!F3)*'FX Data'!G3)*(VLOOKUP($B$4,'FX Data'!$M$2:$N$6,2,FALSE)))</f>
        <v>0.74136128759628428</v>
      </c>
      <c r="H8" s="51">
        <f t="shared" ref="H8:H39" si="0">G8*E8</f>
        <v>14.827225751925699</v>
      </c>
      <c r="I8" s="8"/>
      <c r="J8" s="69">
        <f>[3]!AUDCAD</f>
        <v>1.0193700000000001</v>
      </c>
      <c r="K8" s="68">
        <f>[4]!AUDCAD</f>
        <v>1.0125999999999999</v>
      </c>
      <c r="L8" s="52">
        <f>(J8-K8)*'FX Data'!E3</f>
        <v>67.700000000001651</v>
      </c>
      <c r="M8" s="51">
        <f t="shared" ref="M8:M39" si="1">L8*G8</f>
        <v>50.190159170269673</v>
      </c>
      <c r="O8" s="53" t="str">
        <f>[5]!AUDCAD</f>
        <v>2017/04/21 23:59</v>
      </c>
      <c r="P8" s="64">
        <f t="shared" ref="P8:P39" ca="1" si="2">IF($B$3&lt;0,(NOW()+TIME(-1*$B$3,0,0))-O8,(NOW()-TIME((ABS(-1*$B$3)),0,0))-$O8)</f>
        <v>0.60022395833220799</v>
      </c>
      <c r="R8" s="22">
        <v>-12</v>
      </c>
      <c r="S8" s="24" t="s">
        <v>78</v>
      </c>
    </row>
    <row r="9" spans="2:19" x14ac:dyDescent="0.2">
      <c r="B9" s="31" t="s">
        <v>34</v>
      </c>
      <c r="C9" s="28">
        <f>[1]!AUDCHF</f>
        <v>0.75012000000000001</v>
      </c>
      <c r="D9" s="28">
        <f>[2]!AUDCHF</f>
        <v>0.75275000000000003</v>
      </c>
      <c r="E9" s="32">
        <f>(D9-C9)*'FX Data'!E4</f>
        <v>26.30000000000021</v>
      </c>
      <c r="F9" s="6"/>
      <c r="G9" s="36">
        <f>IF(RIGHT('FX Data'!C4,3)="USD",('FX Data'!F4*'FX Data'!G4)*(VLOOKUP($B$4,'FX Data'!$M$2:$N$6,2,FALSE)),((1/'FX Data'!F4)*'FX Data'!G4)*(VLOOKUP($B$4,'FX Data'!$M$2:$N$6,2,FALSE)))</f>
        <v>1.0047524792267426</v>
      </c>
      <c r="H9" s="37">
        <f t="shared" si="0"/>
        <v>26.42499020366354</v>
      </c>
      <c r="I9" s="8"/>
      <c r="J9" s="40">
        <f>[3]!AUDCHF</f>
        <v>0.75343000000000004</v>
      </c>
      <c r="K9" s="28">
        <f>[4]!AUDCHF</f>
        <v>0.74980000000000002</v>
      </c>
      <c r="L9" s="29">
        <f>(J9-K9)*'FX Data'!E4</f>
        <v>36.300000000000225</v>
      </c>
      <c r="M9" s="37">
        <f t="shared" si="1"/>
        <v>36.472514995930979</v>
      </c>
      <c r="O9" s="44" t="str">
        <f>[5]!AUDCHF</f>
        <v>2017/04/21 23:59</v>
      </c>
      <c r="P9" s="45">
        <f t="shared" ca="1" si="2"/>
        <v>0.60022395833220799</v>
      </c>
      <c r="R9" s="22">
        <v>-11</v>
      </c>
      <c r="S9" s="24" t="s">
        <v>65</v>
      </c>
    </row>
    <row r="10" spans="2:19" x14ac:dyDescent="0.2">
      <c r="B10" s="31" t="s">
        <v>21</v>
      </c>
      <c r="C10" s="28">
        <f>[1]!AUDJPY</f>
        <v>82.206999999999994</v>
      </c>
      <c r="D10" s="28">
        <f>[2]!AUDJPY</f>
        <v>82.406999999999996</v>
      </c>
      <c r="E10" s="32">
        <f>(D10-C10)*'FX Data'!E5</f>
        <v>20.000000000000284</v>
      </c>
      <c r="F10" s="6"/>
      <c r="G10" s="36">
        <f>IF(RIGHT('FX Data'!C5,3)="USD",('FX Data'!F5*'FX Data'!G5)*(VLOOKUP($B$4,'FX Data'!$M$2:$N$6,2,FALSE)),((1/'FX Data'!F5)*'FX Data'!G5)*(VLOOKUP($B$4,'FX Data'!$M$2:$N$6,2,FALSE)))</f>
        <v>0.91728812937431781</v>
      </c>
      <c r="H10" s="37">
        <f t="shared" si="0"/>
        <v>18.345762587486618</v>
      </c>
      <c r="I10" s="8"/>
      <c r="J10" s="40">
        <f>[3]!AUDJPY</f>
        <v>82.432000000000002</v>
      </c>
      <c r="K10" s="28">
        <f>[4]!AUDJPY</f>
        <v>81.972999999999999</v>
      </c>
      <c r="L10" s="29">
        <f>(J10-K10)*'FX Data'!E5</f>
        <v>45.900000000000318</v>
      </c>
      <c r="M10" s="37">
        <f t="shared" si="1"/>
        <v>42.103525138281476</v>
      </c>
      <c r="O10" s="44" t="str">
        <f>[5]!AUDJPY</f>
        <v>2017/04/21 23:59</v>
      </c>
      <c r="P10" s="45">
        <f t="shared" ca="1" si="2"/>
        <v>0.60022395833220799</v>
      </c>
      <c r="R10" s="22">
        <v>-10</v>
      </c>
      <c r="S10" s="24" t="s">
        <v>79</v>
      </c>
    </row>
    <row r="11" spans="2:19" x14ac:dyDescent="0.2">
      <c r="B11" s="31" t="s">
        <v>27</v>
      </c>
      <c r="C11" s="28">
        <f>[1]!AUDNZD</f>
        <v>1.071</v>
      </c>
      <c r="D11" s="28">
        <f>[2]!AUDNZD</f>
        <v>1.075</v>
      </c>
      <c r="E11" s="32">
        <f>(D11-C11)*'FX Data'!E6</f>
        <v>40.000000000000036</v>
      </c>
      <c r="F11" s="6"/>
      <c r="G11" s="36">
        <f>IF(RIGHT('FX Data'!C6,3)="USD",('FX Data'!F6*'FX Data'!G6)*(VLOOKUP($B$4,'FX Data'!$M$2:$N$6,2,FALSE)),((1/'FX Data'!F6)*'FX Data'!G6)*(VLOOKUP($B$4,'FX Data'!$M$2:$N$6,2,FALSE)))</f>
        <v>0.70218999999999998</v>
      </c>
      <c r="H11" s="37">
        <f t="shared" si="0"/>
        <v>28.087600000000023</v>
      </c>
      <c r="I11" s="8"/>
      <c r="J11" s="40">
        <f>[3]!AUDNZD</f>
        <v>1.0768899999999999</v>
      </c>
      <c r="K11" s="28">
        <f>[4]!AUDNZD</f>
        <v>1.07081</v>
      </c>
      <c r="L11" s="29">
        <f>(J11-K11)*'FX Data'!E6</f>
        <v>60.799999999998633</v>
      </c>
      <c r="M11" s="37">
        <f t="shared" si="1"/>
        <v>42.693151999999039</v>
      </c>
      <c r="O11" s="44" t="str">
        <f>[5]!AUDNZD</f>
        <v>2017/04/21 23:59</v>
      </c>
      <c r="P11" s="45">
        <f t="shared" ca="1" si="2"/>
        <v>0.60022395833220799</v>
      </c>
      <c r="R11" s="22">
        <v>-9</v>
      </c>
      <c r="S11" s="24" t="s">
        <v>80</v>
      </c>
    </row>
    <row r="12" spans="2:19" x14ac:dyDescent="0.2">
      <c r="B12" s="31" t="s">
        <v>11</v>
      </c>
      <c r="C12" s="30">
        <f>[1]!AUDUSD</f>
        <v>0.75368999999999997</v>
      </c>
      <c r="D12" s="30">
        <f>[2]!AUDUSD</f>
        <v>0.75519000000000003</v>
      </c>
      <c r="E12" s="32">
        <f>(D12-C12)*'FX Data'!E7</f>
        <v>15.000000000000568</v>
      </c>
      <c r="G12" s="36">
        <f>IF(RIGHT('FX Data'!C7,3)="USD",('FX Data'!F7*'FX Data'!G7)*(VLOOKUP($B$4,'FX Data'!$M$2:$N$6,2,FALSE)),((1/'FX Data'!F7)*'FX Data'!G7)*(VLOOKUP($B$4,'FX Data'!$M$2:$N$6,2,FALSE)))</f>
        <v>1</v>
      </c>
      <c r="H12" s="37">
        <f t="shared" si="0"/>
        <v>15.000000000000568</v>
      </c>
      <c r="I12" s="8"/>
      <c r="J12" s="41">
        <f>[3]!AUDUSD</f>
        <v>0.75448999999999999</v>
      </c>
      <c r="K12" s="30">
        <f>[4]!AUDUSD</f>
        <v>0.75153000000000003</v>
      </c>
      <c r="L12" s="29">
        <f>(J12-K12)*'FX Data'!E7</f>
        <v>29.599999999999625</v>
      </c>
      <c r="M12" s="37">
        <f t="shared" si="1"/>
        <v>29.599999999999625</v>
      </c>
      <c r="O12" s="44" t="str">
        <f>[5]!AUDUSD</f>
        <v>2017/04/21 23:59</v>
      </c>
      <c r="P12" s="45">
        <f t="shared" ca="1" si="2"/>
        <v>0.60022395833220799</v>
      </c>
      <c r="R12" s="22">
        <v>-8</v>
      </c>
    </row>
    <row r="13" spans="2:19" x14ac:dyDescent="0.2">
      <c r="B13" s="31" t="s">
        <v>53</v>
      </c>
      <c r="C13" s="28">
        <f>[1]!CADCHF</f>
        <v>0.73701000000000005</v>
      </c>
      <c r="D13" s="28">
        <f>[2]!CADCHF</f>
        <v>0.73895</v>
      </c>
      <c r="E13" s="32">
        <f>(D13-C13)*'FX Data'!E8</f>
        <v>19.399999999999416</v>
      </c>
      <c r="F13" s="6"/>
      <c r="G13" s="36">
        <f>IF(RIGHT('FX Data'!C8,3)="USD",('FX Data'!F8*'FX Data'!G8)*(VLOOKUP($B$4,'FX Data'!$M$2:$N$6,2,FALSE)),((1/'FX Data'!F8)*'FX Data'!G8)*(VLOOKUP($B$4,'FX Data'!$M$2:$N$6,2,FALSE)))</f>
        <v>1.0047524792267426</v>
      </c>
      <c r="H13" s="37">
        <f t="shared" si="0"/>
        <v>19.492198096998219</v>
      </c>
      <c r="I13" s="8"/>
      <c r="J13" s="40">
        <f>[3]!CADCHF</f>
        <v>0.74248999999999998</v>
      </c>
      <c r="K13" s="28">
        <f>[4]!CADCHF</f>
        <v>0.73682999999999998</v>
      </c>
      <c r="L13" s="29">
        <f>(J13-K13)*'FX Data'!E8</f>
        <v>56.59999999999998</v>
      </c>
      <c r="M13" s="37">
        <f t="shared" si="1"/>
        <v>56.868990324233614</v>
      </c>
      <c r="O13" s="44" t="str">
        <f>[5]!CADCHF</f>
        <v>2017/04/21 23:59</v>
      </c>
      <c r="P13" s="45">
        <f t="shared" ca="1" si="2"/>
        <v>0.60022395833220799</v>
      </c>
      <c r="R13" s="22">
        <v>-7</v>
      </c>
    </row>
    <row r="14" spans="2:19" x14ac:dyDescent="0.2">
      <c r="B14" s="31" t="s">
        <v>22</v>
      </c>
      <c r="C14" s="28">
        <f>[1]!CADJPY</f>
        <v>80.741</v>
      </c>
      <c r="D14" s="28">
        <f>[2]!CADJPY</f>
        <v>80.941000000000003</v>
      </c>
      <c r="E14" s="32">
        <f>(D14-C14)*'FX Data'!E9</f>
        <v>20.000000000000284</v>
      </c>
      <c r="F14" s="6"/>
      <c r="G14" s="36">
        <f>IF(RIGHT('FX Data'!C9,3)="USD",('FX Data'!F9*'FX Data'!G9)*(VLOOKUP($B$4,'FX Data'!$M$2:$N$6,2,FALSE)),((1/'FX Data'!F9)*'FX Data'!G9)*(VLOOKUP($B$4,'FX Data'!$M$2:$N$6,2,FALSE)))</f>
        <v>0.91728812937431781</v>
      </c>
      <c r="H14" s="37">
        <f t="shared" si="0"/>
        <v>18.345762587486618</v>
      </c>
      <c r="I14" s="8"/>
      <c r="J14" s="40">
        <f>[3]!CADJPY</f>
        <v>81.238</v>
      </c>
      <c r="K14" s="28">
        <f>[4]!CADJPY</f>
        <v>80.566000000000003</v>
      </c>
      <c r="L14" s="29">
        <f>(J14-K14)*'FX Data'!E9</f>
        <v>67.199999999999704</v>
      </c>
      <c r="M14" s="37">
        <f t="shared" si="1"/>
        <v>61.641762293953889</v>
      </c>
      <c r="O14" s="44" t="str">
        <f>[5]!CADJPY</f>
        <v>2017/04/21 23:59</v>
      </c>
      <c r="P14" s="45">
        <f t="shared" ca="1" si="2"/>
        <v>0.60022395833220799</v>
      </c>
      <c r="R14" s="22">
        <v>-6</v>
      </c>
    </row>
    <row r="15" spans="2:19" x14ac:dyDescent="0.2">
      <c r="B15" s="31" t="s">
        <v>16</v>
      </c>
      <c r="C15" s="28">
        <f>[1]!CHFJPY</f>
        <v>109.435</v>
      </c>
      <c r="D15" s="28">
        <f>[2]!CHFJPY</f>
        <v>109.63500000000001</v>
      </c>
      <c r="E15" s="32">
        <f>(D15-C15)*'FX Data'!E10</f>
        <v>20.000000000000284</v>
      </c>
      <c r="F15" s="6"/>
      <c r="G15" s="36">
        <f>IF(RIGHT('FX Data'!C10,3)="USD",('FX Data'!F10*'FX Data'!G10)*(VLOOKUP($B$4,'FX Data'!$M$2:$N$6,2,FALSE)),((1/'FX Data'!F10)*'FX Data'!G10)*(VLOOKUP($B$4,'FX Data'!$M$2:$N$6,2,FALSE)))</f>
        <v>0.91728812937431781</v>
      </c>
      <c r="H15" s="37">
        <f t="shared" si="0"/>
        <v>18.345762587486618</v>
      </c>
      <c r="I15" s="8"/>
      <c r="J15" s="40">
        <f>[3]!CHFJPY</f>
        <v>109.63800000000001</v>
      </c>
      <c r="K15" s="28">
        <f>[4]!CHFJPY</f>
        <v>109.072</v>
      </c>
      <c r="L15" s="29">
        <f>(J15-K15)*'FX Data'!E10</f>
        <v>56.60000000000025</v>
      </c>
      <c r="M15" s="37">
        <f t="shared" si="1"/>
        <v>51.918508122586616</v>
      </c>
      <c r="O15" s="44" t="str">
        <f>[5]!CHFJPY</f>
        <v>2017/04/21 23:59</v>
      </c>
      <c r="P15" s="45">
        <f t="shared" ca="1" si="2"/>
        <v>0.60022395833220799</v>
      </c>
      <c r="R15" s="22">
        <v>-5</v>
      </c>
    </row>
    <row r="16" spans="2:19" x14ac:dyDescent="0.2">
      <c r="B16" s="31" t="s">
        <v>56</v>
      </c>
      <c r="C16" s="28" t="str">
        <f>[1]!CHFNOK</f>
        <v>N\A</v>
      </c>
      <c r="D16" s="28" t="str">
        <f>[2]!CHFNOK</f>
        <v>N\A</v>
      </c>
      <c r="E16" s="32" t="e">
        <f>(D16-C16)*'FX Data'!E11</f>
        <v>#VALUE!</v>
      </c>
      <c r="F16" s="6"/>
      <c r="G16" s="36">
        <f>IF(RIGHT('FX Data'!C11,3)="USD",('FX Data'!F11*'FX Data'!G11)*(VLOOKUP($B$4,'FX Data'!$M$2:$N$6,2,FALSE)),((1/'FX Data'!F11)*'FX Data'!G11)*(VLOOKUP($B$4,'FX Data'!$M$2:$N$6,2,FALSE)))</f>
        <v>0.11559063345978948</v>
      </c>
      <c r="H16" s="37" t="e">
        <f t="shared" si="0"/>
        <v>#VALUE!</v>
      </c>
      <c r="I16" s="8"/>
      <c r="J16" s="40" t="str">
        <f>[3]!CHFNOK</f>
        <v>N\A</v>
      </c>
      <c r="K16" s="28" t="str">
        <f>[4]!CHFNOK</f>
        <v>N\A</v>
      </c>
      <c r="L16" s="29" t="e">
        <f>(J16-K16)*'FX Data'!E11</f>
        <v>#VALUE!</v>
      </c>
      <c r="M16" s="37" t="e">
        <f t="shared" si="1"/>
        <v>#VALUE!</v>
      </c>
      <c r="O16" s="44" t="str">
        <f>[5]!CHFNOK</f>
        <v>N\A</v>
      </c>
      <c r="P16" s="45" t="e">
        <f t="shared" ca="1" si="2"/>
        <v>#VALUE!</v>
      </c>
      <c r="R16" s="22">
        <v>-4</v>
      </c>
    </row>
    <row r="17" spans="2:18" x14ac:dyDescent="0.2">
      <c r="B17" s="31" t="s">
        <v>55</v>
      </c>
      <c r="C17" s="28" t="str">
        <f>[1]!CHFSEK</f>
        <v>N\A</v>
      </c>
      <c r="D17" s="28" t="str">
        <f>[2]!CHFSEK</f>
        <v>N\A</v>
      </c>
      <c r="E17" s="32" t="e">
        <f>(D17-C17)*'FX Data'!E12</f>
        <v>#VALUE!</v>
      </c>
      <c r="F17" s="6"/>
      <c r="G17" s="36">
        <f>IF(RIGHT('FX Data'!C12,3)="USD",('FX Data'!F12*'FX Data'!G12)*(VLOOKUP($B$4,'FX Data'!$M$2:$N$6,2,FALSE)),((1/'FX Data'!F12)*'FX Data'!G12)*(VLOOKUP($B$4,'FX Data'!$M$2:$N$6,2,FALSE)))</f>
        <v>0.11156393673432277</v>
      </c>
      <c r="H17" s="37" t="e">
        <f t="shared" si="0"/>
        <v>#VALUE!</v>
      </c>
      <c r="I17" s="8"/>
      <c r="J17" s="40" t="str">
        <f>[3]!CHFSEK</f>
        <v>N\A</v>
      </c>
      <c r="K17" s="28" t="str">
        <f>[4]!CHFSEK</f>
        <v>N\A</v>
      </c>
      <c r="L17" s="29" t="e">
        <f>(J17-K17)*'FX Data'!E12</f>
        <v>#VALUE!</v>
      </c>
      <c r="M17" s="37" t="e">
        <f t="shared" si="1"/>
        <v>#VALUE!</v>
      </c>
      <c r="O17" s="44" t="str">
        <f>[5]!CHFSEK</f>
        <v>N\A</v>
      </c>
      <c r="P17" s="45" t="e">
        <f t="shared" ca="1" si="2"/>
        <v>#VALUE!</v>
      </c>
      <c r="R17" s="22">
        <v>-3</v>
      </c>
    </row>
    <row r="18" spans="2:18" x14ac:dyDescent="0.2">
      <c r="B18" s="31" t="s">
        <v>18</v>
      </c>
      <c r="C18" s="28">
        <f>[1]!EURAUD</f>
        <v>1.42106</v>
      </c>
      <c r="D18" s="28">
        <f>[2]!EURAUD</f>
        <v>1.42306</v>
      </c>
      <c r="E18" s="32">
        <f>(D18-C18)*'FX Data'!E13</f>
        <v>20.000000000000018</v>
      </c>
      <c r="F18" s="6"/>
      <c r="G18" s="36">
        <f>IF(RIGHT('FX Data'!C13,3)="USD",('FX Data'!F13*'FX Data'!G13)*(VLOOKUP($B$4,'FX Data'!$M$2:$N$6,2,FALSE)),((1/'FX Data'!F13)*'FX Data'!G13)*(VLOOKUP($B$4,'FX Data'!$M$2:$N$6,2,FALSE)))</f>
        <v>0.75368999999999997</v>
      </c>
      <c r="H18" s="37">
        <f t="shared" si="0"/>
        <v>15.073800000000013</v>
      </c>
      <c r="I18" s="8"/>
      <c r="J18" s="40">
        <f>[3]!EURAUD</f>
        <v>1.42614</v>
      </c>
      <c r="K18" s="28">
        <f>[4]!EURAUD</f>
        <v>1.41675</v>
      </c>
      <c r="L18" s="29">
        <f>(J18-K18)*'FX Data'!E13</f>
        <v>93.900000000000091</v>
      </c>
      <c r="M18" s="37">
        <f t="shared" si="1"/>
        <v>70.771491000000069</v>
      </c>
      <c r="O18" s="44" t="str">
        <f>[5]!EURAUD</f>
        <v>2017/04/21 23:59</v>
      </c>
      <c r="P18" s="45">
        <f t="shared" ca="1" si="2"/>
        <v>0.60022395833220799</v>
      </c>
      <c r="R18" s="22">
        <v>-2</v>
      </c>
    </row>
    <row r="19" spans="2:18" x14ac:dyDescent="0.2">
      <c r="B19" s="31" t="s">
        <v>19</v>
      </c>
      <c r="C19" s="28">
        <f>[1]!EURCAD</f>
        <v>1.44668</v>
      </c>
      <c r="D19" s="28">
        <f>[2]!EURCAD</f>
        <v>1.44868</v>
      </c>
      <c r="E19" s="32">
        <f>(D19-C19)*'FX Data'!E14</f>
        <v>20.000000000000018</v>
      </c>
      <c r="F19" s="6"/>
      <c r="G19" s="36">
        <f>IF(RIGHT('FX Data'!C14,3)="USD",('FX Data'!F14*'FX Data'!G14)*(VLOOKUP($B$4,'FX Data'!$M$2:$N$6,2,FALSE)),((1/'FX Data'!F14)*'FX Data'!G14)*(VLOOKUP($B$4,'FX Data'!$M$2:$N$6,2,FALSE)))</f>
        <v>0.74136128759628428</v>
      </c>
      <c r="H19" s="37">
        <f t="shared" si="0"/>
        <v>14.827225751925699</v>
      </c>
      <c r="I19" s="8"/>
      <c r="J19" s="40">
        <f>[3]!EURCAD</f>
        <v>1.4479500000000001</v>
      </c>
      <c r="K19" s="28">
        <f>[4]!EURCAD</f>
        <v>1.4395899999999999</v>
      </c>
      <c r="L19" s="29">
        <f>(J19-K19)*'FX Data'!E14</f>
        <v>83.600000000001444</v>
      </c>
      <c r="M19" s="37">
        <f t="shared" si="1"/>
        <v>61.977803643050436</v>
      </c>
      <c r="O19" s="44" t="str">
        <f>[5]!EURCAD</f>
        <v>2017/04/21 23:59</v>
      </c>
      <c r="P19" s="45">
        <f t="shared" ca="1" si="2"/>
        <v>0.60022395833220799</v>
      </c>
      <c r="R19" s="22">
        <v>-1</v>
      </c>
    </row>
    <row r="20" spans="2:18" x14ac:dyDescent="0.2">
      <c r="B20" s="31" t="s">
        <v>10</v>
      </c>
      <c r="C20" s="30">
        <f>[1]!EURCHF</f>
        <v>1.06769</v>
      </c>
      <c r="D20" s="30">
        <f>[2]!EURCHF</f>
        <v>1.0691900000000001</v>
      </c>
      <c r="E20" s="32">
        <f>(D20-C20)*'FX Data'!E15</f>
        <v>15.000000000000568</v>
      </c>
      <c r="G20" s="36">
        <f>IF(RIGHT('FX Data'!C15,3)="USD",('FX Data'!F15*'FX Data'!G15)*(VLOOKUP($B$4,'FX Data'!$M$2:$N$6,2,FALSE)),((1/'FX Data'!F15)*'FX Data'!G15)*(VLOOKUP($B$4,'FX Data'!$M$2:$N$6,2,FALSE)))</f>
        <v>1.0047524792267426</v>
      </c>
      <c r="H20" s="37">
        <f t="shared" si="0"/>
        <v>15.07128718840171</v>
      </c>
      <c r="I20" s="8"/>
      <c r="J20" s="41">
        <f>[3]!EURCHF</f>
        <v>1.0709500000000001</v>
      </c>
      <c r="K20" s="30">
        <f>[4]!EURCHF</f>
        <v>1.06707</v>
      </c>
      <c r="L20" s="29">
        <f>(J20-K20)*'FX Data'!E15</f>
        <v>38.800000000001056</v>
      </c>
      <c r="M20" s="37">
        <f t="shared" si="1"/>
        <v>38.984396193998677</v>
      </c>
      <c r="O20" s="44" t="str">
        <f>[5]!EURCHF</f>
        <v>2017/04/21 23:59</v>
      </c>
      <c r="P20" s="45">
        <f t="shared" ca="1" si="2"/>
        <v>0.60022395833220799</v>
      </c>
      <c r="R20" s="22">
        <v>0</v>
      </c>
    </row>
    <row r="21" spans="2:18" x14ac:dyDescent="0.2">
      <c r="B21" s="31" t="s">
        <v>38</v>
      </c>
      <c r="C21" s="28">
        <f>[1]!EURCZK</f>
        <v>26.855550000000001</v>
      </c>
      <c r="D21" s="28">
        <f>[2]!EURCZK</f>
        <v>27.007349999999999</v>
      </c>
      <c r="E21" s="32">
        <f>(D21-C21)*'FX Data'!E16</f>
        <v>151.79999999999794</v>
      </c>
      <c r="F21" s="6"/>
      <c r="G21" s="36">
        <f>IF(RIGHT('FX Data'!C16,3)="USD",('FX Data'!F16*'FX Data'!G16)*(VLOOKUP($B$4,'FX Data'!$M$2:$N$6,2,FALSE)),((1/'FX Data'!F16)*'FX Data'!G16)*(VLOOKUP($B$4,'FX Data'!$M$2:$N$6,2,FALSE)))</f>
        <v>0.40003040231057557</v>
      </c>
      <c r="H21" s="37">
        <f t="shared" si="0"/>
        <v>60.724615070744548</v>
      </c>
      <c r="I21" s="8"/>
      <c r="J21" s="40">
        <f>[3]!EURCZK</f>
        <v>26.992419999999999</v>
      </c>
      <c r="K21" s="28">
        <f>[4]!EURCZK</f>
        <v>26.824539999999999</v>
      </c>
      <c r="L21" s="29">
        <f>(J21-K21)*'FX Data'!E16</f>
        <v>167.88000000000025</v>
      </c>
      <c r="M21" s="37">
        <f t="shared" si="1"/>
        <v>67.157103939899528</v>
      </c>
      <c r="O21" s="44" t="str">
        <f>[5]!EURCZK</f>
        <v>2017/04/21 23:59</v>
      </c>
      <c r="P21" s="45">
        <f t="shared" ca="1" si="2"/>
        <v>0.60022395833220799</v>
      </c>
      <c r="R21" s="22">
        <v>1</v>
      </c>
    </row>
    <row r="22" spans="2:18" x14ac:dyDescent="0.2">
      <c r="B22" s="31" t="s">
        <v>43</v>
      </c>
      <c r="C22" s="28">
        <f>[1]!EURDKK</f>
        <v>7.4346899999999998</v>
      </c>
      <c r="D22" s="28">
        <f>[2]!EURDKK</f>
        <v>7.4372800000000003</v>
      </c>
      <c r="E22" s="32">
        <f>(D22-C22)*'FX Data'!E17</f>
        <v>25.900000000005363</v>
      </c>
      <c r="F22" s="6"/>
      <c r="G22" s="36">
        <f>IF(RIGHT('FX Data'!C17,3)="USD",('FX Data'!F17*'FX Data'!G17)*(VLOOKUP($B$4,'FX Data'!$M$2:$N$6,2,FALSE)),((1/'FX Data'!F17)*'FX Data'!G17)*(VLOOKUP($B$4,'FX Data'!$M$2:$N$6,2,FALSE)))</f>
        <v>0.14456758389979732</v>
      </c>
      <c r="H22" s="37">
        <f t="shared" si="0"/>
        <v>3.7443004230055261</v>
      </c>
      <c r="I22" s="8"/>
      <c r="J22" s="40">
        <f>[3]!EURDKK</f>
        <v>7.4380899999999999</v>
      </c>
      <c r="K22" s="28">
        <f>[4]!EURDKK</f>
        <v>7.4346500000000004</v>
      </c>
      <c r="L22" s="29">
        <f>(J22-K22)*'FX Data'!E17</f>
        <v>34.399999999994435</v>
      </c>
      <c r="M22" s="37">
        <f t="shared" si="1"/>
        <v>4.973124886152223</v>
      </c>
      <c r="O22" s="44" t="str">
        <f>[5]!EURDKK</f>
        <v>2017/04/21 23:59</v>
      </c>
      <c r="P22" s="45">
        <f t="shared" ca="1" si="2"/>
        <v>0.60022395833220799</v>
      </c>
      <c r="R22" s="22">
        <v>2</v>
      </c>
    </row>
    <row r="23" spans="2:18" x14ac:dyDescent="0.2">
      <c r="B23" s="31" t="s">
        <v>14</v>
      </c>
      <c r="C23" s="30">
        <f>[1]!EURGBP</f>
        <v>0.83686000000000005</v>
      </c>
      <c r="D23" s="30">
        <f>[2]!EURGBP</f>
        <v>0.83786000000000005</v>
      </c>
      <c r="E23" s="32">
        <f>(D23-C23)*'FX Data'!E18</f>
        <v>10.000000000000009</v>
      </c>
      <c r="G23" s="36">
        <f>IF(RIGHT('FX Data'!C18,3)="USD",('FX Data'!F18*'FX Data'!G18)*(VLOOKUP($B$4,'FX Data'!$M$2:$N$6,2,FALSE)),((1/'FX Data'!F18)*'FX Data'!G18)*(VLOOKUP($B$4,'FX Data'!$M$2:$N$6,2,FALSE)))</f>
        <v>1.28023</v>
      </c>
      <c r="H23" s="37">
        <f t="shared" si="0"/>
        <v>12.802300000000011</v>
      </c>
      <c r="I23" s="8"/>
      <c r="J23" s="41">
        <f>[3]!EURGBP</f>
        <v>0.83858999999999995</v>
      </c>
      <c r="K23" s="30">
        <f>[4]!EURGBP</f>
        <v>0.83511000000000002</v>
      </c>
      <c r="L23" s="29">
        <f>(J23-K23)*'FX Data'!E18</f>
        <v>34.799999999999272</v>
      </c>
      <c r="M23" s="37">
        <f t="shared" si="1"/>
        <v>44.552003999999066</v>
      </c>
      <c r="O23" s="44" t="str">
        <f>[5]!EURGBP</f>
        <v>2017/04/21 23:59</v>
      </c>
      <c r="P23" s="45">
        <f t="shared" ca="1" si="2"/>
        <v>0.60022395833220799</v>
      </c>
      <c r="R23" s="22">
        <v>3</v>
      </c>
    </row>
    <row r="24" spans="2:18" x14ac:dyDescent="0.2">
      <c r="B24" s="31" t="s">
        <v>58</v>
      </c>
      <c r="C24" s="28">
        <f>[1]!EURHUF</f>
        <v>311.83499999999998</v>
      </c>
      <c r="D24" s="28">
        <f>[2]!EURHUF</f>
        <v>313.61599999999999</v>
      </c>
      <c r="E24" s="32">
        <f>(D24-C24)*'FX Data'!E19</f>
        <v>178.10000000000059</v>
      </c>
      <c r="F24" s="6"/>
      <c r="G24" s="36">
        <f>IF(RIGHT('FX Data'!C19,3)="USD",('FX Data'!F19*'FX Data'!G19)*(VLOOKUP($B$4,'FX Data'!$M$2:$N$6,2,FALSE)),((1/'FX Data'!F19)*'FX Data'!G19)*(VLOOKUP($B$4,'FX Data'!$M$2:$N$6,2,FALSE)))</f>
        <v>0.34489537598769415</v>
      </c>
      <c r="H24" s="37">
        <f t="shared" si="0"/>
        <v>61.425866463408532</v>
      </c>
      <c r="I24" s="8"/>
      <c r="J24" s="40">
        <f>[3]!EURHUF</f>
        <v>314.19400000000002</v>
      </c>
      <c r="K24" s="28">
        <f>[4]!EURHUF</f>
        <v>311.66800000000001</v>
      </c>
      <c r="L24" s="29">
        <f>(J24-K24)*'FX Data'!E19</f>
        <v>252.60000000000105</v>
      </c>
      <c r="M24" s="37">
        <f t="shared" si="1"/>
        <v>87.120571974491909</v>
      </c>
      <c r="O24" s="44" t="str">
        <f>[5]!EURHUF</f>
        <v>2017/04/21 23:59</v>
      </c>
      <c r="P24" s="45">
        <f t="shared" ca="1" si="2"/>
        <v>0.60022395833220799</v>
      </c>
      <c r="R24" s="22">
        <v>4</v>
      </c>
    </row>
    <row r="25" spans="2:18" x14ac:dyDescent="0.2">
      <c r="B25" s="31" t="s">
        <v>31</v>
      </c>
      <c r="C25" s="28">
        <f>[1]!EURNOK</f>
        <v>9.2840199999999999</v>
      </c>
      <c r="D25" s="28">
        <f>[2]!EURNOK</f>
        <v>9.3167399999999994</v>
      </c>
      <c r="E25" s="32">
        <f>(D25-C25)*'FX Data'!E20</f>
        <v>327.19999999999413</v>
      </c>
      <c r="F25" s="6"/>
      <c r="G25" s="36">
        <f>IF(RIGHT('FX Data'!C20,3)="USD",('FX Data'!F20*'FX Data'!G20)*(VLOOKUP($B$4,'FX Data'!$M$2:$N$6,2,FALSE)),((1/'FX Data'!F20)*'FX Data'!G20)*(VLOOKUP($B$4,'FX Data'!$M$2:$N$6,2,FALSE)))</f>
        <v>0.11559063345978948</v>
      </c>
      <c r="H25" s="37">
        <f t="shared" si="0"/>
        <v>37.821255268042442</v>
      </c>
      <c r="I25" s="8"/>
      <c r="J25" s="40">
        <f>[3]!EURNOK</f>
        <v>9.3035200000000007</v>
      </c>
      <c r="K25" s="28">
        <f>[4]!EURNOK</f>
        <v>9.2201500000000003</v>
      </c>
      <c r="L25" s="29">
        <f>(J25-K25)*'FX Data'!E20</f>
        <v>833.70000000000391</v>
      </c>
      <c r="M25" s="37">
        <f t="shared" si="1"/>
        <v>96.367911115426949</v>
      </c>
      <c r="O25" s="44" t="str">
        <f>[5]!EURNOK</f>
        <v>2017/04/21 23:59</v>
      </c>
      <c r="P25" s="45">
        <f t="shared" ca="1" si="2"/>
        <v>0.60022395833220799</v>
      </c>
      <c r="R25" s="22">
        <v>5</v>
      </c>
    </row>
    <row r="26" spans="2:18" x14ac:dyDescent="0.2">
      <c r="B26" s="31" t="s">
        <v>35</v>
      </c>
      <c r="C26" s="28">
        <f>[1]!EURNZD</f>
        <v>1.5237799999999999</v>
      </c>
      <c r="D26" s="28">
        <f>[2]!EURNZD</f>
        <v>1.5277799999999999</v>
      </c>
      <c r="E26" s="32">
        <f>(D26-C26)*'FX Data'!E21</f>
        <v>40.000000000000036</v>
      </c>
      <c r="F26" s="6"/>
      <c r="G26" s="36">
        <f>IF(RIGHT('FX Data'!C21,3)="USD",('FX Data'!F21*'FX Data'!G21)*(VLOOKUP($B$4,'FX Data'!$M$2:$N$6,2,FALSE)),((1/'FX Data'!F21)*'FX Data'!G21)*(VLOOKUP($B$4,'FX Data'!$M$2:$N$6,2,FALSE)))</f>
        <v>0.70218999999999998</v>
      </c>
      <c r="H26" s="37">
        <f t="shared" si="0"/>
        <v>28.087600000000023</v>
      </c>
      <c r="I26" s="8"/>
      <c r="J26" s="40">
        <f>[3]!EURNZD</f>
        <v>1.5335700000000001</v>
      </c>
      <c r="K26" s="28">
        <f>[4]!EURNZD</f>
        <v>1.5206500000000001</v>
      </c>
      <c r="L26" s="29">
        <f>(J26-K26)*'FX Data'!E21</f>
        <v>129.20000000000041</v>
      </c>
      <c r="M26" s="37">
        <f t="shared" si="1"/>
        <v>90.722948000000287</v>
      </c>
      <c r="O26" s="44" t="str">
        <f>[5]!EURNZD</f>
        <v>2017/04/21 23:59</v>
      </c>
      <c r="P26" s="45">
        <f t="shared" ca="1" si="2"/>
        <v>0.60022395833220799</v>
      </c>
      <c r="R26" s="22">
        <v>6</v>
      </c>
    </row>
    <row r="27" spans="2:18" x14ac:dyDescent="0.2">
      <c r="B27" s="31" t="s">
        <v>36</v>
      </c>
      <c r="C27" s="28">
        <f>[1]!EURPLN</f>
        <v>4.2511400000000004</v>
      </c>
      <c r="D27" s="28">
        <f>[2]!EURPLN</f>
        <v>4.274</v>
      </c>
      <c r="E27" s="32">
        <f>(D27-C27)*'FX Data'!E22</f>
        <v>228.59999999999658</v>
      </c>
      <c r="F27" s="6"/>
      <c r="G27" s="36">
        <f>IF(RIGHT('FX Data'!C22,3)="USD",('FX Data'!F22*'FX Data'!G22)*(VLOOKUP($B$4,'FX Data'!$M$2:$N$6,2,FALSE)),((1/'FX Data'!F22)*'FX Data'!G22)*(VLOOKUP($B$4,'FX Data'!$M$2:$N$6,2,FALSE)))</f>
        <v>0.25285409054704983</v>
      </c>
      <c r="H27" s="37">
        <f t="shared" si="0"/>
        <v>57.802445099054729</v>
      </c>
      <c r="I27" s="8"/>
      <c r="J27" s="40">
        <f>[3]!EURPLN</f>
        <v>4.2830000000000004</v>
      </c>
      <c r="K27" s="28">
        <f>[4]!EURPLN</f>
        <v>4.25108</v>
      </c>
      <c r="L27" s="29">
        <f>(J27-K27)*'FX Data'!E22</f>
        <v>319.20000000000391</v>
      </c>
      <c r="M27" s="37">
        <f t="shared" si="1"/>
        <v>80.711025702619295</v>
      </c>
      <c r="O27" s="44" t="str">
        <f>[5]!EURPLN</f>
        <v>2017/04/21 23:59</v>
      </c>
      <c r="P27" s="45">
        <f t="shared" ca="1" si="2"/>
        <v>0.60022395833220799</v>
      </c>
      <c r="R27" s="22">
        <v>7</v>
      </c>
    </row>
    <row r="28" spans="2:18" x14ac:dyDescent="0.2">
      <c r="B28" s="31" t="s">
        <v>30</v>
      </c>
      <c r="C28" s="28">
        <f>[1]!EURSEK</f>
        <v>9.6364099999999997</v>
      </c>
      <c r="D28" s="28">
        <f>[2]!EURSEK</f>
        <v>9.6728799999999993</v>
      </c>
      <c r="E28" s="32">
        <f>(D28-C28)*'FX Data'!E23</f>
        <v>364.69999999999561</v>
      </c>
      <c r="F28" s="6"/>
      <c r="G28" s="36">
        <f>IF(RIGHT('FX Data'!C23,3)="USD",('FX Data'!F23*'FX Data'!G23)*(VLOOKUP($B$4,'FX Data'!$M$2:$N$6,2,FALSE)),((1/'FX Data'!F23)*'FX Data'!G23)*(VLOOKUP($B$4,'FX Data'!$M$2:$N$6,2,FALSE)))</f>
        <v>0.11156393673432277</v>
      </c>
      <c r="H28" s="37">
        <f t="shared" si="0"/>
        <v>40.687367727007022</v>
      </c>
      <c r="I28" s="8"/>
      <c r="J28" s="40">
        <f>[3]!EURSEK</f>
        <v>9.6673200000000001</v>
      </c>
      <c r="K28" s="28">
        <f>[4]!EURSEK</f>
        <v>9.6138999999999992</v>
      </c>
      <c r="L28" s="29">
        <f>(J28-K28)*'FX Data'!E23</f>
        <v>534.20000000000914</v>
      </c>
      <c r="M28" s="37">
        <f t="shared" si="1"/>
        <v>59.597455003476242</v>
      </c>
      <c r="O28" s="44" t="str">
        <f>[5]!EURSEK</f>
        <v>2017/04/21 23:59</v>
      </c>
      <c r="P28" s="45">
        <f t="shared" ca="1" si="2"/>
        <v>0.60022395833220799</v>
      </c>
      <c r="R28" s="22">
        <v>8</v>
      </c>
    </row>
    <row r="29" spans="2:18" x14ac:dyDescent="0.2">
      <c r="B29" s="31" t="s">
        <v>51</v>
      </c>
      <c r="C29" s="28">
        <f>[1]!EURTRY</f>
        <v>3.8955299999999999</v>
      </c>
      <c r="D29" s="28">
        <f>[2]!EURTRY</f>
        <v>3.91553</v>
      </c>
      <c r="E29" s="32">
        <f>(D29-C29)*'FX Data'!E24</f>
        <v>200.00000000000017</v>
      </c>
      <c r="F29" s="6"/>
      <c r="G29" s="36">
        <f>IF(RIGHT('FX Data'!C24,3)="USD",('FX Data'!F24*'FX Data'!G24)*(VLOOKUP($B$4,'FX Data'!$M$2:$N$6,2,FALSE)),((1/'FX Data'!F24)*'FX Data'!G24)*(VLOOKUP($B$4,'FX Data'!$M$2:$N$6,2,FALSE)))</f>
        <v>0.27538347148404152</v>
      </c>
      <c r="H29" s="37">
        <f t="shared" si="0"/>
        <v>55.076694296808348</v>
      </c>
      <c r="I29" s="8"/>
      <c r="J29" s="40">
        <f>[3]!EURTRY</f>
        <v>3.9167999999999998</v>
      </c>
      <c r="K29" s="28">
        <f>[4]!EURTRY</f>
        <v>3.8869799999999999</v>
      </c>
      <c r="L29" s="29">
        <f>(J29-K29)*'FX Data'!E24</f>
        <v>298.19999999999959</v>
      </c>
      <c r="M29" s="37">
        <f t="shared" si="1"/>
        <v>82.119351196541075</v>
      </c>
      <c r="O29" s="44" t="str">
        <f>[5]!EURTRY</f>
        <v>2017/04/21 23:59</v>
      </c>
      <c r="P29" s="45">
        <f t="shared" ca="1" si="2"/>
        <v>0.60022395833220799</v>
      </c>
      <c r="R29" s="22">
        <v>9</v>
      </c>
    </row>
    <row r="30" spans="2:18" x14ac:dyDescent="0.2">
      <c r="B30" s="31" t="s">
        <v>8</v>
      </c>
      <c r="C30" s="30">
        <f>[1]!EURUSD</f>
        <v>1.07216</v>
      </c>
      <c r="D30" s="30">
        <f>[2]!EURUSD</f>
        <v>1.0731599999999999</v>
      </c>
      <c r="E30" s="32">
        <f>(D30-C30)*'FX Data'!E25</f>
        <v>9.9999999999988987</v>
      </c>
      <c r="G30" s="36">
        <f>IF(RIGHT('FX Data'!C25,3)="USD",('FX Data'!F25*'FX Data'!G25)*(VLOOKUP($B$4,'FX Data'!$M$2:$N$6,2,FALSE)),((1/'FX Data'!F25)*'FX Data'!G25)*(VLOOKUP($B$4,'FX Data'!$M$2:$N$6,2,FALSE)))</f>
        <v>1</v>
      </c>
      <c r="H30" s="37">
        <f t="shared" si="0"/>
        <v>9.9999999999988987</v>
      </c>
      <c r="I30" s="8"/>
      <c r="J30" s="41">
        <f>[3]!EURUSD</f>
        <v>1.0737300000000001</v>
      </c>
      <c r="K30" s="30">
        <f>[4]!EURUSD</f>
        <v>1.0681799999999999</v>
      </c>
      <c r="L30" s="29">
        <f>(J30-K30)*'FX Data'!E25</f>
        <v>55.500000000001663</v>
      </c>
      <c r="M30" s="37">
        <f t="shared" si="1"/>
        <v>55.500000000001663</v>
      </c>
      <c r="O30" s="44" t="str">
        <f>[5]!EURUSD</f>
        <v>2017/04/21 23:59</v>
      </c>
      <c r="P30" s="45">
        <f t="shared" ca="1" si="2"/>
        <v>0.60022395833220799</v>
      </c>
      <c r="R30" s="22">
        <v>10</v>
      </c>
    </row>
    <row r="31" spans="2:18" x14ac:dyDescent="0.2">
      <c r="B31" s="31" t="s">
        <v>26</v>
      </c>
      <c r="C31" s="28">
        <f>[1]!GBPAUD</f>
        <v>1.6971099999999999</v>
      </c>
      <c r="D31" s="28">
        <f>[2]!GBPAUD</f>
        <v>1.6991099999999999</v>
      </c>
      <c r="E31" s="32">
        <f>(D31-C31)*'FX Data'!E26</f>
        <v>20.000000000000018</v>
      </c>
      <c r="F31" s="6"/>
      <c r="G31" s="36">
        <f>IF(RIGHT('FX Data'!C26,3)="USD",('FX Data'!F26*'FX Data'!G26)*(VLOOKUP($B$4,'FX Data'!$M$2:$N$6,2,FALSE)),((1/'FX Data'!F26)*'FX Data'!G26)*(VLOOKUP($B$4,'FX Data'!$M$2:$N$6,2,FALSE)))</f>
        <v>0.75368999999999997</v>
      </c>
      <c r="H31" s="37">
        <f t="shared" si="0"/>
        <v>15.073800000000013</v>
      </c>
      <c r="I31" s="8"/>
      <c r="J31" s="40">
        <f>[3]!GBPAUD</f>
        <v>1.7033499999999999</v>
      </c>
      <c r="K31" s="28">
        <f>[4]!GBPAUD</f>
        <v>1.6939900000000001</v>
      </c>
      <c r="L31" s="29">
        <f>(J31-K31)*'FX Data'!E26</f>
        <v>93.599999999998133</v>
      </c>
      <c r="M31" s="37">
        <f t="shared" si="1"/>
        <v>70.545383999998592</v>
      </c>
      <c r="O31" s="44" t="str">
        <f>[5]!GBPAUD</f>
        <v>2017/04/21 23:59</v>
      </c>
      <c r="P31" s="45">
        <f t="shared" ca="1" si="2"/>
        <v>0.60022395833220799</v>
      </c>
      <c r="R31" s="22">
        <v>11</v>
      </c>
    </row>
    <row r="32" spans="2:18" x14ac:dyDescent="0.2">
      <c r="B32" s="31" t="s">
        <v>24</v>
      </c>
      <c r="C32" s="28">
        <f>[1]!GBPCAD</f>
        <v>1.7277800000000001</v>
      </c>
      <c r="D32" s="28">
        <f>[2]!GBPCAD</f>
        <v>1.7297800000000001</v>
      </c>
      <c r="E32" s="32">
        <f>(D32-C32)*'FX Data'!E27</f>
        <v>20.000000000000018</v>
      </c>
      <c r="F32" s="6"/>
      <c r="G32" s="36">
        <f>IF(RIGHT('FX Data'!C27,3)="USD",('FX Data'!F27*'FX Data'!G27)*(VLOOKUP($B$4,'FX Data'!$M$2:$N$6,2,FALSE)),((1/'FX Data'!F27)*'FX Data'!G27)*(VLOOKUP($B$4,'FX Data'!$M$2:$N$6,2,FALSE)))</f>
        <v>0.74136128759628428</v>
      </c>
      <c r="H32" s="37">
        <f t="shared" si="0"/>
        <v>14.827225751925699</v>
      </c>
      <c r="I32" s="8"/>
      <c r="J32" s="40">
        <f>[3]!GBPCAD</f>
        <v>1.7300199999999999</v>
      </c>
      <c r="K32" s="28">
        <f>[4]!GBPCAD</f>
        <v>1.71828</v>
      </c>
      <c r="L32" s="29">
        <f>(J32-K32)*'FX Data'!E27</f>
        <v>117.39999999999861</v>
      </c>
      <c r="M32" s="37">
        <f t="shared" si="1"/>
        <v>87.035815163802752</v>
      </c>
      <c r="O32" s="44" t="str">
        <f>[5]!GBPCAD</f>
        <v>2017/04/21 23:59</v>
      </c>
      <c r="P32" s="45">
        <f t="shared" ca="1" si="2"/>
        <v>0.60022395833220799</v>
      </c>
      <c r="R32" s="22">
        <v>12</v>
      </c>
    </row>
    <row r="33" spans="2:16" x14ac:dyDescent="0.2">
      <c r="B33" s="31" t="s">
        <v>17</v>
      </c>
      <c r="C33" s="28">
        <f>[1]!GBPCHF</f>
        <v>1.27502</v>
      </c>
      <c r="D33" s="28">
        <f>[2]!GBPCHF</f>
        <v>1.27702</v>
      </c>
      <c r="E33" s="32">
        <f>(D33-C33)*'FX Data'!E28</f>
        <v>20.000000000000018</v>
      </c>
      <c r="F33" s="6"/>
      <c r="G33" s="36">
        <f>IF(RIGHT('FX Data'!C28,3)="USD",('FX Data'!F28*'FX Data'!G28)*(VLOOKUP($B$4,'FX Data'!$M$2:$N$6,2,FALSE)),((1/'FX Data'!F28)*'FX Data'!G28)*(VLOOKUP($B$4,'FX Data'!$M$2:$N$6,2,FALSE)))</f>
        <v>1.0047524792267426</v>
      </c>
      <c r="H33" s="37">
        <f t="shared" si="0"/>
        <v>20.09504958453487</v>
      </c>
      <c r="I33" s="8"/>
      <c r="J33" s="40">
        <f>[3]!GBPCHF</f>
        <v>1.28033</v>
      </c>
      <c r="K33" s="28">
        <f>[4]!GBPCHF</f>
        <v>1.2741199999999999</v>
      </c>
      <c r="L33" s="29">
        <f>(J33-K33)*'FX Data'!E28</f>
        <v>62.100000000000492</v>
      </c>
      <c r="M33" s="37">
        <f t="shared" si="1"/>
        <v>62.395128959981207</v>
      </c>
      <c r="O33" s="44" t="str">
        <f>[5]!GBPCHF</f>
        <v>2017/04/21 23:59</v>
      </c>
      <c r="P33" s="45">
        <f t="shared" ca="1" si="2"/>
        <v>0.60022395833220799</v>
      </c>
    </row>
    <row r="34" spans="2:16" x14ac:dyDescent="0.2">
      <c r="B34" s="31" t="s">
        <v>15</v>
      </c>
      <c r="C34" s="28">
        <f>[1]!GBPJPY</f>
        <v>139.66300000000001</v>
      </c>
      <c r="D34" s="28">
        <f>[2]!GBPJPY</f>
        <v>139.863</v>
      </c>
      <c r="E34" s="32">
        <f>(D34-C34)*'FX Data'!E29</f>
        <v>19.999999999998863</v>
      </c>
      <c r="F34" s="6"/>
      <c r="G34" s="36">
        <f>IF(RIGHT('FX Data'!C29,3)="USD",('FX Data'!F29*'FX Data'!G29)*(VLOOKUP($B$4,'FX Data'!$M$2:$N$6,2,FALSE)),((1/'FX Data'!F29)*'FX Data'!G29)*(VLOOKUP($B$4,'FX Data'!$M$2:$N$6,2,FALSE)))</f>
        <v>0.91728812937431781</v>
      </c>
      <c r="H34" s="37">
        <f t="shared" si="0"/>
        <v>18.345762587485314</v>
      </c>
      <c r="I34" s="8"/>
      <c r="J34" s="40">
        <f>[3]!GBPJPY</f>
        <v>140.13999999999999</v>
      </c>
      <c r="K34" s="28">
        <f>[4]!GBPJPY</f>
        <v>139.17599999999999</v>
      </c>
      <c r="L34" s="29">
        <f>(J34-K34)*'FX Data'!E29</f>
        <v>96.399999999999864</v>
      </c>
      <c r="M34" s="37">
        <f t="shared" si="1"/>
        <v>88.426575671684105</v>
      </c>
      <c r="O34" s="44" t="str">
        <f>[5]!GBPJPY</f>
        <v>2017/04/21 23:59</v>
      </c>
      <c r="P34" s="45">
        <f t="shared" ca="1" si="2"/>
        <v>0.60022395833220799</v>
      </c>
    </row>
    <row r="35" spans="2:16" x14ac:dyDescent="0.2">
      <c r="B35" s="31" t="s">
        <v>25</v>
      </c>
      <c r="C35" s="28">
        <f>[1]!GBPNZD</f>
        <v>1.8192299999999999</v>
      </c>
      <c r="D35" s="28">
        <f>[2]!GBPNZD</f>
        <v>1.8252299999999999</v>
      </c>
      <c r="E35" s="32">
        <f>(D35-C35)*'FX Data'!E30</f>
        <v>60.000000000000057</v>
      </c>
      <c r="F35" s="6"/>
      <c r="G35" s="36">
        <f>IF(RIGHT('FX Data'!C30,3)="USD",('FX Data'!F30*'FX Data'!G30)*(VLOOKUP($B$4,'FX Data'!$M$2:$N$6,2,FALSE)),((1/'FX Data'!F30)*'FX Data'!G30)*(VLOOKUP($B$4,'FX Data'!$M$2:$N$6,2,FALSE)))</f>
        <v>0.70218999999999998</v>
      </c>
      <c r="H35" s="37">
        <f t="shared" si="0"/>
        <v>42.131400000000042</v>
      </c>
      <c r="I35" s="8"/>
      <c r="J35" s="40">
        <f>[3]!GBPNZD</f>
        <v>1.8326100000000001</v>
      </c>
      <c r="K35" s="28">
        <f>[4]!GBPNZD</f>
        <v>1.8179399999999999</v>
      </c>
      <c r="L35" s="29">
        <f>(J35-K35)*'FX Data'!E30</f>
        <v>146.70000000000184</v>
      </c>
      <c r="M35" s="37">
        <f t="shared" si="1"/>
        <v>103.01127300000128</v>
      </c>
      <c r="O35" s="44" t="str">
        <f>[5]!GBPNZD</f>
        <v>2017/04/21 23:59</v>
      </c>
      <c r="P35" s="45">
        <f t="shared" ca="1" si="2"/>
        <v>0.60022395833220799</v>
      </c>
    </row>
    <row r="36" spans="2:16" x14ac:dyDescent="0.2">
      <c r="B36" s="31" t="s">
        <v>44</v>
      </c>
      <c r="C36" s="28" t="str">
        <f>[1]!GBPSEK</f>
        <v>N\A</v>
      </c>
      <c r="D36" s="28" t="str">
        <f>[2]!GBPSEK</f>
        <v>N\A</v>
      </c>
      <c r="E36" s="32" t="e">
        <f>(D36-C36)*'FX Data'!E31</f>
        <v>#VALUE!</v>
      </c>
      <c r="F36" s="6"/>
      <c r="G36" s="36">
        <f>IF(RIGHT('FX Data'!C31,3)="USD",('FX Data'!F31*'FX Data'!G31)*(VLOOKUP($B$4,'FX Data'!$M$2:$N$6,2,FALSE)),((1/'FX Data'!F31)*'FX Data'!G31)*(VLOOKUP($B$4,'FX Data'!$M$2:$N$6,2,FALSE)))</f>
        <v>0.11156393673432277</v>
      </c>
      <c r="H36" s="37" t="e">
        <f t="shared" si="0"/>
        <v>#VALUE!</v>
      </c>
      <c r="I36" s="8"/>
      <c r="J36" s="40" t="str">
        <f>[3]!GBPSEK</f>
        <v>N\A</v>
      </c>
      <c r="K36" s="28" t="str">
        <f>[4]!GBPSEK</f>
        <v>N\A</v>
      </c>
      <c r="L36" s="29" t="e">
        <f>(J36-K36)*'FX Data'!E31</f>
        <v>#VALUE!</v>
      </c>
      <c r="M36" s="37" t="e">
        <f t="shared" si="1"/>
        <v>#VALUE!</v>
      </c>
      <c r="O36" s="44" t="str">
        <f>[5]!GBPSEK</f>
        <v>N\A</v>
      </c>
      <c r="P36" s="45" t="e">
        <f t="shared" ca="1" si="2"/>
        <v>#VALUE!</v>
      </c>
    </row>
    <row r="37" spans="2:16" x14ac:dyDescent="0.2">
      <c r="B37" s="31" t="s">
        <v>6</v>
      </c>
      <c r="C37" s="30">
        <f>[1]!GBPUSD</f>
        <v>1.28023</v>
      </c>
      <c r="D37" s="30">
        <f>[2]!GBPUSD</f>
        <v>1.28173</v>
      </c>
      <c r="E37" s="32">
        <f>(D37-C37)*'FX Data'!E32</f>
        <v>15.000000000000568</v>
      </c>
      <c r="G37" s="36">
        <f>IF(RIGHT('FX Data'!C32,3)="USD",('FX Data'!F32*'FX Data'!G32)*(VLOOKUP($B$4,'FX Data'!$M$2:$N$6,2,FALSE)),((1/'FX Data'!F32)*'FX Data'!G32)*(VLOOKUP($B$4,'FX Data'!$M$2:$N$6,2,FALSE)))</f>
        <v>1</v>
      </c>
      <c r="H37" s="37">
        <f t="shared" si="0"/>
        <v>15.000000000000568</v>
      </c>
      <c r="I37" s="8"/>
      <c r="J37" s="41">
        <f>[3]!GBPUSD</f>
        <v>1.28342</v>
      </c>
      <c r="K37" s="30">
        <f>[4]!GBPUSD</f>
        <v>1.2754799999999999</v>
      </c>
      <c r="L37" s="29">
        <f>(J37-K37)*'FX Data'!E32</f>
        <v>79.400000000000574</v>
      </c>
      <c r="M37" s="37">
        <f t="shared" si="1"/>
        <v>79.400000000000574</v>
      </c>
      <c r="O37" s="44" t="str">
        <f>[5]!GBPUSD</f>
        <v>2017/04/21 23:59</v>
      </c>
      <c r="P37" s="45">
        <f t="shared" ca="1" si="2"/>
        <v>0.60022395833220799</v>
      </c>
    </row>
    <row r="38" spans="2:16" x14ac:dyDescent="0.2">
      <c r="B38" s="31" t="s">
        <v>48</v>
      </c>
      <c r="C38" s="28">
        <f>[1]!HKDJPY</f>
        <v>14.01951</v>
      </c>
      <c r="D38" s="28">
        <f>[2]!HKDJPY</f>
        <v>14.035729999999999</v>
      </c>
      <c r="E38" s="32">
        <f>(D38-C38)*'FX Data'!E33</f>
        <v>1.6219999999998791</v>
      </c>
      <c r="F38" s="6"/>
      <c r="G38" s="36">
        <f>IF(RIGHT('FX Data'!C33,3)="USD",('FX Data'!F33*'FX Data'!G33)*(VLOOKUP($B$4,'FX Data'!$M$2:$N$6,2,FALSE)),((1/'FX Data'!F33)*'FX Data'!G33)*(VLOOKUP($B$4,'FX Data'!$M$2:$N$6,2,FALSE)))</f>
        <v>0.91728812937431781</v>
      </c>
      <c r="H38" s="37">
        <f t="shared" si="0"/>
        <v>1.4878413458450326</v>
      </c>
      <c r="I38" s="8"/>
      <c r="J38" s="40">
        <f>[3]!HKdJPY</f>
        <v>14.07333</v>
      </c>
      <c r="K38" s="28">
        <f>[4]!HKDJPY</f>
        <v>14.001749999999999</v>
      </c>
      <c r="L38" s="29">
        <f>(J38-K38)*'FX Data'!E33</f>
        <v>7.1580000000000865</v>
      </c>
      <c r="M38" s="37">
        <f t="shared" si="1"/>
        <v>6.5659484300614466</v>
      </c>
      <c r="O38" s="44" t="str">
        <f>[5]!HKDJPY</f>
        <v>2017/04/21 23:59</v>
      </c>
      <c r="P38" s="45">
        <f t="shared" ca="1" si="2"/>
        <v>0.60022395833220799</v>
      </c>
    </row>
    <row r="39" spans="2:16" x14ac:dyDescent="0.2">
      <c r="B39" s="31" t="s">
        <v>45</v>
      </c>
      <c r="C39" s="28" t="str">
        <f>[1]!NOKJPY</f>
        <v>N\A</v>
      </c>
      <c r="D39" s="28" t="str">
        <f>[2]!NOKJPY</f>
        <v>N\A</v>
      </c>
      <c r="E39" s="32" t="e">
        <f>(D39-C39)*'FX Data'!E34</f>
        <v>#VALUE!</v>
      </c>
      <c r="F39" s="6"/>
      <c r="G39" s="36">
        <f>IF(RIGHT('FX Data'!C34,3)="USD",('FX Data'!F34*'FX Data'!G34)*(VLOOKUP($B$4,'FX Data'!$M$2:$N$6,2,FALSE)),((1/'FX Data'!F34)*'FX Data'!G34)*(VLOOKUP($B$4,'FX Data'!$M$2:$N$6,2,FALSE)))</f>
        <v>0.91728812937431781</v>
      </c>
      <c r="H39" s="37" t="e">
        <f t="shared" si="0"/>
        <v>#VALUE!</v>
      </c>
      <c r="I39" s="8"/>
      <c r="J39" s="40" t="str">
        <f>[3]!NOKJPY</f>
        <v>N\A</v>
      </c>
      <c r="K39" s="28" t="str">
        <f>[4]!NOKJPY</f>
        <v>N\A</v>
      </c>
      <c r="L39" s="29" t="e">
        <f>(J39-K39)*'FX Data'!E34</f>
        <v>#VALUE!</v>
      </c>
      <c r="M39" s="37" t="e">
        <f t="shared" si="1"/>
        <v>#VALUE!</v>
      </c>
      <c r="O39" s="44" t="str">
        <f>[5]!NOKJPY</f>
        <v>N\A</v>
      </c>
      <c r="P39" s="45" t="e">
        <f t="shared" ca="1" si="2"/>
        <v>#VALUE!</v>
      </c>
    </row>
    <row r="40" spans="2:16" x14ac:dyDescent="0.2">
      <c r="B40" s="31" t="s">
        <v>54</v>
      </c>
      <c r="C40" s="28">
        <f>[1]!NZDCAD</f>
        <v>0.94772999999999996</v>
      </c>
      <c r="D40" s="28">
        <f>[2]!NZDCAD</f>
        <v>0.94972999999999996</v>
      </c>
      <c r="E40" s="32">
        <f>(D40-C40)*'FX Data'!E35</f>
        <v>20.000000000000018</v>
      </c>
      <c r="F40" s="6"/>
      <c r="G40" s="36">
        <f>IF(RIGHT('FX Data'!C35,3)="USD",('FX Data'!F35*'FX Data'!G35)*(VLOOKUP($B$4,'FX Data'!$M$2:$N$6,2,FALSE)),((1/'FX Data'!F35)*'FX Data'!G35)*(VLOOKUP($B$4,'FX Data'!$M$2:$N$6,2,FALSE)))</f>
        <v>0.74136128759628428</v>
      </c>
      <c r="H40" s="37">
        <f t="shared" ref="H40:H62" si="3">G40*E40</f>
        <v>14.827225751925699</v>
      </c>
      <c r="I40" s="8"/>
      <c r="J40" s="40">
        <f>[3]!NZDCAD</f>
        <v>0.94955999999999996</v>
      </c>
      <c r="K40" s="28">
        <f>[4]!NZDCAD</f>
        <v>0.94081000000000004</v>
      </c>
      <c r="L40" s="29">
        <f>(J40-K40)*'FX Data'!E35</f>
        <v>87.499999999999247</v>
      </c>
      <c r="M40" s="37">
        <f t="shared" ref="M40:M62" si="4">L40*G40</f>
        <v>64.869112664674319</v>
      </c>
      <c r="O40" s="44" t="str">
        <f>[5]!NZDCAD</f>
        <v>2017/04/21 23:59</v>
      </c>
      <c r="P40" s="45">
        <f t="shared" ref="P40:P62" ca="1" si="5">IF($B$3&lt;0,(NOW()+TIME(-1*$B$3,0,0))-O40,(NOW()-TIME((ABS(-1*$B$3)),0,0))-$O40)</f>
        <v>0.60022395833220799</v>
      </c>
    </row>
    <row r="41" spans="2:16" x14ac:dyDescent="0.2">
      <c r="B41" s="31" t="s">
        <v>52</v>
      </c>
      <c r="C41" s="28">
        <f>[1]!NZDCHF</f>
        <v>0.69886999999999999</v>
      </c>
      <c r="D41" s="28">
        <f>[2]!NZDCHF</f>
        <v>0.70191999999999999</v>
      </c>
      <c r="E41" s="32">
        <f>(D41-C41)*'FX Data'!E36</f>
        <v>30.499999999999972</v>
      </c>
      <c r="F41" s="6"/>
      <c r="G41" s="36">
        <f>IF(RIGHT('FX Data'!C36,3)="USD",('FX Data'!F36*'FX Data'!G36)*(VLOOKUP($B$4,'FX Data'!$M$2:$N$6,2,FALSE)),((1/'FX Data'!F36)*'FX Data'!G36)*(VLOOKUP($B$4,'FX Data'!$M$2:$N$6,2,FALSE)))</f>
        <v>1.0047524792267426</v>
      </c>
      <c r="H41" s="37">
        <f t="shared" si="3"/>
        <v>30.64495061641562</v>
      </c>
      <c r="I41" s="8"/>
      <c r="J41" s="40">
        <f>[3]!NZDCHF</f>
        <v>0.70170999999999994</v>
      </c>
      <c r="K41" s="28">
        <f>[4]!NZDCHF</f>
        <v>0.6976</v>
      </c>
      <c r="L41" s="29">
        <f>(J41-K41)*'FX Data'!E36</f>
        <v>41.099999999999469</v>
      </c>
      <c r="M41" s="37">
        <f t="shared" si="4"/>
        <v>41.29532689621859</v>
      </c>
      <c r="O41" s="44" t="str">
        <f>[5]!NZDCHF</f>
        <v>2017/04/21 23:59</v>
      </c>
      <c r="P41" s="45">
        <f t="shared" ca="1" si="5"/>
        <v>0.60022395833220799</v>
      </c>
    </row>
    <row r="42" spans="2:16" x14ac:dyDescent="0.2">
      <c r="B42" s="31" t="s">
        <v>23</v>
      </c>
      <c r="C42" s="28">
        <f>[1]!NZDJPY</f>
        <v>76.602000000000004</v>
      </c>
      <c r="D42" s="28">
        <f>[2]!NZDJPY</f>
        <v>76.802000000000007</v>
      </c>
      <c r="E42" s="32">
        <f>(D42-C42)*'FX Data'!E37</f>
        <v>20.000000000000284</v>
      </c>
      <c r="F42" s="6"/>
      <c r="G42" s="36">
        <f>IF(RIGHT('FX Data'!C37,3)="USD",('FX Data'!F37*'FX Data'!G37)*(VLOOKUP($B$4,'FX Data'!$M$2:$N$6,2,FALSE)),((1/'FX Data'!F37)*'FX Data'!G37)*(VLOOKUP($B$4,'FX Data'!$M$2:$N$6,2,FALSE)))</f>
        <v>0.91728812937431781</v>
      </c>
      <c r="H42" s="37">
        <f t="shared" si="3"/>
        <v>18.345762587486618</v>
      </c>
      <c r="I42" s="8"/>
      <c r="J42" s="40">
        <f>[3]!NZDJPY</f>
        <v>76.787000000000006</v>
      </c>
      <c r="K42" s="28">
        <f>[4]!NZDJPY</f>
        <v>76.313999999999993</v>
      </c>
      <c r="L42" s="29">
        <f>(J42-K42)*'FX Data'!E37</f>
        <v>47.300000000001319</v>
      </c>
      <c r="M42" s="37">
        <f t="shared" si="4"/>
        <v>43.387728519406444</v>
      </c>
      <c r="O42" s="44" t="str">
        <f>[5]!NZDJPY</f>
        <v>2017/04/21 23:59</v>
      </c>
      <c r="P42" s="45">
        <f t="shared" ca="1" si="5"/>
        <v>0.60022395833220799</v>
      </c>
    </row>
    <row r="43" spans="2:16" x14ac:dyDescent="0.2">
      <c r="B43" s="31" t="s">
        <v>13</v>
      </c>
      <c r="C43" s="30">
        <f>[1]!NZDUSD</f>
        <v>0.70218999999999998</v>
      </c>
      <c r="D43" s="30">
        <f>[2]!NZDUSD</f>
        <v>0.70418999999999998</v>
      </c>
      <c r="E43" s="32">
        <f>(D43-C43)*'FX Data'!E38</f>
        <v>20.000000000000018</v>
      </c>
      <c r="G43" s="36">
        <f>IF(RIGHT('FX Data'!C38,3)="USD",('FX Data'!F38*'FX Data'!G38)*(VLOOKUP($B$4,'FX Data'!$M$2:$N$6,2,FALSE)),((1/'FX Data'!F38)*'FX Data'!G38)*(VLOOKUP($B$4,'FX Data'!$M$2:$N$6,2,FALSE)))</f>
        <v>1</v>
      </c>
      <c r="H43" s="37">
        <f t="shared" si="3"/>
        <v>20.000000000000018</v>
      </c>
      <c r="I43" s="8"/>
      <c r="J43" s="41">
        <f>[3]!NZDUSD</f>
        <v>0.70357999999999998</v>
      </c>
      <c r="K43" s="30">
        <f>[4]!NZDUSD</f>
        <v>0.69828000000000001</v>
      </c>
      <c r="L43" s="29">
        <f>(J43-K43)*'FX Data'!E38</f>
        <v>52.999999999999716</v>
      </c>
      <c r="M43" s="37">
        <f t="shared" si="4"/>
        <v>52.999999999999716</v>
      </c>
      <c r="O43" s="44" t="str">
        <f>[5]!NZDUSD</f>
        <v>2017/04/21 23:59</v>
      </c>
      <c r="P43" s="45">
        <f t="shared" ca="1" si="5"/>
        <v>0.60022395833220799</v>
      </c>
    </row>
    <row r="44" spans="2:16" x14ac:dyDescent="0.2">
      <c r="B44" s="31" t="s">
        <v>46</v>
      </c>
      <c r="C44" s="28" t="str">
        <f>[1]!SEKJPY</f>
        <v>N\A</v>
      </c>
      <c r="D44" s="28" t="str">
        <f>[2]!SEKJPY</f>
        <v>N\A</v>
      </c>
      <c r="E44" s="32" t="e">
        <f>(D44-C44)*'FX Data'!E39</f>
        <v>#VALUE!</v>
      </c>
      <c r="F44" s="6"/>
      <c r="G44" s="36">
        <f>IF(RIGHT('FX Data'!C39,3)="USD",('FX Data'!F39*'FX Data'!G39)*(VLOOKUP($B$4,'FX Data'!$M$2:$N$6,2,FALSE)),((1/'FX Data'!F39)*'FX Data'!G39)*(VLOOKUP($B$4,'FX Data'!$M$2:$N$6,2,FALSE)))</f>
        <v>0.91728812937431781</v>
      </c>
      <c r="H44" s="37" t="e">
        <f t="shared" si="3"/>
        <v>#VALUE!</v>
      </c>
      <c r="I44" s="8"/>
      <c r="J44" s="40" t="str">
        <f>[3]!SEKJPY</f>
        <v>N\A</v>
      </c>
      <c r="K44" s="28" t="str">
        <f>[4]!SEKJPY</f>
        <v>N\A</v>
      </c>
      <c r="L44" s="29" t="e">
        <f>(J44-K44)*'FX Data'!E39</f>
        <v>#VALUE!</v>
      </c>
      <c r="M44" s="37" t="e">
        <f t="shared" si="4"/>
        <v>#VALUE!</v>
      </c>
      <c r="O44" s="44" t="str">
        <f>[5]!SEKJPY</f>
        <v>N\A</v>
      </c>
      <c r="P44" s="45" t="e">
        <f t="shared" ca="1" si="5"/>
        <v>#VALUE!</v>
      </c>
    </row>
    <row r="45" spans="2:16" x14ac:dyDescent="0.2">
      <c r="B45" s="31" t="s">
        <v>47</v>
      </c>
      <c r="C45" s="28">
        <f>[1]!SGDJPY</f>
        <v>77.980999999999995</v>
      </c>
      <c r="D45" s="28">
        <f>[2]!SGDJPY</f>
        <v>78.165000000000006</v>
      </c>
      <c r="E45" s="32">
        <f>(D45-C45)*'FX Data'!E40</f>
        <v>18.400000000001171</v>
      </c>
      <c r="F45" s="6"/>
      <c r="G45" s="36">
        <f>IF(RIGHT('FX Data'!C40,3)="USD",('FX Data'!F40*'FX Data'!G40)*(VLOOKUP($B$4,'FX Data'!$M$2:$N$6,2,FALSE)),((1/'FX Data'!F40)*'FX Data'!G40)*(VLOOKUP($B$4,'FX Data'!$M$2:$N$6,2,FALSE)))</f>
        <v>0.91728812937431781</v>
      </c>
      <c r="H45" s="37">
        <f t="shared" si="3"/>
        <v>16.878101580488522</v>
      </c>
      <c r="I45" s="8"/>
      <c r="J45" s="40">
        <f>[3]!SGDJPY</f>
        <v>78.292000000000002</v>
      </c>
      <c r="K45" s="28">
        <f>[4]!SGDJPY</f>
        <v>77.951999999999998</v>
      </c>
      <c r="L45" s="29">
        <f>(J45-K45)*'FX Data'!E40</f>
        <v>34.000000000000341</v>
      </c>
      <c r="M45" s="37">
        <f t="shared" si="4"/>
        <v>31.187796398727119</v>
      </c>
      <c r="O45" s="44" t="str">
        <f>[5]!SGDJPY</f>
        <v>2017/04/21 23:59</v>
      </c>
      <c r="P45" s="45">
        <f t="shared" ca="1" si="5"/>
        <v>0.60022395833220799</v>
      </c>
    </row>
    <row r="46" spans="2:16" x14ac:dyDescent="0.2">
      <c r="B46" s="31" t="s">
        <v>60</v>
      </c>
      <c r="C46" s="28">
        <f>[1]!TRYJPY</f>
        <v>29.873000000000001</v>
      </c>
      <c r="D46" s="28">
        <f>[2]!TRYJPY</f>
        <v>30.053000000000001</v>
      </c>
      <c r="E46" s="32">
        <f>(D46-C46)*'FX Data'!E41</f>
        <v>17.999999999999972</v>
      </c>
      <c r="F46" s="6"/>
      <c r="G46" s="36">
        <f>IF(RIGHT('FX Data'!C41,3)="USD",('FX Data'!F41*'FX Data'!G41)*(VLOOKUP($B$4,'FX Data'!$M$2:$N$6,2,FALSE)),((1/'FX Data'!F41)*'FX Data'!G41)*(VLOOKUP($B$4,'FX Data'!$M$2:$N$6,2,FALSE)))</f>
        <v>0.91728812937431781</v>
      </c>
      <c r="H46" s="37">
        <f t="shared" si="3"/>
        <v>16.511186328737693</v>
      </c>
      <c r="I46" s="8"/>
      <c r="J46" s="40">
        <f>[3]!TRYJPY</f>
        <v>30.061</v>
      </c>
      <c r="K46" s="28">
        <f>[4]!TRYJPY</f>
        <v>29.777000000000001</v>
      </c>
      <c r="L46" s="29">
        <f>(J46-K46)*'FX Data'!E41</f>
        <v>28.399999999999892</v>
      </c>
      <c r="M46" s="37">
        <f t="shared" si="4"/>
        <v>26.050982874230527</v>
      </c>
      <c r="O46" s="44" t="str">
        <f>[5]!TRYJPY</f>
        <v>2017/04/21 23:59</v>
      </c>
      <c r="P46" s="45">
        <f t="shared" ca="1" si="5"/>
        <v>0.60022395833220799</v>
      </c>
    </row>
    <row r="47" spans="2:16" x14ac:dyDescent="0.2">
      <c r="B47" s="31" t="s">
        <v>12</v>
      </c>
      <c r="C47" s="30">
        <f>[1]!USDCAD</f>
        <v>1.34887</v>
      </c>
      <c r="D47" s="30">
        <f>[2]!USDCAD</f>
        <v>1.3503700000000001</v>
      </c>
      <c r="E47" s="32">
        <f>(D47-C47)*'FX Data'!E42</f>
        <v>15.000000000000568</v>
      </c>
      <c r="G47" s="36">
        <f>IF(RIGHT('FX Data'!C42,3)="USD",('FX Data'!F42*'FX Data'!G42)*(VLOOKUP($B$4,'FX Data'!$M$2:$N$6,2,FALSE)),((1/'FX Data'!F42)*'FX Data'!G42)*(VLOOKUP($B$4,'FX Data'!$M$2:$N$6,2,FALSE)))</f>
        <v>0.74136128759628428</v>
      </c>
      <c r="H47" s="37">
        <f t="shared" si="3"/>
        <v>11.120419313944685</v>
      </c>
      <c r="I47" s="8"/>
      <c r="J47" s="41">
        <f>[3]!USDCAD</f>
        <v>1.3525100000000001</v>
      </c>
      <c r="K47" s="30">
        <f>[4]!USDCAD</f>
        <v>1.3456900000000001</v>
      </c>
      <c r="L47" s="29">
        <f>(J47-K47)*'FX Data'!E42</f>
        <v>68.200000000000486</v>
      </c>
      <c r="M47" s="37">
        <f t="shared" si="4"/>
        <v>50.560839814066945</v>
      </c>
      <c r="O47" s="44" t="str">
        <f>[5]!USDCAD</f>
        <v>2017/04/21 23:59</v>
      </c>
      <c r="P47" s="45">
        <f t="shared" ca="1" si="5"/>
        <v>0.60022395833220799</v>
      </c>
    </row>
    <row r="48" spans="2:16" x14ac:dyDescent="0.2">
      <c r="B48" s="31" t="s">
        <v>5</v>
      </c>
      <c r="C48" s="30">
        <f>[1]!USDCHF</f>
        <v>0.99526999999999999</v>
      </c>
      <c r="D48" s="30">
        <f>[2]!USDCHF</f>
        <v>0.99677000000000004</v>
      </c>
      <c r="E48" s="32">
        <f>(D48-C48)*'FX Data'!E43</f>
        <v>15.000000000000568</v>
      </c>
      <c r="G48" s="36">
        <f>IF(RIGHT('FX Data'!C43,3)="USD",('FX Data'!F43*'FX Data'!G43)*(VLOOKUP($B$4,'FX Data'!$M$2:$N$6,2,FALSE)),((1/'FX Data'!F43)*'FX Data'!G43)*(VLOOKUP($B$4,'FX Data'!$M$2:$N$6,2,FALSE)))</f>
        <v>1.0047524792267426</v>
      </c>
      <c r="H48" s="37">
        <f t="shared" si="3"/>
        <v>15.07128718840171</v>
      </c>
      <c r="I48" s="8"/>
      <c r="J48" s="41">
        <f>[3]!USDCHF</f>
        <v>0.99985999999999997</v>
      </c>
      <c r="K48" s="30">
        <f>[4]!USDCHF</f>
        <v>0.99519999999999997</v>
      </c>
      <c r="L48" s="29">
        <f>(J48-K48)*'FX Data'!E43</f>
        <v>46.599999999999973</v>
      </c>
      <c r="M48" s="37">
        <f t="shared" si="4"/>
        <v>46.821465531966176</v>
      </c>
      <c r="O48" s="44" t="str">
        <f>[5]!USDCHF</f>
        <v>2017/04/21 23:59</v>
      </c>
      <c r="P48" s="45">
        <f t="shared" ca="1" si="5"/>
        <v>0.60022395833220799</v>
      </c>
    </row>
    <row r="49" spans="2:16" x14ac:dyDescent="0.2">
      <c r="B49" s="31" t="s">
        <v>39</v>
      </c>
      <c r="C49" s="28">
        <f>[1]!USDCZK</f>
        <v>24.998100000000001</v>
      </c>
      <c r="D49" s="28">
        <f>[2]!USDCZK</f>
        <v>25.222549999999998</v>
      </c>
      <c r="E49" s="32">
        <f>(D49-C49)*'FX Data'!E44</f>
        <v>224.44999999999737</v>
      </c>
      <c r="F49" s="6"/>
      <c r="G49" s="36">
        <f>IF(RIGHT('FX Data'!C44,3)="USD",('FX Data'!F44*'FX Data'!G44)*(VLOOKUP($B$4,'FX Data'!$M$2:$N$6,2,FALSE)),((1/'FX Data'!F44)*'FX Data'!G44)*(VLOOKUP($B$4,'FX Data'!$M$2:$N$6,2,FALSE)))</f>
        <v>0.40003040231057557</v>
      </c>
      <c r="H49" s="37">
        <f t="shared" si="3"/>
        <v>89.786823798607642</v>
      </c>
      <c r="I49" s="8"/>
      <c r="J49" s="40">
        <f>[3]!USDCZK</f>
        <v>25.230699999999999</v>
      </c>
      <c r="K49" s="28">
        <f>[4]!USDCZK</f>
        <v>24.855979999999999</v>
      </c>
      <c r="L49" s="29">
        <f>(J49-K49)*'FX Data'!E44</f>
        <v>374.71999999999991</v>
      </c>
      <c r="M49" s="37">
        <f t="shared" si="4"/>
        <v>149.89939235381885</v>
      </c>
      <c r="O49" s="44" t="str">
        <f>[5]!USDCZK</f>
        <v>2017/04/21 23:59</v>
      </c>
      <c r="P49" s="45">
        <f t="shared" ca="1" si="5"/>
        <v>0.60022395833220799</v>
      </c>
    </row>
    <row r="50" spans="2:16" x14ac:dyDescent="0.2">
      <c r="B50" s="31" t="s">
        <v>29</v>
      </c>
      <c r="C50" s="28">
        <f>[1]!USDDKK</f>
        <v>6.9171800000000001</v>
      </c>
      <c r="D50" s="28">
        <f>[2]!USDDKK</f>
        <v>6.9471800000000004</v>
      </c>
      <c r="E50" s="32">
        <f>(D50-C50)*'FX Data'!E45</f>
        <v>300.0000000000025</v>
      </c>
      <c r="F50" s="6"/>
      <c r="G50" s="36">
        <f>IF(RIGHT('FX Data'!C45,3)="USD",('FX Data'!F45*'FX Data'!G45)*(VLOOKUP($B$4,'FX Data'!$M$2:$N$6,2,FALSE)),((1/'FX Data'!F45)*'FX Data'!G45)*(VLOOKUP($B$4,'FX Data'!$M$2:$N$6,2,FALSE)))</f>
        <v>0.14456758389979732</v>
      </c>
      <c r="H50" s="37">
        <f t="shared" si="3"/>
        <v>43.370275169939561</v>
      </c>
      <c r="I50" s="8"/>
      <c r="J50" s="40">
        <f>[3]!USDDKK</f>
        <v>6.9613500000000004</v>
      </c>
      <c r="K50" s="28">
        <f>[4]!USDDKK</f>
        <v>6.9171800000000001</v>
      </c>
      <c r="L50" s="29">
        <f>(J50-K50)*'FX Data'!E45</f>
        <v>441.70000000000266</v>
      </c>
      <c r="M50" s="37">
        <f t="shared" si="4"/>
        <v>63.855501808540858</v>
      </c>
      <c r="O50" s="44" t="str">
        <f>[5]!USDDKK</f>
        <v>2017/04/21 23:59</v>
      </c>
      <c r="P50" s="45">
        <f t="shared" ca="1" si="5"/>
        <v>0.60022395833220799</v>
      </c>
    </row>
    <row r="51" spans="2:16" x14ac:dyDescent="0.2">
      <c r="B51" s="31" t="s">
        <v>42</v>
      </c>
      <c r="C51" s="28">
        <f>[1]!USDHKD</f>
        <v>7.7742300000000002</v>
      </c>
      <c r="D51" s="28">
        <f>[2]!USDHKD</f>
        <v>7.7760899999999999</v>
      </c>
      <c r="E51" s="32">
        <f>(D51-C51)*'FX Data'!E46</f>
        <v>18.599999999997507</v>
      </c>
      <c r="F51" s="6"/>
      <c r="G51" s="36">
        <f>IF(RIGHT('FX Data'!C46,3)="USD",('FX Data'!F46*'FX Data'!G46)*(VLOOKUP($B$4,'FX Data'!$M$2:$N$6,2,FALSE)),((1/'FX Data'!F46)*'FX Data'!G46)*(VLOOKUP($B$4,'FX Data'!$M$2:$N$6,2,FALSE)))</f>
        <v>0.12863010227379432</v>
      </c>
      <c r="H51" s="37">
        <f t="shared" si="3"/>
        <v>2.3925199022922539</v>
      </c>
      <c r="I51" s="8"/>
      <c r="J51" s="40">
        <f>[3]!USDHKD</f>
        <v>7.7766099999999998</v>
      </c>
      <c r="K51" s="28">
        <f>[4]!USDHKD</f>
        <v>7.7738100000000001</v>
      </c>
      <c r="L51" s="29">
        <f>(J51-K51)*'FX Data'!E46</f>
        <v>27.999999999996916</v>
      </c>
      <c r="M51" s="37">
        <f t="shared" si="4"/>
        <v>3.6016428636658442</v>
      </c>
      <c r="O51" s="44" t="str">
        <f>[5]!USDHKD</f>
        <v>2017/04/21 23:59</v>
      </c>
      <c r="P51" s="45">
        <f t="shared" ca="1" si="5"/>
        <v>0.60022395833220799</v>
      </c>
    </row>
    <row r="52" spans="2:16" x14ac:dyDescent="0.2">
      <c r="B52" s="31" t="s">
        <v>59</v>
      </c>
      <c r="C52" s="28">
        <f>[1]!USDHUF</f>
        <v>289.94299999999998</v>
      </c>
      <c r="D52" s="28">
        <f>[2]!USDHUF</f>
        <v>292.94299999999998</v>
      </c>
      <c r="E52" s="32">
        <f>(D52-C52)*'FX Data'!E47</f>
        <v>300</v>
      </c>
      <c r="F52" s="6"/>
      <c r="G52" s="36">
        <f>IF(RIGHT('FX Data'!C47,3)="USD",('FX Data'!F47*'FX Data'!G47)*(VLOOKUP($B$4,'FX Data'!$M$2:$N$6,2,FALSE)),((1/'FX Data'!F47)*'FX Data'!G47)*(VLOOKUP($B$4,'FX Data'!$M$2:$N$6,2,FALSE)))</f>
        <v>0.34489537598769415</v>
      </c>
      <c r="H52" s="37">
        <f t="shared" si="3"/>
        <v>103.46861279630825</v>
      </c>
      <c r="I52" s="8"/>
      <c r="J52" s="40">
        <f>[3]!USDHUF</f>
        <v>293.834</v>
      </c>
      <c r="K52" s="28">
        <f>[4]!USDHUF</f>
        <v>289.94299999999998</v>
      </c>
      <c r="L52" s="29">
        <f>(J52-K52)*'FX Data'!E47</f>
        <v>389.10000000000196</v>
      </c>
      <c r="M52" s="37">
        <f t="shared" si="4"/>
        <v>134.19879079681246</v>
      </c>
      <c r="O52" s="44" t="str">
        <f>[5]!USDHUF</f>
        <v>2017/04/21 23:59</v>
      </c>
      <c r="P52" s="45">
        <f t="shared" ca="1" si="5"/>
        <v>0.60022395833220799</v>
      </c>
    </row>
    <row r="53" spans="2:16" x14ac:dyDescent="0.2">
      <c r="B53" s="31" t="s">
        <v>7</v>
      </c>
      <c r="C53" s="30">
        <f>[1]!USDJPY</f>
        <v>109.017</v>
      </c>
      <c r="D53" s="30">
        <f>[2]!USDJPY</f>
        <v>109.117</v>
      </c>
      <c r="E53" s="32">
        <f>(D53-C53)*'FX Data'!E48</f>
        <v>10.000000000000853</v>
      </c>
      <c r="G53" s="36">
        <f>IF(RIGHT('FX Data'!C48,3)="USD",('FX Data'!F48*'FX Data'!G48)*(VLOOKUP($B$4,'FX Data'!$M$2:$N$6,2,FALSE)),((1/'FX Data'!F48)*'FX Data'!G48)*(VLOOKUP($B$4,'FX Data'!$M$2:$N$6,2,FALSE)))</f>
        <v>0.91728812937431781</v>
      </c>
      <c r="H53" s="37">
        <f t="shared" si="3"/>
        <v>9.172881293743961</v>
      </c>
      <c r="I53" s="8"/>
      <c r="J53" s="41">
        <f>[3]!USDJPY</f>
        <v>109.42</v>
      </c>
      <c r="K53" s="30">
        <f>[4]!USDJPY</f>
        <v>108.872</v>
      </c>
      <c r="L53" s="29">
        <f>(J53-K53)*'FX Data'!E48</f>
        <v>54.800000000000182</v>
      </c>
      <c r="M53" s="37">
        <f t="shared" si="4"/>
        <v>50.267389489712784</v>
      </c>
      <c r="O53" s="44" t="str">
        <f>[5]!USDJPY</f>
        <v>2017/04/21 23:59</v>
      </c>
      <c r="P53" s="45">
        <f t="shared" ca="1" si="5"/>
        <v>0.60022395833220799</v>
      </c>
    </row>
    <row r="54" spans="2:16" x14ac:dyDescent="0.2">
      <c r="B54" s="31" t="s">
        <v>33</v>
      </c>
      <c r="C54" s="28">
        <f>[1]!USDMXN</f>
        <v>18.778199999999998</v>
      </c>
      <c r="D54" s="28">
        <f>[2]!USDMXN</f>
        <v>18.838200000000001</v>
      </c>
      <c r="E54" s="32">
        <f>(D54-C54)*'FX Data'!E49</f>
        <v>600.00000000002274</v>
      </c>
      <c r="F54" s="6"/>
      <c r="G54" s="36">
        <f>IF(RIGHT('FX Data'!C49,3)="USD",('FX Data'!F49*'FX Data'!G49)*(VLOOKUP($B$4,'FX Data'!$M$2:$N$6,2,FALSE)),((1/'FX Data'!F49)*'FX Data'!G49)*(VLOOKUP($B$4,'FX Data'!$M$2:$N$6,2,FALSE)))</f>
        <v>5.3253240459681973E-2</v>
      </c>
      <c r="H54" s="37">
        <f t="shared" si="3"/>
        <v>31.951944275810394</v>
      </c>
      <c r="I54" s="8"/>
      <c r="J54" s="40">
        <f>[3]!USDmxn</f>
        <v>18.885459999999998</v>
      </c>
      <c r="K54" s="28">
        <f>[4]!USDMXN</f>
        <v>18.775099999999998</v>
      </c>
      <c r="L54" s="29">
        <f>(J54-K54)*'FX Data'!E49</f>
        <v>1103.6000000000001</v>
      </c>
      <c r="M54" s="37">
        <f t="shared" si="4"/>
        <v>58.770276171305035</v>
      </c>
      <c r="O54" s="44" t="str">
        <f>[5]!USDMXN</f>
        <v>2017/04/21 23:59</v>
      </c>
      <c r="P54" s="45">
        <f t="shared" ca="1" si="5"/>
        <v>0.60022395833220799</v>
      </c>
    </row>
    <row r="55" spans="2:16" x14ac:dyDescent="0.2">
      <c r="B55" s="31" t="s">
        <v>32</v>
      </c>
      <c r="C55" s="28">
        <f>[1]!USDNOK</f>
        <v>8.6512200000000004</v>
      </c>
      <c r="D55" s="28">
        <f>[2]!USDNOK</f>
        <v>8.6891800000000003</v>
      </c>
      <c r="E55" s="32">
        <f>(D55-C55)*'FX Data'!E50</f>
        <v>379.59999999999991</v>
      </c>
      <c r="F55" s="6"/>
      <c r="G55" s="36">
        <f>IF(RIGHT('FX Data'!C50,3)="USD",('FX Data'!F50*'FX Data'!G50)*(VLOOKUP($B$4,'FX Data'!$M$2:$N$6,2,FALSE)),((1/'FX Data'!F50)*'FX Data'!G50)*(VLOOKUP($B$4,'FX Data'!$M$2:$N$6,2,FALSE)))</f>
        <v>0.11559063345978948</v>
      </c>
      <c r="H55" s="37">
        <f t="shared" si="3"/>
        <v>43.878204461336075</v>
      </c>
      <c r="I55" s="8"/>
      <c r="J55" s="40">
        <f>[3]!USDNOK</f>
        <v>8.6944199999999991</v>
      </c>
      <c r="K55" s="28">
        <f>[4]!USDNOK</f>
        <v>8.6057600000000001</v>
      </c>
      <c r="L55" s="29">
        <f>(J55-K55)*'FX Data'!E50</f>
        <v>886.5999999999907</v>
      </c>
      <c r="M55" s="37">
        <f t="shared" si="4"/>
        <v>102.48265562544827</v>
      </c>
      <c r="O55" s="44" t="str">
        <f>[5]!USDNOK</f>
        <v>2017/04/21 23:59</v>
      </c>
      <c r="P55" s="45">
        <f t="shared" ca="1" si="5"/>
        <v>0.60022395833220799</v>
      </c>
    </row>
    <row r="56" spans="2:16" x14ac:dyDescent="0.2">
      <c r="B56" s="31" t="s">
        <v>37</v>
      </c>
      <c r="C56" s="28">
        <f>[1]!USDPLN</f>
        <v>3.95485</v>
      </c>
      <c r="D56" s="28">
        <f>[2]!USDPLN</f>
        <v>3.9933000000000001</v>
      </c>
      <c r="E56" s="32">
        <f>(D56-C56)*'FX Data'!E51</f>
        <v>384.50000000000097</v>
      </c>
      <c r="F56" s="6"/>
      <c r="G56" s="36">
        <f>IF(RIGHT('FX Data'!C51,3)="USD",('FX Data'!F51*'FX Data'!G51)*(VLOOKUP($B$4,'FX Data'!$M$2:$N$6,2,FALSE)),((1/'FX Data'!F51)*'FX Data'!G51)*(VLOOKUP($B$4,'FX Data'!$M$2:$N$6,2,FALSE)))</f>
        <v>0.25285409054704983</v>
      </c>
      <c r="H56" s="37">
        <f t="shared" si="3"/>
        <v>97.222397815340898</v>
      </c>
      <c r="I56" s="8"/>
      <c r="J56" s="40">
        <f>[3]!USDPLN</f>
        <v>4.0024300000000004</v>
      </c>
      <c r="K56" s="28">
        <f>[4]!USDPLN</f>
        <v>3.95485</v>
      </c>
      <c r="L56" s="29">
        <f>(J56-K56)*'FX Data'!E51</f>
        <v>475.80000000000399</v>
      </c>
      <c r="M56" s="37">
        <f t="shared" si="4"/>
        <v>120.30797628228731</v>
      </c>
      <c r="O56" s="44" t="str">
        <f>[5]!USDPLN</f>
        <v>2017/04/21 23:59</v>
      </c>
      <c r="P56" s="45">
        <f t="shared" ca="1" si="5"/>
        <v>0.60022395833220799</v>
      </c>
    </row>
    <row r="57" spans="2:16" x14ac:dyDescent="0.2">
      <c r="B57" s="31" t="s">
        <v>57</v>
      </c>
      <c r="C57" s="28" t="str">
        <f>[1]!USDRUB</f>
        <v>N\A</v>
      </c>
      <c r="D57" s="28" t="str">
        <f>[2]!USDRUB</f>
        <v>N\A</v>
      </c>
      <c r="E57" s="32" t="e">
        <f>(D57-C57)*'FX Data'!E52</f>
        <v>#VALUE!</v>
      </c>
      <c r="F57" s="6"/>
      <c r="G57" s="36" t="e">
        <f>IF(RIGHT('FX Data'!C52,3)="USD",('FX Data'!F52*'FX Data'!G52)*(VLOOKUP($B$4,'FX Data'!$M$2:$N$6,2,FALSE)),((1/'FX Data'!F52)*'FX Data'!G52)*(VLOOKUP($B$4,'FX Data'!$M$2:$N$6,2,FALSE)))</f>
        <v>#VALUE!</v>
      </c>
      <c r="H57" s="37" t="e">
        <f t="shared" si="3"/>
        <v>#VALUE!</v>
      </c>
      <c r="I57" s="8"/>
      <c r="J57" s="40" t="str">
        <f>[3]!USDRUB</f>
        <v>N\A</v>
      </c>
      <c r="K57" s="28" t="str">
        <f>[4]!USDRUB</f>
        <v>N\A</v>
      </c>
      <c r="L57" s="29" t="e">
        <f>(J57-K57)*'FX Data'!E52</f>
        <v>#VALUE!</v>
      </c>
      <c r="M57" s="37" t="e">
        <f t="shared" si="4"/>
        <v>#VALUE!</v>
      </c>
      <c r="O57" s="44" t="str">
        <f>[5]!USDRUB</f>
        <v>N\A</v>
      </c>
      <c r="P57" s="45" t="e">
        <f t="shared" ca="1" si="5"/>
        <v>#VALUE!</v>
      </c>
    </row>
    <row r="58" spans="2:16" x14ac:dyDescent="0.2">
      <c r="B58" s="31" t="s">
        <v>28</v>
      </c>
      <c r="C58" s="28">
        <f>[1]!USDSEK</f>
        <v>8.9634699999999992</v>
      </c>
      <c r="D58" s="28">
        <f>[2]!USDSEK</f>
        <v>9.0384700000000002</v>
      </c>
      <c r="E58" s="32">
        <f>(D58-C58)*'FX Data'!E53</f>
        <v>750.00000000001069</v>
      </c>
      <c r="F58" s="6"/>
      <c r="G58" s="36">
        <f>IF(RIGHT('FX Data'!C53,3)="USD",('FX Data'!F53*'FX Data'!G53)*(VLOOKUP($B$4,'FX Data'!$M$2:$N$6,2,FALSE)),((1/'FX Data'!F53)*'FX Data'!G53)*(VLOOKUP($B$4,'FX Data'!$M$2:$N$6,2,FALSE)))</f>
        <v>0.11156393673432277</v>
      </c>
      <c r="H58" s="37">
        <f t="shared" si="3"/>
        <v>83.672952550743275</v>
      </c>
      <c r="I58" s="8"/>
      <c r="J58" s="40">
        <f>[3]!USDSEK</f>
        <v>9.0327999999999999</v>
      </c>
      <c r="K58" s="28">
        <f>[4]!USDSEK</f>
        <v>8.9634699999999992</v>
      </c>
      <c r="L58" s="29">
        <f>(J58-K58)*'FX Data'!E53</f>
        <v>693.3000000000078</v>
      </c>
      <c r="M58" s="37">
        <f t="shared" si="4"/>
        <v>77.347277337906846</v>
      </c>
      <c r="O58" s="44" t="str">
        <f>[5]!USDSEK</f>
        <v>2017/04/21 23:59</v>
      </c>
      <c r="P58" s="45">
        <f t="shared" ca="1" si="5"/>
        <v>0.60022395833220799</v>
      </c>
    </row>
    <row r="59" spans="2:16" x14ac:dyDescent="0.2">
      <c r="B59" s="31" t="s">
        <v>41</v>
      </c>
      <c r="C59" s="28">
        <f>[1]!USDSGD</f>
        <v>1.39598</v>
      </c>
      <c r="D59" s="28">
        <f>[2]!USDSGD</f>
        <v>1.39798</v>
      </c>
      <c r="E59" s="32">
        <f>(D59-C59)*'FX Data'!E54</f>
        <v>20.000000000000018</v>
      </c>
      <c r="F59" s="6"/>
      <c r="G59" s="36">
        <f>IF(RIGHT('FX Data'!C54,3)="USD",('FX Data'!F54*'FX Data'!G54)*(VLOOKUP($B$4,'FX Data'!$M$2:$N$6,2,FALSE)),((1/'FX Data'!F54)*'FX Data'!G54)*(VLOOKUP($B$4,'FX Data'!$M$2:$N$6,2,FALSE)))</f>
        <v>0.71634264101204892</v>
      </c>
      <c r="H59" s="37">
        <f t="shared" si="3"/>
        <v>14.32685282024099</v>
      </c>
      <c r="I59" s="8"/>
      <c r="J59" s="40">
        <f>[3]!USDSGD</f>
        <v>1.39882</v>
      </c>
      <c r="K59" s="28">
        <f>[4]!USDSGD</f>
        <v>1.39557</v>
      </c>
      <c r="L59" s="29">
        <f>(J59-K59)*'FX Data'!E54</f>
        <v>32.499999999999751</v>
      </c>
      <c r="M59" s="37">
        <f t="shared" si="4"/>
        <v>23.281135832891412</v>
      </c>
      <c r="O59" s="44" t="str">
        <f>[5]!USDSGD</f>
        <v>2017/04/21 23:59</v>
      </c>
      <c r="P59" s="45">
        <f t="shared" ca="1" si="5"/>
        <v>0.60022395833220799</v>
      </c>
    </row>
    <row r="60" spans="2:16" x14ac:dyDescent="0.2">
      <c r="B60" s="31" t="s">
        <v>50</v>
      </c>
      <c r="C60" s="28">
        <f>[1]!USDTRY</f>
        <v>3.6313</v>
      </c>
      <c r="D60" s="28">
        <f>[2]!USDTRY</f>
        <v>3.64873</v>
      </c>
      <c r="E60" s="32">
        <f>(D60-C60)*'FX Data'!E55</f>
        <v>174.30000000000058</v>
      </c>
      <c r="F60" s="6"/>
      <c r="G60" s="36">
        <f>IF(RIGHT('FX Data'!C55,3)="USD",('FX Data'!F55*'FX Data'!G55)*(VLOOKUP($B$4,'FX Data'!$M$2:$N$6,2,FALSE)),((1/'FX Data'!F55)*'FX Data'!G55)*(VLOOKUP($B$4,'FX Data'!$M$2:$N$6,2,FALSE)))</f>
        <v>0.27538347148404152</v>
      </c>
      <c r="H60" s="37">
        <f t="shared" si="3"/>
        <v>47.999339079668594</v>
      </c>
      <c r="I60" s="8"/>
      <c r="J60" s="40">
        <f>[3]!USDTRY</f>
        <v>3.6547100000000001</v>
      </c>
      <c r="K60" s="28">
        <f>[4]!USDTRY</f>
        <v>3.6313</v>
      </c>
      <c r="L60" s="29">
        <f>(J60-K60)*'FX Data'!E55</f>
        <v>234.10000000000153</v>
      </c>
      <c r="M60" s="37">
        <f t="shared" si="4"/>
        <v>64.467270674414536</v>
      </c>
      <c r="O60" s="44" t="str">
        <f>[5]!USDTRY</f>
        <v>2017/04/21 23:59</v>
      </c>
      <c r="P60" s="45">
        <f t="shared" ca="1" si="5"/>
        <v>0.60022395833220799</v>
      </c>
    </row>
    <row r="61" spans="2:16" x14ac:dyDescent="0.2">
      <c r="B61" s="31" t="s">
        <v>40</v>
      </c>
      <c r="C61" s="28">
        <f>[1]!USDZAR</f>
        <v>13.09417</v>
      </c>
      <c r="D61" s="28">
        <f>[2]!USDZAR</f>
        <v>13.150499999999999</v>
      </c>
      <c r="E61" s="32">
        <f>(D61-C61)*'FX Data'!E56</f>
        <v>563.29999999999109</v>
      </c>
      <c r="F61" s="6"/>
      <c r="G61" s="36">
        <f>IF(RIGHT('FX Data'!C56,3)="USD",('FX Data'!F56*'FX Data'!G56)*(VLOOKUP($B$4,'FX Data'!$M$2:$N$6,2,FALSE)),((1/'FX Data'!F56)*'FX Data'!G56)*(VLOOKUP($B$4,'FX Data'!$M$2:$N$6,2,FALSE)))</f>
        <v>7.6369865367564349E-2</v>
      </c>
      <c r="H61" s="37">
        <f t="shared" si="3"/>
        <v>43.019145161548316</v>
      </c>
      <c r="I61" s="8"/>
      <c r="J61" s="40">
        <f>[3]!USDZAR</f>
        <v>13.1905</v>
      </c>
      <c r="K61" s="28">
        <f>[4]!USDZAR</f>
        <v>13.06958</v>
      </c>
      <c r="L61" s="29">
        <f>(J61-K61)*'FX Data'!E56</f>
        <v>1209.1999999999991</v>
      </c>
      <c r="M61" s="37">
        <f t="shared" si="4"/>
        <v>92.346441202458749</v>
      </c>
      <c r="O61" s="44" t="str">
        <f>[5]!USDZAR</f>
        <v>2017/04/21 23:59</v>
      </c>
      <c r="P61" s="45">
        <f t="shared" ca="1" si="5"/>
        <v>0.60022395833220799</v>
      </c>
    </row>
    <row r="62" spans="2:16" ht="13.5" thickBot="1" x14ac:dyDescent="0.25">
      <c r="B62" s="33" t="s">
        <v>49</v>
      </c>
      <c r="C62" s="34">
        <f>[1]!ZARJPY</f>
        <v>8.2449999999999992</v>
      </c>
      <c r="D62" s="34">
        <f>[2]!ZARJPY</f>
        <v>8.3930000000000007</v>
      </c>
      <c r="E62" s="35">
        <f>(D62-C62)*'FX Data'!E57</f>
        <v>14.800000000000146</v>
      </c>
      <c r="F62" s="6"/>
      <c r="G62" s="38">
        <f>IF(RIGHT('FX Data'!C57,3)="USD",('FX Data'!F57*'FX Data'!G57)*(VLOOKUP($B$4,'FX Data'!$M$2:$N$6,2,FALSE)),((1/'FX Data'!F57)*'FX Data'!G57)*(VLOOKUP($B$4,'FX Data'!$M$2:$N$6,2,FALSE)))</f>
        <v>0.91728812937431781</v>
      </c>
      <c r="H62" s="39">
        <f t="shared" si="3"/>
        <v>13.575864314740038</v>
      </c>
      <c r="I62" s="8"/>
      <c r="J62" s="42">
        <f>[3]!ZARJPY</f>
        <v>8.3170000000000002</v>
      </c>
      <c r="K62" s="34">
        <f>[4]!ZARJPY</f>
        <v>8.234</v>
      </c>
      <c r="L62" s="43">
        <f>(J62-K62)*'FX Data'!E57</f>
        <v>8.3000000000000185</v>
      </c>
      <c r="M62" s="39">
        <f t="shared" si="4"/>
        <v>7.6134914738068549</v>
      </c>
      <c r="O62" s="46" t="str">
        <f>[5]!ZARJPY</f>
        <v>2017/04/21 23:59</v>
      </c>
      <c r="P62" s="47">
        <f t="shared" ca="1" si="5"/>
        <v>0.60022395833220799</v>
      </c>
    </row>
    <row r="63" spans="2:16" x14ac:dyDescent="0.2">
      <c r="P63" s="21"/>
    </row>
    <row r="64" spans="2:16" x14ac:dyDescent="0.2">
      <c r="P64" s="21"/>
    </row>
    <row r="65" spans="16:16" x14ac:dyDescent="0.2">
      <c r="P65" s="21"/>
    </row>
    <row r="66" spans="16:16" x14ac:dyDescent="0.2">
      <c r="P66" s="21"/>
    </row>
    <row r="67" spans="16:16" x14ac:dyDescent="0.2">
      <c r="P67" s="21"/>
    </row>
    <row r="68" spans="16:16" x14ac:dyDescent="0.2">
      <c r="P68" s="21"/>
    </row>
    <row r="69" spans="16:16" x14ac:dyDescent="0.2">
      <c r="P69" s="21"/>
    </row>
  </sheetData>
  <sheetProtection formatCells="0" formatColumns="0" formatRows="0" sort="0" autoFilter="0" pivotTables="0"/>
  <autoFilter ref="B7:P62">
    <sortState ref="B8:P62">
      <sortCondition ref="B7:B62"/>
    </sortState>
  </autoFilter>
  <sortState ref="B7:Q61">
    <sortCondition ref="B7"/>
  </sortState>
  <mergeCells count="5">
    <mergeCell ref="O6:P6"/>
    <mergeCell ref="B6:E6"/>
    <mergeCell ref="G6:H6"/>
    <mergeCell ref="J6:M6"/>
    <mergeCell ref="B2:C2"/>
  </mergeCells>
  <phoneticPr fontId="4" type="noConversion"/>
  <conditionalFormatting sqref="E8:E6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6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H6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:L6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M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8:P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qref="B4">
      <formula1>$S$8:$S$11</formula1>
    </dataValidation>
    <dataValidation type="list" allowBlank="1" showErrorMessage="1" sqref="B3">
      <formula1>$R$8:$R$32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5"/>
  <sheetViews>
    <sheetView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style="12" customWidth="1"/>
    <col min="2" max="5" width="12.7109375" style="15" customWidth="1"/>
    <col min="6" max="6" width="12.7109375" style="14" customWidth="1"/>
    <col min="7" max="7" width="12.7109375" style="15" customWidth="1"/>
    <col min="8" max="8" width="2.7109375" customWidth="1"/>
    <col min="9" max="11" width="10.7109375" style="12" customWidth="1"/>
    <col min="12" max="12" width="2.7109375" style="12" customWidth="1"/>
    <col min="13" max="16384" width="9.140625" style="12"/>
  </cols>
  <sheetData>
    <row r="2" spans="2:14" s="15" customFormat="1" ht="13.5" thickBot="1" x14ac:dyDescent="0.25">
      <c r="B2" s="80" t="s">
        <v>0</v>
      </c>
      <c r="C2" s="81" t="s">
        <v>66</v>
      </c>
      <c r="D2" s="80" t="s">
        <v>67</v>
      </c>
      <c r="E2" s="80" t="s">
        <v>73</v>
      </c>
      <c r="F2" s="80" t="s">
        <v>70</v>
      </c>
      <c r="G2" s="80" t="s">
        <v>74</v>
      </c>
      <c r="H2" s="82"/>
      <c r="I2" s="80" t="s">
        <v>67</v>
      </c>
      <c r="J2" s="80" t="s">
        <v>73</v>
      </c>
      <c r="K2" s="80" t="s">
        <v>74</v>
      </c>
      <c r="L2" s="83"/>
      <c r="M2" s="80" t="s">
        <v>62</v>
      </c>
      <c r="N2" s="80" t="s">
        <v>81</v>
      </c>
    </row>
    <row r="3" spans="2:14" x14ac:dyDescent="0.2">
      <c r="B3" s="16" t="s">
        <v>20</v>
      </c>
      <c r="C3" s="3" t="s">
        <v>12</v>
      </c>
      <c r="D3" s="15">
        <v>4</v>
      </c>
      <c r="E3" s="15">
        <f>VLOOKUP($D3,$I$3:$K$5,2,FALSE)</f>
        <v>10000</v>
      </c>
      <c r="F3" s="14">
        <f>IF(RIGHT(B3,3)&lt;&gt;"USD",VLOOKUP($C3,'FX DDE Feed'!$B$8:$C$62,2,FALSE),1)</f>
        <v>1.34887</v>
      </c>
      <c r="G3" s="15">
        <f>VLOOKUP($D3,$I$3:$K$5,3,FALSE)</f>
        <v>1</v>
      </c>
      <c r="I3" s="15">
        <v>4</v>
      </c>
      <c r="J3" s="15">
        <v>10000</v>
      </c>
      <c r="K3" s="15">
        <v>1</v>
      </c>
      <c r="M3" s="12" t="s">
        <v>78</v>
      </c>
      <c r="N3" s="12">
        <v>0.1</v>
      </c>
    </row>
    <row r="4" spans="2:14" x14ac:dyDescent="0.2">
      <c r="B4" s="16" t="s">
        <v>34</v>
      </c>
      <c r="C4" s="3" t="s">
        <v>5</v>
      </c>
      <c r="D4" s="15">
        <v>4</v>
      </c>
      <c r="E4" s="15">
        <f t="shared" ref="E4:E57" si="0">VLOOKUP($D4,$I$3:$K$5,2,FALSE)</f>
        <v>10000</v>
      </c>
      <c r="F4" s="14">
        <f>IF(RIGHT(B4,3)&lt;&gt;"USD",VLOOKUP($C4,'FX DDE Feed'!$B$8:$C$62,2,FALSE),1)</f>
        <v>0.99526999999999999</v>
      </c>
      <c r="G4" s="15">
        <f t="shared" ref="G4:G57" si="1">VLOOKUP($D4,$I$3:$K$5,3,FALSE)</f>
        <v>1</v>
      </c>
      <c r="I4" s="15">
        <v>3</v>
      </c>
      <c r="J4" s="15">
        <v>1000</v>
      </c>
      <c r="K4" s="15">
        <v>10</v>
      </c>
      <c r="M4" s="12" t="s">
        <v>65</v>
      </c>
      <c r="N4" s="12">
        <v>1</v>
      </c>
    </row>
    <row r="5" spans="2:14" x14ac:dyDescent="0.2">
      <c r="B5" s="16" t="s">
        <v>21</v>
      </c>
      <c r="C5" s="3" t="s">
        <v>7</v>
      </c>
      <c r="D5" s="15">
        <v>2</v>
      </c>
      <c r="E5" s="15">
        <f t="shared" si="0"/>
        <v>100</v>
      </c>
      <c r="F5" s="14">
        <f>IF(RIGHT(B5,3)&lt;&gt;"USD",VLOOKUP($C5,'FX DDE Feed'!$B$8:$C$62,2,FALSE),1)</f>
        <v>109.017</v>
      </c>
      <c r="G5" s="15">
        <f t="shared" si="1"/>
        <v>100</v>
      </c>
      <c r="I5" s="15">
        <v>2</v>
      </c>
      <c r="J5" s="15">
        <v>100</v>
      </c>
      <c r="K5" s="15">
        <v>100</v>
      </c>
      <c r="M5" s="12" t="s">
        <v>79</v>
      </c>
      <c r="N5" s="12">
        <v>10</v>
      </c>
    </row>
    <row r="6" spans="2:14" x14ac:dyDescent="0.2">
      <c r="B6" s="16" t="s">
        <v>27</v>
      </c>
      <c r="C6" s="3" t="s">
        <v>13</v>
      </c>
      <c r="D6" s="15">
        <v>4</v>
      </c>
      <c r="E6" s="15">
        <f t="shared" si="0"/>
        <v>10000</v>
      </c>
      <c r="F6" s="14">
        <f>IF(RIGHT(B6,3)&lt;&gt;"USD",VLOOKUP($C6,'FX DDE Feed'!$B$8:$C$62,2,FALSE),1)</f>
        <v>0.70218999999999998</v>
      </c>
      <c r="G6" s="15">
        <f t="shared" si="1"/>
        <v>1</v>
      </c>
      <c r="M6" s="12" t="s">
        <v>80</v>
      </c>
      <c r="N6" s="12">
        <v>100</v>
      </c>
    </row>
    <row r="7" spans="2:14" x14ac:dyDescent="0.2">
      <c r="B7" s="16" t="s">
        <v>11</v>
      </c>
      <c r="C7" s="2" t="s">
        <v>11</v>
      </c>
      <c r="D7" s="15">
        <v>4</v>
      </c>
      <c r="E7" s="15">
        <f t="shared" si="0"/>
        <v>10000</v>
      </c>
      <c r="F7" s="14">
        <f>IF(RIGHT(B7,3)&lt;&gt;"USD",VLOOKUP($C7,'FX DDE Feed'!$B$8:$C$62,2,FALSE),1)</f>
        <v>1</v>
      </c>
      <c r="G7" s="15">
        <f t="shared" si="1"/>
        <v>1</v>
      </c>
    </row>
    <row r="8" spans="2:14" x14ac:dyDescent="0.2">
      <c r="B8" s="16" t="s">
        <v>53</v>
      </c>
      <c r="C8" s="3" t="s">
        <v>5</v>
      </c>
      <c r="D8" s="15">
        <v>4</v>
      </c>
      <c r="E8" s="15">
        <f t="shared" si="0"/>
        <v>10000</v>
      </c>
      <c r="F8" s="14">
        <f>IF(RIGHT(B8,3)&lt;&gt;"USD",VLOOKUP($C8,'FX DDE Feed'!$B$8:$C$62,2,FALSE),1)</f>
        <v>0.99526999999999999</v>
      </c>
      <c r="G8" s="15">
        <f t="shared" si="1"/>
        <v>1</v>
      </c>
    </row>
    <row r="9" spans="2:14" x14ac:dyDescent="0.2">
      <c r="B9" s="16" t="s">
        <v>22</v>
      </c>
      <c r="C9" s="3" t="s">
        <v>7</v>
      </c>
      <c r="D9" s="15">
        <v>2</v>
      </c>
      <c r="E9" s="15">
        <f t="shared" si="0"/>
        <v>100</v>
      </c>
      <c r="F9" s="14">
        <f>IF(RIGHT(B9,3)&lt;&gt;"USD",VLOOKUP($C9,'FX DDE Feed'!$B$8:$C$62,2,FALSE),1)</f>
        <v>109.017</v>
      </c>
      <c r="G9" s="15">
        <f t="shared" si="1"/>
        <v>100</v>
      </c>
    </row>
    <row r="10" spans="2:14" x14ac:dyDescent="0.2">
      <c r="B10" s="16" t="s">
        <v>16</v>
      </c>
      <c r="C10" s="3" t="s">
        <v>7</v>
      </c>
      <c r="D10" s="15">
        <v>2</v>
      </c>
      <c r="E10" s="15">
        <f t="shared" si="0"/>
        <v>100</v>
      </c>
      <c r="F10" s="14">
        <f>IF(RIGHT(B10,3)&lt;&gt;"USD",VLOOKUP($C10,'FX DDE Feed'!$B$8:$C$62,2,FALSE),1)</f>
        <v>109.017</v>
      </c>
      <c r="G10" s="15">
        <f t="shared" si="1"/>
        <v>100</v>
      </c>
    </row>
    <row r="11" spans="2:14" x14ac:dyDescent="0.2">
      <c r="B11" s="16" t="s">
        <v>56</v>
      </c>
      <c r="C11" s="3" t="s">
        <v>32</v>
      </c>
      <c r="D11" s="15">
        <v>4</v>
      </c>
      <c r="E11" s="15">
        <f t="shared" si="0"/>
        <v>10000</v>
      </c>
      <c r="F11" s="14">
        <f>IF(RIGHT(B11,3)&lt;&gt;"USD",VLOOKUP($C11,'FX DDE Feed'!$B$8:$C$62,2,FALSE),1)</f>
        <v>8.6512200000000004</v>
      </c>
      <c r="G11" s="15">
        <f t="shared" si="1"/>
        <v>1</v>
      </c>
    </row>
    <row r="12" spans="2:14" x14ac:dyDescent="0.2">
      <c r="B12" s="16" t="s">
        <v>55</v>
      </c>
      <c r="C12" s="3" t="s">
        <v>28</v>
      </c>
      <c r="D12" s="15">
        <v>4</v>
      </c>
      <c r="E12" s="15">
        <f t="shared" si="0"/>
        <v>10000</v>
      </c>
      <c r="F12" s="14">
        <f>IF(RIGHT(B12,3)&lt;&gt;"USD",VLOOKUP($C12,'FX DDE Feed'!$B$8:$C$62,2,FALSE),1)</f>
        <v>8.9634699999999992</v>
      </c>
      <c r="G12" s="15">
        <f t="shared" si="1"/>
        <v>1</v>
      </c>
    </row>
    <row r="13" spans="2:14" x14ac:dyDescent="0.2">
      <c r="B13" s="16" t="s">
        <v>18</v>
      </c>
      <c r="C13" s="5" t="s">
        <v>11</v>
      </c>
      <c r="D13" s="15">
        <v>4</v>
      </c>
      <c r="E13" s="15">
        <f t="shared" si="0"/>
        <v>10000</v>
      </c>
      <c r="F13" s="14">
        <f>IF(RIGHT(B13,3)&lt;&gt;"USD",VLOOKUP($C13,'FX DDE Feed'!$B$8:$C$62,2,FALSE),1)</f>
        <v>0.75368999999999997</v>
      </c>
      <c r="G13" s="15">
        <f t="shared" si="1"/>
        <v>1</v>
      </c>
    </row>
    <row r="14" spans="2:14" x14ac:dyDescent="0.2">
      <c r="B14" s="16" t="s">
        <v>19</v>
      </c>
      <c r="C14" s="3" t="s">
        <v>12</v>
      </c>
      <c r="D14" s="15">
        <v>4</v>
      </c>
      <c r="E14" s="15">
        <f t="shared" si="0"/>
        <v>10000</v>
      </c>
      <c r="F14" s="14">
        <f>IF(RIGHT(B14,3)&lt;&gt;"USD",VLOOKUP($C14,'FX DDE Feed'!$B$8:$C$62,2,FALSE),1)</f>
        <v>1.34887</v>
      </c>
      <c r="G14" s="15">
        <f t="shared" si="1"/>
        <v>1</v>
      </c>
    </row>
    <row r="15" spans="2:14" x14ac:dyDescent="0.2">
      <c r="B15" s="16" t="s">
        <v>10</v>
      </c>
      <c r="C15" s="3" t="s">
        <v>5</v>
      </c>
      <c r="D15" s="15">
        <v>4</v>
      </c>
      <c r="E15" s="15">
        <f t="shared" si="0"/>
        <v>10000</v>
      </c>
      <c r="F15" s="14">
        <f>IF(RIGHT(B15,3)&lt;&gt;"USD",VLOOKUP($C15,'FX DDE Feed'!$B$8:$C$62,2,FALSE),1)</f>
        <v>0.99526999999999999</v>
      </c>
      <c r="G15" s="15">
        <f t="shared" si="1"/>
        <v>1</v>
      </c>
    </row>
    <row r="16" spans="2:14" x14ac:dyDescent="0.2">
      <c r="B16" s="16" t="s">
        <v>38</v>
      </c>
      <c r="C16" s="3" t="s">
        <v>39</v>
      </c>
      <c r="D16" s="15">
        <v>3</v>
      </c>
      <c r="E16" s="15">
        <f t="shared" si="0"/>
        <v>1000</v>
      </c>
      <c r="F16" s="14">
        <f>IF(RIGHT(B16,3)&lt;&gt;"USD",VLOOKUP($C16,'FX DDE Feed'!$B$8:$C$62,2,FALSE),1)</f>
        <v>24.998100000000001</v>
      </c>
      <c r="G16" s="15">
        <f t="shared" si="1"/>
        <v>10</v>
      </c>
    </row>
    <row r="17" spans="2:7" s="12" customFormat="1" x14ac:dyDescent="0.2">
      <c r="B17" s="16" t="s">
        <v>43</v>
      </c>
      <c r="C17" s="3" t="s">
        <v>29</v>
      </c>
      <c r="D17" s="15">
        <v>4</v>
      </c>
      <c r="E17" s="15">
        <f t="shared" si="0"/>
        <v>10000</v>
      </c>
      <c r="F17" s="14">
        <f>IF(RIGHT(B17,3)&lt;&gt;"USD",VLOOKUP($C17,'FX DDE Feed'!$B$8:$C$62,2,FALSE),1)</f>
        <v>6.9171800000000001</v>
      </c>
      <c r="G17" s="15">
        <f t="shared" si="1"/>
        <v>1</v>
      </c>
    </row>
    <row r="18" spans="2:7" s="12" customFormat="1" x14ac:dyDescent="0.2">
      <c r="B18" s="16" t="s">
        <v>14</v>
      </c>
      <c r="C18" s="3" t="s">
        <v>6</v>
      </c>
      <c r="D18" s="15">
        <v>4</v>
      </c>
      <c r="E18" s="15">
        <f t="shared" si="0"/>
        <v>10000</v>
      </c>
      <c r="F18" s="14">
        <f>IF(RIGHT(B18,3)&lt;&gt;"USD",VLOOKUP($C18,'FX DDE Feed'!$B$8:$C$62,2,FALSE),1)</f>
        <v>1.28023</v>
      </c>
      <c r="G18" s="15">
        <f t="shared" si="1"/>
        <v>1</v>
      </c>
    </row>
    <row r="19" spans="2:7" s="12" customFormat="1" x14ac:dyDescent="0.2">
      <c r="B19" s="16" t="s">
        <v>58</v>
      </c>
      <c r="C19" s="3" t="s">
        <v>59</v>
      </c>
      <c r="D19" s="15">
        <v>2</v>
      </c>
      <c r="E19" s="15">
        <f t="shared" si="0"/>
        <v>100</v>
      </c>
      <c r="F19" s="14">
        <f>IF(RIGHT(B19,3)&lt;&gt;"USD",VLOOKUP($C19,'FX DDE Feed'!$B$8:$C$62,2,FALSE),1)</f>
        <v>289.94299999999998</v>
      </c>
      <c r="G19" s="15">
        <f t="shared" si="1"/>
        <v>100</v>
      </c>
    </row>
    <row r="20" spans="2:7" s="12" customFormat="1" x14ac:dyDescent="0.2">
      <c r="B20" s="16" t="s">
        <v>31</v>
      </c>
      <c r="C20" s="3" t="s">
        <v>32</v>
      </c>
      <c r="D20" s="15">
        <v>4</v>
      </c>
      <c r="E20" s="15">
        <f t="shared" si="0"/>
        <v>10000</v>
      </c>
      <c r="F20" s="14">
        <f>IF(RIGHT(B20,3)&lt;&gt;"USD",VLOOKUP($C20,'FX DDE Feed'!$B$8:$C$62,2,FALSE),1)</f>
        <v>8.6512200000000004</v>
      </c>
      <c r="G20" s="15">
        <f t="shared" si="1"/>
        <v>1</v>
      </c>
    </row>
    <row r="21" spans="2:7" s="12" customFormat="1" x14ac:dyDescent="0.2">
      <c r="B21" s="16" t="s">
        <v>35</v>
      </c>
      <c r="C21" s="3" t="s">
        <v>13</v>
      </c>
      <c r="D21" s="15">
        <v>4</v>
      </c>
      <c r="E21" s="15">
        <f t="shared" si="0"/>
        <v>10000</v>
      </c>
      <c r="F21" s="14">
        <f>IF(RIGHT(B21,3)&lt;&gt;"USD",VLOOKUP($C21,'FX DDE Feed'!$B$8:$C$62,2,FALSE),1)</f>
        <v>0.70218999999999998</v>
      </c>
      <c r="G21" s="15">
        <f t="shared" si="1"/>
        <v>1</v>
      </c>
    </row>
    <row r="22" spans="2:7" s="12" customFormat="1" x14ac:dyDescent="0.2">
      <c r="B22" s="16" t="s">
        <v>36</v>
      </c>
      <c r="C22" s="3" t="s">
        <v>37</v>
      </c>
      <c r="D22" s="15">
        <v>4</v>
      </c>
      <c r="E22" s="15">
        <f t="shared" si="0"/>
        <v>10000</v>
      </c>
      <c r="F22" s="14">
        <f>IF(RIGHT(B22,3)&lt;&gt;"USD",VLOOKUP($C22,'FX DDE Feed'!$B$8:$C$62,2,FALSE),1)</f>
        <v>3.95485</v>
      </c>
      <c r="G22" s="15">
        <f t="shared" si="1"/>
        <v>1</v>
      </c>
    </row>
    <row r="23" spans="2:7" s="12" customFormat="1" x14ac:dyDescent="0.2">
      <c r="B23" s="16" t="s">
        <v>30</v>
      </c>
      <c r="C23" s="3" t="s">
        <v>28</v>
      </c>
      <c r="D23" s="15">
        <v>4</v>
      </c>
      <c r="E23" s="15">
        <f t="shared" si="0"/>
        <v>10000</v>
      </c>
      <c r="F23" s="14">
        <f>IF(RIGHT(B23,3)&lt;&gt;"USD",VLOOKUP($C23,'FX DDE Feed'!$B$8:$C$62,2,FALSE),1)</f>
        <v>8.9634699999999992</v>
      </c>
      <c r="G23" s="15">
        <f t="shared" si="1"/>
        <v>1</v>
      </c>
    </row>
    <row r="24" spans="2:7" s="12" customFormat="1" x14ac:dyDescent="0.2">
      <c r="B24" s="16" t="s">
        <v>51</v>
      </c>
      <c r="C24" s="3" t="s">
        <v>50</v>
      </c>
      <c r="D24" s="15">
        <v>4</v>
      </c>
      <c r="E24" s="15">
        <f t="shared" si="0"/>
        <v>10000</v>
      </c>
      <c r="F24" s="14">
        <f>IF(RIGHT(B24,3)&lt;&gt;"USD",VLOOKUP($C24,'FX DDE Feed'!$B$8:$C$62,2,FALSE),1)</f>
        <v>3.6313</v>
      </c>
      <c r="G24" s="15">
        <f t="shared" si="1"/>
        <v>1</v>
      </c>
    </row>
    <row r="25" spans="2:7" s="12" customFormat="1" x14ac:dyDescent="0.2">
      <c r="B25" s="16" t="s">
        <v>8</v>
      </c>
      <c r="C25" s="2" t="s">
        <v>8</v>
      </c>
      <c r="D25" s="15">
        <v>4</v>
      </c>
      <c r="E25" s="15">
        <f t="shared" si="0"/>
        <v>10000</v>
      </c>
      <c r="F25" s="14">
        <f>IF(RIGHT(B25,3)&lt;&gt;"USD",VLOOKUP($C25,'FX DDE Feed'!$B$8:$C$62,2,FALSE),1)</f>
        <v>1</v>
      </c>
      <c r="G25" s="15">
        <f t="shared" si="1"/>
        <v>1</v>
      </c>
    </row>
    <row r="26" spans="2:7" s="12" customFormat="1" x14ac:dyDescent="0.2">
      <c r="B26" s="16" t="s">
        <v>26</v>
      </c>
      <c r="C26" s="5" t="s">
        <v>11</v>
      </c>
      <c r="D26" s="15">
        <v>4</v>
      </c>
      <c r="E26" s="15">
        <f t="shared" si="0"/>
        <v>10000</v>
      </c>
      <c r="F26" s="14">
        <f>IF(RIGHT(B26,3)&lt;&gt;"USD",VLOOKUP($C26,'FX DDE Feed'!$B$8:$C$62,2,FALSE),1)</f>
        <v>0.75368999999999997</v>
      </c>
      <c r="G26" s="15">
        <f t="shared" si="1"/>
        <v>1</v>
      </c>
    </row>
    <row r="27" spans="2:7" s="12" customFormat="1" x14ac:dyDescent="0.2">
      <c r="B27" s="16" t="s">
        <v>24</v>
      </c>
      <c r="C27" s="3" t="s">
        <v>12</v>
      </c>
      <c r="D27" s="15">
        <v>4</v>
      </c>
      <c r="E27" s="15">
        <f t="shared" si="0"/>
        <v>10000</v>
      </c>
      <c r="F27" s="14">
        <f>IF(RIGHT(B27,3)&lt;&gt;"USD",VLOOKUP($C27,'FX DDE Feed'!$B$8:$C$62,2,FALSE),1)</f>
        <v>1.34887</v>
      </c>
      <c r="G27" s="15">
        <f t="shared" si="1"/>
        <v>1</v>
      </c>
    </row>
    <row r="28" spans="2:7" s="12" customFormat="1" x14ac:dyDescent="0.2">
      <c r="B28" s="16" t="s">
        <v>17</v>
      </c>
      <c r="C28" s="3" t="s">
        <v>5</v>
      </c>
      <c r="D28" s="15">
        <v>4</v>
      </c>
      <c r="E28" s="15">
        <f t="shared" si="0"/>
        <v>10000</v>
      </c>
      <c r="F28" s="14">
        <f>IF(RIGHT(B28,3)&lt;&gt;"USD",VLOOKUP($C28,'FX DDE Feed'!$B$8:$C$62,2,FALSE),1)</f>
        <v>0.99526999999999999</v>
      </c>
      <c r="G28" s="15">
        <f t="shared" si="1"/>
        <v>1</v>
      </c>
    </row>
    <row r="29" spans="2:7" s="12" customFormat="1" x14ac:dyDescent="0.2">
      <c r="B29" s="16" t="s">
        <v>15</v>
      </c>
      <c r="C29" s="3" t="s">
        <v>7</v>
      </c>
      <c r="D29" s="15">
        <v>2</v>
      </c>
      <c r="E29" s="15">
        <f t="shared" si="0"/>
        <v>100</v>
      </c>
      <c r="F29" s="14">
        <f>IF(RIGHT(B29,3)&lt;&gt;"USD",VLOOKUP($C29,'FX DDE Feed'!$B$8:$C$62,2,FALSE),1)</f>
        <v>109.017</v>
      </c>
      <c r="G29" s="15">
        <f t="shared" si="1"/>
        <v>100</v>
      </c>
    </row>
    <row r="30" spans="2:7" s="12" customFormat="1" x14ac:dyDescent="0.2">
      <c r="B30" s="16" t="s">
        <v>25</v>
      </c>
      <c r="C30" s="3" t="s">
        <v>13</v>
      </c>
      <c r="D30" s="15">
        <v>4</v>
      </c>
      <c r="E30" s="15">
        <f t="shared" si="0"/>
        <v>10000</v>
      </c>
      <c r="F30" s="14">
        <f>IF(RIGHT(B30,3)&lt;&gt;"USD",VLOOKUP($C30,'FX DDE Feed'!$B$8:$C$62,2,FALSE),1)</f>
        <v>0.70218999999999998</v>
      </c>
      <c r="G30" s="15">
        <f t="shared" si="1"/>
        <v>1</v>
      </c>
    </row>
    <row r="31" spans="2:7" s="12" customFormat="1" x14ac:dyDescent="0.2">
      <c r="B31" s="16" t="s">
        <v>44</v>
      </c>
      <c r="C31" s="3" t="s">
        <v>28</v>
      </c>
      <c r="D31" s="15">
        <v>4</v>
      </c>
      <c r="E31" s="15">
        <f t="shared" si="0"/>
        <v>10000</v>
      </c>
      <c r="F31" s="14">
        <f>IF(RIGHT(B31,3)&lt;&gt;"USD",VLOOKUP($C31,'FX DDE Feed'!$B$8:$C$62,2,FALSE),1)</f>
        <v>8.9634699999999992</v>
      </c>
      <c r="G31" s="15">
        <f t="shared" si="1"/>
        <v>1</v>
      </c>
    </row>
    <row r="32" spans="2:7" s="12" customFormat="1" x14ac:dyDescent="0.2">
      <c r="B32" s="16" t="s">
        <v>6</v>
      </c>
      <c r="C32" s="2" t="s">
        <v>6</v>
      </c>
      <c r="D32" s="15">
        <v>4</v>
      </c>
      <c r="E32" s="15">
        <f t="shared" si="0"/>
        <v>10000</v>
      </c>
      <c r="F32" s="14">
        <f>IF(RIGHT(B32,3)&lt;&gt;"USD",VLOOKUP($C32,'FX DDE Feed'!$B$8:$C$62,2,FALSE),1)</f>
        <v>1</v>
      </c>
      <c r="G32" s="15">
        <f t="shared" si="1"/>
        <v>1</v>
      </c>
    </row>
    <row r="33" spans="2:7" s="12" customFormat="1" x14ac:dyDescent="0.2">
      <c r="B33" s="16" t="s">
        <v>48</v>
      </c>
      <c r="C33" s="3" t="s">
        <v>7</v>
      </c>
      <c r="D33" s="15">
        <v>2</v>
      </c>
      <c r="E33" s="15">
        <f t="shared" si="0"/>
        <v>100</v>
      </c>
      <c r="F33" s="14">
        <f>IF(RIGHT(B33,3)&lt;&gt;"USD",VLOOKUP($C33,'FX DDE Feed'!$B$8:$C$62,2,FALSE),1)</f>
        <v>109.017</v>
      </c>
      <c r="G33" s="15">
        <f t="shared" si="1"/>
        <v>100</v>
      </c>
    </row>
    <row r="34" spans="2:7" s="12" customFormat="1" x14ac:dyDescent="0.2">
      <c r="B34" s="16" t="s">
        <v>45</v>
      </c>
      <c r="C34" s="3" t="s">
        <v>7</v>
      </c>
      <c r="D34" s="15">
        <v>2</v>
      </c>
      <c r="E34" s="15">
        <f t="shared" si="0"/>
        <v>100</v>
      </c>
      <c r="F34" s="14">
        <f>IF(RIGHT(B34,3)&lt;&gt;"USD",VLOOKUP($C34,'FX DDE Feed'!$B$8:$C$62,2,FALSE),1)</f>
        <v>109.017</v>
      </c>
      <c r="G34" s="15">
        <f t="shared" si="1"/>
        <v>100</v>
      </c>
    </row>
    <row r="35" spans="2:7" s="12" customFormat="1" x14ac:dyDescent="0.2">
      <c r="B35" s="16" t="s">
        <v>54</v>
      </c>
      <c r="C35" s="3" t="s">
        <v>12</v>
      </c>
      <c r="D35" s="15">
        <v>4</v>
      </c>
      <c r="E35" s="15">
        <f t="shared" si="0"/>
        <v>10000</v>
      </c>
      <c r="F35" s="14">
        <f>IF(RIGHT(B35,3)&lt;&gt;"USD",VLOOKUP($C35,'FX DDE Feed'!$B$8:$C$62,2,FALSE),1)</f>
        <v>1.34887</v>
      </c>
      <c r="G35" s="15">
        <f t="shared" si="1"/>
        <v>1</v>
      </c>
    </row>
    <row r="36" spans="2:7" s="12" customFormat="1" x14ac:dyDescent="0.2">
      <c r="B36" s="16" t="s">
        <v>52</v>
      </c>
      <c r="C36" s="3" t="s">
        <v>5</v>
      </c>
      <c r="D36" s="15">
        <v>4</v>
      </c>
      <c r="E36" s="15">
        <f t="shared" si="0"/>
        <v>10000</v>
      </c>
      <c r="F36" s="14">
        <f>IF(RIGHT(B36,3)&lt;&gt;"USD",VLOOKUP($C36,'FX DDE Feed'!$B$8:$C$62,2,FALSE),1)</f>
        <v>0.99526999999999999</v>
      </c>
      <c r="G36" s="15">
        <f t="shared" si="1"/>
        <v>1</v>
      </c>
    </row>
    <row r="37" spans="2:7" s="12" customFormat="1" x14ac:dyDescent="0.2">
      <c r="B37" s="16" t="s">
        <v>23</v>
      </c>
      <c r="C37" s="3" t="s">
        <v>7</v>
      </c>
      <c r="D37" s="15">
        <v>2</v>
      </c>
      <c r="E37" s="15">
        <f t="shared" si="0"/>
        <v>100</v>
      </c>
      <c r="F37" s="14">
        <f>IF(RIGHT(B37,3)&lt;&gt;"USD",VLOOKUP($C37,'FX DDE Feed'!$B$8:$C$62,2,FALSE),1)</f>
        <v>109.017</v>
      </c>
      <c r="G37" s="15">
        <f t="shared" si="1"/>
        <v>100</v>
      </c>
    </row>
    <row r="38" spans="2:7" s="12" customFormat="1" x14ac:dyDescent="0.2">
      <c r="B38" s="16" t="s">
        <v>13</v>
      </c>
      <c r="C38" s="2" t="s">
        <v>13</v>
      </c>
      <c r="D38" s="15">
        <v>4</v>
      </c>
      <c r="E38" s="15">
        <f t="shared" si="0"/>
        <v>10000</v>
      </c>
      <c r="F38" s="14">
        <f>IF(RIGHT(B38,3)&lt;&gt;"USD",VLOOKUP($C38,'FX DDE Feed'!$B$8:$C$62,2,FALSE),1)</f>
        <v>1</v>
      </c>
      <c r="G38" s="15">
        <f t="shared" si="1"/>
        <v>1</v>
      </c>
    </row>
    <row r="39" spans="2:7" s="12" customFormat="1" x14ac:dyDescent="0.2">
      <c r="B39" s="16" t="s">
        <v>46</v>
      </c>
      <c r="C39" s="3" t="s">
        <v>7</v>
      </c>
      <c r="D39" s="15">
        <v>2</v>
      </c>
      <c r="E39" s="15">
        <f t="shared" si="0"/>
        <v>100</v>
      </c>
      <c r="F39" s="14">
        <f>IF(RIGHT(B39,3)&lt;&gt;"USD",VLOOKUP($C39,'FX DDE Feed'!$B$8:$C$62,2,FALSE),1)</f>
        <v>109.017</v>
      </c>
      <c r="G39" s="15">
        <f t="shared" si="1"/>
        <v>100</v>
      </c>
    </row>
    <row r="40" spans="2:7" s="12" customFormat="1" x14ac:dyDescent="0.2">
      <c r="B40" s="16" t="s">
        <v>47</v>
      </c>
      <c r="C40" s="3" t="s">
        <v>7</v>
      </c>
      <c r="D40" s="15">
        <v>2</v>
      </c>
      <c r="E40" s="15">
        <f t="shared" si="0"/>
        <v>100</v>
      </c>
      <c r="F40" s="14">
        <f>IF(RIGHT(B40,3)&lt;&gt;"USD",VLOOKUP($C40,'FX DDE Feed'!$B$8:$C$62,2,FALSE),1)</f>
        <v>109.017</v>
      </c>
      <c r="G40" s="15">
        <f t="shared" si="1"/>
        <v>100</v>
      </c>
    </row>
    <row r="41" spans="2:7" s="12" customFormat="1" x14ac:dyDescent="0.2">
      <c r="B41" s="16" t="s">
        <v>60</v>
      </c>
      <c r="C41" s="3" t="s">
        <v>7</v>
      </c>
      <c r="D41" s="15">
        <v>2</v>
      </c>
      <c r="E41" s="15">
        <f t="shared" si="0"/>
        <v>100</v>
      </c>
      <c r="F41" s="14">
        <f>IF(RIGHT(B41,3)&lt;&gt;"USD",VLOOKUP($C41,'FX DDE Feed'!$B$8:$C$62,2,FALSE),1)</f>
        <v>109.017</v>
      </c>
      <c r="G41" s="15">
        <f t="shared" si="1"/>
        <v>100</v>
      </c>
    </row>
    <row r="42" spans="2:7" s="12" customFormat="1" x14ac:dyDescent="0.2">
      <c r="B42" s="16" t="s">
        <v>12</v>
      </c>
      <c r="C42" s="3" t="s">
        <v>12</v>
      </c>
      <c r="D42" s="15">
        <v>4</v>
      </c>
      <c r="E42" s="15">
        <f t="shared" si="0"/>
        <v>10000</v>
      </c>
      <c r="F42" s="14">
        <f>IF(RIGHT(B42,3)&lt;&gt;"USD",VLOOKUP($C42,'FX DDE Feed'!$B$8:$C$62,2,FALSE),1)</f>
        <v>1.34887</v>
      </c>
      <c r="G42" s="15">
        <f t="shared" si="1"/>
        <v>1</v>
      </c>
    </row>
    <row r="43" spans="2:7" s="12" customFormat="1" x14ac:dyDescent="0.2">
      <c r="B43" s="16" t="s">
        <v>5</v>
      </c>
      <c r="C43" s="3" t="s">
        <v>5</v>
      </c>
      <c r="D43" s="15">
        <v>4</v>
      </c>
      <c r="E43" s="15">
        <f t="shared" si="0"/>
        <v>10000</v>
      </c>
      <c r="F43" s="14">
        <f>IF(RIGHT(B43,3)&lt;&gt;"USD",VLOOKUP($C43,'FX DDE Feed'!$B$8:$C$62,2,FALSE),1)</f>
        <v>0.99526999999999999</v>
      </c>
      <c r="G43" s="15">
        <f t="shared" si="1"/>
        <v>1</v>
      </c>
    </row>
    <row r="44" spans="2:7" s="12" customFormat="1" x14ac:dyDescent="0.2">
      <c r="B44" s="16" t="s">
        <v>39</v>
      </c>
      <c r="C44" s="3" t="s">
        <v>39</v>
      </c>
      <c r="D44" s="15">
        <v>3</v>
      </c>
      <c r="E44" s="15">
        <f t="shared" si="0"/>
        <v>1000</v>
      </c>
      <c r="F44" s="14">
        <f>IF(RIGHT(B44,3)&lt;&gt;"USD",VLOOKUP($C44,'FX DDE Feed'!$B$8:$C$62,2,FALSE),1)</f>
        <v>24.998100000000001</v>
      </c>
      <c r="G44" s="15">
        <f t="shared" si="1"/>
        <v>10</v>
      </c>
    </row>
    <row r="45" spans="2:7" s="12" customFormat="1" x14ac:dyDescent="0.2">
      <c r="B45" s="16" t="s">
        <v>29</v>
      </c>
      <c r="C45" s="3" t="s">
        <v>29</v>
      </c>
      <c r="D45" s="15">
        <v>4</v>
      </c>
      <c r="E45" s="15">
        <f t="shared" si="0"/>
        <v>10000</v>
      </c>
      <c r="F45" s="14">
        <f>IF(RIGHT(B45,3)&lt;&gt;"USD",VLOOKUP($C45,'FX DDE Feed'!$B$8:$C$62,2,FALSE),1)</f>
        <v>6.9171800000000001</v>
      </c>
      <c r="G45" s="15">
        <f t="shared" si="1"/>
        <v>1</v>
      </c>
    </row>
    <row r="46" spans="2:7" s="12" customFormat="1" x14ac:dyDescent="0.2">
      <c r="B46" s="16" t="s">
        <v>42</v>
      </c>
      <c r="C46" s="3" t="s">
        <v>42</v>
      </c>
      <c r="D46" s="15">
        <v>4</v>
      </c>
      <c r="E46" s="15">
        <f t="shared" si="0"/>
        <v>10000</v>
      </c>
      <c r="F46" s="14">
        <f>IF(RIGHT(B46,3)&lt;&gt;"USD",VLOOKUP($C46,'FX DDE Feed'!$B$8:$C$62,2,FALSE),1)</f>
        <v>7.7742300000000002</v>
      </c>
      <c r="G46" s="15">
        <f t="shared" si="1"/>
        <v>1</v>
      </c>
    </row>
    <row r="47" spans="2:7" s="12" customFormat="1" x14ac:dyDescent="0.2">
      <c r="B47" s="16" t="s">
        <v>59</v>
      </c>
      <c r="C47" s="3" t="s">
        <v>59</v>
      </c>
      <c r="D47" s="15">
        <v>2</v>
      </c>
      <c r="E47" s="15">
        <f t="shared" si="0"/>
        <v>100</v>
      </c>
      <c r="F47" s="14">
        <f>IF(RIGHT(B47,3)&lt;&gt;"USD",VLOOKUP($C47,'FX DDE Feed'!$B$8:$C$62,2,FALSE),1)</f>
        <v>289.94299999999998</v>
      </c>
      <c r="G47" s="15">
        <f t="shared" si="1"/>
        <v>100</v>
      </c>
    </row>
    <row r="48" spans="2:7" s="12" customFormat="1" x14ac:dyDescent="0.2">
      <c r="B48" s="16" t="s">
        <v>7</v>
      </c>
      <c r="C48" s="3" t="s">
        <v>7</v>
      </c>
      <c r="D48" s="15">
        <v>2</v>
      </c>
      <c r="E48" s="15">
        <f t="shared" si="0"/>
        <v>100</v>
      </c>
      <c r="F48" s="14">
        <f>IF(RIGHT(B48,3)&lt;&gt;"USD",VLOOKUP($C48,'FX DDE Feed'!$B$8:$C$62,2,FALSE),1)</f>
        <v>109.017</v>
      </c>
      <c r="G48" s="15">
        <f t="shared" si="1"/>
        <v>100</v>
      </c>
    </row>
    <row r="49" spans="2:7" s="12" customFormat="1" x14ac:dyDescent="0.2">
      <c r="B49" s="16" t="s">
        <v>33</v>
      </c>
      <c r="C49" s="3" t="s">
        <v>33</v>
      </c>
      <c r="D49" s="15">
        <v>4</v>
      </c>
      <c r="E49" s="15">
        <f t="shared" si="0"/>
        <v>10000</v>
      </c>
      <c r="F49" s="14">
        <f>IF(RIGHT(B49,3)&lt;&gt;"USD",VLOOKUP($C49,'FX DDE Feed'!$B$8:$C$62,2,FALSE),1)</f>
        <v>18.778199999999998</v>
      </c>
      <c r="G49" s="15">
        <f t="shared" si="1"/>
        <v>1</v>
      </c>
    </row>
    <row r="50" spans="2:7" s="12" customFormat="1" x14ac:dyDescent="0.2">
      <c r="B50" s="16" t="s">
        <v>32</v>
      </c>
      <c r="C50" s="3" t="s">
        <v>32</v>
      </c>
      <c r="D50" s="15">
        <v>4</v>
      </c>
      <c r="E50" s="15">
        <f t="shared" si="0"/>
        <v>10000</v>
      </c>
      <c r="F50" s="14">
        <f>IF(RIGHT(B50,3)&lt;&gt;"USD",VLOOKUP($C50,'FX DDE Feed'!$B$8:$C$62,2,FALSE),1)</f>
        <v>8.6512200000000004</v>
      </c>
      <c r="G50" s="15">
        <f t="shared" si="1"/>
        <v>1</v>
      </c>
    </row>
    <row r="51" spans="2:7" s="12" customFormat="1" x14ac:dyDescent="0.2">
      <c r="B51" s="16" t="s">
        <v>37</v>
      </c>
      <c r="C51" s="3" t="s">
        <v>37</v>
      </c>
      <c r="D51" s="15">
        <v>4</v>
      </c>
      <c r="E51" s="15">
        <f t="shared" si="0"/>
        <v>10000</v>
      </c>
      <c r="F51" s="14">
        <f>IF(RIGHT(B51,3)&lt;&gt;"USD",VLOOKUP($C51,'FX DDE Feed'!$B$8:$C$62,2,FALSE),1)</f>
        <v>3.95485</v>
      </c>
      <c r="G51" s="15">
        <f t="shared" si="1"/>
        <v>1</v>
      </c>
    </row>
    <row r="52" spans="2:7" s="12" customFormat="1" x14ac:dyDescent="0.2">
      <c r="B52" s="16" t="s">
        <v>57</v>
      </c>
      <c r="C52" s="3" t="s">
        <v>57</v>
      </c>
      <c r="D52" s="15">
        <v>2</v>
      </c>
      <c r="E52" s="15">
        <f t="shared" si="0"/>
        <v>100</v>
      </c>
      <c r="F52" s="14" t="str">
        <f>IF(RIGHT(B52,3)&lt;&gt;"USD",VLOOKUP($C52,'FX DDE Feed'!$B$8:$C$62,2,FALSE),1)</f>
        <v>N\A</v>
      </c>
      <c r="G52" s="15">
        <f t="shared" si="1"/>
        <v>100</v>
      </c>
    </row>
    <row r="53" spans="2:7" s="12" customFormat="1" x14ac:dyDescent="0.2">
      <c r="B53" s="16" t="s">
        <v>28</v>
      </c>
      <c r="C53" s="3" t="s">
        <v>28</v>
      </c>
      <c r="D53" s="15">
        <v>4</v>
      </c>
      <c r="E53" s="15">
        <f t="shared" si="0"/>
        <v>10000</v>
      </c>
      <c r="F53" s="14">
        <f>IF(RIGHT(B53,3)&lt;&gt;"USD",VLOOKUP($C53,'FX DDE Feed'!$B$8:$C$62,2,FALSE),1)</f>
        <v>8.9634699999999992</v>
      </c>
      <c r="G53" s="15">
        <f t="shared" si="1"/>
        <v>1</v>
      </c>
    </row>
    <row r="54" spans="2:7" s="12" customFormat="1" x14ac:dyDescent="0.2">
      <c r="B54" s="16" t="s">
        <v>41</v>
      </c>
      <c r="C54" s="3" t="s">
        <v>41</v>
      </c>
      <c r="D54" s="15">
        <v>4</v>
      </c>
      <c r="E54" s="15">
        <f t="shared" si="0"/>
        <v>10000</v>
      </c>
      <c r="F54" s="14">
        <f>IF(RIGHT(B54,3)&lt;&gt;"USD",VLOOKUP($C54,'FX DDE Feed'!$B$8:$C$62,2,FALSE),1)</f>
        <v>1.39598</v>
      </c>
      <c r="G54" s="15">
        <f t="shared" si="1"/>
        <v>1</v>
      </c>
    </row>
    <row r="55" spans="2:7" s="12" customFormat="1" x14ac:dyDescent="0.2">
      <c r="B55" s="16" t="s">
        <v>50</v>
      </c>
      <c r="C55" s="3" t="s">
        <v>50</v>
      </c>
      <c r="D55" s="15">
        <v>4</v>
      </c>
      <c r="E55" s="15">
        <f t="shared" si="0"/>
        <v>10000</v>
      </c>
      <c r="F55" s="14">
        <f>IF(RIGHT(B55,3)&lt;&gt;"USD",VLOOKUP($C55,'FX DDE Feed'!$B$8:$C$62,2,FALSE),1)</f>
        <v>3.6313</v>
      </c>
      <c r="G55" s="15">
        <f t="shared" si="1"/>
        <v>1</v>
      </c>
    </row>
    <row r="56" spans="2:7" s="12" customFormat="1" x14ac:dyDescent="0.2">
      <c r="B56" s="16" t="s">
        <v>40</v>
      </c>
      <c r="C56" s="3" t="s">
        <v>40</v>
      </c>
      <c r="D56" s="15">
        <v>4</v>
      </c>
      <c r="E56" s="15">
        <f t="shared" si="0"/>
        <v>10000</v>
      </c>
      <c r="F56" s="14">
        <f>IF(RIGHT(B56,3)&lt;&gt;"USD",VLOOKUP($C56,'FX DDE Feed'!$B$8:$C$62,2,FALSE),1)</f>
        <v>13.09417</v>
      </c>
      <c r="G56" s="15">
        <f t="shared" si="1"/>
        <v>1</v>
      </c>
    </row>
    <row r="57" spans="2:7" s="12" customFormat="1" x14ac:dyDescent="0.2">
      <c r="B57" s="16" t="s">
        <v>49</v>
      </c>
      <c r="C57" s="3" t="s">
        <v>7</v>
      </c>
      <c r="D57" s="15">
        <v>2</v>
      </c>
      <c r="E57" s="15">
        <f t="shared" si="0"/>
        <v>100</v>
      </c>
      <c r="F57" s="14">
        <f>IF(RIGHT(B57,3)&lt;&gt;"USD",VLOOKUP($C57,'FX DDE Feed'!$B$8:$C$62,2,FALSE),1)</f>
        <v>109.017</v>
      </c>
      <c r="G57" s="15">
        <f t="shared" si="1"/>
        <v>100</v>
      </c>
    </row>
    <row r="58" spans="2:7" s="12" customFormat="1" x14ac:dyDescent="0.2">
      <c r="B58" s="2"/>
      <c r="C58" s="2"/>
      <c r="D58" s="15"/>
      <c r="E58" s="15"/>
      <c r="F58" s="14"/>
      <c r="G58" s="15"/>
    </row>
    <row r="59" spans="2:7" s="12" customFormat="1" x14ac:dyDescent="0.2">
      <c r="B59" s="2"/>
      <c r="C59" s="16"/>
      <c r="D59" s="15"/>
      <c r="E59" s="15"/>
      <c r="F59" s="14"/>
      <c r="G59" s="15"/>
    </row>
    <row r="60" spans="2:7" s="12" customFormat="1" x14ac:dyDescent="0.2">
      <c r="B60" s="2"/>
      <c r="C60" s="15"/>
      <c r="D60" s="15"/>
      <c r="E60" s="15"/>
      <c r="F60" s="14"/>
      <c r="G60" s="15"/>
    </row>
    <row r="61" spans="2:7" s="12" customFormat="1" x14ac:dyDescent="0.2">
      <c r="B61" s="2"/>
      <c r="C61" s="15"/>
      <c r="D61" s="15"/>
      <c r="E61" s="15"/>
      <c r="F61" s="14"/>
      <c r="G61" s="15"/>
    </row>
    <row r="62" spans="2:7" s="12" customFormat="1" x14ac:dyDescent="0.2">
      <c r="B62" s="2"/>
      <c r="C62" s="15"/>
      <c r="D62" s="15"/>
      <c r="E62" s="15"/>
      <c r="F62" s="14"/>
      <c r="G62" s="15"/>
    </row>
    <row r="63" spans="2:7" s="12" customFormat="1" x14ac:dyDescent="0.2">
      <c r="B63" s="2"/>
      <c r="C63" s="15"/>
      <c r="D63" s="15"/>
      <c r="E63" s="15"/>
      <c r="F63" s="14"/>
      <c r="G63" s="15"/>
    </row>
    <row r="64" spans="2:7" s="12" customFormat="1" x14ac:dyDescent="0.2">
      <c r="B64" s="2"/>
      <c r="C64" s="2"/>
      <c r="D64" s="15"/>
      <c r="E64" s="15"/>
      <c r="F64" s="14"/>
      <c r="G64" s="15"/>
    </row>
    <row r="65" spans="2:3" s="12" customFormat="1" x14ac:dyDescent="0.2">
      <c r="B65" s="2"/>
      <c r="C65" s="2"/>
    </row>
    <row r="66" spans="2:3" s="12" customFormat="1" x14ac:dyDescent="0.2">
      <c r="B66" s="2"/>
      <c r="C66" s="15"/>
    </row>
    <row r="67" spans="2:3" s="12" customFormat="1" x14ac:dyDescent="0.2">
      <c r="B67" s="2"/>
      <c r="C67" s="15"/>
    </row>
    <row r="68" spans="2:3" s="12" customFormat="1" x14ac:dyDescent="0.2">
      <c r="B68" s="2"/>
      <c r="C68" s="2"/>
    </row>
    <row r="69" spans="2:3" s="12" customFormat="1" x14ac:dyDescent="0.2">
      <c r="B69" s="2"/>
      <c r="C69" s="15"/>
    </row>
    <row r="70" spans="2:3" s="12" customFormat="1" x14ac:dyDescent="0.2">
      <c r="B70" s="2"/>
      <c r="C70" s="15"/>
    </row>
    <row r="71" spans="2:3" s="12" customFormat="1" x14ac:dyDescent="0.2">
      <c r="B71" s="2"/>
      <c r="C71" s="15"/>
    </row>
    <row r="72" spans="2:3" s="12" customFormat="1" x14ac:dyDescent="0.2">
      <c r="B72" s="2"/>
      <c r="C72" s="2"/>
    </row>
    <row r="73" spans="2:3" s="12" customFormat="1" x14ac:dyDescent="0.2">
      <c r="B73" s="2"/>
      <c r="C73" s="2"/>
    </row>
    <row r="74" spans="2:3" s="12" customFormat="1" x14ac:dyDescent="0.2">
      <c r="B74" s="2"/>
      <c r="C74" s="2"/>
    </row>
    <row r="75" spans="2:3" s="12" customFormat="1" x14ac:dyDescent="0.2">
      <c r="B75" s="2"/>
      <c r="C75" s="2"/>
    </row>
  </sheetData>
  <sortState ref="B3:B57">
    <sortCondition ref="B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1"/>
  <sheetViews>
    <sheetView workbookViewId="0">
      <selection activeCell="D7" sqref="D7"/>
    </sheetView>
  </sheetViews>
  <sheetFormatPr defaultRowHeight="12.75" x14ac:dyDescent="0.2"/>
  <cols>
    <col min="1" max="1" width="2.7109375" customWidth="1"/>
    <col min="2" max="6" width="10.7109375" customWidth="1"/>
    <col min="7" max="7" width="2.7109375" customWidth="1"/>
    <col min="8" max="9" width="10.7109375" customWidth="1"/>
    <col min="10" max="10" width="2.7109375" customWidth="1"/>
    <col min="11" max="12" width="10.7109375" customWidth="1"/>
    <col min="13" max="14" width="11.7109375" customWidth="1"/>
    <col min="15" max="15" width="2.7109375" customWidth="1"/>
    <col min="16" max="17" width="18.7109375" customWidth="1"/>
    <col min="18" max="18" width="2.7109375" customWidth="1"/>
    <col min="19" max="19" width="9.140625" style="75"/>
  </cols>
  <sheetData>
    <row r="1" spans="1:23" ht="13.5" thickBot="1" x14ac:dyDescent="0.25">
      <c r="A1" s="6"/>
      <c r="B1" s="11"/>
      <c r="C1" s="10"/>
      <c r="D1" s="10"/>
      <c r="E1" s="4"/>
      <c r="F1" s="4"/>
      <c r="G1" s="7"/>
      <c r="H1" s="7"/>
      <c r="I1" s="7"/>
      <c r="J1" s="7"/>
      <c r="K1" s="10"/>
      <c r="L1" s="10"/>
      <c r="M1" s="7"/>
      <c r="N1" s="8"/>
      <c r="O1" s="8"/>
      <c r="P1" s="13"/>
      <c r="Q1" s="20"/>
    </row>
    <row r="2" spans="1:23" ht="13.5" thickBot="1" x14ac:dyDescent="0.25">
      <c r="A2" s="6"/>
      <c r="B2" s="92" t="s">
        <v>83</v>
      </c>
      <c r="C2" s="94"/>
      <c r="D2" s="10"/>
      <c r="E2" s="4"/>
      <c r="F2" s="4"/>
      <c r="G2" s="7"/>
      <c r="H2" s="7"/>
      <c r="I2" s="7"/>
      <c r="J2" s="7"/>
      <c r="K2" s="10"/>
      <c r="L2" s="10"/>
      <c r="M2" s="7"/>
      <c r="N2" s="8"/>
      <c r="O2" s="8"/>
      <c r="P2" s="13"/>
      <c r="Q2" s="20"/>
    </row>
    <row r="3" spans="1:23" ht="13.5" thickBot="1" x14ac:dyDescent="0.25">
      <c r="A3" s="6"/>
      <c r="B3" s="73">
        <v>-4</v>
      </c>
      <c r="C3" s="74" t="s">
        <v>82</v>
      </c>
      <c r="D3" s="10"/>
      <c r="E3" s="4"/>
      <c r="F3" s="4"/>
      <c r="G3" s="7"/>
      <c r="H3" s="7"/>
      <c r="I3" s="7"/>
      <c r="J3" s="7"/>
      <c r="K3" s="10"/>
      <c r="L3" s="10"/>
      <c r="M3" s="7"/>
      <c r="N3" s="8"/>
      <c r="O3" s="8"/>
      <c r="P3" s="13"/>
      <c r="Q3" s="13"/>
    </row>
    <row r="4" spans="1:23" ht="13.5" thickBot="1" x14ac:dyDescent="0.25">
      <c r="A4" s="6"/>
      <c r="B4" s="11"/>
      <c r="C4" s="9"/>
      <c r="D4" s="9"/>
      <c r="E4" s="4"/>
      <c r="F4" s="4"/>
      <c r="G4" s="1"/>
      <c r="H4" s="7"/>
      <c r="I4" s="7"/>
      <c r="J4" s="7"/>
      <c r="K4" s="10"/>
      <c r="L4" s="10"/>
      <c r="M4" s="7"/>
      <c r="N4" s="8"/>
      <c r="O4" s="8"/>
      <c r="P4" s="13"/>
      <c r="Q4" s="20"/>
    </row>
    <row r="5" spans="1:23" ht="13.5" thickBot="1" x14ac:dyDescent="0.25">
      <c r="A5" s="19"/>
      <c r="B5" s="92" t="s">
        <v>63</v>
      </c>
      <c r="C5" s="93"/>
      <c r="D5" s="93"/>
      <c r="E5" s="93"/>
      <c r="F5" s="94"/>
      <c r="G5" s="17"/>
      <c r="H5" s="95" t="s">
        <v>64</v>
      </c>
      <c r="I5" s="96"/>
      <c r="J5" s="17"/>
      <c r="K5" s="95" t="s">
        <v>68</v>
      </c>
      <c r="L5" s="97"/>
      <c r="M5" s="97"/>
      <c r="N5" s="96"/>
      <c r="O5" s="18"/>
      <c r="P5" s="90" t="s">
        <v>69</v>
      </c>
      <c r="Q5" s="91"/>
      <c r="S5" s="23"/>
      <c r="T5" s="23"/>
      <c r="U5" s="19"/>
      <c r="V5" s="19"/>
      <c r="W5" s="19"/>
    </row>
    <row r="6" spans="1:23" ht="13.5" thickBot="1" x14ac:dyDescent="0.25">
      <c r="A6" s="25"/>
      <c r="B6" s="76" t="s">
        <v>0</v>
      </c>
      <c r="C6" s="77" t="s">
        <v>1</v>
      </c>
      <c r="D6" s="77" t="s">
        <v>2</v>
      </c>
      <c r="E6" s="78" t="s">
        <v>9</v>
      </c>
      <c r="F6" s="79" t="s">
        <v>102</v>
      </c>
      <c r="G6" s="57"/>
      <c r="H6" s="54" t="s">
        <v>71</v>
      </c>
      <c r="I6" s="58" t="s">
        <v>72</v>
      </c>
      <c r="J6" s="57"/>
      <c r="K6" s="54" t="s">
        <v>3</v>
      </c>
      <c r="L6" s="55" t="s">
        <v>4</v>
      </c>
      <c r="M6" s="55" t="s">
        <v>75</v>
      </c>
      <c r="N6" s="59" t="s">
        <v>76</v>
      </c>
      <c r="O6" s="60"/>
      <c r="P6" s="88" t="s">
        <v>77</v>
      </c>
      <c r="Q6" s="89" t="s">
        <v>61</v>
      </c>
      <c r="S6" s="26" t="s">
        <v>82</v>
      </c>
      <c r="T6" s="27"/>
      <c r="U6" s="25"/>
      <c r="V6" s="25"/>
      <c r="W6" s="25"/>
    </row>
    <row r="7" spans="1:23" x14ac:dyDescent="0.2">
      <c r="A7" s="6"/>
      <c r="B7" s="31" t="s">
        <v>85</v>
      </c>
      <c r="C7" s="28" t="str">
        <f>[1]!_xlbgnm.AUS200</f>
        <v>N\A</v>
      </c>
      <c r="D7" s="28" t="str">
        <f>[2]!_xlbgnm.AUS200</f>
        <v>N\A</v>
      </c>
      <c r="E7" s="29" t="e">
        <f t="shared" ref="E7:E24" si="0">(D7-C7)</f>
        <v>#VALUE!</v>
      </c>
      <c r="F7" s="32" t="s">
        <v>103</v>
      </c>
      <c r="G7" s="6"/>
      <c r="H7" s="50">
        <f>IF('CFD Data'!C3="USD",1,IF(RIGHT('CFD Data'!C3,3)="USD",('CFD Data'!E3/1)*'CFD Data'!D3*'CFD Data'!F3,(1/'CFD Data'!E3)*'CFD Data'!D3*'CFD Data'!F3))</f>
        <v>0.75368999999999997</v>
      </c>
      <c r="I7" s="51" t="e">
        <f>H7*E7</f>
        <v>#VALUE!</v>
      </c>
      <c r="J7" s="8"/>
      <c r="K7" s="69" t="str">
        <f>[3]!_xlbgnm.AUS200</f>
        <v>N\A</v>
      </c>
      <c r="L7" s="68" t="str">
        <f>[4]!_xlbgnm.AUS200</f>
        <v>N\A</v>
      </c>
      <c r="M7" s="52" t="e">
        <f>K7-L7</f>
        <v>#VALUE!</v>
      </c>
      <c r="N7" s="51" t="e">
        <f t="shared" ref="N7:N24" si="1">M7*H7</f>
        <v>#VALUE!</v>
      </c>
      <c r="O7" s="8"/>
      <c r="P7" s="53" t="str">
        <f>[5]!_xlbgnm.AUS200</f>
        <v>N\A</v>
      </c>
      <c r="Q7" s="64" t="e">
        <f t="shared" ref="Q7:Q24" ca="1" si="2">IF($B$3&lt;0,(NOW()+TIME(-1*$B$3,0,0))-P7,(NOW()-TIME((ABS(-1*$B$3)),0,0))-$P7)</f>
        <v>#VALUE!</v>
      </c>
      <c r="S7" s="22">
        <v>-12</v>
      </c>
      <c r="T7" s="24"/>
      <c r="U7" s="6"/>
      <c r="V7" s="6"/>
      <c r="W7" s="6"/>
    </row>
    <row r="8" spans="1:23" x14ac:dyDescent="0.2">
      <c r="A8" s="6"/>
      <c r="B8" s="31" t="s">
        <v>86</v>
      </c>
      <c r="C8" s="28" t="str">
        <f>[1]!_xlbgnm.ESP35</f>
        <v>N\A</v>
      </c>
      <c r="D8" s="28" t="str">
        <f>[2]!_xlbgnm.ESP35</f>
        <v>N\A</v>
      </c>
      <c r="E8" s="29" t="e">
        <f t="shared" si="0"/>
        <v>#VALUE!</v>
      </c>
      <c r="F8" s="32" t="s">
        <v>104</v>
      </c>
      <c r="G8" s="6"/>
      <c r="H8" s="50">
        <f>IF('CFD Data'!C4="USD",1,IF(RIGHT('CFD Data'!C4,3)="USD",('CFD Data'!E4/1)*'CFD Data'!D4*'CFD Data'!F4,(1/'CFD Data'!E4)*'CFD Data'!D4*'CFD Data'!F4))</f>
        <v>1.07216</v>
      </c>
      <c r="I8" s="51" t="e">
        <f t="shared" ref="I8:I24" si="3">H8*E8</f>
        <v>#VALUE!</v>
      </c>
      <c r="J8" s="8"/>
      <c r="K8" s="40" t="str">
        <f>[3]!_xlbgnm.ESP35</f>
        <v>N\A</v>
      </c>
      <c r="L8" s="28" t="str">
        <f>[4]!_xlbgnm.ESP35</f>
        <v>N\A</v>
      </c>
      <c r="M8" s="29" t="e">
        <f t="shared" ref="M8:M24" si="4">K8-L8</f>
        <v>#VALUE!</v>
      </c>
      <c r="N8" s="37" t="e">
        <f t="shared" si="1"/>
        <v>#VALUE!</v>
      </c>
      <c r="O8" s="8"/>
      <c r="P8" s="44" t="str">
        <f>[5]!_xlbgnm.ESP35</f>
        <v>N\A</v>
      </c>
      <c r="Q8" s="45" t="e">
        <f t="shared" ca="1" si="2"/>
        <v>#VALUE!</v>
      </c>
      <c r="S8" s="22">
        <v>-11</v>
      </c>
      <c r="T8" s="24"/>
      <c r="U8" s="6"/>
      <c r="V8" s="6"/>
      <c r="W8" s="6"/>
    </row>
    <row r="9" spans="1:23" x14ac:dyDescent="0.2">
      <c r="A9" s="6"/>
      <c r="B9" s="31" t="s">
        <v>87</v>
      </c>
      <c r="C9" s="28" t="str">
        <f>[1]!_xlbgnm.FRA40</f>
        <v>N\A</v>
      </c>
      <c r="D9" s="28" t="str">
        <f>[2]!_xlbgnm.FRA40</f>
        <v>N\A</v>
      </c>
      <c r="E9" s="29" t="e">
        <f t="shared" si="0"/>
        <v>#VALUE!</v>
      </c>
      <c r="F9" s="32" t="s">
        <v>104</v>
      </c>
      <c r="G9" s="6"/>
      <c r="H9" s="50">
        <f>IF('CFD Data'!C5="USD",1,IF(RIGHT('CFD Data'!C5,3)="USD",('CFD Data'!E5/1)*'CFD Data'!D5*'CFD Data'!F5,(1/'CFD Data'!E5)*'CFD Data'!D5*'CFD Data'!F5))</f>
        <v>1.07216</v>
      </c>
      <c r="I9" s="51" t="e">
        <f t="shared" si="3"/>
        <v>#VALUE!</v>
      </c>
      <c r="J9" s="8"/>
      <c r="K9" s="40" t="str">
        <f>[3]!_xlbgnm.FRA40</f>
        <v>N\A</v>
      </c>
      <c r="L9" s="28" t="str">
        <f>[4]!_xlbgnm.FRA40</f>
        <v>N\A</v>
      </c>
      <c r="M9" s="29" t="e">
        <f t="shared" si="4"/>
        <v>#VALUE!</v>
      </c>
      <c r="N9" s="37" t="e">
        <f t="shared" si="1"/>
        <v>#VALUE!</v>
      </c>
      <c r="O9" s="8"/>
      <c r="P9" s="44" t="str">
        <f>[5]!_xlbgnm.FRA40</f>
        <v>N\A</v>
      </c>
      <c r="Q9" s="45" t="e">
        <f t="shared" ca="1" si="2"/>
        <v>#VALUE!</v>
      </c>
      <c r="S9" s="22">
        <v>-10</v>
      </c>
      <c r="T9" s="24"/>
      <c r="U9" s="6"/>
      <c r="V9" s="6"/>
      <c r="W9" s="6"/>
    </row>
    <row r="10" spans="1:23" x14ac:dyDescent="0.2">
      <c r="A10" s="6"/>
      <c r="B10" s="31" t="s">
        <v>88</v>
      </c>
      <c r="C10" s="72" t="str">
        <f>[1]!_xlbgnm.GER30</f>
        <v>N\A</v>
      </c>
      <c r="D10" s="72" t="str">
        <f>[2]!_xlbgnm.GER30</f>
        <v>N\A</v>
      </c>
      <c r="E10" s="29" t="e">
        <f t="shared" si="0"/>
        <v>#VALUE!</v>
      </c>
      <c r="F10" s="32" t="s">
        <v>104</v>
      </c>
      <c r="G10" s="7"/>
      <c r="H10" s="50">
        <f>IF('CFD Data'!C6="USD",1,IF(RIGHT('CFD Data'!C6,3)="USD",('CFD Data'!E6/1)*'CFD Data'!D6*'CFD Data'!F6,(1/'CFD Data'!E6)*'CFD Data'!D6*'CFD Data'!F6))</f>
        <v>1.07216</v>
      </c>
      <c r="I10" s="51" t="e">
        <f t="shared" si="3"/>
        <v>#VALUE!</v>
      </c>
      <c r="J10" s="8"/>
      <c r="K10" s="87" t="str">
        <f>[3]!_xlbgnm.GER30</f>
        <v>N\A</v>
      </c>
      <c r="L10" s="72" t="str">
        <f>[4]!_xlbgnm.GER30</f>
        <v>N\A</v>
      </c>
      <c r="M10" s="29" t="e">
        <f t="shared" si="4"/>
        <v>#VALUE!</v>
      </c>
      <c r="N10" s="37" t="e">
        <f t="shared" si="1"/>
        <v>#VALUE!</v>
      </c>
      <c r="O10" s="8"/>
      <c r="P10" s="44" t="str">
        <f>[5]!_xlbgnm.GER30</f>
        <v>N\A</v>
      </c>
      <c r="Q10" s="45" t="e">
        <f t="shared" ca="1" si="2"/>
        <v>#VALUE!</v>
      </c>
      <c r="S10" s="22">
        <v>-9</v>
      </c>
      <c r="T10" s="24"/>
      <c r="U10" s="6"/>
      <c r="V10" s="6"/>
      <c r="W10" s="6"/>
    </row>
    <row r="11" spans="1:23" x14ac:dyDescent="0.2">
      <c r="A11" s="6"/>
      <c r="B11" s="31" t="s">
        <v>96</v>
      </c>
      <c r="C11" s="72" t="str">
        <f>[1]!_xlbgnm.HKG33</f>
        <v>N\A</v>
      </c>
      <c r="D11" s="72" t="str">
        <f>[2]!_xlbgnm.HKG33</f>
        <v>N\A</v>
      </c>
      <c r="E11" s="29" t="e">
        <f t="shared" si="0"/>
        <v>#VALUE!</v>
      </c>
      <c r="F11" s="32" t="s">
        <v>105</v>
      </c>
      <c r="G11" s="7"/>
      <c r="H11" s="50">
        <f>IF('CFD Data'!C7="USD",1,IF(RIGHT('CFD Data'!C7,3)="USD",('CFD Data'!E7/1)*'CFD Data'!D7*'CFD Data'!F7,(1/'CFD Data'!E7)*'CFD Data'!D7*'CFD Data'!F7))</f>
        <v>1.2863010227379432</v>
      </c>
      <c r="I11" s="51" t="e">
        <f t="shared" si="3"/>
        <v>#VALUE!</v>
      </c>
      <c r="J11" s="8"/>
      <c r="K11" s="87" t="str">
        <f>[3]!_xlbgnm.HKG33</f>
        <v>N\A</v>
      </c>
      <c r="L11" s="72" t="str">
        <f>[4]!_xlbgnm.HKG33</f>
        <v>N\A</v>
      </c>
      <c r="M11" s="29" t="e">
        <f t="shared" si="4"/>
        <v>#VALUE!</v>
      </c>
      <c r="N11" s="37" t="e">
        <f t="shared" si="1"/>
        <v>#VALUE!</v>
      </c>
      <c r="O11" s="8"/>
      <c r="P11" s="44" t="str">
        <f>[5]!_xlbgnm.HKG33</f>
        <v>N\A</v>
      </c>
      <c r="Q11" s="45" t="e">
        <f t="shared" ca="1" si="2"/>
        <v>#VALUE!</v>
      </c>
      <c r="S11" s="22">
        <v>-8</v>
      </c>
      <c r="T11" s="22"/>
      <c r="U11" s="6"/>
      <c r="V11" s="6"/>
      <c r="W11" s="6"/>
    </row>
    <row r="12" spans="1:23" x14ac:dyDescent="0.2">
      <c r="A12" s="6"/>
      <c r="B12" s="31" t="s">
        <v>89</v>
      </c>
      <c r="C12" s="28" t="str">
        <f>[1]!_xlbgnm.ITA40</f>
        <v>N\A</v>
      </c>
      <c r="D12" s="28" t="str">
        <f>[2]!_xlbgnm.ITA40</f>
        <v>N\A</v>
      </c>
      <c r="E12" s="29" t="e">
        <f t="shared" si="0"/>
        <v>#VALUE!</v>
      </c>
      <c r="F12" s="32" t="s">
        <v>104</v>
      </c>
      <c r="G12" s="6"/>
      <c r="H12" s="50">
        <f>IF('CFD Data'!C8="USD",1,IF(RIGHT('CFD Data'!C8,3)="USD",('CFD Data'!E8/1)*'CFD Data'!D8*'CFD Data'!F8,(1/'CFD Data'!E8)*'CFD Data'!D8*'CFD Data'!F8))</f>
        <v>1.07216</v>
      </c>
      <c r="I12" s="51" t="e">
        <f t="shared" si="3"/>
        <v>#VALUE!</v>
      </c>
      <c r="J12" s="8"/>
      <c r="K12" s="40" t="str">
        <f>[3]!_xlbgnm.ITA40</f>
        <v>N\A</v>
      </c>
      <c r="L12" s="28" t="str">
        <f>[4]!_xlbgnm.ITA40</f>
        <v>N\A</v>
      </c>
      <c r="M12" s="29" t="e">
        <f t="shared" si="4"/>
        <v>#VALUE!</v>
      </c>
      <c r="N12" s="37" t="e">
        <f t="shared" si="1"/>
        <v>#VALUE!</v>
      </c>
      <c r="O12" s="8"/>
      <c r="P12" s="44" t="str">
        <f>[5]!_xlbgnm.ITA40</f>
        <v>N\A</v>
      </c>
      <c r="Q12" s="45" t="e">
        <f t="shared" ca="1" si="2"/>
        <v>#VALUE!</v>
      </c>
      <c r="S12" s="22">
        <v>-7</v>
      </c>
      <c r="T12" s="22"/>
      <c r="U12" s="6"/>
      <c r="V12" s="6"/>
      <c r="W12" s="6"/>
    </row>
    <row r="13" spans="1:23" x14ac:dyDescent="0.2">
      <c r="A13" s="6"/>
      <c r="B13" s="31" t="s">
        <v>97</v>
      </c>
      <c r="C13" s="28" t="str">
        <f>[1]!_xlbgnm.JPN225</f>
        <v>N\A</v>
      </c>
      <c r="D13" s="28" t="str">
        <f>[2]!_xlbgnm.JPN225</f>
        <v>N\A</v>
      </c>
      <c r="E13" s="29" t="e">
        <f t="shared" si="0"/>
        <v>#VALUE!</v>
      </c>
      <c r="F13" s="32" t="s">
        <v>105</v>
      </c>
      <c r="G13" s="6"/>
      <c r="H13" s="50">
        <f>IF('CFD Data'!C9="USD",1,IF(RIGHT('CFD Data'!C9,3)="USD",('CFD Data'!E9/1)*'CFD Data'!D9*'CFD Data'!F9,(1/'CFD Data'!E9)*'CFD Data'!D9*'CFD Data'!F9))</f>
        <v>0.91728812937431781</v>
      </c>
      <c r="I13" s="51" t="e">
        <f t="shared" si="3"/>
        <v>#VALUE!</v>
      </c>
      <c r="J13" s="8"/>
      <c r="K13" s="40" t="str">
        <f>[3]!_xlbgnm.JPN225</f>
        <v>N\A</v>
      </c>
      <c r="L13" s="28" t="str">
        <f>[4]!_xlbgnm.JPN225</f>
        <v>N\A</v>
      </c>
      <c r="M13" s="29" t="e">
        <f t="shared" si="4"/>
        <v>#VALUE!</v>
      </c>
      <c r="N13" s="37" t="e">
        <f t="shared" si="1"/>
        <v>#VALUE!</v>
      </c>
      <c r="O13" s="8"/>
      <c r="P13" s="44" t="str">
        <f>[5]!_xlbgnm.JPN225</f>
        <v>N\A</v>
      </c>
      <c r="Q13" s="45" t="e">
        <f t="shared" ca="1" si="2"/>
        <v>#VALUE!</v>
      </c>
      <c r="S13" s="22">
        <v>-6</v>
      </c>
      <c r="T13" s="22"/>
      <c r="U13" s="6"/>
      <c r="V13" s="6"/>
      <c r="W13" s="6"/>
    </row>
    <row r="14" spans="1:23" x14ac:dyDescent="0.2">
      <c r="A14" s="6"/>
      <c r="B14" s="31" t="s">
        <v>90</v>
      </c>
      <c r="C14" s="28" t="str">
        <f>[1]!_xlbgnm.NAS100</f>
        <v>N\A</v>
      </c>
      <c r="D14" s="28" t="str">
        <f>[2]!_xlbgnm.NAS100</f>
        <v>N\A</v>
      </c>
      <c r="E14" s="29" t="e">
        <f t="shared" si="0"/>
        <v>#VALUE!</v>
      </c>
      <c r="F14" s="32" t="s">
        <v>106</v>
      </c>
      <c r="G14" s="6"/>
      <c r="H14" s="50">
        <f>IF('CFD Data'!C10="USD",1,IF(RIGHT('CFD Data'!C10,3)="USD",('CFD Data'!E10/1)*'CFD Data'!D10*'CFD Data'!F10,(1/'CFD Data'!E10)*'CFD Data'!D10*'CFD Data'!F10))</f>
        <v>1</v>
      </c>
      <c r="I14" s="51" t="e">
        <f t="shared" si="3"/>
        <v>#VALUE!</v>
      </c>
      <c r="J14" s="8"/>
      <c r="K14" s="40" t="str">
        <f>[3]!_xlbgnm.NAS100</f>
        <v>N\A</v>
      </c>
      <c r="L14" s="28" t="str">
        <f>[4]!_xlbgnm.NAS100</f>
        <v>N\A</v>
      </c>
      <c r="M14" s="29" t="e">
        <f t="shared" si="4"/>
        <v>#VALUE!</v>
      </c>
      <c r="N14" s="37" t="e">
        <f t="shared" si="1"/>
        <v>#VALUE!</v>
      </c>
      <c r="O14" s="8"/>
      <c r="P14" s="44" t="str">
        <f>[5]!_xlbgnm.NAS100</f>
        <v>N\A</v>
      </c>
      <c r="Q14" s="45" t="e">
        <f t="shared" ca="1" si="2"/>
        <v>#VALUE!</v>
      </c>
      <c r="S14" s="22">
        <v>-5</v>
      </c>
      <c r="T14" s="22"/>
      <c r="U14" s="6"/>
      <c r="V14" s="6"/>
      <c r="W14" s="6"/>
    </row>
    <row r="15" spans="1:23" x14ac:dyDescent="0.2">
      <c r="A15" s="6"/>
      <c r="B15" s="31" t="s">
        <v>91</v>
      </c>
      <c r="C15" s="71" t="str">
        <f>[1]!_xlbgnm.SPX500</f>
        <v>N\A</v>
      </c>
      <c r="D15" s="28" t="str">
        <f>[2]!_xlbgnm.SPX500</f>
        <v>N\A</v>
      </c>
      <c r="E15" s="29" t="e">
        <f t="shared" si="0"/>
        <v>#VALUE!</v>
      </c>
      <c r="F15" s="32" t="s">
        <v>106</v>
      </c>
      <c r="G15" s="6"/>
      <c r="H15" s="50">
        <f>IF('CFD Data'!C11="USD",1,IF(RIGHT('CFD Data'!C11,3)="USD",('CFD Data'!E11/1)*'CFD Data'!D11*'CFD Data'!F11,(1/'CFD Data'!E11)*'CFD Data'!D11*'CFD Data'!F11))</f>
        <v>1</v>
      </c>
      <c r="I15" s="51" t="e">
        <f t="shared" si="3"/>
        <v>#VALUE!</v>
      </c>
      <c r="J15" s="8"/>
      <c r="K15" s="40" t="str">
        <f>[3]!_xlbgnm.SPX500</f>
        <v>N\A</v>
      </c>
      <c r="L15" s="28" t="str">
        <f>[4]!_xlbgnm.SPX500</f>
        <v>N\A</v>
      </c>
      <c r="M15" s="29" t="e">
        <f t="shared" si="4"/>
        <v>#VALUE!</v>
      </c>
      <c r="N15" s="37" t="e">
        <f t="shared" si="1"/>
        <v>#VALUE!</v>
      </c>
      <c r="O15" s="8"/>
      <c r="P15" s="44" t="str">
        <f>[5]!_xlbgnm.SPX500</f>
        <v>N\A</v>
      </c>
      <c r="Q15" s="45" t="e">
        <f t="shared" ca="1" si="2"/>
        <v>#VALUE!</v>
      </c>
      <c r="S15" s="22">
        <v>-4</v>
      </c>
      <c r="T15" s="22"/>
      <c r="U15" s="6"/>
      <c r="V15" s="6"/>
      <c r="W15" s="6"/>
    </row>
    <row r="16" spans="1:23" x14ac:dyDescent="0.2">
      <c r="A16" s="6"/>
      <c r="B16" s="31" t="s">
        <v>92</v>
      </c>
      <c r="C16" s="28" t="str">
        <f>[1]!_xlbgnm.SUI30</f>
        <v>N\A</v>
      </c>
      <c r="D16" s="28" t="str">
        <f>[2]!_xlbgnm.SUI30</f>
        <v>N\A</v>
      </c>
      <c r="E16" s="29" t="e">
        <f t="shared" si="0"/>
        <v>#VALUE!</v>
      </c>
      <c r="F16" s="32" t="s">
        <v>104</v>
      </c>
      <c r="G16" s="6"/>
      <c r="H16" s="50">
        <f>IF('CFD Data'!C12="USD",1,IF(RIGHT('CFD Data'!C12,3)="USD",('CFD Data'!E12/1)*'CFD Data'!D12*'CFD Data'!F12,(1/'CFD Data'!E12)*'CFD Data'!D12*'CFD Data'!F12))</f>
        <v>1.0047524792267426</v>
      </c>
      <c r="I16" s="51" t="e">
        <f t="shared" si="3"/>
        <v>#VALUE!</v>
      </c>
      <c r="J16" s="8"/>
      <c r="K16" s="40" t="str">
        <f>[3]!_xlbgnm.SUI30</f>
        <v>N\A</v>
      </c>
      <c r="L16" s="28" t="str">
        <f>[4]!_xlbgnm.SUI30</f>
        <v>N\A</v>
      </c>
      <c r="M16" s="29" t="e">
        <f t="shared" si="4"/>
        <v>#VALUE!</v>
      </c>
      <c r="N16" s="37" t="e">
        <f t="shared" si="1"/>
        <v>#VALUE!</v>
      </c>
      <c r="O16" s="8"/>
      <c r="P16" s="44" t="str">
        <f>[5]!_xlbgnm.SUI30</f>
        <v>N\A</v>
      </c>
      <c r="Q16" s="45" t="e">
        <f t="shared" ca="1" si="2"/>
        <v>#VALUE!</v>
      </c>
      <c r="S16" s="22">
        <v>-3</v>
      </c>
      <c r="T16" s="22"/>
      <c r="U16" s="6"/>
      <c r="V16" s="6"/>
      <c r="W16" s="6"/>
    </row>
    <row r="17" spans="1:23" x14ac:dyDescent="0.2">
      <c r="A17" s="6"/>
      <c r="B17" s="31" t="s">
        <v>95</v>
      </c>
      <c r="C17" s="28" t="str">
        <f>[1]!_xlbgnm.SWE30</f>
        <v>N\A</v>
      </c>
      <c r="D17" s="28" t="str">
        <f>[2]!_xlbgnm.SWE30</f>
        <v>N\A</v>
      </c>
      <c r="E17" s="29" t="e">
        <f t="shared" si="0"/>
        <v>#VALUE!</v>
      </c>
      <c r="F17" s="32" t="s">
        <v>104</v>
      </c>
      <c r="G17" s="6"/>
      <c r="H17" s="50">
        <f>IF('CFD Data'!C13="USD",1,IF(RIGHT('CFD Data'!C13,3)="USD",('CFD Data'!E13/1)*'CFD Data'!D13*'CFD Data'!F13,(1/'CFD Data'!E13)*'CFD Data'!D13*'CFD Data'!F13))</f>
        <v>1.1156393673432277</v>
      </c>
      <c r="I17" s="51" t="e">
        <f t="shared" si="3"/>
        <v>#VALUE!</v>
      </c>
      <c r="J17" s="8"/>
      <c r="K17" s="40" t="str">
        <f>[3]!_xlbgnm.SWE30</f>
        <v>N\A</v>
      </c>
      <c r="L17" s="28" t="str">
        <f>[4]!_xlbgnm.SWE30</f>
        <v>N\A</v>
      </c>
      <c r="M17" s="29" t="e">
        <f t="shared" si="4"/>
        <v>#VALUE!</v>
      </c>
      <c r="N17" s="37" t="e">
        <f t="shared" si="1"/>
        <v>#VALUE!</v>
      </c>
      <c r="O17" s="8"/>
      <c r="P17" s="44" t="str">
        <f>[5]!_xlbgnm.SWE30</f>
        <v>N\A</v>
      </c>
      <c r="Q17" s="45" t="e">
        <f t="shared" ca="1" si="2"/>
        <v>#VALUE!</v>
      </c>
      <c r="S17" s="22">
        <v>-2</v>
      </c>
      <c r="T17" s="22"/>
      <c r="U17" s="6"/>
      <c r="V17" s="6"/>
      <c r="W17" s="6"/>
    </row>
    <row r="18" spans="1:23" x14ac:dyDescent="0.2">
      <c r="A18" s="6"/>
      <c r="B18" s="31" t="s">
        <v>93</v>
      </c>
      <c r="C18" s="28" t="str">
        <f>[1]!_xlbgnm.UK100</f>
        <v>N\A</v>
      </c>
      <c r="D18" s="28" t="str">
        <f>[2]!_xlbgnm.UK100</f>
        <v>N\A</v>
      </c>
      <c r="E18" s="29" t="e">
        <f t="shared" si="0"/>
        <v>#VALUE!</v>
      </c>
      <c r="F18" s="32" t="s">
        <v>104</v>
      </c>
      <c r="G18" s="6"/>
      <c r="H18" s="50">
        <f>IF('CFD Data'!C14="USD",1,IF(RIGHT('CFD Data'!C14,3)="USD",('CFD Data'!E14/1)*'CFD Data'!D14*'CFD Data'!F14,(1/'CFD Data'!E14)*'CFD Data'!D14*'CFD Data'!F14))</f>
        <v>1.28023</v>
      </c>
      <c r="I18" s="51" t="e">
        <f t="shared" si="3"/>
        <v>#VALUE!</v>
      </c>
      <c r="J18" s="8"/>
      <c r="K18" s="40" t="str">
        <f>[3]!_xlbgnm.UK100</f>
        <v>N\A</v>
      </c>
      <c r="L18" s="28" t="str">
        <f>[4]!_xlbgnm.UK100</f>
        <v>N\A</v>
      </c>
      <c r="M18" s="29" t="e">
        <f t="shared" si="4"/>
        <v>#VALUE!</v>
      </c>
      <c r="N18" s="37" t="e">
        <f t="shared" si="1"/>
        <v>#VALUE!</v>
      </c>
      <c r="O18" s="8"/>
      <c r="P18" s="44" t="str">
        <f>[5]!_xlbgnm.UK100</f>
        <v>N\A</v>
      </c>
      <c r="Q18" s="45" t="e">
        <f t="shared" ca="1" si="2"/>
        <v>#VALUE!</v>
      </c>
      <c r="S18" s="22">
        <v>-1</v>
      </c>
      <c r="T18" s="22"/>
      <c r="U18" s="6"/>
      <c r="V18" s="6"/>
      <c r="W18" s="6"/>
    </row>
    <row r="19" spans="1:23" x14ac:dyDescent="0.2">
      <c r="A19" s="6"/>
      <c r="B19" s="31" t="s">
        <v>94</v>
      </c>
      <c r="C19" s="28" t="str">
        <f>[1]!_xlbgnm.US30</f>
        <v>N\A</v>
      </c>
      <c r="D19" s="28" t="str">
        <f>[2]!_xlbgnm.US30</f>
        <v>N\A</v>
      </c>
      <c r="E19" s="29" t="e">
        <f t="shared" si="0"/>
        <v>#VALUE!</v>
      </c>
      <c r="F19" s="32" t="s">
        <v>106</v>
      </c>
      <c r="G19" s="6"/>
      <c r="H19" s="50">
        <f>IF('CFD Data'!C15="USD",1,IF(RIGHT('CFD Data'!C15,3)="USD",('CFD Data'!E15/1)*'CFD Data'!D15*'CFD Data'!F15,(1/'CFD Data'!E15)*'CFD Data'!D15*'CFD Data'!F15))</f>
        <v>1</v>
      </c>
      <c r="I19" s="51" t="e">
        <f t="shared" si="3"/>
        <v>#VALUE!</v>
      </c>
      <c r="J19" s="8"/>
      <c r="K19" s="40" t="str">
        <f>[3]!_xlbgnm.US30</f>
        <v>N\A</v>
      </c>
      <c r="L19" s="28" t="str">
        <f>[4]!_xlbgnm.US30</f>
        <v>N\A</v>
      </c>
      <c r="M19" s="29" t="e">
        <f t="shared" si="4"/>
        <v>#VALUE!</v>
      </c>
      <c r="N19" s="37" t="e">
        <f t="shared" si="1"/>
        <v>#VALUE!</v>
      </c>
      <c r="O19" s="8"/>
      <c r="P19" s="44" t="str">
        <f>[5]!_xlbgnm.US30</f>
        <v>N\A</v>
      </c>
      <c r="Q19" s="45" t="e">
        <f t="shared" ca="1" si="2"/>
        <v>#VALUE!</v>
      </c>
      <c r="S19" s="22">
        <v>0</v>
      </c>
      <c r="T19" s="22"/>
      <c r="U19" s="6"/>
      <c r="V19" s="6"/>
      <c r="W19" s="6"/>
    </row>
    <row r="20" spans="1:23" x14ac:dyDescent="0.2">
      <c r="A20" s="6"/>
      <c r="B20" s="31" t="s">
        <v>84</v>
      </c>
      <c r="C20" s="28" t="str">
        <f>[1]!USDOLLAR</f>
        <v>N\A</v>
      </c>
      <c r="D20" s="28" t="str">
        <f>[2]!USDOLLAR</f>
        <v>N\A</v>
      </c>
      <c r="E20" s="29" t="e">
        <f t="shared" si="0"/>
        <v>#VALUE!</v>
      </c>
      <c r="F20" s="32" t="s">
        <v>107</v>
      </c>
      <c r="G20" s="6"/>
      <c r="H20" s="50">
        <f>IF('CFD Data'!C16="USD",1,IF(RIGHT('CFD Data'!C16,3)="USD",('CFD Data'!E16/1)*'CFD Data'!D16*'CFD Data'!F16,(1/'CFD Data'!E16)*'CFD Data'!D16*'CFD Data'!F16))</f>
        <v>1</v>
      </c>
      <c r="I20" s="51" t="e">
        <f t="shared" si="3"/>
        <v>#VALUE!</v>
      </c>
      <c r="J20" s="8"/>
      <c r="K20" s="40" t="str">
        <f>[3]!USDOLLAR</f>
        <v>N\A</v>
      </c>
      <c r="L20" s="28" t="str">
        <f>[4]!USDOLLAR</f>
        <v>N\A</v>
      </c>
      <c r="M20" s="29" t="e">
        <f t="shared" si="4"/>
        <v>#VALUE!</v>
      </c>
      <c r="N20" s="37" t="e">
        <f t="shared" si="1"/>
        <v>#VALUE!</v>
      </c>
      <c r="O20" s="8"/>
      <c r="P20" s="44" t="str">
        <f>[5]!USDOLLAR</f>
        <v>N\A</v>
      </c>
      <c r="Q20" s="45" t="e">
        <f t="shared" ca="1" si="2"/>
        <v>#VALUE!</v>
      </c>
      <c r="S20" s="22">
        <v>1</v>
      </c>
      <c r="T20" s="22"/>
      <c r="U20" s="6"/>
      <c r="V20" s="6"/>
      <c r="W20" s="6"/>
    </row>
    <row r="21" spans="1:23" x14ac:dyDescent="0.2">
      <c r="A21" s="6"/>
      <c r="B21" s="31" t="s">
        <v>99</v>
      </c>
      <c r="C21" s="70" t="str">
        <f>[1]!XAGUSD</f>
        <v>N\A</v>
      </c>
      <c r="D21" s="70" t="str">
        <f>[2]!XAGUSD</f>
        <v>N\A</v>
      </c>
      <c r="E21" s="29" t="e">
        <f t="shared" si="0"/>
        <v>#VALUE!</v>
      </c>
      <c r="F21" s="32" t="s">
        <v>107</v>
      </c>
      <c r="G21" s="7"/>
      <c r="H21" s="50">
        <f>IF('CFD Data'!C17="USD",1,IF(RIGHT('CFD Data'!C17,3)="USD",('CFD Data'!E17/1)*'CFD Data'!D17*'CFD Data'!F17,(1/'CFD Data'!E17)*'CFD Data'!D17*'CFD Data'!F17))</f>
        <v>1</v>
      </c>
      <c r="I21" s="51" t="e">
        <f t="shared" si="3"/>
        <v>#VALUE!</v>
      </c>
      <c r="J21" s="8"/>
      <c r="K21" s="86" t="str">
        <f>[3]!XAGUSD</f>
        <v>N\A</v>
      </c>
      <c r="L21" s="70" t="str">
        <f>[4]!XAGUSD</f>
        <v>N\A</v>
      </c>
      <c r="M21" s="29" t="e">
        <f t="shared" si="4"/>
        <v>#VALUE!</v>
      </c>
      <c r="N21" s="37" t="e">
        <f t="shared" si="1"/>
        <v>#VALUE!</v>
      </c>
      <c r="O21" s="8"/>
      <c r="P21" s="44" t="str">
        <f>[5]!XAGUSD</f>
        <v>N\A</v>
      </c>
      <c r="Q21" s="45" t="e">
        <f t="shared" ca="1" si="2"/>
        <v>#VALUE!</v>
      </c>
      <c r="S21" s="22">
        <v>2</v>
      </c>
      <c r="T21" s="22"/>
      <c r="U21" s="6"/>
      <c r="V21" s="6"/>
      <c r="W21" s="6"/>
    </row>
    <row r="22" spans="1:23" x14ac:dyDescent="0.2">
      <c r="A22" s="6"/>
      <c r="B22" s="31" t="s">
        <v>98</v>
      </c>
      <c r="C22" s="28" t="str">
        <f>[1]!XAUUSD</f>
        <v>N\A</v>
      </c>
      <c r="D22" s="28" t="str">
        <f>[2]!XAUUSD</f>
        <v>N\A</v>
      </c>
      <c r="E22" s="29" t="e">
        <f t="shared" si="0"/>
        <v>#VALUE!</v>
      </c>
      <c r="F22" s="32" t="s">
        <v>107</v>
      </c>
      <c r="G22" s="6"/>
      <c r="H22" s="50">
        <f>IF('CFD Data'!C18="USD",1,IF(RIGHT('CFD Data'!C18,3)="USD",('CFD Data'!E18/1)*'CFD Data'!D18*'CFD Data'!F18,(1/'CFD Data'!E18)*'CFD Data'!D18*'CFD Data'!F18))</f>
        <v>1</v>
      </c>
      <c r="I22" s="51" t="e">
        <f t="shared" si="3"/>
        <v>#VALUE!</v>
      </c>
      <c r="J22" s="8"/>
      <c r="K22" s="40" t="str">
        <f>[3]!XAUUSD</f>
        <v>N\A</v>
      </c>
      <c r="L22" s="28" t="str">
        <f>[4]!XAUUSD</f>
        <v>N\A</v>
      </c>
      <c r="M22" s="29" t="e">
        <f t="shared" si="4"/>
        <v>#VALUE!</v>
      </c>
      <c r="N22" s="37" t="e">
        <f t="shared" si="1"/>
        <v>#VALUE!</v>
      </c>
      <c r="O22" s="8"/>
      <c r="P22" s="44" t="str">
        <f>[5]!XAUUSD</f>
        <v>N\A</v>
      </c>
      <c r="Q22" s="45" t="e">
        <f t="shared" ca="1" si="2"/>
        <v>#VALUE!</v>
      </c>
      <c r="S22" s="22">
        <v>3</v>
      </c>
      <c r="T22" s="22"/>
      <c r="U22" s="6"/>
      <c r="V22" s="6"/>
      <c r="W22" s="6"/>
    </row>
    <row r="23" spans="1:23" x14ac:dyDescent="0.2">
      <c r="A23" s="6"/>
      <c r="B23" s="31" t="s">
        <v>113</v>
      </c>
      <c r="C23" s="28" t="str">
        <f>[1]!USOIL</f>
        <v>N\A</v>
      </c>
      <c r="D23" s="28" t="str">
        <f>[2]!USOIL</f>
        <v>N\A</v>
      </c>
      <c r="E23" s="29" t="e">
        <f t="shared" si="0"/>
        <v>#VALUE!</v>
      </c>
      <c r="F23" s="32" t="s">
        <v>106</v>
      </c>
      <c r="G23" s="6"/>
      <c r="H23" s="50">
        <f>IF('CFD Data'!C19="USD",1,IF(RIGHT('CFD Data'!C19,3)="USD",('CFD Data'!E19/1)*'CFD Data'!D19*'CFD Data'!F19,(1/'CFD Data'!E19)*'CFD Data'!D19*'CFD Data'!F19))</f>
        <v>1</v>
      </c>
      <c r="I23" s="51" t="e">
        <f t="shared" si="3"/>
        <v>#VALUE!</v>
      </c>
      <c r="J23" s="8"/>
      <c r="K23" s="40" t="str">
        <f>[3]!UKoIL</f>
        <v>N\A</v>
      </c>
      <c r="L23" s="28" t="str">
        <f>[4]!UKOIL</f>
        <v>N\A</v>
      </c>
      <c r="M23" s="29" t="e">
        <f t="shared" si="4"/>
        <v>#VALUE!</v>
      </c>
      <c r="N23" s="37" t="e">
        <f t="shared" si="1"/>
        <v>#VALUE!</v>
      </c>
      <c r="O23" s="8"/>
      <c r="P23" s="44" t="str">
        <f>[5]!USOIL</f>
        <v>N\A</v>
      </c>
      <c r="Q23" s="45" t="e">
        <f t="shared" ca="1" si="2"/>
        <v>#VALUE!</v>
      </c>
      <c r="S23" s="22">
        <v>4</v>
      </c>
      <c r="T23" s="22"/>
      <c r="U23" s="6"/>
      <c r="V23" s="6"/>
      <c r="W23" s="6"/>
    </row>
    <row r="24" spans="1:23" ht="13.5" thickBot="1" x14ac:dyDescent="0.25">
      <c r="A24" s="6"/>
      <c r="B24" s="33" t="s">
        <v>112</v>
      </c>
      <c r="C24" s="34" t="str">
        <f>[1]!UKOIL</f>
        <v>N\A</v>
      </c>
      <c r="D24" s="34" t="str">
        <f>[2]!UKOIL</f>
        <v>N\A</v>
      </c>
      <c r="E24" s="43" t="e">
        <f t="shared" si="0"/>
        <v>#VALUE!</v>
      </c>
      <c r="F24" s="35" t="s">
        <v>104</v>
      </c>
      <c r="G24" s="6"/>
      <c r="H24" s="84">
        <f>IF('CFD Data'!C20="USD",1,IF(RIGHT('CFD Data'!C20,3)="USD",('CFD Data'!E20/1)*'CFD Data'!D20*'CFD Data'!F20,(1/'CFD Data'!E20)*'CFD Data'!D20*'CFD Data'!F20))</f>
        <v>1</v>
      </c>
      <c r="I24" s="85" t="e">
        <f t="shared" si="3"/>
        <v>#VALUE!</v>
      </c>
      <c r="J24" s="8"/>
      <c r="K24" s="42" t="str">
        <f>[3]!usoIL</f>
        <v>N\A</v>
      </c>
      <c r="L24" s="34" t="str">
        <f>[4]!USOIL</f>
        <v>N\A</v>
      </c>
      <c r="M24" s="43" t="e">
        <f t="shared" si="4"/>
        <v>#VALUE!</v>
      </c>
      <c r="N24" s="39" t="e">
        <f t="shared" si="1"/>
        <v>#VALUE!</v>
      </c>
      <c r="O24" s="8"/>
      <c r="P24" s="46" t="str">
        <f>[5]!UKOIL</f>
        <v>N\A</v>
      </c>
      <c r="Q24" s="47" t="e">
        <f t="shared" ca="1" si="2"/>
        <v>#VALUE!</v>
      </c>
      <c r="S24" s="22">
        <v>5</v>
      </c>
      <c r="T24" s="22"/>
      <c r="U24" s="6"/>
      <c r="V24" s="6"/>
      <c r="W24" s="6"/>
    </row>
    <row r="25" spans="1:23" x14ac:dyDescent="0.2">
      <c r="S25" s="22">
        <v>6</v>
      </c>
    </row>
    <row r="26" spans="1:23" x14ac:dyDescent="0.2">
      <c r="S26" s="22">
        <v>7</v>
      </c>
    </row>
    <row r="27" spans="1:23" x14ac:dyDescent="0.2">
      <c r="S27" s="22">
        <v>8</v>
      </c>
    </row>
    <row r="28" spans="1:23" x14ac:dyDescent="0.2">
      <c r="S28" s="22">
        <v>9</v>
      </c>
    </row>
    <row r="29" spans="1:23" x14ac:dyDescent="0.2">
      <c r="S29" s="22">
        <v>10</v>
      </c>
    </row>
    <row r="30" spans="1:23" x14ac:dyDescent="0.2">
      <c r="S30" s="22">
        <v>11</v>
      </c>
    </row>
    <row r="31" spans="1:23" x14ac:dyDescent="0.2">
      <c r="S31" s="22">
        <v>12</v>
      </c>
    </row>
    <row r="32" spans="1:23" x14ac:dyDescent="0.2">
      <c r="S32" s="22"/>
    </row>
    <row r="33" spans="19:19" x14ac:dyDescent="0.2">
      <c r="S33" s="22"/>
    </row>
    <row r="34" spans="19:19" x14ac:dyDescent="0.2">
      <c r="S34" s="22"/>
    </row>
    <row r="35" spans="19:19" x14ac:dyDescent="0.2">
      <c r="S35" s="22"/>
    </row>
    <row r="36" spans="19:19" x14ac:dyDescent="0.2">
      <c r="S36" s="22"/>
    </row>
    <row r="37" spans="19:19" x14ac:dyDescent="0.2">
      <c r="S37" s="22"/>
    </row>
    <row r="38" spans="19:19" x14ac:dyDescent="0.2">
      <c r="S38" s="22"/>
    </row>
    <row r="39" spans="19:19" x14ac:dyDescent="0.2">
      <c r="S39" s="22"/>
    </row>
    <row r="40" spans="19:19" x14ac:dyDescent="0.2">
      <c r="S40" s="22"/>
    </row>
    <row r="41" spans="19:19" x14ac:dyDescent="0.2">
      <c r="S41" s="22"/>
    </row>
  </sheetData>
  <autoFilter ref="B6:Q24">
    <sortState ref="B7:R24">
      <sortCondition ref="B6:B24"/>
    </sortState>
  </autoFilter>
  <mergeCells count="5">
    <mergeCell ref="B2:C2"/>
    <mergeCell ref="H5:I5"/>
    <mergeCell ref="K5:N5"/>
    <mergeCell ref="P5:Q5"/>
    <mergeCell ref="B5:F5"/>
  </mergeCells>
  <conditionalFormatting sqref="E7:E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Q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ErrorMessage="1" sqref="B3">
      <formula1>$S$7:$S$31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75"/>
  <sheetViews>
    <sheetView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style="12" customWidth="1"/>
    <col min="2" max="4" width="12.7109375" style="15" customWidth="1"/>
    <col min="5" max="5" width="12.7109375" style="14" customWidth="1"/>
    <col min="6" max="6" width="12.7109375" style="15" customWidth="1"/>
    <col min="7" max="8" width="12.7109375" style="12" customWidth="1"/>
    <col min="9" max="16384" width="9.140625" style="12"/>
  </cols>
  <sheetData>
    <row r="2" spans="2:8" s="15" customFormat="1" ht="13.5" thickBot="1" x14ac:dyDescent="0.25">
      <c r="B2" s="80" t="s">
        <v>0</v>
      </c>
      <c r="C2" s="81" t="s">
        <v>66</v>
      </c>
      <c r="D2" s="80" t="s">
        <v>67</v>
      </c>
      <c r="E2" s="80" t="s">
        <v>70</v>
      </c>
      <c r="F2" s="80" t="s">
        <v>109</v>
      </c>
      <c r="G2" s="80" t="s">
        <v>110</v>
      </c>
      <c r="H2" s="80" t="s">
        <v>111</v>
      </c>
    </row>
    <row r="3" spans="2:8" x14ac:dyDescent="0.2">
      <c r="B3" s="2" t="s">
        <v>85</v>
      </c>
      <c r="C3" s="3" t="s">
        <v>11</v>
      </c>
      <c r="D3" s="15">
        <v>1</v>
      </c>
      <c r="E3" s="14">
        <f>IF($C3&lt;&gt;"USD",VLOOKUP($C3,'FX DDE Feed'!$B$8:$C$62,2,FALSE),1)</f>
        <v>0.75368999999999997</v>
      </c>
      <c r="F3" s="15">
        <v>1</v>
      </c>
    </row>
    <row r="4" spans="2:8" x14ac:dyDescent="0.2">
      <c r="B4" s="2" t="s">
        <v>86</v>
      </c>
      <c r="C4" s="3" t="s">
        <v>8</v>
      </c>
      <c r="D4" s="15">
        <v>1</v>
      </c>
      <c r="E4" s="14">
        <f>IF($C4&lt;&gt;"USD",VLOOKUP($C4,'FX DDE Feed'!$B$8:$C$62,2,FALSE),1)</f>
        <v>1.07216</v>
      </c>
      <c r="F4" s="15">
        <v>1</v>
      </c>
    </row>
    <row r="5" spans="2:8" x14ac:dyDescent="0.2">
      <c r="B5" s="2" t="s">
        <v>87</v>
      </c>
      <c r="C5" s="3" t="s">
        <v>8</v>
      </c>
      <c r="D5" s="15">
        <v>1</v>
      </c>
      <c r="E5" s="14">
        <f>IF($C5&lt;&gt;"USD",VLOOKUP($C5,'FX DDE Feed'!$B$8:$C$62,2,FALSE),1)</f>
        <v>1.07216</v>
      </c>
      <c r="F5" s="15">
        <v>1</v>
      </c>
    </row>
    <row r="6" spans="2:8" x14ac:dyDescent="0.2">
      <c r="B6" s="2" t="s">
        <v>88</v>
      </c>
      <c r="C6" s="3" t="s">
        <v>8</v>
      </c>
      <c r="D6" s="15">
        <v>1</v>
      </c>
      <c r="E6" s="14">
        <f>IF($C6&lt;&gt;"USD",VLOOKUP($C6,'FX DDE Feed'!$B$8:$C$62,2,FALSE),1)</f>
        <v>1.07216</v>
      </c>
      <c r="F6" s="15">
        <v>1</v>
      </c>
    </row>
    <row r="7" spans="2:8" x14ac:dyDescent="0.2">
      <c r="B7" s="2" t="s">
        <v>96</v>
      </c>
      <c r="C7" s="2" t="s">
        <v>42</v>
      </c>
      <c r="D7" s="15">
        <v>1</v>
      </c>
      <c r="E7" s="14">
        <f>IF($C7&lt;&gt;"USD",VLOOKUP($C7,'FX DDE Feed'!$B$8:$C$62,2,FALSE),1)</f>
        <v>7.7742300000000002</v>
      </c>
      <c r="F7" s="15">
        <v>10</v>
      </c>
    </row>
    <row r="8" spans="2:8" x14ac:dyDescent="0.2">
      <c r="B8" s="2" t="s">
        <v>89</v>
      </c>
      <c r="C8" s="3" t="s">
        <v>8</v>
      </c>
      <c r="D8" s="15">
        <v>1</v>
      </c>
      <c r="E8" s="14">
        <f>IF($C8&lt;&gt;"USD",VLOOKUP($C8,'FX DDE Feed'!$B$8:$C$62,2,FALSE),1)</f>
        <v>1.07216</v>
      </c>
      <c r="F8" s="15">
        <v>1</v>
      </c>
    </row>
    <row r="9" spans="2:8" x14ac:dyDescent="0.2">
      <c r="B9" s="2" t="s">
        <v>97</v>
      </c>
      <c r="C9" s="3" t="s">
        <v>7</v>
      </c>
      <c r="D9" s="15">
        <v>1</v>
      </c>
      <c r="E9" s="14">
        <f>IF($C9&lt;&gt;"USD",VLOOKUP($C9,'FX DDE Feed'!$B$8:$C$62,2,FALSE),1)</f>
        <v>109.017</v>
      </c>
      <c r="F9" s="15">
        <v>100</v>
      </c>
    </row>
    <row r="10" spans="2:8" x14ac:dyDescent="0.2">
      <c r="B10" s="2" t="s">
        <v>90</v>
      </c>
      <c r="C10" s="3" t="s">
        <v>108</v>
      </c>
      <c r="D10" s="15">
        <v>1</v>
      </c>
      <c r="E10" s="14">
        <f>IF($C10&lt;&gt;"USD",VLOOKUP($C10,'FX DDE Feed'!$B$8:$C$62,2,FALSE),1)</f>
        <v>1</v>
      </c>
      <c r="F10" s="15">
        <v>1</v>
      </c>
    </row>
    <row r="11" spans="2:8" x14ac:dyDescent="0.2">
      <c r="B11" s="2" t="s">
        <v>91</v>
      </c>
      <c r="C11" s="3" t="s">
        <v>108</v>
      </c>
      <c r="D11" s="15">
        <v>10</v>
      </c>
      <c r="E11" s="14">
        <f>IF($C11&lt;&gt;"USD",VLOOKUP($C11,'FX DDE Feed'!$B$8:$C$62,2,FALSE),1)</f>
        <v>1</v>
      </c>
      <c r="F11" s="15">
        <v>1</v>
      </c>
    </row>
    <row r="12" spans="2:8" x14ac:dyDescent="0.2">
      <c r="B12" s="2" t="s">
        <v>92</v>
      </c>
      <c r="C12" s="3" t="s">
        <v>5</v>
      </c>
      <c r="D12" s="15">
        <v>1</v>
      </c>
      <c r="E12" s="14">
        <f>IF($C12&lt;&gt;"USD",VLOOKUP($C12,'FX DDE Feed'!$B$8:$C$62,2,FALSE),1)</f>
        <v>0.99526999999999999</v>
      </c>
      <c r="F12" s="15">
        <v>1</v>
      </c>
    </row>
    <row r="13" spans="2:8" x14ac:dyDescent="0.2">
      <c r="B13" s="2" t="s">
        <v>95</v>
      </c>
      <c r="C13" s="3" t="s">
        <v>28</v>
      </c>
      <c r="D13" s="15">
        <v>10</v>
      </c>
      <c r="E13" s="14">
        <f>IF($C13&lt;&gt;"USD",VLOOKUP($C13,'FX DDE Feed'!$B$8:$C$62,2,FALSE),1)</f>
        <v>8.9634699999999992</v>
      </c>
      <c r="F13" s="15">
        <v>1</v>
      </c>
    </row>
    <row r="14" spans="2:8" x14ac:dyDescent="0.2">
      <c r="B14" s="2" t="s">
        <v>93</v>
      </c>
      <c r="C14" s="3" t="s">
        <v>6</v>
      </c>
      <c r="D14" s="15">
        <v>1</v>
      </c>
      <c r="E14" s="14">
        <f>IF($C14&lt;&gt;"USD",VLOOKUP($C14,'FX DDE Feed'!$B$8:$C$62,2,FALSE),1)</f>
        <v>1.28023</v>
      </c>
      <c r="F14" s="15">
        <v>1</v>
      </c>
    </row>
    <row r="15" spans="2:8" x14ac:dyDescent="0.2">
      <c r="B15" s="2" t="s">
        <v>94</v>
      </c>
      <c r="C15" s="3" t="s">
        <v>108</v>
      </c>
      <c r="D15" s="15">
        <v>1</v>
      </c>
      <c r="E15" s="14">
        <f>IF($C15&lt;&gt;"USD",VLOOKUP($C15,'FX DDE Feed'!$B$8:$C$62,2,FALSE),1)</f>
        <v>1</v>
      </c>
      <c r="F15" s="15">
        <v>1</v>
      </c>
    </row>
    <row r="16" spans="2:8" x14ac:dyDescent="0.2">
      <c r="B16" s="2" t="s">
        <v>84</v>
      </c>
      <c r="C16" s="3" t="s">
        <v>108</v>
      </c>
      <c r="D16" s="15">
        <v>1</v>
      </c>
      <c r="E16" s="14">
        <f>IF($C16&lt;&gt;"USD",VLOOKUP($C16,'FX DDE Feed'!$B$8:$C$62,2,FALSE),1)</f>
        <v>1</v>
      </c>
      <c r="F16" s="15">
        <v>1</v>
      </c>
    </row>
    <row r="17" spans="2:6" x14ac:dyDescent="0.2">
      <c r="B17" s="2" t="s">
        <v>99</v>
      </c>
      <c r="C17" s="3" t="s">
        <v>108</v>
      </c>
      <c r="D17" s="15">
        <v>100</v>
      </c>
      <c r="E17" s="14">
        <f>IF($C17&lt;&gt;"USD",VLOOKUP($C17,'FX DDE Feed'!$B$8:$C$62,2,FALSE),1)</f>
        <v>1</v>
      </c>
      <c r="F17" s="15">
        <v>50</v>
      </c>
    </row>
    <row r="18" spans="2:6" x14ac:dyDescent="0.2">
      <c r="B18" s="2" t="s">
        <v>98</v>
      </c>
      <c r="C18" s="3" t="s">
        <v>108</v>
      </c>
      <c r="D18" s="15">
        <v>100</v>
      </c>
      <c r="E18" s="14">
        <f>IF($C18&lt;&gt;"USD",VLOOKUP($C18,'FX DDE Feed'!$B$8:$C$62,2,FALSE),1)</f>
        <v>1</v>
      </c>
      <c r="F18" s="15">
        <v>1</v>
      </c>
    </row>
    <row r="19" spans="2:6" x14ac:dyDescent="0.2">
      <c r="B19" s="2" t="s">
        <v>101</v>
      </c>
      <c r="C19" s="3" t="s">
        <v>108</v>
      </c>
      <c r="D19" s="15">
        <v>100</v>
      </c>
      <c r="E19" s="14">
        <f>IF($C19&lt;&gt;"USD",VLOOKUP($C19,'FX DDE Feed'!$B$8:$C$62,2,FALSE),1)</f>
        <v>1</v>
      </c>
      <c r="F19" s="15">
        <v>1</v>
      </c>
    </row>
    <row r="20" spans="2:6" x14ac:dyDescent="0.2">
      <c r="B20" s="2" t="s">
        <v>100</v>
      </c>
      <c r="C20" s="3" t="s">
        <v>108</v>
      </c>
      <c r="D20" s="15">
        <v>100</v>
      </c>
      <c r="E20" s="14">
        <f>IF($C20&lt;&gt;"USD",VLOOKUP($C20,'FX DDE Feed'!$B$8:$C$62,2,FALSE),1)</f>
        <v>1</v>
      </c>
      <c r="F20" s="15">
        <v>1</v>
      </c>
    </row>
    <row r="21" spans="2:6" x14ac:dyDescent="0.2">
      <c r="B21" s="16"/>
      <c r="C21" s="3"/>
    </row>
    <row r="22" spans="2:6" x14ac:dyDescent="0.2">
      <c r="B22" s="16"/>
      <c r="C22" s="3"/>
    </row>
    <row r="23" spans="2:6" x14ac:dyDescent="0.2">
      <c r="B23" s="16"/>
      <c r="C23" s="3"/>
    </row>
    <row r="24" spans="2:6" x14ac:dyDescent="0.2">
      <c r="B24" s="16"/>
      <c r="C24" s="3"/>
    </row>
    <row r="25" spans="2:6" x14ac:dyDescent="0.2">
      <c r="B25" s="16"/>
      <c r="C25" s="2"/>
    </row>
    <row r="26" spans="2:6" x14ac:dyDescent="0.2">
      <c r="B26" s="16"/>
      <c r="C26" s="5"/>
    </row>
    <row r="27" spans="2:6" x14ac:dyDescent="0.2">
      <c r="B27" s="16"/>
      <c r="C27" s="3"/>
    </row>
    <row r="28" spans="2:6" x14ac:dyDescent="0.2">
      <c r="B28" s="16"/>
      <c r="C28" s="3"/>
    </row>
    <row r="29" spans="2:6" x14ac:dyDescent="0.2">
      <c r="B29" s="16"/>
      <c r="C29" s="3"/>
    </row>
    <row r="30" spans="2:6" x14ac:dyDescent="0.2">
      <c r="B30" s="16"/>
      <c r="C30" s="3"/>
    </row>
    <row r="31" spans="2:6" x14ac:dyDescent="0.2">
      <c r="B31" s="16"/>
      <c r="C31" s="3"/>
    </row>
    <row r="32" spans="2:6" x14ac:dyDescent="0.2">
      <c r="B32" s="16"/>
      <c r="C32" s="2"/>
    </row>
    <row r="33" spans="2:3" x14ac:dyDescent="0.2">
      <c r="B33" s="16"/>
      <c r="C33" s="3"/>
    </row>
    <row r="34" spans="2:3" x14ac:dyDescent="0.2">
      <c r="B34" s="16"/>
      <c r="C34" s="3"/>
    </row>
    <row r="35" spans="2:3" x14ac:dyDescent="0.2">
      <c r="B35" s="16"/>
      <c r="C35" s="3"/>
    </row>
    <row r="36" spans="2:3" x14ac:dyDescent="0.2">
      <c r="B36" s="16"/>
      <c r="C36" s="3"/>
    </row>
    <row r="37" spans="2:3" x14ac:dyDescent="0.2">
      <c r="B37" s="16"/>
      <c r="C37" s="3"/>
    </row>
    <row r="38" spans="2:3" x14ac:dyDescent="0.2">
      <c r="B38" s="16"/>
      <c r="C38" s="2"/>
    </row>
    <row r="39" spans="2:3" x14ac:dyDescent="0.2">
      <c r="B39" s="16"/>
      <c r="C39" s="3"/>
    </row>
    <row r="40" spans="2:3" x14ac:dyDescent="0.2">
      <c r="B40" s="16"/>
      <c r="C40" s="3"/>
    </row>
    <row r="41" spans="2:3" x14ac:dyDescent="0.2">
      <c r="B41" s="16"/>
      <c r="C41" s="3"/>
    </row>
    <row r="42" spans="2:3" x14ac:dyDescent="0.2">
      <c r="B42" s="16"/>
      <c r="C42" s="3"/>
    </row>
    <row r="43" spans="2:3" x14ac:dyDescent="0.2">
      <c r="B43" s="16"/>
      <c r="C43" s="3"/>
    </row>
    <row r="44" spans="2:3" x14ac:dyDescent="0.2">
      <c r="B44" s="16"/>
      <c r="C44" s="3"/>
    </row>
    <row r="45" spans="2:3" x14ac:dyDescent="0.2">
      <c r="B45" s="16"/>
      <c r="C45" s="3"/>
    </row>
    <row r="46" spans="2:3" x14ac:dyDescent="0.2">
      <c r="B46" s="16"/>
      <c r="C46" s="3"/>
    </row>
    <row r="47" spans="2:3" x14ac:dyDescent="0.2">
      <c r="B47" s="16"/>
      <c r="C47" s="3"/>
    </row>
    <row r="48" spans="2:3" x14ac:dyDescent="0.2">
      <c r="B48" s="16"/>
      <c r="C48" s="3"/>
    </row>
    <row r="49" spans="2:3" x14ac:dyDescent="0.2">
      <c r="B49" s="16"/>
      <c r="C49" s="3"/>
    </row>
    <row r="50" spans="2:3" x14ac:dyDescent="0.2">
      <c r="B50" s="16"/>
      <c r="C50" s="3"/>
    </row>
    <row r="51" spans="2:3" x14ac:dyDescent="0.2">
      <c r="B51" s="16"/>
      <c r="C51" s="3"/>
    </row>
    <row r="52" spans="2:3" x14ac:dyDescent="0.2">
      <c r="B52" s="16"/>
      <c r="C52" s="3"/>
    </row>
    <row r="53" spans="2:3" x14ac:dyDescent="0.2">
      <c r="B53" s="16"/>
      <c r="C53" s="3"/>
    </row>
    <row r="54" spans="2:3" x14ac:dyDescent="0.2">
      <c r="B54" s="16"/>
      <c r="C54" s="3"/>
    </row>
    <row r="55" spans="2:3" x14ac:dyDescent="0.2">
      <c r="B55" s="16"/>
      <c r="C55" s="3"/>
    </row>
    <row r="56" spans="2:3" x14ac:dyDescent="0.2">
      <c r="B56" s="16"/>
      <c r="C56" s="3"/>
    </row>
    <row r="57" spans="2:3" x14ac:dyDescent="0.2">
      <c r="B57" s="16"/>
      <c r="C57" s="3"/>
    </row>
    <row r="58" spans="2:3" x14ac:dyDescent="0.2">
      <c r="B58" s="2"/>
      <c r="C58" s="2"/>
    </row>
    <row r="59" spans="2:3" x14ac:dyDescent="0.2">
      <c r="B59" s="2"/>
      <c r="C59" s="16"/>
    </row>
    <row r="60" spans="2:3" x14ac:dyDescent="0.2">
      <c r="B60" s="2"/>
    </row>
    <row r="61" spans="2:3" x14ac:dyDescent="0.2">
      <c r="B61" s="2"/>
    </row>
    <row r="62" spans="2:3" x14ac:dyDescent="0.2">
      <c r="B62" s="2"/>
    </row>
    <row r="63" spans="2:3" x14ac:dyDescent="0.2">
      <c r="B63" s="2"/>
    </row>
    <row r="64" spans="2:3" x14ac:dyDescent="0.2">
      <c r="B64" s="2"/>
      <c r="C64" s="2"/>
    </row>
    <row r="65" spans="2:6" x14ac:dyDescent="0.2">
      <c r="B65" s="2"/>
      <c r="C65" s="2"/>
      <c r="D65" s="12"/>
      <c r="E65" s="12"/>
      <c r="F65" s="12"/>
    </row>
    <row r="66" spans="2:6" x14ac:dyDescent="0.2">
      <c r="B66" s="2"/>
      <c r="D66" s="12"/>
      <c r="E66" s="12"/>
      <c r="F66" s="12"/>
    </row>
    <row r="67" spans="2:6" x14ac:dyDescent="0.2">
      <c r="B67" s="2"/>
      <c r="D67" s="12"/>
      <c r="E67" s="12"/>
      <c r="F67" s="12"/>
    </row>
    <row r="68" spans="2:6" x14ac:dyDescent="0.2">
      <c r="B68" s="2"/>
      <c r="C68" s="2"/>
      <c r="D68" s="12"/>
      <c r="E68" s="12"/>
      <c r="F68" s="12"/>
    </row>
    <row r="69" spans="2:6" x14ac:dyDescent="0.2">
      <c r="B69" s="2"/>
      <c r="D69" s="12"/>
      <c r="E69" s="12"/>
      <c r="F69" s="12"/>
    </row>
    <row r="70" spans="2:6" x14ac:dyDescent="0.2">
      <c r="B70" s="2"/>
      <c r="D70" s="12"/>
      <c r="E70" s="12"/>
      <c r="F70" s="12"/>
    </row>
    <row r="71" spans="2:6" x14ac:dyDescent="0.2">
      <c r="B71" s="2"/>
      <c r="D71" s="12"/>
      <c r="E71" s="12"/>
      <c r="F71" s="12"/>
    </row>
    <row r="72" spans="2:6" x14ac:dyDescent="0.2">
      <c r="B72" s="2"/>
      <c r="C72" s="2"/>
      <c r="D72" s="12"/>
      <c r="E72" s="12"/>
      <c r="F72" s="12"/>
    </row>
    <row r="73" spans="2:6" x14ac:dyDescent="0.2">
      <c r="B73" s="2"/>
      <c r="C73" s="2"/>
      <c r="D73" s="12"/>
      <c r="E73" s="12"/>
      <c r="F73" s="12"/>
    </row>
    <row r="74" spans="2:6" x14ac:dyDescent="0.2">
      <c r="B74" s="2"/>
      <c r="C74" s="2"/>
      <c r="D74" s="12"/>
      <c r="E74" s="12"/>
      <c r="F74" s="12"/>
    </row>
    <row r="75" spans="2:6" x14ac:dyDescent="0.2">
      <c r="B75" s="2"/>
      <c r="C75" s="2"/>
      <c r="D75" s="12"/>
      <c r="E75" s="12"/>
      <c r="F7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 DDE Feed</vt:lpstr>
      <vt:lpstr>FX Data</vt:lpstr>
      <vt:lpstr>CFD DDE Feed</vt:lpstr>
      <vt:lpstr>CFD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Gulickson</dc:creator>
  <cp:lastModifiedBy>Jeremy Gulickson</cp:lastModifiedBy>
  <dcterms:created xsi:type="dcterms:W3CDTF">2005-06-06T12:13:22Z</dcterms:created>
  <dcterms:modified xsi:type="dcterms:W3CDTF">2017-04-22T14:24:06Z</dcterms:modified>
</cp:coreProperties>
</file>