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Uni\Bachelorarbeit\"/>
    </mc:Choice>
  </mc:AlternateContent>
  <xr:revisionPtr revIDLastSave="0" documentId="13_ncr:1_{08BE5BCA-F5BE-41C5-95C5-4141197EC54E}" xr6:coauthVersionLast="47" xr6:coauthVersionMax="47" xr10:uidLastSave="{00000000-0000-0000-0000-000000000000}"/>
  <bookViews>
    <workbookView xWindow="29970" yWindow="1170" windowWidth="21600" windowHeight="11385" firstSheet="11" activeTab="12" xr2:uid="{C1930589-42CD-4E74-B8B7-39BB4D64111B}"/>
  </bookViews>
  <sheets>
    <sheet name="InstructionPlayRound" sheetId="2" r:id="rId1"/>
    <sheet name="GuestLoginStrategy" sheetId="7" r:id="rId2"/>
    <sheet name="Language" sheetId="10" r:id="rId3"/>
    <sheet name="Login" sheetId="11" r:id="rId4"/>
    <sheet name="LoginStrategy" sheetId="12" r:id="rId5"/>
    <sheet name="Question" sheetId="13" r:id="rId6"/>
    <sheet name="RegistrierterNutzer" sheetId="14" r:id="rId7"/>
    <sheet name="RegularLoginStrategy" sheetId="15" r:id="rId8"/>
    <sheet name="RussianFactory" sheetId="16" r:id="rId9"/>
    <sheet name="TranslationQuestion" sheetId="17" r:id="rId10"/>
    <sheet name="Utilities" sheetId="18" r:id="rId11"/>
    <sheet name="Statistiken Analyse" sheetId="8" r:id="rId12"/>
    <sheet name="Rohdaten Analyse" sheetId="9" r:id="rId13"/>
    <sheet name="Statistiken Generierung" sheetId="20" r:id="rId14"/>
    <sheet name="Einstellungsdaten" sheetId="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20" l="1"/>
  <c r="H37" i="20"/>
  <c r="H36" i="20"/>
  <c r="F36" i="20"/>
  <c r="F38" i="20"/>
  <c r="F37" i="20"/>
  <c r="D38" i="20"/>
  <c r="D37" i="20"/>
  <c r="D36" i="20"/>
  <c r="C38" i="20"/>
  <c r="C37" i="20"/>
  <c r="C36" i="20"/>
  <c r="O43" i="20"/>
  <c r="O41" i="20"/>
  <c r="O42" i="20"/>
  <c r="N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2" i="20"/>
  <c r="O40" i="20"/>
  <c r="O38" i="20"/>
  <c r="O39" i="20" s="1"/>
  <c r="C14" i="9"/>
  <c r="B14" i="9"/>
  <c r="A14" i="9"/>
  <c r="B20" i="9"/>
  <c r="A20" i="9"/>
  <c r="B17" i="9"/>
  <c r="A17" i="9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B6" i="8"/>
  <c r="C6" i="8"/>
  <c r="E6" i="8"/>
  <c r="G6" i="8"/>
  <c r="H6" i="8"/>
  <c r="I6" i="8"/>
  <c r="J6" i="8"/>
  <c r="K6" i="8"/>
  <c r="M6" i="8"/>
  <c r="N6" i="8"/>
  <c r="O6" i="8"/>
  <c r="P6" i="8"/>
  <c r="B5" i="8"/>
  <c r="C5" i="8"/>
  <c r="E5" i="8"/>
  <c r="G5" i="8"/>
  <c r="H5" i="8"/>
  <c r="I5" i="8"/>
  <c r="K5" i="8"/>
  <c r="M5" i="8"/>
  <c r="N5" i="8"/>
  <c r="O5" i="8"/>
  <c r="B4" i="8"/>
  <c r="C4" i="8"/>
  <c r="E4" i="8"/>
  <c r="G4" i="8"/>
  <c r="H4" i="8"/>
  <c r="I4" i="8"/>
  <c r="K4" i="8"/>
  <c r="M4" i="8"/>
  <c r="N4" i="8"/>
  <c r="O4" i="8"/>
  <c r="B3" i="8"/>
  <c r="C3" i="8"/>
  <c r="E3" i="8"/>
  <c r="G3" i="8"/>
  <c r="H3" i="8"/>
  <c r="I3" i="8"/>
  <c r="K3" i="8"/>
  <c r="M3" i="8"/>
  <c r="N3" i="8"/>
  <c r="O3" i="8"/>
  <c r="B11" i="9"/>
  <c r="A11" i="9"/>
  <c r="Q7" i="9"/>
  <c r="K20" i="7"/>
  <c r="P7" i="9" s="1"/>
  <c r="P3" i="9"/>
  <c r="K43" i="11"/>
  <c r="K45" i="11"/>
  <c r="P6" i="9"/>
  <c r="J6" i="9"/>
  <c r="H6" i="9"/>
  <c r="N4" i="9"/>
  <c r="F19" i="16" a="1"/>
  <c r="F19" i="16" s="1"/>
  <c r="K6" i="9" s="1"/>
  <c r="F20" i="16" a="1"/>
  <c r="F20" i="16" s="1"/>
  <c r="G17" i="17"/>
  <c r="H17" i="17" s="1"/>
  <c r="F17" i="17" a="1"/>
  <c r="F17" i="17" s="1"/>
  <c r="K4" i="9" s="1"/>
  <c r="E5" i="9"/>
  <c r="E20" i="16"/>
  <c r="Q3" i="9"/>
  <c r="P4" i="9"/>
  <c r="K7" i="9"/>
  <c r="K3" i="9"/>
  <c r="J7" i="9"/>
  <c r="J4" i="9"/>
  <c r="J3" i="9"/>
  <c r="H4" i="9"/>
  <c r="H3" i="9"/>
  <c r="N7" i="9"/>
  <c r="H7" i="9"/>
  <c r="N6" i="9"/>
  <c r="N5" i="9"/>
  <c r="H5" i="9"/>
  <c r="N3" i="9"/>
  <c r="B14" i="18" a="1"/>
  <c r="B14" i="18"/>
  <c r="B24" i="2" a="1"/>
  <c r="B24" i="2"/>
  <c r="M19" i="7"/>
  <c r="N19" i="7" s="1"/>
  <c r="M20" i="7"/>
  <c r="M18" i="7"/>
  <c r="N18" i="7" s="1"/>
  <c r="L19" i="7" a="1"/>
  <c r="L19" i="7" s="1"/>
  <c r="Q6" i="9" s="1"/>
  <c r="L20" i="7" a="1"/>
  <c r="L20" i="7" s="1"/>
  <c r="L18" i="7" a="1"/>
  <c r="L18" i="7" s="1"/>
  <c r="Q4" i="9" s="1"/>
  <c r="K19" i="7"/>
  <c r="K18" i="7"/>
  <c r="J19" i="7"/>
  <c r="J20" i="7"/>
  <c r="J18" i="7"/>
  <c r="I19" i="7"/>
  <c r="I20" i="7"/>
  <c r="I18" i="7"/>
  <c r="G19" i="7"/>
  <c r="H19" i="7" s="1"/>
  <c r="G20" i="7"/>
  <c r="H20" i="7" s="1"/>
  <c r="G18" i="7"/>
  <c r="H18" i="7" s="1"/>
  <c r="F19" i="7" a="1"/>
  <c r="F19" i="7"/>
  <c r="F20" i="7" a="1"/>
  <c r="F20" i="7"/>
  <c r="F18" i="7" a="1"/>
  <c r="F18" i="7"/>
  <c r="E19" i="7"/>
  <c r="E20" i="7"/>
  <c r="E18" i="7"/>
  <c r="D19" i="7"/>
  <c r="D20" i="7"/>
  <c r="D18" i="7"/>
  <c r="C19" i="7"/>
  <c r="C20" i="7"/>
  <c r="C18" i="7"/>
  <c r="B18" i="7" a="1"/>
  <c r="B18" i="7"/>
  <c r="M21" i="10"/>
  <c r="N21" i="10" s="1"/>
  <c r="M20" i="10"/>
  <c r="N20" i="10" s="1"/>
  <c r="L21" i="10" a="1"/>
  <c r="L21" i="10"/>
  <c r="L20" i="10" a="1"/>
  <c r="L20" i="10"/>
  <c r="K21" i="10"/>
  <c r="K20" i="10"/>
  <c r="J21" i="10"/>
  <c r="J20" i="10"/>
  <c r="I21" i="10"/>
  <c r="I20" i="10"/>
  <c r="G21" i="10"/>
  <c r="H21" i="10" s="1"/>
  <c r="G20" i="10"/>
  <c r="H20" i="10" s="1"/>
  <c r="F21" i="10" a="1"/>
  <c r="F21" i="10"/>
  <c r="F20" i="10" a="1"/>
  <c r="F20" i="10"/>
  <c r="E21" i="10"/>
  <c r="E20" i="10"/>
  <c r="D21" i="10"/>
  <c r="D20" i="10"/>
  <c r="C21" i="10"/>
  <c r="C20" i="10"/>
  <c r="B20" i="10" a="1"/>
  <c r="B20" i="10"/>
  <c r="N44" i="11"/>
  <c r="N45" i="11"/>
  <c r="M43" i="11"/>
  <c r="N43" i="11" s="1"/>
  <c r="M44" i="11"/>
  <c r="M45" i="11"/>
  <c r="M42" i="11"/>
  <c r="N42" i="11" s="1"/>
  <c r="L43" i="11" a="1"/>
  <c r="L43" i="11"/>
  <c r="L44" i="11" a="1"/>
  <c r="L44" i="11"/>
  <c r="L45" i="11" a="1"/>
  <c r="L45" i="11"/>
  <c r="L42" i="11" a="1"/>
  <c r="L42" i="11"/>
  <c r="K44" i="11"/>
  <c r="K42" i="11"/>
  <c r="J43" i="11"/>
  <c r="J44" i="11"/>
  <c r="J45" i="11"/>
  <c r="J42" i="11"/>
  <c r="I43" i="11"/>
  <c r="I44" i="11"/>
  <c r="I45" i="11"/>
  <c r="I42" i="11"/>
  <c r="G43" i="11"/>
  <c r="H43" i="11" s="1"/>
  <c r="G44" i="11"/>
  <c r="H44" i="11" s="1"/>
  <c r="G45" i="11"/>
  <c r="H45" i="11" s="1"/>
  <c r="G42" i="11"/>
  <c r="H42" i="11" s="1"/>
  <c r="F43" i="11" a="1"/>
  <c r="F43" i="11"/>
  <c r="F44" i="11" a="1"/>
  <c r="F44" i="11"/>
  <c r="F45" i="11" a="1"/>
  <c r="F45" i="11"/>
  <c r="F42" i="11" a="1"/>
  <c r="F42" i="11"/>
  <c r="E43" i="11"/>
  <c r="E44" i="11"/>
  <c r="E45" i="11"/>
  <c r="E42" i="11"/>
  <c r="D43" i="11"/>
  <c r="D44" i="11"/>
  <c r="D45" i="11"/>
  <c r="D42" i="11"/>
  <c r="C43" i="11"/>
  <c r="C44" i="11"/>
  <c r="C45" i="11"/>
  <c r="C42" i="11"/>
  <c r="B42" i="11" a="1"/>
  <c r="B42" i="11"/>
  <c r="M13" i="12"/>
  <c r="N13" i="12" s="1"/>
  <c r="M12" i="12"/>
  <c r="N12" i="12" s="1"/>
  <c r="L13" i="12" a="1"/>
  <c r="L13" i="12"/>
  <c r="L12" i="12" a="1"/>
  <c r="L12" i="12"/>
  <c r="K13" i="12"/>
  <c r="K12" i="12"/>
  <c r="J13" i="12"/>
  <c r="J12" i="12"/>
  <c r="I13" i="12"/>
  <c r="I12" i="12"/>
  <c r="G13" i="12"/>
  <c r="H13" i="12" s="1"/>
  <c r="G12" i="12"/>
  <c r="H12" i="12" s="1"/>
  <c r="F13" i="12" a="1"/>
  <c r="F13" i="12"/>
  <c r="F12" i="12" a="1"/>
  <c r="F12" i="12"/>
  <c r="E13" i="12"/>
  <c r="E12" i="12"/>
  <c r="D13" i="12"/>
  <c r="D12" i="12"/>
  <c r="C13" i="12"/>
  <c r="C12" i="12"/>
  <c r="B12" i="12" a="1"/>
  <c r="B12" i="12"/>
  <c r="M17" i="13"/>
  <c r="N17" i="13" s="1"/>
  <c r="M18" i="13"/>
  <c r="N18" i="13" s="1"/>
  <c r="M16" i="13"/>
  <c r="N16" i="13" s="1"/>
  <c r="L17" i="13" a="1"/>
  <c r="L17" i="13"/>
  <c r="L18" i="13" a="1"/>
  <c r="L18" i="13"/>
  <c r="L16" i="13" a="1"/>
  <c r="L16" i="13"/>
  <c r="K17" i="13"/>
  <c r="K18" i="13"/>
  <c r="K16" i="13"/>
  <c r="J17" i="13"/>
  <c r="J18" i="13"/>
  <c r="J16" i="13"/>
  <c r="I17" i="13"/>
  <c r="I18" i="13"/>
  <c r="I16" i="13"/>
  <c r="G17" i="13"/>
  <c r="H17" i="13" s="1"/>
  <c r="G18" i="13"/>
  <c r="H18" i="13" s="1"/>
  <c r="G16" i="13"/>
  <c r="H16" i="13" s="1"/>
  <c r="F17" i="13" a="1"/>
  <c r="F17" i="13"/>
  <c r="F18" i="13" a="1"/>
  <c r="F18" i="13"/>
  <c r="F16" i="13" a="1"/>
  <c r="F16" i="13"/>
  <c r="E17" i="13"/>
  <c r="E18" i="13"/>
  <c r="E16" i="13"/>
  <c r="D17" i="13"/>
  <c r="D18" i="13"/>
  <c r="D16" i="13"/>
  <c r="C17" i="13"/>
  <c r="C18" i="13"/>
  <c r="C16" i="13"/>
  <c r="B16" i="13" a="1"/>
  <c r="B16" i="13"/>
  <c r="M27" i="14"/>
  <c r="N27" i="14" s="1"/>
  <c r="M26" i="14"/>
  <c r="N26" i="14" s="1"/>
  <c r="L27" i="14" a="1"/>
  <c r="L27" i="14"/>
  <c r="L26" i="14" a="1"/>
  <c r="L26" i="14"/>
  <c r="K27" i="14"/>
  <c r="K26" i="14"/>
  <c r="J27" i="14"/>
  <c r="J26" i="14"/>
  <c r="I27" i="14"/>
  <c r="I26" i="14"/>
  <c r="G27" i="14"/>
  <c r="H27" i="14" s="1"/>
  <c r="G26" i="14"/>
  <c r="H26" i="14" s="1"/>
  <c r="F27" i="14" a="1"/>
  <c r="F27" i="14"/>
  <c r="F26" i="14" a="1"/>
  <c r="F26" i="14"/>
  <c r="E27" i="14"/>
  <c r="E26" i="14"/>
  <c r="D27" i="14"/>
  <c r="D26" i="14"/>
  <c r="C27" i="14"/>
  <c r="C26" i="14"/>
  <c r="B26" i="14" a="1"/>
  <c r="B26" i="14"/>
  <c r="M19" i="15"/>
  <c r="N19" i="15" s="1"/>
  <c r="M20" i="15"/>
  <c r="N20" i="15" s="1"/>
  <c r="L19" i="15" a="1"/>
  <c r="L19" i="15"/>
  <c r="L20" i="15" a="1"/>
  <c r="L20" i="15"/>
  <c r="K19" i="15"/>
  <c r="K20" i="15"/>
  <c r="I19" i="15"/>
  <c r="J19" i="15" s="1"/>
  <c r="I20" i="15"/>
  <c r="J20" i="15" s="1"/>
  <c r="G19" i="15"/>
  <c r="H19" i="15" s="1"/>
  <c r="G20" i="15"/>
  <c r="H20" i="15" s="1"/>
  <c r="F19" i="15" a="1"/>
  <c r="F19" i="15"/>
  <c r="F20" i="15" a="1"/>
  <c r="F20" i="15"/>
  <c r="E19" i="15"/>
  <c r="E20" i="15"/>
  <c r="C19" i="15"/>
  <c r="D19" i="15" s="1"/>
  <c r="C20" i="15"/>
  <c r="D20" i="15" s="1"/>
  <c r="B18" i="15" a="1"/>
  <c r="B18" i="15"/>
  <c r="M19" i="16"/>
  <c r="N19" i="16" s="1"/>
  <c r="M20" i="16"/>
  <c r="N20" i="16" s="1"/>
  <c r="M18" i="16"/>
  <c r="N18" i="16" s="1"/>
  <c r="L19" i="16" a="1"/>
  <c r="L19" i="16"/>
  <c r="L20" i="16" a="1"/>
  <c r="L20" i="16"/>
  <c r="L18" i="16" a="1"/>
  <c r="L18" i="16"/>
  <c r="K19" i="16"/>
  <c r="K20" i="16"/>
  <c r="K18" i="16"/>
  <c r="J19" i="16"/>
  <c r="J20" i="16"/>
  <c r="J18" i="16"/>
  <c r="I19" i="16"/>
  <c r="I20" i="16"/>
  <c r="I18" i="16"/>
  <c r="G19" i="16"/>
  <c r="H19" i="16" s="1"/>
  <c r="G20" i="16"/>
  <c r="H20" i="16" s="1"/>
  <c r="G18" i="16"/>
  <c r="H18" i="16" s="1"/>
  <c r="E19" i="16"/>
  <c r="E18" i="16"/>
  <c r="D19" i="16"/>
  <c r="D20" i="16"/>
  <c r="D18" i="16"/>
  <c r="C19" i="16"/>
  <c r="C20" i="16"/>
  <c r="C18" i="16"/>
  <c r="B18" i="16" a="1"/>
  <c r="B18" i="16" s="1"/>
  <c r="M17" i="17"/>
  <c r="N17" i="17" s="1"/>
  <c r="M16" i="17"/>
  <c r="L17" i="17" a="1"/>
  <c r="L17" i="17"/>
  <c r="L16" i="17" a="1"/>
  <c r="L16" i="17"/>
  <c r="K17" i="17"/>
  <c r="K16" i="17"/>
  <c r="J17" i="17"/>
  <c r="J16" i="17"/>
  <c r="I17" i="17"/>
  <c r="I16" i="17"/>
  <c r="G16" i="17"/>
  <c r="H16" i="17" s="1"/>
  <c r="F16" i="17" a="1"/>
  <c r="F16" i="17"/>
  <c r="E17" i="17"/>
  <c r="E16" i="17"/>
  <c r="D16" i="17"/>
  <c r="D17" i="17"/>
  <c r="C17" i="17"/>
  <c r="C16" i="17"/>
  <c r="G14" i="18"/>
  <c r="H14" i="18" s="1"/>
  <c r="B16" i="17" a="1"/>
  <c r="B16" i="17" s="1"/>
  <c r="G10" i="18"/>
  <c r="G11" i="18" s="1"/>
  <c r="D3" i="9" a="1"/>
  <c r="D3" i="9" s="1"/>
  <c r="F3" i="9" s="1" a="1"/>
  <c r="F3" i="9" s="1"/>
  <c r="F11" i="18"/>
  <c r="C11" i="18"/>
  <c r="F13" i="17"/>
  <c r="C13" i="17"/>
  <c r="F15" i="16"/>
  <c r="C15" i="16"/>
  <c r="F15" i="15"/>
  <c r="C15" i="15"/>
  <c r="F23" i="14"/>
  <c r="C23" i="14"/>
  <c r="F13" i="13"/>
  <c r="C13" i="13"/>
  <c r="F9" i="12"/>
  <c r="C9" i="12"/>
  <c r="F39" i="11"/>
  <c r="C39" i="11"/>
  <c r="F17" i="10"/>
  <c r="C17" i="10"/>
  <c r="F15" i="7"/>
  <c r="F21" i="2"/>
  <c r="C21" i="2"/>
  <c r="C15" i="7"/>
  <c r="H10" i="18"/>
  <c r="H11" i="18" s="1"/>
  <c r="F10" i="18"/>
  <c r="B5" i="9" s="1"/>
  <c r="D10" i="18"/>
  <c r="D11" i="18" s="1"/>
  <c r="C10" i="18"/>
  <c r="H12" i="17"/>
  <c r="H13" i="17" s="1"/>
  <c r="G12" i="17"/>
  <c r="G13" i="17" s="1"/>
  <c r="F12" i="17"/>
  <c r="D12" i="17"/>
  <c r="D13" i="17" s="1"/>
  <c r="C12" i="17"/>
  <c r="H14" i="16"/>
  <c r="H15" i="16" s="1"/>
  <c r="G14" i="16"/>
  <c r="G15" i="16" s="1"/>
  <c r="F14" i="16"/>
  <c r="D14" i="16"/>
  <c r="D15" i="16" s="1"/>
  <c r="C14" i="16"/>
  <c r="H14" i="15"/>
  <c r="H15" i="15" s="1"/>
  <c r="G14" i="15"/>
  <c r="G15" i="15" s="1"/>
  <c r="F14" i="15"/>
  <c r="D14" i="15"/>
  <c r="D15" i="15" s="1"/>
  <c r="C14" i="15"/>
  <c r="H22" i="14"/>
  <c r="H23" i="14" s="1"/>
  <c r="G22" i="14"/>
  <c r="G23" i="14" s="1"/>
  <c r="F22" i="14"/>
  <c r="D22" i="14"/>
  <c r="D23" i="14" s="1"/>
  <c r="C22" i="14"/>
  <c r="H12" i="13"/>
  <c r="H13" i="13" s="1"/>
  <c r="G12" i="13"/>
  <c r="G13" i="13" s="1"/>
  <c r="F12" i="13"/>
  <c r="D12" i="13"/>
  <c r="D13" i="13" s="1"/>
  <c r="C12" i="13"/>
  <c r="H8" i="12"/>
  <c r="H9" i="12" s="1"/>
  <c r="G8" i="12"/>
  <c r="G9" i="12" s="1"/>
  <c r="F8" i="12"/>
  <c r="D8" i="12"/>
  <c r="D9" i="12" s="1"/>
  <c r="C8" i="12"/>
  <c r="H38" i="11"/>
  <c r="H39" i="11" s="1"/>
  <c r="G38" i="11"/>
  <c r="G39" i="11" s="1"/>
  <c r="F38" i="11"/>
  <c r="D38" i="11"/>
  <c r="D39" i="11" s="1"/>
  <c r="C38" i="11"/>
  <c r="H16" i="10"/>
  <c r="H17" i="10" s="1"/>
  <c r="G16" i="10"/>
  <c r="G17" i="10" s="1"/>
  <c r="F16" i="10"/>
  <c r="C16" i="10"/>
  <c r="D16" i="10"/>
  <c r="D17" i="10" s="1"/>
  <c r="H14" i="7"/>
  <c r="H15" i="7" s="1"/>
  <c r="G14" i="7"/>
  <c r="G15" i="7" s="1"/>
  <c r="F14" i="7"/>
  <c r="D14" i="7"/>
  <c r="D15" i="7" s="1"/>
  <c r="C14" i="7"/>
  <c r="H20" i="2"/>
  <c r="H21" i="2" s="1"/>
  <c r="G20" i="2"/>
  <c r="G21" i="2" s="1"/>
  <c r="D20" i="2"/>
  <c r="D21" i="2" s="1"/>
  <c r="F20" i="2"/>
  <c r="C20" i="2"/>
  <c r="C11" i="9" l="1"/>
  <c r="R7" i="9"/>
  <c r="S7" i="9" s="1" a="1"/>
  <c r="S7" i="9" s="1"/>
  <c r="N20" i="7"/>
  <c r="L7" i="9"/>
  <c r="M7" i="9" s="1" a="1"/>
  <c r="M7" i="9" s="1"/>
  <c r="N16" i="17"/>
  <c r="F7" i="9" a="1"/>
  <c r="F7" i="9" s="1"/>
  <c r="G7" i="9" s="1"/>
  <c r="F6" i="9" a="1"/>
  <c r="F6" i="9" s="1"/>
  <c r="E4" i="9"/>
  <c r="I4" i="9" s="1"/>
  <c r="F4" i="8" s="1"/>
  <c r="E3" i="9"/>
  <c r="O3" i="9" s="1"/>
  <c r="L3" i="8" s="1"/>
  <c r="I5" i="9"/>
  <c r="F6" i="8" s="1"/>
  <c r="F5" i="9" a="1"/>
  <c r="F5" i="9" s="1"/>
  <c r="G5" i="9" s="1"/>
  <c r="D6" i="8" s="1"/>
  <c r="O5" i="9"/>
  <c r="L6" i="8" s="1"/>
  <c r="F4" i="9" a="1"/>
  <c r="F4" i="9" s="1"/>
  <c r="G4" i="9" s="1"/>
  <c r="D4" i="8" s="1"/>
  <c r="E7" i="9"/>
  <c r="I7" i="9" s="1"/>
  <c r="E6" i="9"/>
  <c r="I6" i="9" s="1"/>
  <c r="F5" i="8" s="1"/>
  <c r="M24" i="2"/>
  <c r="N24" i="2" s="1"/>
  <c r="L24" i="2" a="1"/>
  <c r="L24" i="2" s="1"/>
  <c r="K24" i="2"/>
  <c r="I24" i="2"/>
  <c r="J24" i="2" s="1"/>
  <c r="G24" i="2"/>
  <c r="H24" i="2" s="1"/>
  <c r="F24" i="2" a="1"/>
  <c r="F24" i="2" s="1"/>
  <c r="E24" i="2"/>
  <c r="C24" i="2"/>
  <c r="D24" i="2" s="1"/>
  <c r="M25" i="2"/>
  <c r="N25" i="2" s="1"/>
  <c r="M26" i="2"/>
  <c r="N26" i="2" s="1"/>
  <c r="M27" i="2"/>
  <c r="L25" i="2" a="1"/>
  <c r="L25" i="2" s="1"/>
  <c r="L26" i="2" a="1"/>
  <c r="L26" i="2" s="1"/>
  <c r="L27" i="2" a="1"/>
  <c r="L27" i="2" s="1"/>
  <c r="K25" i="2"/>
  <c r="K26" i="2"/>
  <c r="K27" i="2"/>
  <c r="I25" i="2"/>
  <c r="J25" i="2" s="1"/>
  <c r="I26" i="2"/>
  <c r="J26" i="2" s="1"/>
  <c r="I27" i="2"/>
  <c r="J27" i="2" s="1"/>
  <c r="G25" i="2"/>
  <c r="H25" i="2" s="1"/>
  <c r="G26" i="2"/>
  <c r="H26" i="2" s="1"/>
  <c r="G27" i="2"/>
  <c r="F25" i="2" a="1"/>
  <c r="F25" i="2" s="1"/>
  <c r="F26" i="2" a="1"/>
  <c r="F26" i="2" s="1"/>
  <c r="F27" i="2" a="1"/>
  <c r="F27" i="2" s="1"/>
  <c r="E25" i="2"/>
  <c r="E26" i="2"/>
  <c r="E27" i="2"/>
  <c r="C25" i="2"/>
  <c r="D25" i="2" s="1"/>
  <c r="C26" i="2"/>
  <c r="D26" i="2" s="1"/>
  <c r="C27" i="2"/>
  <c r="E3" i="2" s="1"/>
  <c r="M18" i="15"/>
  <c r="N18" i="15" s="1"/>
  <c r="L18" i="15" a="1"/>
  <c r="L18" i="15" s="1"/>
  <c r="K18" i="15"/>
  <c r="I18" i="15"/>
  <c r="J18" i="15" s="1"/>
  <c r="G18" i="15"/>
  <c r="H18" i="15" s="1"/>
  <c r="F18" i="15" a="1"/>
  <c r="F18" i="15" s="1"/>
  <c r="E18" i="15"/>
  <c r="C18" i="15"/>
  <c r="D18" i="15" s="1"/>
  <c r="I14" i="18"/>
  <c r="J14" i="18" s="1"/>
  <c r="C14" i="18"/>
  <c r="D14" i="18" s="1"/>
  <c r="F15" i="18" a="1"/>
  <c r="F15" i="18" s="1"/>
  <c r="K14" i="18"/>
  <c r="E14" i="18"/>
  <c r="L14" i="18" a="1"/>
  <c r="L14" i="18" s="1"/>
  <c r="F14" i="18" a="1"/>
  <c r="F14" i="18" s="1"/>
  <c r="M14" i="18"/>
  <c r="N14" i="18" s="1"/>
  <c r="B2" i="9"/>
  <c r="M15" i="18"/>
  <c r="N15" i="18" s="1"/>
  <c r="L15" i="18" a="1"/>
  <c r="L15" i="18" s="1"/>
  <c r="C15" i="18"/>
  <c r="D15" i="18" s="1"/>
  <c r="K15" i="18"/>
  <c r="A5" i="9"/>
  <c r="A8" i="9"/>
  <c r="I15" i="18"/>
  <c r="J15" i="18" s="1"/>
  <c r="B8" i="9"/>
  <c r="E15" i="18"/>
  <c r="G15" i="18"/>
  <c r="H15" i="18" s="1"/>
  <c r="B17" i="17"/>
  <c r="A2" i="9"/>
  <c r="I3" i="9" l="1"/>
  <c r="F3" i="8" s="1"/>
  <c r="O4" i="9"/>
  <c r="L4" i="8" s="1"/>
  <c r="G6" i="9"/>
  <c r="D5" i="8" s="1"/>
  <c r="G3" i="9"/>
  <c r="D3" i="8" s="1"/>
  <c r="H27" i="2"/>
  <c r="L3" i="9"/>
  <c r="M3" i="9" s="1" a="1"/>
  <c r="M3" i="9" s="1"/>
  <c r="J3" i="8" s="1"/>
  <c r="N27" i="2"/>
  <c r="R3" i="9"/>
  <c r="S3" i="9" s="1" a="1"/>
  <c r="S3" i="9" s="1"/>
  <c r="P3" i="8" s="1"/>
  <c r="R4" i="9"/>
  <c r="S4" i="9" s="1" a="1"/>
  <c r="S4" i="9" s="1"/>
  <c r="P4" i="8" s="1"/>
  <c r="L6" i="9"/>
  <c r="M6" i="9" s="1" a="1"/>
  <c r="M6" i="9" s="1"/>
  <c r="J5" i="8" s="1"/>
  <c r="L4" i="9"/>
  <c r="M4" i="9" s="1" a="1"/>
  <c r="M4" i="9" s="1"/>
  <c r="J4" i="8" s="1"/>
  <c r="R6" i="9"/>
  <c r="S6" i="9" s="1" a="1"/>
  <c r="S6" i="9" s="1"/>
  <c r="P5" i="8" s="1"/>
  <c r="O7" i="9"/>
  <c r="O6" i="9"/>
  <c r="L5" i="8" s="1"/>
  <c r="D27" i="2"/>
  <c r="F18" i="16" a="1"/>
  <c r="F1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<sst xmlns="http://schemas.openxmlformats.org/spreadsheetml/2006/main" count="1238" uniqueCount="344">
  <si>
    <t>Kategorie</t>
  </si>
  <si>
    <t>DocTool</t>
  </si>
  <si>
    <t>Alibi-Score</t>
  </si>
  <si>
    <t>Right/Wrong</t>
  </si>
  <si>
    <t>GPT</t>
  </si>
  <si>
    <t>Alibi-Score2</t>
  </si>
  <si>
    <t>Right/Wrong3</t>
  </si>
  <si>
    <t>Who is better?</t>
  </si>
  <si>
    <t>Kommentar</t>
  </si>
  <si>
    <t>imperfect</t>
  </si>
  <si>
    <t>14: InstructionsPlayRound No Alibi Character. (Score: 2.6530612)</t>
  </si>
  <si>
    <t>Yes</t>
  </si>
  <si>
    <t xml:space="preserve">[5]  
Problem: The class Javadoc gives a basic high-level description but omits key details about GUI lifecycle, state transitions, and how questions are sequenced.  
DocQualityScore: 3.0  
Alibi: No  </t>
  </si>
  <si>
    <t>missing</t>
  </si>
  <si>
    <t>15: InstructionsPlayRound.currentUser Is not documented.</t>
  </si>
  <si>
    <t>16: InstructionsPlayRound.currentQuestionIndex Is not documented.</t>
  </si>
  <si>
    <t>[16]  
currentQuestionIndex Is not documented.</t>
  </si>
  <si>
    <t>17: InstructionsPlayRound.frame Is not documented.</t>
  </si>
  <si>
    <t>[17]  
frame Is not documented.</t>
  </si>
  <si>
    <t>22: currentUser No Alibi Character. (Score: 1.4285715)</t>
  </si>
  <si>
    <t>24: InstructionsPlayRound.InstructionsPlayRound Missing documentation of return value</t>
  </si>
  <si>
    <t>No</t>
  </si>
  <si>
    <t>Konstruktoren haben keinen return value</t>
  </si>
  <si>
    <t>alibi</t>
  </si>
  <si>
    <t>24: InstructionsPlayRound Appears to have an Alibi Character. Score: 0.0</t>
  </si>
  <si>
    <t xml:space="preserve">[19]  
Problem: The constructor Javadoc is boilerplate and merely restates the signature; it doesn’t explain why currentQuestionIndex starts at 1 or how currentUser is used.  
DocQualityScore: 1.0  
Alibi: No  </t>
  </si>
  <si>
    <t>GPT beschreibt es gut, aber gibt falschen score</t>
  </si>
  <si>
    <t>31: createFrame No Alibi Character. (Score: 3.0)</t>
  </si>
  <si>
    <t xml:space="preserve">[29]  
Problem: The createFrame Javadoc restates the method’s obvious purpose and doesn’t mention that it initializes the frame field or justify the hard-coded size and title.  
DocQualityScore: 2.0  
Alibi: No </t>
  </si>
  <si>
    <t>great</t>
  </si>
  <si>
    <t>38: message Appears to have an Alibi Character. Score: 0.625</t>
  </si>
  <si>
    <t>kein Alibi da trivialer inhalt</t>
  </si>
  <si>
    <t>40: showMessageDialog No Alibi Character. (Score: 1.6666667)</t>
  </si>
  <si>
    <t xml:space="preserve">[38]  
Problem: The showMessageDialog Javadoc describes only the obvious effect and omits that the dialog title and message type are fixed.  
DocQualityScore: 2.0  
Alibi: No  </t>
  </si>
  <si>
    <t>45: startInstructions No Alibi Character. (Score: 1.6666667)</t>
  </si>
  <si>
    <t xml:space="preserve">[47]  
Problem: The startInstructions Javadoc is extremely brief and only repeats the method name without explaining what happens under the hood.  
DocQualityScore: 1.0  
Alibi: No  </t>
  </si>
  <si>
    <t>50: showInstructionsWindow No Alibi Character. (Score: 1.3636364)</t>
  </si>
  <si>
    <t xml:space="preserve">[52]  
Problem: The showInstructionsWindow Javadoc gives a general summary but omits details such as HTML formatting, frame creation/closure, and control flow.  
DocQualityScore: 3.0  
Alibi: No  </t>
  </si>
  <si>
    <t>55: nextQuestion No Alibi Character. (Score: 1.25)</t>
  </si>
  <si>
    <t xml:space="preserve">[67]  
Problem: The nextQuestion Javadoc provides a high-level description but fails to document the hard-coded word list, switch behavior, or callback wiring.  
DocQualityScore: 3.0  
Alibi: No  </t>
  </si>
  <si>
    <t>60: closeFrame No Alibi Character. (Score: 3.3333335)</t>
  </si>
  <si>
    <t xml:space="preserve">Problem: The closeFrame Javadoc is trivial and merely restates the method name without explaining resource cleanup.  
DocQualityScore: 1.0  
Alibi: No  </t>
  </si>
  <si>
    <t>67: userResponse No Alibi Character. (Score: 1.25)</t>
  </si>
  <si>
    <t>68: correctAnswer Appears to have an Alibi Character. Score: 0.0</t>
  </si>
  <si>
    <t>71: answerSubmitted No Alibi Character. (Score: 1.6666667)</t>
  </si>
  <si>
    <t xml:space="preserve">Problem: The answerSubmitted Javadoc states when it’s called but omits that it advances currentQuestionIndex and immediately triggers the next question.  
DocQualityScore: 2.0  
Alibi: No  </t>
  </si>
  <si>
    <t>Durchschnitt</t>
  </si>
  <si>
    <t>Standartabweichung</t>
  </si>
  <si>
    <t>Richtig absolut</t>
  </si>
  <si>
    <t>Richtig relativ</t>
  </si>
  <si>
    <t>Standartabweichung Alibi</t>
  </si>
  <si>
    <t>Besser bei gleichem Ergebnis absolut</t>
  </si>
  <si>
    <t>Besser bei gleichem Ergebnis relativ</t>
  </si>
  <si>
    <t>17: GuestLoginStrategySimple No Alibi Character. (Score: 2.34375)</t>
  </si>
  <si>
    <t>[5]
Problem: Class Javadoc merely restates the class name and very high-level purpose without specifying key behaviors (e.g. password is ignored, always returns true, new users are auto-added).
DocQualityScore: 2.0
Alibi: No</t>
  </si>
  <si>
    <t>19: DATABASE_FILE No Alibi Character. (Score: 1.4285715)</t>
  </si>
  <si>
    <t>[13]
Problem: Constant Javadoc simply repeats the constant name in prose without any additional context (e.g. file format, expected location, error handling).
DocQualityScore: 0.0
Alibi: Yes</t>
  </si>
  <si>
    <t>24: username Appears to have an Alibi Character. Score: 0.8333334</t>
  </si>
  <si>
    <t>25: password No Alibi Character. (Score: 1.0)</t>
  </si>
  <si>
    <t>wrong in meaning</t>
  </si>
  <si>
    <t>26: return No Alibi Character. (Score: 2.5)</t>
  </si>
  <si>
    <t>"it claims the method may return false, but the implementation always returns true."</t>
  </si>
  <si>
    <t>29: login No Alibi Character. (Score: 1.6666667)</t>
  </si>
  <si>
    <t>Problem: The method Javadoc is misleading: it claims the method may return false, but the implementation always returns true. It also omits details such as side effects (logging, auto-registration of new users) and exception behavior.
DocQualityScore: 0.5
Alibi: Yes</t>
  </si>
  <si>
    <t>36: username No Alibi Character. (Score: 1.0)</t>
  </si>
  <si>
    <t>37: return No Alibi Character. (Score: 1.923077)</t>
  </si>
  <si>
    <t>39: isUsernameInDatabase No Alibi Character. (Score: 1.0)</t>
  </si>
  <si>
    <t>[39]
Problem: Javadoc for isUsernameInDatabase restates the method signature but omits important behavior (on I/O errors it logs and returns false).
DocQualityScore: 1.0
Alibi: No</t>
  </si>
  <si>
    <t>46: username Appears to have an Alibi Character. Score: 0.625</t>
  </si>
  <si>
    <t>48: addToDatabase No Alibi Character. (Score: 1.923077)</t>
  </si>
  <si>
    <t>[61]
Problem: addToDatabase Javadoc restates the signature but gives no detail on file append mode, error handling, or data format.
DocQualityScore: 1.0
Alibi: No</t>
  </si>
  <si>
    <t>16: Language No Alibi Character. (Score: 1.8421053)</t>
  </si>
  <si>
    <t xml:space="preserve">[4]  
Problem: Class-level Javadoc claims a “minimum of three words” requirement and console-printing behavior that the code does not implement; otherwise it merely restates obvious capabilities.  
DocQualityScore: 1.0  
Alibi: No  </t>
  </si>
  <si>
    <t>18: name Appears to have an Alibi Character. Score: 0.0</t>
  </si>
  <si>
    <t xml:space="preserve">[14]  
Problem: Field Javadoc restates the field name without adding any useful detail.  
DocQualityScore: 0.0  
Alibi: Yes  </t>
  </si>
  <si>
    <t>in dem Kontext kein weiterer Kommentar nötig</t>
  </si>
  <si>
    <t>21: words Appears to have an Alibi Character. Score: 0.625</t>
  </si>
  <si>
    <t xml:space="preserve">[17]  
Problem: Field Javadoc restates the field name without adding any useful detail.  
DocQualityScore: 0.0  
Alibi: Yes  </t>
  </si>
  <si>
    <t>26: name Appears to have an Alibi Character. Score: 0.0</t>
  </si>
  <si>
    <t xml:space="preserve">[23]  
Problem: @param name—restates parameter name, no constraints or nullability information.  
DocQualityScore: 0.0  
Alibi: Yes </t>
  </si>
  <si>
    <t>27: words Appears to have an Alibi Character. Score: 0.0</t>
  </si>
  <si>
    <t xml:space="preserve">[24]  
Problem: @param words—restates parameter name, no information about list requirements or null handling.  
DocQualityScore: 0.0  
Alibi: Yes  </t>
  </si>
  <si>
    <t>29: Language.Language Missing documentation of return value</t>
  </si>
  <si>
    <t>Konstruktor</t>
  </si>
  <si>
    <t>29: Language No Alibi Character. (Score: 1.25)</t>
  </si>
  <si>
    <t xml:space="preserve">[20]  
Problem: Constructor Javadoc merely repeats the signature; omits any mention of defensive copying or the (non-existent) three-word requirement.  
DocQualityScore: 0.0  
Alibi: Yes  </t>
  </si>
  <si>
    <t>36: return Appears to have an Alibi Character. Score: 0.0</t>
  </si>
  <si>
    <t xml:space="preserve">[32]  
Problem: @return tag repeats obvious return value, no detail.  
DocQualityScore: 0.0  
Alibi: Yes  </t>
  </si>
  <si>
    <t>38: getName Appears to have an Alibi Character. Score: 0.8333334</t>
  </si>
  <si>
    <t xml:space="preserve">[31]  
Problem: Method Javadoc repeats method name and return type without any extra info.  
DocQualityScore: 0.0  
Alibi: Yes  </t>
  </si>
  <si>
    <t>45: return Appears to have an Alibi Character. Score: 0.0</t>
  </si>
  <si>
    <t xml:space="preserve">[40]  
Problem: @return tag repeats obvious return value, no detail.  
DocQualityScore: 0.0  
Alibi: Yes  </t>
  </si>
  <si>
    <t>47: getWords Appears to have an Alibi Character. Score: 0.625</t>
  </si>
  <si>
    <t xml:space="preserve">[39]  
Problem: Method Javadoc repeats method name and return type without any extra info.  
DocQualityScore: 0.0  
Alibi: Yes  </t>
  </si>
  <si>
    <t>55: return Appears to have an Alibi Character. Score: 0.8333334</t>
  </si>
  <si>
    <t xml:space="preserve">[48]  
Problem: @return tag repeats obvious return value, no detail.  
DocQualityScore: 0.0  
Alibi: Yes  </t>
  </si>
  <si>
    <t>58: toString Appears to have an Alibi Character. Score: 0.71428573</t>
  </si>
  <si>
    <t xml:space="preserve">[47]  
Problem: toString Javadoc restates the obvious, adds no insight into format or intended use.  
DocQualityScore: 0.0  
Alibi: Yes  </t>
  </si>
  <si>
    <t>14: Login No Alibi Character. (Score: 2.65625)</t>
  </si>
  <si>
    <t xml:space="preserve">[6]  
Problem: Class Javadoc merely restates the class name and obvious functionality (login, register, guest) without detailing usage, initialization requirements, lifecycle, or side effects.  
DocQualityScore: 0.0  
Alibi: Yes  </t>
  </si>
  <si>
    <t>15: Login.serialVersionUID Is not documented.</t>
  </si>
  <si>
    <t>Missing documentation:  
[14]  
serialVersionUID Is not documented.</t>
  </si>
  <si>
    <t>18: MIN_USERNAME_LENGTH No Alibi Character. (Score: 1.4285715)</t>
  </si>
  <si>
    <t xml:space="preserve">[16]  
Problem: Constant Javadoc (“The minimum length required for a username.”) just echoes the constant name; offers no context on why length 5, where it’s enforced, or whether it’s configurable.  
DocQualityScore: 0.0  
Alibi: Yes  </t>
  </si>
  <si>
    <t>21: nameField No Alibi Character. (Score: 2.0)</t>
  </si>
  <si>
    <t xml:space="preserve">[19]  
Problem: Field Javadoc (“Text field for entering username.”) restates the variable name and type without added insight.  
DocQualityScore: 0.0  
Alibi: Yes  </t>
  </si>
  <si>
    <t>24: passwordField No Alibi Character. (Score: 2.0)</t>
  </si>
  <si>
    <t xml:space="preserve">[22]  
Problem: Field Javadoc (“Text field for entering password.”) adds no value beyond the obvious.  
DocQualityScore: 0.0  
Alibi: Yes  </t>
  </si>
  <si>
    <t>27: loginListener No Alibi Character. (Score: 2.0)</t>
  </si>
  <si>
    <t xml:space="preserve">[25]  
Problem: Field Javadoc (“Listener for handling login events.”) duplicates what the type already conveys.  
DocQualityScore: 0.0  
Alibi: Yes  </t>
  </si>
  <si>
    <t>30: loginStrategy Appears to have an Alibi Character. Score: 0.90909094</t>
  </si>
  <si>
    <t xml:space="preserve">[28]  
Problem: Field Javadoc (“Strategy for handling login (e.g., regular login or guest login).”) simply restates the type’s purpose.  
DocQualityScore: 0.0  
Alibi: Yes  </t>
  </si>
  <si>
    <t>35: listener Appears to have an Alibi Character. Score: 0.8333334</t>
  </si>
  <si>
    <t>37: addLoginListener No Alibi Character. (Score: 2.5)</t>
  </si>
  <si>
    <t xml:space="preserve">[31]  
Problem: Method Javadoc (“Adds a LoginListener to handle login events.”) repeats the method name and parameter role; no notes on threading, null handling, or event ordering.  
DocQualityScore: 0.0  
Alibi: Yes  </t>
  </si>
  <si>
    <t>44: strategy Appears to have an Alibi Character. Score: 0.0</t>
  </si>
  <si>
    <t>46: setLoginStrategy No Alibi Character. (Score: 1.875)</t>
  </si>
  <si>
    <t xml:space="preserve">[40]  
Problem: Method Javadoc (“Sets the login strategy for handling login attempts.”) is redundant with the signature and gives no policy or lifecycle guidance.  
DocQualityScore: 0.0  
Alibi: Yes  </t>
  </si>
  <si>
    <t>51: loginMenu No Alibi Character. (Score: 1.4285715)</t>
  </si>
  <si>
    <t xml:space="preserve">[49]  
Problem: Method Javadoc (“Displays the components of the login window.”) merely paraphrases the method name; omits details on when/how to call, component layout, or look-and-feel implications.  
DocQualityScore: 0.0  
Alibi: Yes  </t>
  </si>
  <si>
    <t>90: return No Alibi Character. (Score: 1.25)</t>
  </si>
  <si>
    <t>92: createLoginButton No Alibi Character. (Score: 2.142857)</t>
  </si>
  <si>
    <t xml:space="preserve">Problem: Method Javadoc (“Creates a login button for registered users.”) duplicates the signature; lacks information on side effects or styling.  
DocQualityScore: 0.0  
Alibi: Yes  </t>
  </si>
  <si>
    <t>102: e No Alibi Character. (Score: 1.6666667)</t>
  </si>
  <si>
    <t>104: loginButtonAction No Alibi Character. (Score: 1.111111)</t>
  </si>
  <si>
    <t xml:space="preserve">[73]  
Problem: Method Javadoc (“Handles the action when the login button is pressed.”) fails to describe validation logic, error cases, or invocation sequence.  
DocQualityScore: 0.0  
Alibi: Yes </t>
  </si>
  <si>
    <t>122: return No Alibi Character. (Score: 1.25)</t>
  </si>
  <si>
    <t>124: createRegisterButton No Alibi Character. (Score: 1.25)</t>
  </si>
  <si>
    <t>[83]  
Problem: Method Javadoc (“Creates a register button.”) restates the method name without explaining behavior (e.g., modal vs. non-modal, callback).  
DocQualityScore: 0.0  
Alibi: Yes</t>
  </si>
  <si>
    <t>138: errorMessage Appears to have an Alibi Character. Score: 0.8333334</t>
  </si>
  <si>
    <t>140: showError No Alibi Character. (Score: 1.6666667)</t>
  </si>
  <si>
    <t xml:space="preserve">[93]  
Problem: Method Javadoc (“Displays an error message dialog with the specified message.”) merely repeats the code; does not specify threading constraints or message format.  
DocQualityScore: 0.0  
Alibi: Yes  </t>
  </si>
  <si>
    <t>147: enteredUsername Appears to have an Alibi Character. Score: 0.0</t>
  </si>
  <si>
    <t>148: enteredPassword Appears to have an Alibi Character. Score: 0.0</t>
  </si>
  <si>
    <t>150: regularLogin No Alibi Character. (Score: 2.5)</t>
  </si>
  <si>
    <t xml:space="preserve">[101]  
Problem: Method Javadoc (“Handles a regular (for registered users) login attempt.”) omits key behavior: credential verification, error branches, and listener invocation.  
DocQualityScore: 0.0  
Alibi: Yes  </t>
  </si>
  <si>
    <t>176: return No Alibi Character. (Score: 1.0)</t>
  </si>
  <si>
    <t>178: createGuestLoginButton No Alibi Character. (Score: 1.0)</t>
  </si>
  <si>
    <t xml:space="preserve">[109]  
Problem: Method Javadoc (“Creates a guest login button.”) adds no information beyond the method name.  
DocQualityScore: 0.0  
Alibi: Yes </t>
  </si>
  <si>
    <t>190: guestLogin No Alibi Character. (Score: 1.3636364)</t>
  </si>
  <si>
    <t xml:space="preserve">[116]  
Problem: Method Javadoc (“Opens a new window for entering the username only (guest login).”) restates the method’s name and intent; no details on window modality or preferred size choice.  
DocQualityScore: 0.0  
Alibi: Yes  </t>
  </si>
  <si>
    <t>198: return No Alibi Character. (Score: 1.0)</t>
  </si>
  <si>
    <t>200: createUsernameOnlyWindow No Alibi Character. (Score: 1.25)</t>
  </si>
  <si>
    <t xml:space="preserve">[120]  
Problem: Method Javadoc (“Creates a window for entering the username only.”) simply restates the signature; doesn’t describe layout, bounds rationale, or return-ownership.  
DocQualityScore: 0.0  
Alibi: Yes  </t>
  </si>
  <si>
    <t>225: frame No Alibi Character. (Score: 1.6666667)</t>
  </si>
  <si>
    <t>226: field No Alibi Character. (Score: 1.4285715)</t>
  </si>
  <si>
    <t>227: return No Alibi Character. (Score: 1.0)</t>
  </si>
  <si>
    <t>229: createConfirmUsernameButton No Alibi Character. (Score: 1.25)</t>
  </si>
  <si>
    <t xml:space="preserve">[139]  
Problem: Method Javadoc (“Creates a button for confirming the entered username.”) duplicates the code; no mention of side effects or event dispatching.  
DocQualityScore: 0.0  
Alibi: Yes </t>
  </si>
  <si>
    <t>239: frame No Alibi Character. (Score: 1.6666667)</t>
  </si>
  <si>
    <t>240: field No Alibi Character. (Score: 1.4285715)</t>
  </si>
  <si>
    <t>242: handleConfirmUsername No Alibi Character. (Score: 1.0)</t>
  </si>
  <si>
    <t xml:space="preserve">[149]  
Problem: Method Javadoc (“Handles the action when the confirm username button is pressed.”) omits key behaviors: input validation, error handling, listener callback, and frame disposal.  
DocQualityScore: 0.0  
Alibi: Yes  </t>
  </si>
  <si>
    <t>9: LoginStrategy. Is not documented.</t>
  </si>
  <si>
    <t>[1]
Problem: The interface Javadoc merely restates the name and obvious purpose (“defines a contract for … login”) without any additional design guidance, usage examples, or notes on expected behavior.
DocQualityScore: 0.0
Alibi: Yes</t>
  </si>
  <si>
    <t>falsch aufgrund java-version oder parser</t>
  </si>
  <si>
    <t>13: username No Alibi Character. (Score: 1.6666667)</t>
  </si>
  <si>
    <t>[13]
Problem: The @param “username” tag simply restates the parameter name (“The username entered by the user.”) with no constraints, format rules, or validation notes.
DocQualityScore: 0.0
Alibi: Yes</t>
  </si>
  <si>
    <t>14: password No Alibi Character. (Score: 1.6666667)</t>
  </si>
  <si>
    <t>[14]
Problem: The @param “password” tag simply restates the parameter name (“The password entered by the user.”) with no constraints, format rules, or validation notes.
DocQualityScore: 0.0
Alibi: Yes</t>
  </si>
  <si>
    <t>15: return No Alibi Character. (Score: 2.5)</t>
  </si>
  <si>
    <t>[15]
Problem: The @return tag restates that true means success and false means failure, but provides no information on exceptional cases or additional context (e.g., account locked scenarios).
DocQualityScore: 0.0
Alibi: Yes</t>
  </si>
  <si>
    <t>returnt nur true in der implementation</t>
  </si>
  <si>
    <t>17: login No Alibi Character. (Score: 2.0833333)</t>
  </si>
  <si>
    <t>[10]
Problem: The method Javadoc is minimal and only restates the purpose implied by the method name; it omits details on error handling, null inputs, locking, or security considerations.
DocQualityScore: 1.0
Alibi: No</t>
  </si>
  <si>
    <t>12: Question No Alibi Character. (Score: 3.0)</t>
  </si>
  <si>
    <t>[4]
Problem: Class Javadoc is generic and provides minimal context; it restates the obvious functionality without usage details, edge cases, or design rationale.
DocQualityScore: 3.0
Alibi: No</t>
  </si>
  <si>
    <t>problem ergibt bei GPT nicht viel sinn</t>
  </si>
  <si>
    <t>14: questionType No Alibi Character. (Score: 2.2727273)</t>
  </si>
  <si>
    <t>[13]
Problem: Field Javadoc gives a superficial description and example but largely echoes the field name without deeper insight into valid values or constraints.
DocQualityScore: 3.0
Alibi: No</t>
  </si>
  <si>
    <t>20: Question.Question Missing documentation of return value</t>
  </si>
  <si>
    <t>20: Question No Alibi Character. (Score: 2.1875)</t>
  </si>
  <si>
    <t>[17]
Problem: Constructor Javadoc repeats the code’s obvious behavior (initializing to empty string) without explaining why or when an empty question type is meaningful.
DocQualityScore: 2.0
Alibi: No</t>
  </si>
  <si>
    <t>27: return Appears to have an Alibi Character. Score: 0.0</t>
  </si>
  <si>
    <t>[27]
Problem: @return tag simply mirrors the field name and offers no additional detail about possible return values or their meaning.
DocQualityScore: 0.0
Alibi: Yes</t>
  </si>
  <si>
    <t>29: getQuestionType No Alibi Character. (Score: 1.25)</t>
  </si>
  <si>
    <t>[24]
Problem: Method Javadoc merely restates the method name; it omits any mention of the fact that it may return an empty string.
DocQualityScore: 1.0
Alibi: No</t>
  </si>
  <si>
    <t>36: availableQuestionTypes No Alibi Character. (Score: 1.0526316)</t>
  </si>
  <si>
    <t>[36]
Problem: @param tag restates the parameter name; it does not specify expected list contents, size limits, or element format.
DocQualityScore: 2.0
Alibi: No</t>
  </si>
  <si>
    <t>39: setQuestionType No Alibi Character. (Score: 1.25)</t>
  </si>
  <si>
    <t>[33]
Problem: Method Javadoc describes random selection and references the list but could add details on randomness guarantees or thread-safety.
DocQualityScore: 4.0
Alibi: No</t>
  </si>
  <si>
    <t>[37]
Problem: @throws tag accurately documents when an exception will be thrown and why; clear and informative.
DocQualityScore: 4.0
Alibi: No</t>
  </si>
  <si>
    <t>15: RegistrierterNutzer No Alibi Character. (Score: 3.1666665)</t>
  </si>
  <si>
    <t xml:space="preserve">[5]  
Problem: The class Javadoc largely restates that this class extends Nutzer and adds email/password handling—information obvious from the code. It doesn’t describe side-effects (e.g. file I/O), thread-safety, error handling, or intended usage.  
DocQualityScore: 1.0  
Alibi: No  </t>
  </si>
  <si>
    <t>17: logger No Alibi Character. (Score: 1.4285715)</t>
  </si>
  <si>
    <t xml:space="preserve">[11]  
Problem: The logger field Javadoc merely repeats that it’s “the logger for this class”—no added value.  
DocQualityScore: 0.0  
Alibi: Yes  </t>
  </si>
  <si>
    <t>20: USER_DATABASE_FILE Appears to have an Alibi Character. Score: 0.71428573</t>
  </si>
  <si>
    <t xml:space="preserve">[14]  
Problem: The USER_DATABASE_FILE constant Javadoc simply restates that it’s the filename—no further context (format, location conventions, permissions).  
DocQualityScore: 0.0  
Alibi: Yes  </t>
  </si>
  <si>
    <t>23: email Appears to have an Alibi Character. Score: 0.0</t>
  </si>
  <si>
    <t xml:space="preserve">[17]  
Problem: The email field Javadoc (“The email of the user”) restates the field name without adding constraints or formats.  
DocQualityScore: 0.0  
Alibi: Yes  </t>
  </si>
  <si>
    <t>26: password Appears to have an Alibi Character. Score: 0.0</t>
  </si>
  <si>
    <t xml:space="preserve">[20]  
Problem: The password field Javadoc (“The password of the user”) is purely tautological and adds nothing (e.g. hashing, security considerations).  
DocQualityScore: 0.0  
Alibi: Yes </t>
  </si>
  <si>
    <t>32: username Appears to have an Alibi Character. Score: 0.0</t>
  </si>
  <si>
    <t>33: selectedLanguage Appears to have an Alibi Character. Score: 0.71428573</t>
  </si>
  <si>
    <t>34: selectedLevel Appears to have an Alibi Character. Score: 0.0</t>
  </si>
  <si>
    <t>36: RegistrierterNutzer.RegistrierterNutzer Missing documentation of return value</t>
  </si>
  <si>
    <t>36: RegistrierterNutzer No Alibi Character. (Score: 2.222222)</t>
  </si>
  <si>
    <t xml:space="preserve">[23]  
Problem: The constructor Javadoc notes that it reads and sets email/password from the file, which is useful, but it still omits details on file format, failure modes, and performance.  
DocQualityScore: 3.0  
Alibi: No  </t>
  </si>
  <si>
    <t>46: return Appears to have an Alibi Character. Score: 0.0</t>
  </si>
  <si>
    <t>48: getEmailAddress No Alibi Character. (Score: 1.25)</t>
  </si>
  <si>
    <t xml:space="preserve">[31]  
Problem: The getEmailAddress method Javadoc simply restates the method name and return type without edge-case or null-behavior details.  
DocQualityScore: 0.0  
Alibi: Yes  </t>
  </si>
  <si>
    <t>55: return Appears to have an Alibi Character. Score: 0.0</t>
  </si>
  <si>
    <t>57: getPassword No Alibi Character. (Score: 1.4285715)</t>
  </si>
  <si>
    <t xml:space="preserve">[37]  
Problem: The getPassword method Javadoc is tautological and omits security considerations (e.g. null, encryption).  
DocQualityScore: 0.0  
Alibi: Yes  </t>
  </si>
  <si>
    <t>64: password Appears to have an Alibi Character. Score: 0.0</t>
  </si>
  <si>
    <t>66: setPassword No Alibi Character. (Score: 1.4285715)</t>
  </si>
  <si>
    <t xml:space="preserve">[43]  
Problem: The setPassword method Javadoc repeats the parameter name with no constraints (e.g. length, allowed chars) or security notes.  
DocQualityScore: 0.0  
Alibi: Yes  </t>
  </si>
  <si>
    <t>73: email Appears to have an Alibi Character. Score: 0.0</t>
  </si>
  <si>
    <t>75: setEmail No Alibi Character. (Score: 1.25)</t>
  </si>
  <si>
    <t xml:space="preserve">[49]  
Problem: The setEmail method Javadoc merely repeats the parameter name—no format validation or domain restrictions.  
DocQualityScore: 0.0  
Alibi: Yes  </t>
  </si>
  <si>
    <t>83: readEmailAndPasswordFromDatabase No Alibi Character. (Score: 1.3636364)</t>
  </si>
  <si>
    <t xml:space="preserve">[55]  
Problem: The private readEmailAndPasswordFromDatabase Javadoc explains what it does but omits details on file format, error recovery, and logger usage.  
DocQualityScore: 2.0  
Alibi: No  </t>
  </si>
  <si>
    <t>15: RegularLoginStrategy No Alibi Character. (Score: 2.9166665)</t>
  </si>
  <si>
    <t>[7]
Problem: Class Javadoc merely restates the class name and interface, with no details on file format, error conditions, security considerations, or side effects.
DocQualityScore: 0.0
Alibi: Yes</t>
  </si>
  <si>
    <t>16: RegularLoginStrategy.LOGGER Is not documented.</t>
  </si>
  <si>
    <t>Missing documentation:
[12]
LOGGER Is not documented.</t>
  </si>
  <si>
    <t>19: USER_DATABASE_FILE Appears to have an Alibi Character. Score: 0.71428573</t>
  </si>
  <si>
    <t>[14]
Problem: Constant Javadoc (“The path to the user database file.”) simply restates the constant name, with no information on file existence, format, or override options.
DocQualityScore: 0.0
Alibi: Yes</t>
  </si>
  <si>
    <t>[20]
Problem: @param username description restates the parameter name, with no constraints (e.g., non-null, character set) or sanitization notes.
DocQualityScore: 0.0
Alibi: Yes</t>
  </si>
  <si>
    <t>25: password Appears to have an Alibi Character. Score: 0.8333334</t>
  </si>
  <si>
    <t>[21]
Problem: @param password description restates the parameter name, with no constraints (e.g., encryption, encoding) or handling of whitespace.
DocQualityScore: 0.0
Alibi: Yes</t>
  </si>
  <si>
    <t>[22]
Problem: @return description is trivial (“true if successful, false otherwise”), with no detail on failure causes (e.g., I/O error, user not found).
DocQualityScore: 0.0
Alibi: Yes</t>
  </si>
  <si>
    <t>[17]
Problem: Method Javadoc for login repeats the method name and signature, with no explanation of I/O error handling, logging behavior, or security implications.
DocQualityScore: 0.0
Alibi: Yes</t>
  </si>
  <si>
    <t>45: targetUsername Appears to have an Alibi Character. Score: 0.5</t>
  </si>
  <si>
    <t>[30]
Problem: @param targetUsername description restates the parameter name, with no constraints or encoding rules.
DocQualityScore: 0.0
Alibi: Yes</t>
  </si>
  <si>
    <t>46: return No Alibi Character. (Score: 1.6666667)</t>
  </si>
  <si>
    <t>[31]
Problem: @return description is trivial (“stored password or null”), with no mention of trimming, encoding, or error cases.
DocQualityScore: 0.0
Alibi: Yes</t>
  </si>
  <si>
    <t>50: readPasswordFromDatabase No Alibi Character. (Score: 1.25)</t>
  </si>
  <si>
    <t>[27]
Problem: Javadoc for readPasswordFromDatabase repeats the method name, without describing the expected file format (comma-separated values, field order), trimming behavior, or performance implications.
DocQualityScore: 0.0
Alibi: Yes</t>
  </si>
  <si>
    <t>[32]
Problem: @throws IOException restates the exception type with no detail on specific failure modes (missing file, permission denied).
DocQualityScore: 0.0
Alibi: Yes</t>
  </si>
  <si>
    <t>15: RussianFactory No Alibi Character. (Score: 2.3333333)</t>
  </si>
  <si>
    <t>[6]
Problem: Class Javadoc largely restates that this implements VocabularyFactory for “Russian” without detailing key behaviors such as resource naming conventions, file-loading mechanics, or exception handling.
DocQualityScore: 1.0
Alibi: No</t>
  </si>
  <si>
    <t>19: level Appears to have an Alibi Character. Score: 0.0</t>
  </si>
  <si>
    <t>20: return No Alibi Character. (Score: 1.25)</t>
  </si>
  <si>
    <t>23: createLanguage No Alibi Character. (Score: 1.6666667)</t>
  </si>
  <si>
    <t>[17]
Problem: The createLanguage Javadoc merely repeats the method name, parameter, and return types without any information on side-effects or error conditions.
DocQualityScore: 0.0
Alibi: Yes</t>
  </si>
  <si>
    <t>31: level Appears to have an Alibi Character. Score: 0.5555555</t>
  </si>
  <si>
    <t>32: return No Alibi Character. (Score: 1.25)</t>
  </si>
  <si>
    <t>35: createWord No Alibi Character. (Score: 1.6666667)</t>
  </si>
  <si>
    <t>[28]
Problem: The createWord Javadoc restates the signature and return type but omits critical details: the filename pattern ("/spanish_%s.xlsx"), resource-lookup behavior, and the exceptions thrown on missing resources or I/O failures.
DocQualityScore: 0.0
Alibi: Yes</t>
  </si>
  <si>
    <t>42: level Appears to have an Alibi Character. Score: 0.71428573</t>
  </si>
  <si>
    <t>43: return No Alibi Character. (Score: 1.6666667)</t>
  </si>
  <si>
    <t>46: createVocabularyLevel No Alibi Character. (Score: 1.923077)</t>
  </si>
  <si>
    <t>[48]
Problem: The createVocabularyLevel Javadoc simply mirrors the method name and parameter, offering no insight into validation, constraints, or special behavior.
DocQualityScore: 0.0
Alibi: Yes</t>
  </si>
  <si>
    <t>Missing documentation:
[28]
createWord Missing @throws tags for RuntimeException when the resource is not found or an I/O error occurs.</t>
  </si>
  <si>
    <t>11: TranslationQuestion No Alibi Character. (Score: 2.9166665)</t>
  </si>
  <si>
    <t xml:space="preserve">[3]  
Problem: Class Javadoc largely restates the class name and superclass without detailing behavior, configuration options, lifecycle, or usage examples.  
DocQualityScore: 1.0  
Alibi: No  </t>
  </si>
  <si>
    <t>13: textField No Alibi Character. (Score: 2.0)</t>
  </si>
  <si>
    <t xml:space="preserve">[10]  
Problem: Field Javadoc (“Text field for user input.”) simply restates that this is a JTextField for input; offers no insight into intended content, validation rules, or special behavior.  
DocQualityScore: 1.0  
Alibi: No  </t>
  </si>
  <si>
    <t>18: word Appears to have an Alibi Character. Score: 0.8333334</t>
  </si>
  <si>
    <t>19: currentUser No Alibi Character. (Score: 1.4285715)</t>
  </si>
  <si>
    <t>20: callback No Alibi Character. (Score: 2.5)</t>
  </si>
  <si>
    <t>22: TranslationQuestion.TranslationQuestion Missing documentation of return value</t>
  </si>
  <si>
    <t>22: TranslationQuestion No Alibi Character. (Score: 2.0)</t>
  </si>
  <si>
    <t xml:space="preserve">[13]  
Problem: Constructor Javadoc (“Constructs a new TranslationQuestion instance.”) is boilerplate. Although @param tags name each argument, they don’t explain constraints (e.g. non-null), or side effects (e.g. frame visibility).  
DocQualityScore: 1.0  
Alibi: No  </t>
  </si>
  <si>
    <t>28: initializeFrame No Alibi Character. (Score: 1.25)</t>
  </si>
  <si>
    <t xml:space="preserve">[24]  
Problem: initializeFrame Javadoc (“Displays the translation question frame with input field.”) merely repeats the method name; it doesn’t document the frame’s layout, components added, or potential exceptions.  
DocQualityScore: 1.0  
Alibi: No  </t>
  </si>
  <si>
    <t>50: getAnswer No Alibi Character. (Score: 2.142857)</t>
  </si>
  <si>
    <t xml:space="preserve">[35]  
Problem: getAnswer Javadoc (“Gets the user's answer and processes it.”) is generic. It doesn’t explain validation logic, dialog behavior on empty input, or the interaction with the callback.  
DocQualityScore: 1.0  
Alibi: No  </t>
  </si>
  <si>
    <t>20: Utilities No Alibi Character. (Score: 3.4615386)</t>
  </si>
  <si>
    <t>[12]
Problem: Class Javadoc is overly generic—restates that it’s a utility class with static methods and uninstantiable, but gives no meaningful overview of provided functionality or design considerations.
DocQualityScore: 1.0
Alibi: No</t>
  </si>
  <si>
    <t>22: logger Appears to have an Alibi Character. Score: 0.0</t>
  </si>
  <si>
    <t>[21]
Problem: Field Javadoc (“The logger of the Utilities class.”) merely restates the field name/type with no added insight.
DocQualityScore: 0.0
Alibi: Yes</t>
  </si>
  <si>
    <t>25: Utilities.Utilities Missing documentation of return value</t>
  </si>
  <si>
    <t>25: Utilities No Alibi Character. (Score: 3.0)</t>
  </si>
  <si>
    <t>[24]
Problem: Constructor Javadoc (“Private constructor to prevent instantiation.”) states the obvious; minimal added value.
DocQualityScore: 1.0
Alibi: No</t>
  </si>
  <si>
    <t>30: inputStream No Alibi Character. (Score: 1.6666667)</t>
  </si>
  <si>
    <t>31: return No Alibi Character. (Score: 1.0)</t>
  </si>
  <si>
    <t>33: readWordsFromExcel No Alibi Character. (Score: 1.1538461)</t>
  </si>
  <si>
    <t>[27]
Problem: Method Javadoc largely repeats the method name signature, contains an incorrect @param description (inputStream is not a path), and omits behavior details (e.g. empty list on error, sheet assumptions).
DocQualityScore: 0.0
Alibi: Yes</t>
  </si>
  <si>
    <t>Durchschnitt Richtig DocTool</t>
  </si>
  <si>
    <t>Durchschnitt Richtig GPT</t>
  </si>
  <si>
    <t>Durchschnitt Alibi-Score DocTool</t>
  </si>
  <si>
    <t>Durchschnitt Alibi-Score GPT</t>
  </si>
  <si>
    <t>/</t>
  </si>
  <si>
    <t>Durchschnitt Standartabweichung DocTool</t>
  </si>
  <si>
    <t>Durchschnitt Standartabweichung GPT</t>
  </si>
  <si>
    <t>Summe</t>
  </si>
  <si>
    <t>Summe gleiches Ergebnis absolut</t>
  </si>
  <si>
    <t>Summe gleiches Ergebnis relativ</t>
  </si>
  <si>
    <t>Insgesamte Dokumentationsparameterbeispiele</t>
  </si>
  <si>
    <t>Insgesamte Summe gleicher Ergebnisse absolut</t>
  </si>
  <si>
    <t>Insgesamte Summe gleicher Ergebnisse relativ</t>
  </si>
  <si>
    <t>Anzahl Konstruktorfälle</t>
  </si>
  <si>
    <t>Allgemein</t>
  </si>
  <si>
    <t>Richtig absolut2</t>
  </si>
  <si>
    <t>Richtig relativ3</t>
  </si>
  <si>
    <t>Alibi-Score4</t>
  </si>
  <si>
    <t>Standartabweichung Alibi5</t>
  </si>
  <si>
    <t>Besser bei gleichem Ergebnis absolut6</t>
  </si>
  <si>
    <t>Besser bei gleichem Ergebnis relativ7</t>
  </si>
  <si>
    <t>Insgesamt Richtig DocTool absolut</t>
  </si>
  <si>
    <t>Insgesamt Richtig GPT absolut</t>
  </si>
  <si>
    <t>Insgesamt Richtig DocTool relativ</t>
  </si>
  <si>
    <t>Insgesamt Richtig GPT relativ</t>
  </si>
  <si>
    <t>Anzahl trivialer Kontext</t>
  </si>
  <si>
    <t>Anzahl Parser</t>
  </si>
  <si>
    <t>set</t>
  </si>
  <si>
    <t>file</t>
  </si>
  <si>
    <t>comment_blocks</t>
  </si>
  <si>
    <t>total_comment_lines</t>
  </si>
  <si>
    <t>avg_lines_per_block</t>
  </si>
  <si>
    <t>total_sentences</t>
  </si>
  <si>
    <t>avg_sentences_per_block</t>
  </si>
  <si>
    <t>total_words</t>
  </si>
  <si>
    <t>avg_words_per_block</t>
  </si>
  <si>
    <t>author_tags</t>
  </si>
  <si>
    <t>version_tags</t>
  </si>
  <si>
    <t>see_tags</t>
  </si>
  <si>
    <t>original_with_docs</t>
  </si>
  <si>
    <t>GuestLoginStrategy.java</t>
  </si>
  <si>
    <t>InstructionsPlayRound.java</t>
  </si>
  <si>
    <t>Language.java</t>
  </si>
  <si>
    <t>Login.java</t>
  </si>
  <si>
    <t>LoginStrategy.java</t>
  </si>
  <si>
    <t>Question.java</t>
  </si>
  <si>
    <t>RegistrierterNutzer.java</t>
  </si>
  <si>
    <t>RegularLoginStrategy.java</t>
  </si>
  <si>
    <t>RussianFactory.java</t>
  </si>
  <si>
    <t>TranslationQuestion.java</t>
  </si>
  <si>
    <t>Utilities.java</t>
  </si>
  <si>
    <t>generated_speaking</t>
  </si>
  <si>
    <t>generated_obfuscated</t>
  </si>
  <si>
    <t>logically wrong</t>
  </si>
  <si>
    <t>closeFrame: wirft keine IllegalStateException</t>
  </si>
  <si>
    <t>Language Konstruktor wirft keine NullPointerException bei name null</t>
  </si>
  <si>
    <t xml:space="preserve">loginMenu: "displays…" obwohl nie setVisible(true), </t>
  </si>
  <si>
    <t>Klassendokumentation: "If the specified user is not found or…" obwohl 1. fall nie auftritt und da kein Log geschrieben wird</t>
  </si>
  <si>
    <t>NrsWQg: parameter vertauscht</t>
  </si>
  <si>
    <t xml:space="preserve">xWTTgD: non-empty und eindeutigkeit wird im code nie geprüft, </t>
  </si>
  <si>
    <t>Xkfrco: "...or empty", was nicht stimmt</t>
  </si>
  <si>
    <t>Question String anstelle von Question Type</t>
  </si>
  <si>
    <t>rBXgZt ist eigentlich language code, erLCBi ist eigentlich das level, SEPiPk eigentlich E-Mail und Xkfrco eigentlich Passwort, alle 4 getter und setter falsch beschrieben, da bedeutung nicht entschlüsseln konnte</t>
  </si>
  <si>
    <t xml:space="preserve">"otherData" steht eigentlich für email, </t>
  </si>
  <si>
    <t>Throws bei Konstruktor unnötig/inkorrekt</t>
  </si>
  <si>
    <t>in jfuXhx: "The workbook and underlying stream are closed automatically when processing completes.“ was falsch ist, unnötiges throws tag</t>
  </si>
  <si>
    <t>logically wrong insgesamt speaking</t>
  </si>
  <si>
    <t>logically wrong insgesamt obfuscated</t>
  </si>
  <si>
    <t>pro block</t>
  </si>
  <si>
    <t>logically wrong per block</t>
  </si>
  <si>
    <t>logically wrong insgesamt original</t>
  </si>
  <si>
    <t>Summe original</t>
  </si>
  <si>
    <t>Summe normal generiert</t>
  </si>
  <si>
    <t>Summe verschleiert generiert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</si>
</sst>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201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18D26-1CAF-4D30-BA20-661E463452F3}" name="InstructionPlayRound" displayName="InstructionPlayRound" ref="A1:I18" totalsRowShown="0">
  <autoFilter ref="A1:I18" xr:uid="{27D18D26-1CAF-4D30-BA20-661E463452F3}"/>
  <tableColumns count="9">
    <tableColumn id="1" xr3:uid="{5BB658F6-2AF6-4281-A56E-046853871643}" name="Kategorie"/>
    <tableColumn id="2" xr3:uid="{CE8DEEE4-523B-4931-97E3-8DBA721CA533}" name="DocTool"/>
    <tableColumn id="3" xr3:uid="{3E17E626-A629-4C00-81D9-D53C0BB17685}" name="Alibi-Score" dataDxfId="200"/>
    <tableColumn id="4" xr3:uid="{E82FD5B1-7B24-411A-87E8-2F43243475DE}" name="Right/Wrong"/>
    <tableColumn id="5" xr3:uid="{29CF9FDF-7ADE-4DCA-AFFE-D75459A18E53}" name="GPT" dataDxfId="199"/>
    <tableColumn id="6" xr3:uid="{67B5803E-7E65-4269-8D7E-838F37192350}" name="Alibi-Score2" dataDxfId="198"/>
    <tableColumn id="7" xr3:uid="{74ACBB14-CE64-4D96-8D7B-C4196EEB000A}" name="Right/Wrong3"/>
    <tableColumn id="8" xr3:uid="{5877A975-CE1E-4581-8C11-B303D14F9CC1}" name="Who is better?"/>
    <tableColumn id="9" xr3:uid="{E039A6AB-0D39-4775-9883-361CA50BD959}" name="Kommentar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D5B824C-F09E-4CE7-A271-F31B54E2110F}" name="GuestLoginStrategy" displayName="GuestLoginStrategy" ref="A1:I12" totalsRowShown="0">
  <autoFilter ref="A1:I12" xr:uid="{2D5B824C-F09E-4CE7-A271-F31B54E2110F}"/>
  <tableColumns count="9">
    <tableColumn id="1" xr3:uid="{3CB6A44C-A444-41EB-92C0-4646FFA002D5}" name="Kategorie"/>
    <tableColumn id="2" xr3:uid="{33E523DC-8F99-43FA-AA5D-8C94D70531AD}" name="DocTool"/>
    <tableColumn id="3" xr3:uid="{25D0EE8D-F512-4233-9EAA-F1F673A6A407}" name="Alibi-Score" dataDxfId="197"/>
    <tableColumn id="4" xr3:uid="{C4E029D2-2029-4EC1-85EB-3B4EB1CC0392}" name="Right/Wrong"/>
    <tableColumn id="5" xr3:uid="{D12752D8-5FEA-45D9-888C-2538F1160A18}" name="GPT" dataDxfId="196"/>
    <tableColumn id="6" xr3:uid="{B0F74DF7-D257-4209-86AC-DAAF01DAFEC5}" name="Alibi-Score2" dataDxfId="195"/>
    <tableColumn id="7" xr3:uid="{E586A9D2-D29F-4386-9E35-0FFB15FBAA4A}" name="Right/Wrong3"/>
    <tableColumn id="8" xr3:uid="{C4A0C74E-B694-422B-97B0-B8C1F0BE497B}" name="Who is better?"/>
    <tableColumn id="9" xr3:uid="{9EE3E76D-BC5D-4246-A172-E9B2D1C675E6}" name="Kommentar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E4F4AA-A238-403B-8DEF-19C7C6AB5BEF}" name="Language" displayName="Language" ref="A1:I14" totalsRowShown="0">
  <autoFilter ref="A1:I14" xr:uid="{E5E4F4AA-A238-403B-8DEF-19C7C6AB5BEF}"/>
  <tableColumns count="9">
    <tableColumn id="1" xr3:uid="{CD1BCD86-AFFB-472E-ABBE-2635E97FF160}" name="Kategorie"/>
    <tableColumn id="2" xr3:uid="{238A1153-920E-4488-8229-BFC8255927B1}" name="DocTool"/>
    <tableColumn id="3" xr3:uid="{D727F742-73F3-47AF-805B-C72989C31F0B}" name="Alibi-Score" dataDxfId="194"/>
    <tableColumn id="4" xr3:uid="{EE8B9FD9-D4E7-47CC-A193-A5AA4BF70A10}" name="Right/Wrong"/>
    <tableColumn id="5" xr3:uid="{91CDA8B4-041A-41E6-B710-F99900A6FEB0}" name="GPT" dataDxfId="193"/>
    <tableColumn id="6" xr3:uid="{3703C95F-9159-45BA-BF5E-3D82EC9B5C79}" name="Alibi-Score2" dataDxfId="192"/>
    <tableColumn id="7" xr3:uid="{DC495C8E-5369-4101-B847-BE2881E766A7}" name="Right/Wrong3"/>
    <tableColumn id="8" xr3:uid="{C9DF94D0-190D-49C0-8D61-467A6C9D26F7}" name="Who is better?"/>
    <tableColumn id="9" xr3:uid="{2A8DFDFE-FDB2-4E94-95D4-76074441DE45}" name="Kommentar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FF4C20-8CF3-472B-9DFC-60502D116BCE}" name="Login" displayName="Login" ref="A1:I36" totalsRowShown="0">
  <autoFilter ref="A1:I36" xr:uid="{25FF4C20-8CF3-472B-9DFC-60502D116BCE}"/>
  <tableColumns count="9">
    <tableColumn id="1" xr3:uid="{3D547FBE-396A-4E6B-BE39-62941C12E16C}" name="Kategorie"/>
    <tableColumn id="2" xr3:uid="{3021C0D9-4532-4302-AB1A-42C5DA583780}" name="DocTool"/>
    <tableColumn id="3" xr3:uid="{C9EC7A0C-AEFA-4059-93F8-89809FDFFFEC}" name="Alibi-Score" dataDxfId="191"/>
    <tableColumn id="4" xr3:uid="{42F12968-71D9-4C94-8DD5-927FB1EB7C63}" name="Right/Wrong"/>
    <tableColumn id="5" xr3:uid="{37182B42-29FD-41F9-A58A-2AD1C36CD558}" name="GPT"/>
    <tableColumn id="6" xr3:uid="{A78AE534-340E-4171-A431-A8A8BA4C765E}" name="Alibi-Score2" dataDxfId="190"/>
    <tableColumn id="7" xr3:uid="{6D8163E2-C374-44BB-908D-188A006D697B}" name="Right/Wrong3"/>
    <tableColumn id="8" xr3:uid="{41AC61C4-97D7-4D69-B834-0A72936725B2}" name="Who is better?"/>
    <tableColumn id="9" xr3:uid="{4514EE25-241C-49EE-9BBA-075EC0119E6C}" name="Kommentar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028FAA-2A59-4D2A-914E-5EEF9D9DB94D}" name="LoginStrategy" displayName="LoginStrategy" ref="A1:I6" totalsRowShown="0">
  <autoFilter ref="A1:I6" xr:uid="{DB028FAA-2A59-4D2A-914E-5EEF9D9DB94D}"/>
  <tableColumns count="9">
    <tableColumn id="1" xr3:uid="{B6CF033E-AE63-4076-A38D-02A2001B8174}" name="Kategorie"/>
    <tableColumn id="2" xr3:uid="{B2BA3B9C-2728-4B28-B882-BCF9366C669D}" name="DocTool"/>
    <tableColumn id="3" xr3:uid="{8CD13358-5569-4CBD-AAA2-370654CE2878}" name="Alibi-Score" dataDxfId="189"/>
    <tableColumn id="4" xr3:uid="{CADA9370-B2EA-4C13-A8A3-D470B36FFA67}" name="Right/Wrong"/>
    <tableColumn id="5" xr3:uid="{8616E6BA-1AD2-4465-B45F-66CB7E165CB3}" name="GPT" dataDxfId="188"/>
    <tableColumn id="6" xr3:uid="{9D871DB7-962B-4918-876D-C84E0F7F6807}" name="Alibi-Score2" dataDxfId="187"/>
    <tableColumn id="7" xr3:uid="{2D77F5C6-4EBE-4C37-AB3A-FE8BCEE2C6DB}" name="Right/Wrong3"/>
    <tableColumn id="8" xr3:uid="{2108C1C3-C92B-4A8F-929C-CB8B0DBBC155}" name="Who is better?"/>
    <tableColumn id="9" xr3:uid="{D2FF1902-4263-4AF3-9309-E55B94C44B65}" name="Komment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3709FA-5AC5-46E6-B979-A7C4DFBA228B}" name="Question" displayName="Question" ref="A1:I10" totalsRowShown="0">
  <autoFilter ref="A1:I10" xr:uid="{FE3709FA-5AC5-46E6-B979-A7C4DFBA228B}"/>
  <tableColumns count="9">
    <tableColumn id="1" xr3:uid="{A38BDAA0-565B-41C8-9565-F3A6055A6A3C}" name="Kategorie"/>
    <tableColumn id="2" xr3:uid="{25C44A21-F6F7-4EC5-84A9-8B5D75A15B2A}" name="DocTool"/>
    <tableColumn id="3" xr3:uid="{4E21F02D-54BD-4E3C-B366-E81C618DF4FA}" name="Alibi-Score" dataDxfId="186"/>
    <tableColumn id="4" xr3:uid="{63B47318-C625-4DC4-9D59-DD83E4BD6321}" name="Right/Wrong"/>
    <tableColumn id="5" xr3:uid="{1C34AD2C-977E-4520-BA74-1DEF3FCFE470}" name="GPT" dataDxfId="185"/>
    <tableColumn id="6" xr3:uid="{E73F2E55-098C-426A-8C9B-25C280A0F30C}" name="Alibi-Score2" dataDxfId="184"/>
    <tableColumn id="7" xr3:uid="{D30EC296-60CF-4397-909F-519A7D7D842A}" name="Right/Wrong3"/>
    <tableColumn id="8" xr3:uid="{7FA5B83C-3777-4228-8FD7-DAB311A3E925}" name="Who is better?"/>
    <tableColumn id="9" xr3:uid="{6F85DC61-C230-4727-9AAE-A6C074A547D5}" name="Kommentar"/>
  </tableColumns>
  <tableStyleInfo name="TableStyleMedium2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1B4823-396B-4E76-A5F0-12AF29A8F6D0}" name="RegistrierterNutzer" displayName="RegistrierterNutzer" ref="A1:I20" totalsRowShown="0">
  <autoFilter ref="A1:I20" xr:uid="{B91B4823-396B-4E76-A5F0-12AF29A8F6D0}"/>
  <tableColumns count="9">
    <tableColumn id="1" xr3:uid="{EB33D4E3-20CB-47F2-AF17-E1C393F3272C}" name="Kategorie"/>
    <tableColumn id="2" xr3:uid="{BAFED8BE-F723-4859-99F3-285A78076D28}" name="DocTool"/>
    <tableColumn id="3" xr3:uid="{9F6ECF27-77D7-42B2-83BF-0572AF05895D}" name="Alibi-Score" dataDxfId="183"/>
    <tableColumn id="4" xr3:uid="{541F8171-AC57-4CAE-8065-C32A3F9C28FF}" name="Right/Wrong"/>
    <tableColumn id="5" xr3:uid="{FC39CB4B-2204-4CFB-858E-896381861931}" name="GPT" dataDxfId="182"/>
    <tableColumn id="6" xr3:uid="{19A96CE0-3D45-4ACA-ADA8-FA11676EE560}" name="Alibi-Score2" dataDxfId="181"/>
    <tableColumn id="7" xr3:uid="{C7017E2E-631F-4FBE-B540-2E9FEFBAE8C5}" name="Right/Wrong3"/>
    <tableColumn id="8" xr3:uid="{4C48BD3D-3D39-494E-8C24-5ED2E6279D73}" name="Who is better?"/>
    <tableColumn id="9" xr3:uid="{D7ED3954-13F1-4F62-940C-D864D6CDF5D8}" name="Kommenta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8FBFCF-5C11-4F44-B7B8-5125C6C787FA}" name="RegularLoginStrategy" displayName="RegularLoginStrategy" ref="A1:I12" totalsRowShown="0">
  <autoFilter ref="A1:I12" xr:uid="{D98FBFCF-5C11-4F44-B7B8-5125C6C787FA}"/>
  <tableColumns count="9">
    <tableColumn id="1" xr3:uid="{1D20EC45-726B-4418-AD9E-3F81173482F5}" name="Kategorie"/>
    <tableColumn id="2" xr3:uid="{63D01369-107F-43EC-8CE9-0F2241FBC3B9}" name="DocTool"/>
    <tableColumn id="3" xr3:uid="{32F520E4-928F-4DAA-9967-7A0E20A23B1A}" name="Alibi-Score" dataDxfId="180"/>
    <tableColumn id="4" xr3:uid="{76D5E6EC-AAE5-427D-B1E4-E4EF21F67BE8}" name="Right/Wrong"/>
    <tableColumn id="5" xr3:uid="{C52ED76A-ECBD-4FE1-AC41-78BA7D518F8F}" name="GPT" dataDxfId="179"/>
    <tableColumn id="6" xr3:uid="{3542A9E9-D2EB-4CBC-B188-EF059DD8F87A}" name="Alibi-Score2" dataDxfId="178"/>
    <tableColumn id="7" xr3:uid="{A0A9505B-AB55-4727-AC1E-732A6CCB24D0}" name="Right/Wrong3"/>
    <tableColumn id="8" xr3:uid="{FDF8551A-453B-490D-9C5F-69DED64CCA3F}" name="Who is better?"/>
    <tableColumn id="9" xr3:uid="{1812CB53-B13B-4363-B15C-9887CF175F31}" name="Kommentar"/>
  </tableColumns>
  <tableStyleInfo name="TableStyleMedium2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DE89A2-08E3-4017-A72D-C7712C63CB3E}" name="RussianFactory" displayName="RussianFactory" ref="A1:I12" totalsRowShown="0">
  <autoFilter ref="A1:I12" xr:uid="{2EDE89A2-08E3-4017-A72D-C7712C63CB3E}"/>
  <tableColumns count="9">
    <tableColumn id="1" xr3:uid="{5158E886-5A4C-4233-B536-183B0D136911}" name="Kategorie"/>
    <tableColumn id="2" xr3:uid="{90786F39-5811-473B-B95C-BDAF7BCF3AC9}" name="DocTool"/>
    <tableColumn id="3" xr3:uid="{E12AAE98-9C2C-405A-AB58-C22F50EA6807}" name="Alibi-Score" dataDxfId="177"/>
    <tableColumn id="4" xr3:uid="{61D5DC72-0F1C-4BC9-B4CF-3907FF5DF50A}" name="Right/Wrong"/>
    <tableColumn id="5" xr3:uid="{8280B421-73AF-421D-8E00-1A7902DCC821}" name="GPT" dataDxfId="176"/>
    <tableColumn id="6" xr3:uid="{8CBA3D3D-D25F-41B8-8C67-705DBFE99B11}" name="Alibi-Score2" dataDxfId="175"/>
    <tableColumn id="7" xr3:uid="{7F0378C6-7298-4F57-9119-5976891995F6}" name="Right/Wrong3"/>
    <tableColumn id="8" xr3:uid="{435E3FE8-993E-4C47-BF63-9BB0F6ACA5BE}" name="Who is better?"/>
    <tableColumn id="9" xr3:uid="{D4F6C8C5-10BE-41F5-A6C1-EE5DB4433D7E}" name="Kommentar"/>
  </tableColumns>
  <tableStyleInfo name="TableStyleMedium2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3DE1C-617B-45E9-8CD9-28C967856E5D}" name="TranslationQuestion" displayName="TranslationQuestion" ref="A1:I10" totalsRowShown="0">
  <autoFilter ref="A1:I10" xr:uid="{A9C3DE1C-617B-45E9-8CD9-28C967856E5D}"/>
  <tableColumns count="9">
    <tableColumn id="1" xr3:uid="{E8C05BE7-2DF5-4DE5-93E8-DA4369DA94D7}" name="Kategorie"/>
    <tableColumn id="2" xr3:uid="{ECE7D673-FA09-4706-8BCB-B5787CE2BDE2}" name="DocTool"/>
    <tableColumn id="3" xr3:uid="{3A7BA0C1-CB1B-40F6-A418-419C54C7038E}" name="Alibi-Score" dataDxfId="174"/>
    <tableColumn id="4" xr3:uid="{77E628D8-6861-448D-8B64-4DC42BA38B51}" name="Right/Wrong"/>
    <tableColumn id="5" xr3:uid="{0F362359-AF43-48C8-8750-E30F3D439615}" name="GPT" dataDxfId="173"/>
    <tableColumn id="6" xr3:uid="{8D9CC922-E0AF-48D0-888F-A2CE0E708FDF}" name="Alibi-Score2" dataDxfId="172"/>
    <tableColumn id="7" xr3:uid="{3B52BC4A-E26B-4814-BBD2-A211A4518C1F}" name="Right/Wrong3"/>
    <tableColumn id="8" xr3:uid="{79EBF1A1-DCB7-4339-A6E5-EBF7D696FE5F}" name="Who is better?"/>
    <tableColumn id="9" xr3:uid="{FBAB8E0B-A2E9-4F0D-84F2-0061387F7DCF}" name="Kommentar"/>
  </tableColumns>
  <tableStyleInfo name="TableStyleMedium2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F5462-8BEC-47B2-BD6B-69EF684BF2CA}" name="Utilities" displayName="Utilities" ref="A1:I8" totalsRowShown="0">
  <autoFilter ref="A1:I8" xr:uid="{7D1F5462-8BEC-47B2-BD6B-69EF684BF2CA}"/>
  <tableColumns count="9">
    <tableColumn id="1" xr3:uid="{F882C64D-80F6-4F94-A82D-EDC9461F5E2B}" name="Kategorie"/>
    <tableColumn id="2" xr3:uid="{4B191520-2D31-4130-AF01-92196D4D1D77}" name="DocTool"/>
    <tableColumn id="3" xr3:uid="{10EE7D02-29E6-4A5C-9380-6688379CE157}" name="Alibi-Score" dataDxfId="171"/>
    <tableColumn id="4" xr3:uid="{FA03EB77-80F3-486B-B8F4-5715D8BEFF0C}" name="Right/Wrong"/>
    <tableColumn id="5" xr3:uid="{C7001D59-72C2-46B9-9C7C-9B1DFF01CBBC}" name="GPT" dataDxfId="170"/>
    <tableColumn id="6" xr3:uid="{FB4F9A21-A2B1-46F0-BC14-34C8AFF8125E}" name="Alibi-Score2" dataDxfId="169"/>
    <tableColumn id="7" xr3:uid="{7F5EB11A-B7C2-4AEA-9A55-0D21B1388D96}" name="Right/Wrong3"/>
    <tableColumn id="8" xr3:uid="{09F8DF96-B4D3-4939-AF42-84983DBD8A05}" name="Who is better?"/>
    <tableColumn id="9" xr3:uid="{FE4306DC-6675-41B7-8074-2AD45549C56D}" name="Kommentar"/>
  </tableColumns>
  <tableStyleInfo name="TableStyleMedium2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0D8D56-74B1-450C-8E7F-FF7639090160}" name="Tabelle13" displayName="Tabelle13" ref="A2:P7" headerRowDxfId="168">
  <autoFilter ref="A2:P7" xr:uid="{EA0D8D56-74B1-450C-8E7F-FF7639090160}"/>
  <tableColumns count="16">
    <tableColumn id="1" xr3:uid="{9B0B6D3F-D5DB-4516-AEB3-C5E9882F135A}" name="Kategorie" totalsRowLabel="Ergebnis"/>
    <tableColumn id="2" xr3:uid="{F22FF393-7AF9-4B26-BD68-E1C8BF77F304}" name="Summe" dataDxfId="167"/>
    <tableColumn id="3" xr3:uid="{52633B64-1607-40E3-8117-3999CD8EBE53}" name="Summe gleiches Ergebnis absolut" dataDxfId="166"/>
    <tableColumn id="4" xr3:uid="{17DA1E5A-F542-4BBE-94F9-F6F6ADF9C3C7}" name="Summe gleiches Ergebnis relativ" dataDxfId="165"/>
    <tableColumn id="5" xr3:uid="{54A6D219-FA51-4009-9B6A-883A8C2E4520}" name="Richtig absolut" dataDxfId="164"/>
    <tableColumn id="6" xr3:uid="{D176679D-FB79-47E3-9959-1FFDAF4EA03D}" name="Richtig relativ" dataDxfId="163"/>
    <tableColumn id="7" xr3:uid="{B917FE75-8586-4DBB-86F3-EA8AF170198E}" name="Alibi-Score" dataDxfId="162"/>
    <tableColumn id="8" xr3:uid="{214DB66F-C67A-4C72-A96B-15A3801DDD44}" name="Standartabweichung Alibi" dataDxfId="161"/>
    <tableColumn id="9" xr3:uid="{A22ABE27-526E-4321-8A5B-66741190AA76}" name="Besser bei gleichem Ergebnis absolut" dataDxfId="160"/>
    <tableColumn id="10" xr3:uid="{4889F3C5-BBF8-4732-924D-C3A874CB43E9}" name="Besser bei gleichem Ergebnis relativ" dataDxfId="159"/>
    <tableColumn id="11" xr3:uid="{D2E5995A-F807-40C8-A095-A27EBBFAB833}" name="Richtig absolut2" dataDxfId="158"/>
    <tableColumn id="12" xr3:uid="{2D0F4149-46B4-4242-B1ED-AD1D4C88DA30}" name="Richtig relativ3" dataDxfId="157"/>
    <tableColumn id="13" xr3:uid="{1B23A6D4-8DEC-46FF-8B0F-9FB63F5D54C5}" name="Alibi-Score4" dataDxfId="156"/>
    <tableColumn id="14" xr3:uid="{4070891C-60B7-4432-A8B9-9BE0BAE6B84B}" name="Standartabweichung Alibi5" dataDxfId="155"/>
    <tableColumn id="15" xr3:uid="{8B863583-15A2-4484-8F7B-3A25560265CE}" name="Besser bei gleichem Ergebnis absolut6" dataDxfId="154"/>
    <tableColumn id="16" xr3:uid="{3EAD0DF2-F05F-45F8-BFA5-7B79F7344807}" name="Besser bei gleichem Ergebnis relativ7" totalsRowFunction="count" dataDxfId="153"/>
  </tableColumns>
  <tableStyleInfo name="TableStyleMedium2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CBE465-2DB9-40E1-9182-3F68CC87F9D8}" name="Tabelle12" displayName="Tabelle12" ref="A1:O34" totalsRowShown="0" headerRowDxfId="152">
  <autoFilter ref="A1:O34" xr:uid="{D5CBE465-2DB9-40E1-9182-3F68CC87F9D8}"/>
  <tableColumns count="15">
    <tableColumn id="1" xr3:uid="{82E2C56D-25BC-415E-9FD0-1AA85F7400D1}" name="set"/>
    <tableColumn id="2" xr3:uid="{FD3D6E70-4CF7-4628-A8A1-F07FC75E6355}" name="file"/>
    <tableColumn id="3" xr3:uid="{6CBEA10A-1A09-4A3E-A608-EB7186373B0E}" name="comment_blocks"/>
    <tableColumn id="4" xr3:uid="{B7126D45-B85F-4060-A410-D97BB5F00D1C}" name="total_comment_lines"/>
    <tableColumn id="5" xr3:uid="{CEF832B2-7D25-44AA-9B96-C0E366E85D4D}" name="avg_lines_per_block"/>
    <tableColumn id="6" xr3:uid="{E76BDAA3-971A-4790-A4A5-09FFEE1345F6}" name="total_sentences"/>
    <tableColumn id="7" xr3:uid="{5F4B0649-8ED9-40D6-9025-EDC7F154C12E}" name="avg_sentences_per_block"/>
    <tableColumn id="8" xr3:uid="{736D37C5-6363-464A-8C4B-765A01669C0A}" name="total_words"/>
    <tableColumn id="9" xr3:uid="{B0E96216-6409-44DB-B9FB-3A5AD396583C}" name="avg_words_per_block"/>
    <tableColumn id="10" xr3:uid="{23DE7E5F-66CB-4FA2-8723-3F97E270A8EA}" name="author_tags"/>
    <tableColumn id="11" xr3:uid="{7FC0222B-4A86-4CAE-8ECE-BC6D54C2D8C6}" name="version_tags"/>
    <tableColumn id="12" xr3:uid="{04E15774-E200-4560-9F1D-9313C53F8646}" name="see_tags"/>
    <tableColumn id="13" xr3:uid="{2DF70427-0E09-4897-9D7F-D8D2B25F5A19}" name="logically wrong"/>
    <tableColumn id="14" xr3:uid="{6E894EDE-ACF1-4748-A10C-02168FF2DA31}" name="logically wrong per block">
      <calculatedColumnFormula>M2/C2</calculatedColumnFormula>
    </tableColumn>
    <tableColumn id="15" xr3:uid="{F449E153-E68A-4E6D-A154-E5B87BAD8FAA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D64C-4DB9-485F-B21B-FEBA0C020BB8}">
  <dimension ref="A1:N27"/>
  <sheetViews>
    <sheetView topLeftCell="A16" zoomScale="85" zoomScaleNormal="85" workbookViewId="0">
      <selection activeCell="H5" sqref="H5"/>
    </sheetView>
  </sheetViews>
  <sheetFormatPr baseColWidth="10" defaultColWidth="11.42578125" defaultRowHeight="15" x14ac:dyDescent="0.25"/>
  <cols>
    <col min="2" max="2" width="81" customWidth="1"/>
    <col min="3" max="3" width="12.85546875" style="1" customWidth="1"/>
    <col min="4" max="4" width="14" customWidth="1"/>
    <col min="5" max="5" width="62.140625" customWidth="1"/>
    <col min="6" max="6" width="15" style="1" customWidth="1"/>
    <col min="7" max="7" width="1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90" x14ac:dyDescent="0.25">
      <c r="A2" t="s">
        <v>9</v>
      </c>
      <c r="B2" t="s">
        <v>10</v>
      </c>
      <c r="C2" s="1">
        <v>2.6530611999999998</v>
      </c>
      <c r="D2" t="s">
        <v>11</v>
      </c>
      <c r="E2" s="2" t="s">
        <v>12</v>
      </c>
      <c r="F2" s="3">
        <v>3</v>
      </c>
      <c r="G2" t="s">
        <v>11</v>
      </c>
      <c r="H2" t="s">
        <v>4</v>
      </c>
    </row>
    <row r="3" spans="1:9" x14ac:dyDescent="0.25">
      <c r="A3" t="s">
        <v>13</v>
      </c>
      <c r="B3" t="s">
        <v>14</v>
      </c>
      <c r="D3" t="s">
        <v>11</v>
      </c>
      <c r="E3" s="3">
        <f>SUM(Question!C16,Login!C45,Language!C20,InstructionPlayRound!C27)</f>
        <v>6</v>
      </c>
      <c r="G3" t="s">
        <v>11</v>
      </c>
    </row>
    <row r="4" spans="1:9" ht="30" x14ac:dyDescent="0.25">
      <c r="A4" t="s">
        <v>13</v>
      </c>
      <c r="B4" t="s">
        <v>15</v>
      </c>
      <c r="D4" t="s">
        <v>11</v>
      </c>
      <c r="E4" s="2" t="s">
        <v>16</v>
      </c>
      <c r="G4" t="s">
        <v>11</v>
      </c>
    </row>
    <row r="5" spans="1:9" ht="30" x14ac:dyDescent="0.25">
      <c r="A5" t="s">
        <v>13</v>
      </c>
      <c r="B5" t="s">
        <v>17</v>
      </c>
      <c r="D5" t="s">
        <v>11</v>
      </c>
      <c r="E5" s="2" t="s">
        <v>18</v>
      </c>
      <c r="G5" t="s">
        <v>11</v>
      </c>
    </row>
    <row r="6" spans="1:9" x14ac:dyDescent="0.25">
      <c r="A6" t="s">
        <v>9</v>
      </c>
      <c r="B6" t="s">
        <v>19</v>
      </c>
      <c r="C6" s="1">
        <v>1.4285715000000001</v>
      </c>
      <c r="D6" t="s">
        <v>11</v>
      </c>
      <c r="G6" t="s">
        <v>11</v>
      </c>
      <c r="H6" t="s">
        <v>1</v>
      </c>
    </row>
    <row r="7" spans="1:9" x14ac:dyDescent="0.25">
      <c r="B7" t="s">
        <v>20</v>
      </c>
      <c r="D7" t="s">
        <v>21</v>
      </c>
      <c r="G7" t="s">
        <v>11</v>
      </c>
      <c r="I7" t="s">
        <v>22</v>
      </c>
    </row>
    <row r="8" spans="1:9" ht="90" x14ac:dyDescent="0.25">
      <c r="A8" t="s">
        <v>23</v>
      </c>
      <c r="B8" t="s">
        <v>24</v>
      </c>
      <c r="C8" s="1">
        <v>0</v>
      </c>
      <c r="D8" t="s">
        <v>11</v>
      </c>
      <c r="E8" s="2" t="s">
        <v>25</v>
      </c>
      <c r="F8" s="1">
        <v>1</v>
      </c>
      <c r="G8" t="s">
        <v>21</v>
      </c>
      <c r="I8" t="s">
        <v>26</v>
      </c>
    </row>
    <row r="9" spans="1:9" ht="90" x14ac:dyDescent="0.25">
      <c r="A9" t="s">
        <v>9</v>
      </c>
      <c r="B9" t="s">
        <v>27</v>
      </c>
      <c r="C9" s="1">
        <v>3</v>
      </c>
      <c r="D9" t="s">
        <v>11</v>
      </c>
      <c r="E9" s="2" t="s">
        <v>28</v>
      </c>
      <c r="F9" s="1">
        <v>2</v>
      </c>
      <c r="G9" t="s">
        <v>11</v>
      </c>
      <c r="H9" t="s">
        <v>4</v>
      </c>
    </row>
    <row r="10" spans="1:9" x14ac:dyDescent="0.25">
      <c r="A10" t="s">
        <v>29</v>
      </c>
      <c r="B10" t="s">
        <v>30</v>
      </c>
      <c r="C10" s="1">
        <v>0.625</v>
      </c>
      <c r="D10" t="s">
        <v>21</v>
      </c>
      <c r="G10" t="s">
        <v>11</v>
      </c>
      <c r="I10" t="s">
        <v>31</v>
      </c>
    </row>
    <row r="11" spans="1:9" ht="90" x14ac:dyDescent="0.25">
      <c r="A11" t="s">
        <v>9</v>
      </c>
      <c r="B11" t="s">
        <v>32</v>
      </c>
      <c r="C11" s="1">
        <v>1.6666666999999999</v>
      </c>
      <c r="D11" t="s">
        <v>11</v>
      </c>
      <c r="E11" s="2" t="s">
        <v>33</v>
      </c>
      <c r="F11" s="1">
        <v>2</v>
      </c>
      <c r="G11" t="s">
        <v>11</v>
      </c>
      <c r="H11" t="s">
        <v>4</v>
      </c>
    </row>
    <row r="12" spans="1:9" ht="90" x14ac:dyDescent="0.25">
      <c r="A12" t="s">
        <v>9</v>
      </c>
      <c r="B12" t="s">
        <v>34</v>
      </c>
      <c r="C12" s="1">
        <v>1.6666666999999999</v>
      </c>
      <c r="D12" t="s">
        <v>11</v>
      </c>
      <c r="E12" s="2" t="s">
        <v>35</v>
      </c>
      <c r="F12" s="1">
        <v>1</v>
      </c>
      <c r="G12" t="s">
        <v>11</v>
      </c>
      <c r="H12" t="s">
        <v>1</v>
      </c>
    </row>
    <row r="13" spans="1:9" ht="90" x14ac:dyDescent="0.25">
      <c r="A13" t="s">
        <v>23</v>
      </c>
      <c r="B13" t="s">
        <v>36</v>
      </c>
      <c r="C13" s="1">
        <v>1.3636364000000001</v>
      </c>
      <c r="D13" t="s">
        <v>21</v>
      </c>
      <c r="E13" s="2" t="s">
        <v>37</v>
      </c>
      <c r="F13" s="1">
        <v>3</v>
      </c>
      <c r="G13" t="s">
        <v>21</v>
      </c>
      <c r="H13" t="s">
        <v>1</v>
      </c>
      <c r="I13" t="s">
        <v>26</v>
      </c>
    </row>
    <row r="14" spans="1:9" ht="90" x14ac:dyDescent="0.25">
      <c r="A14" t="s">
        <v>23</v>
      </c>
      <c r="B14" t="s">
        <v>38</v>
      </c>
      <c r="C14" s="1">
        <v>1.25</v>
      </c>
      <c r="D14" t="s">
        <v>21</v>
      </c>
      <c r="E14" s="2" t="s">
        <v>39</v>
      </c>
      <c r="F14" s="1">
        <v>3</v>
      </c>
      <c r="G14" t="s">
        <v>21</v>
      </c>
      <c r="H14" t="s">
        <v>1</v>
      </c>
    </row>
    <row r="15" spans="1:9" ht="60" x14ac:dyDescent="0.25">
      <c r="A15" t="s">
        <v>29</v>
      </c>
      <c r="B15" t="s">
        <v>40</v>
      </c>
      <c r="C15" s="1">
        <v>3.3333335000000002</v>
      </c>
      <c r="D15" t="s">
        <v>11</v>
      </c>
      <c r="E15" s="2" t="s">
        <v>41</v>
      </c>
      <c r="F15" s="1">
        <v>1</v>
      </c>
      <c r="G15" t="s">
        <v>11</v>
      </c>
      <c r="H15" t="s">
        <v>1</v>
      </c>
    </row>
    <row r="16" spans="1:9" x14ac:dyDescent="0.25">
      <c r="A16" t="s">
        <v>23</v>
      </c>
      <c r="B16" t="s">
        <v>42</v>
      </c>
      <c r="C16" s="1">
        <v>1.25</v>
      </c>
      <c r="D16" t="s">
        <v>21</v>
      </c>
      <c r="G16" t="s">
        <v>21</v>
      </c>
      <c r="H16" t="s">
        <v>1</v>
      </c>
    </row>
    <row r="17" spans="1:14" x14ac:dyDescent="0.25">
      <c r="A17" t="s">
        <v>23</v>
      </c>
      <c r="B17" t="s">
        <v>43</v>
      </c>
      <c r="C17" s="1">
        <v>0</v>
      </c>
      <c r="D17" t="s">
        <v>11</v>
      </c>
      <c r="G17" t="s">
        <v>21</v>
      </c>
    </row>
    <row r="18" spans="1:14" ht="75" x14ac:dyDescent="0.25">
      <c r="A18" t="s">
        <v>23</v>
      </c>
      <c r="B18" t="s">
        <v>44</v>
      </c>
      <c r="C18" s="1">
        <v>1.6666666999999999</v>
      </c>
      <c r="D18" t="s">
        <v>21</v>
      </c>
      <c r="E18" s="2" t="s">
        <v>45</v>
      </c>
      <c r="F18" s="1">
        <v>2</v>
      </c>
      <c r="G18" t="s">
        <v>21</v>
      </c>
      <c r="H18" t="s">
        <v>1</v>
      </c>
    </row>
    <row r="20" spans="1:14" x14ac:dyDescent="0.25">
      <c r="B20" s="4" t="s">
        <v>46</v>
      </c>
      <c r="C20" s="1">
        <f>AVERAGE(C2:C18)</f>
        <v>1.5310463615384615</v>
      </c>
      <c r="D20">
        <f>COUNTIF(D2:D18,"Yes")</f>
        <v>11</v>
      </c>
      <c r="E20" s="5"/>
      <c r="F20" s="1">
        <f>AVERAGE(F2:F18)</f>
        <v>2</v>
      </c>
      <c r="G20">
        <f>COUNTIF(G2:G18,"Yes")</f>
        <v>11</v>
      </c>
      <c r="H20">
        <f>COUNTIF(H2:H18,"DocTool")</f>
        <v>7</v>
      </c>
    </row>
    <row r="21" spans="1:14" x14ac:dyDescent="0.25">
      <c r="B21" s="4" t="s">
        <v>47</v>
      </c>
      <c r="C21" s="1">
        <f>_xlfn.STDEV.P(C2:C18)</f>
        <v>0.97766546451264624</v>
      </c>
      <c r="D21" s="5">
        <f>D20/ROWS(D2:D18)</f>
        <v>0.6470588235294118</v>
      </c>
      <c r="F21" s="1">
        <f>_xlfn.STDEV.P(F2:F18)</f>
        <v>0.81649658092772603</v>
      </c>
      <c r="G21" s="5">
        <f>G20/ROWS(G2:G18)</f>
        <v>0.6470588235294118</v>
      </c>
      <c r="H21" s="5">
        <f>H20/COUNTA(H2:H18)</f>
        <v>0.7</v>
      </c>
    </row>
    <row r="22" spans="1:14" x14ac:dyDescent="0.25">
      <c r="B22" t="s">
        <v>1</v>
      </c>
      <c r="E22" s="2"/>
      <c r="I22" t="s">
        <v>4</v>
      </c>
    </row>
    <row r="23" spans="1:14" x14ac:dyDescent="0.25">
      <c r="B23" t="s">
        <v>0</v>
      </c>
      <c r="C23" t="s">
        <v>48</v>
      </c>
      <c r="D23" t="s">
        <v>49</v>
      </c>
      <c r="E23" t="s">
        <v>2</v>
      </c>
      <c r="F23" t="s">
        <v>50</v>
      </c>
      <c r="G23" t="s">
        <v>51</v>
      </c>
      <c r="H23" t="s">
        <v>52</v>
      </c>
      <c r="I23" t="s">
        <v>48</v>
      </c>
      <c r="J23" t="s">
        <v>49</v>
      </c>
      <c r="K23" t="s">
        <v>2</v>
      </c>
      <c r="L23" t="s">
        <v>50</v>
      </c>
      <c r="M23" t="s">
        <v>51</v>
      </c>
      <c r="N23" t="s">
        <v>52</v>
      </c>
    </row>
    <row r="24" spans="1:14" x14ac:dyDescent="0.25">
      <c r="B24" t="str" cm="1">
        <f t="array" ref="B24:B27">_xlfn.UNIQUE(_xlfn._xlws.FILTER(InstructionPlayRound[Kategorie],InstructionPlayRound[Kategorie]&lt;&gt;""))</f>
        <v>imperfect</v>
      </c>
      <c r="C24" s="1">
        <f>COUNTIFS(InstructionPlayRound[Kategorie], B24, InstructionPlayRound[Right/Wrong], "Yes")</f>
        <v>5</v>
      </c>
      <c r="D24" s="5">
        <f>C24/COUNTIF(InstructionPlayRound[Kategorie],B24)</f>
        <v>1</v>
      </c>
      <c r="E24" s="2">
        <f>AVERAGEIF(InstructionPlayRound[Kategorie],B24,InstructionPlayRound[Alibi-Score])</f>
        <v>2.0829932200000001</v>
      </c>
      <c r="F24" s="1" cm="1">
        <f t="array" ref="F24">_xlfn.STDEV.P(IF(InstructionPlayRound[Kategorie]=B24, InstructionPlayRound[Alibi-Score]))</f>
        <v>0.62302524290844308</v>
      </c>
      <c r="G24">
        <f>COUNTIFS(InstructionPlayRound[Kategorie], B24,InstructionPlayRound[Who is better?],"DocTool")</f>
        <v>2</v>
      </c>
      <c r="H24" s="5">
        <f>G24/COUNTIFS(InstructionPlayRound[Kategorie],B24,InstructionPlayRound[Who is better?],"&lt;&gt;")</f>
        <v>0.4</v>
      </c>
      <c r="I24" s="1">
        <f>COUNTIFS(InstructionPlayRound[Kategorie], B24, InstructionPlayRound[Right/Wrong3], "Yes")</f>
        <v>5</v>
      </c>
      <c r="J24" s="5">
        <f>I24/COUNTIF(InstructionPlayRound[Kategorie],B24)</f>
        <v>1</v>
      </c>
      <c r="K24" s="2">
        <f>AVERAGEIF(InstructionPlayRound[Kategorie],B24,InstructionPlayRound[Alibi-Score2])</f>
        <v>2</v>
      </c>
      <c r="L24" s="1" cm="1">
        <f t="array" ref="L24">_xlfn.STDEV.P(IF(InstructionPlayRound[Kategorie]=B24, InstructionPlayRound[Alibi-Score2]))</f>
        <v>1.019803902718557</v>
      </c>
      <c r="M24">
        <f>COUNTIFS(InstructionPlayRound[Kategorie], B24,InstructionPlayRound[Who is better?],"GPT")</f>
        <v>3</v>
      </c>
      <c r="N24" s="5">
        <f>M24/COUNTIFS(InstructionPlayRound[Kategorie],B24,InstructionPlayRound[Who is better?],"&lt;&gt;")</f>
        <v>0.6</v>
      </c>
    </row>
    <row r="25" spans="1:14" x14ac:dyDescent="0.25">
      <c r="B25" t="str">
        <v>missing</v>
      </c>
      <c r="C25" s="1">
        <f>COUNTIFS(InstructionPlayRound[Kategorie], B25, InstructionPlayRound[Right/Wrong], "Yes")</f>
        <v>3</v>
      </c>
      <c r="D25" s="5">
        <f>C25/COUNTIF(InstructionPlayRound[Kategorie],B25)</f>
        <v>1</v>
      </c>
      <c r="E25" s="2" t="e">
        <f>AVERAGEIF(InstructionPlayRound[Kategorie],B25,InstructionPlayRound[Alibi-Score])</f>
        <v>#DIV/0!</v>
      </c>
      <c r="F25" s="1" cm="1">
        <f t="array" ref="F25">_xlfn.STDEV.P(IF(InstructionPlayRound[Kategorie]=B25, InstructionPlayRound[Alibi-Score]))</f>
        <v>0</v>
      </c>
      <c r="G25">
        <f>COUNTIFS(InstructionPlayRound[Kategorie], B25,InstructionPlayRound[Who is better?],"DocTool")</f>
        <v>0</v>
      </c>
      <c r="H25" s="5" t="e">
        <f>G25/COUNTIFS(InstructionPlayRound[Kategorie],B25,InstructionPlayRound[Who is better?],"&lt;&gt;")</f>
        <v>#DIV/0!</v>
      </c>
      <c r="I25" s="1">
        <f>COUNTIFS(InstructionPlayRound[Kategorie], B25, InstructionPlayRound[Right/Wrong3], "Yes")</f>
        <v>3</v>
      </c>
      <c r="J25" s="5">
        <f>I25/COUNTIF(InstructionPlayRound[Kategorie],B25)</f>
        <v>1</v>
      </c>
      <c r="K25" s="2" t="e">
        <f>AVERAGEIF(InstructionPlayRound[Kategorie],B25,InstructionPlayRound[Alibi-Score2])</f>
        <v>#DIV/0!</v>
      </c>
      <c r="L25" s="1" cm="1">
        <f t="array" ref="L25">_xlfn.STDEV.P(IF(InstructionPlayRound[Kategorie]=B25, InstructionPlayRound[Alibi-Score2]))</f>
        <v>0</v>
      </c>
      <c r="M25">
        <f>COUNTIFS(InstructionPlayRound[Kategorie], B25,InstructionPlayRound[Who is better?],"GPT")</f>
        <v>0</v>
      </c>
      <c r="N25" s="5" t="e">
        <f>M25/COUNTIFS(InstructionPlayRound[Kategorie],B25,InstructionPlayRound[Who is better?],"&lt;&gt;")</f>
        <v>#DIV/0!</v>
      </c>
    </row>
    <row r="26" spans="1:14" x14ac:dyDescent="0.25">
      <c r="B26" t="str">
        <v>alibi</v>
      </c>
      <c r="C26" s="1">
        <f>COUNTIFS(InstructionPlayRound[Kategorie], B26, InstructionPlayRound[Right/Wrong], "Yes")</f>
        <v>2</v>
      </c>
      <c r="D26" s="5">
        <f>C26/COUNTIF(InstructionPlayRound[Kategorie],B26)</f>
        <v>0.33333333333333331</v>
      </c>
      <c r="E26" s="2">
        <f>AVERAGEIF(InstructionPlayRound[Kategorie],B26,InstructionPlayRound[Alibi-Score])</f>
        <v>0.92171718333333319</v>
      </c>
      <c r="F26" s="1" cm="1">
        <f t="array" ref="F26">_xlfn.STDEV.P(IF(InstructionPlayRound[Kategorie]=B26, InstructionPlayRound[Alibi-Score]))</f>
        <v>0.66644663752149602</v>
      </c>
      <c r="G26">
        <f>COUNTIFS(InstructionPlayRound[Kategorie], B26,InstructionPlayRound[Who is better?],"DocTool")</f>
        <v>4</v>
      </c>
      <c r="H26" s="5">
        <f>G26/COUNTIFS(InstructionPlayRound[Kategorie],B26,InstructionPlayRound[Who is better?],"&lt;&gt;")</f>
        <v>1</v>
      </c>
      <c r="I26" s="1">
        <f>COUNTIFS(InstructionPlayRound[Kategorie], B26, InstructionPlayRound[Right/Wrong3], "Yes")</f>
        <v>0</v>
      </c>
      <c r="J26" s="5">
        <f>I26/COUNTIF(InstructionPlayRound[Kategorie],B26)</f>
        <v>0</v>
      </c>
      <c r="K26" s="2">
        <f>AVERAGEIF(InstructionPlayRound[Kategorie],B26,InstructionPlayRound[Alibi-Score2])</f>
        <v>2.25</v>
      </c>
      <c r="L26" s="1" cm="1">
        <f t="array" ref="L26">_xlfn.STDEV.P(IF(InstructionPlayRound[Kategorie]=B26, InstructionPlayRound[Alibi-Score2]))</f>
        <v>1.2583057392117916</v>
      </c>
      <c r="M26">
        <f>COUNTIFS(InstructionPlayRound[Kategorie], B26,InstructionPlayRound[Who is better?],"GPT")</f>
        <v>0</v>
      </c>
      <c r="N26" s="5">
        <f>M26/COUNTIFS(InstructionPlayRound[Kategorie],B26,InstructionPlayRound[Who is better?],"&lt;&gt;")</f>
        <v>0</v>
      </c>
    </row>
    <row r="27" spans="1:14" x14ac:dyDescent="0.25">
      <c r="B27" t="str">
        <v>great</v>
      </c>
      <c r="C27" s="1">
        <f>COUNTIFS(InstructionPlayRound[Kategorie], B27, InstructionPlayRound[Right/Wrong], "Yes")</f>
        <v>1</v>
      </c>
      <c r="D27" s="5">
        <f>C27/COUNTIF(InstructionPlayRound[Kategorie],B27)</f>
        <v>0.5</v>
      </c>
      <c r="E27" s="2">
        <f>AVERAGEIF(InstructionPlayRound[Kategorie],B27,InstructionPlayRound[Alibi-Score])</f>
        <v>1.9791667500000001</v>
      </c>
      <c r="F27" s="1" cm="1">
        <f t="array" ref="F27">_xlfn.STDEV.P(IF(InstructionPlayRound[Kategorie]=B27, InstructionPlayRound[Alibi-Score]))</f>
        <v>1.3541667500000003</v>
      </c>
      <c r="G27">
        <f>COUNTIFS(InstructionPlayRound[Kategorie], B27,InstructionPlayRound[Who is better?],"DocTool")</f>
        <v>1</v>
      </c>
      <c r="H27" s="5">
        <f>G27/COUNTIFS(InstructionPlayRound[Kategorie],B27,InstructionPlayRound[Who is better?],"&lt;&gt;")</f>
        <v>1</v>
      </c>
      <c r="I27" s="1">
        <f>COUNTIFS(InstructionPlayRound[Kategorie], B27, InstructionPlayRound[Right/Wrong3], "Yes")</f>
        <v>2</v>
      </c>
      <c r="J27" s="5">
        <f>I27/COUNTIF(InstructionPlayRound[Kategorie],B27)</f>
        <v>1</v>
      </c>
      <c r="K27" s="2">
        <f>AVERAGEIF(InstructionPlayRound[Kategorie],B27,InstructionPlayRound[Alibi-Score2])</f>
        <v>1</v>
      </c>
      <c r="L27" s="1" cm="1">
        <f t="array" ref="L27">_xlfn.STDEV.P(IF(InstructionPlayRound[Kategorie]=B27, InstructionPlayRound[Alibi-Score2]))</f>
        <v>0.5</v>
      </c>
      <c r="M27">
        <f>COUNTIFS(InstructionPlayRound[Kategorie], B27,InstructionPlayRound[Who is better?],"GPT")</f>
        <v>0</v>
      </c>
      <c r="N27" s="5">
        <f>M27/COUNTIFS(InstructionPlayRound[Kategorie],B27,InstructionPlayRound[Who is better?],"&lt;&gt;")</f>
        <v>0</v>
      </c>
    </row>
  </sheetData>
  <conditionalFormatting sqref="D1:D20">
    <cfRule type="containsText" dxfId="151" priority="13" operator="containsText" text="No">
      <formula>NOT(ISERROR(SEARCH("No",D1)))</formula>
    </cfRule>
    <cfRule type="containsText" dxfId="150" priority="14" operator="containsText" text="Yes">
      <formula>NOT(ISERROR(SEARCH("Yes",D1)))</formula>
    </cfRule>
  </conditionalFormatting>
  <conditionalFormatting sqref="D22:D1048576">
    <cfRule type="containsText" dxfId="149" priority="7" operator="containsText" text="No">
      <formula>NOT(ISERROR(SEARCH("No",D22)))</formula>
    </cfRule>
    <cfRule type="containsText" dxfId="148" priority="8" operator="containsText" text="Yes">
      <formula>NOT(ISERROR(SEARCH("Yes",D22)))</formula>
    </cfRule>
  </conditionalFormatting>
  <conditionalFormatting sqref="G1:G19">
    <cfRule type="containsText" dxfId="147" priority="11" operator="containsText" text="No">
      <formula>NOT(ISERROR(SEARCH("No",G1)))</formula>
    </cfRule>
    <cfRule type="containsText" dxfId="146" priority="12" operator="containsText" text="Yes">
      <formula>NOT(ISERROR(SEARCH("Yes",G1)))</formula>
    </cfRule>
  </conditionalFormatting>
  <conditionalFormatting sqref="G22:G1048576">
    <cfRule type="containsText" dxfId="145" priority="5" operator="containsText" text="No">
      <formula>NOT(ISERROR(SEARCH("No",G22)))</formula>
    </cfRule>
    <cfRule type="containsText" dxfId="144" priority="6" operator="containsText" text="Yes">
      <formula>NOT(ISERROR(SEARCH("Yes",G22)))</formula>
    </cfRule>
  </conditionalFormatting>
  <conditionalFormatting sqref="G20:H20">
    <cfRule type="containsText" dxfId="143" priority="9" operator="containsText" text="No">
      <formula>NOT(ISERROR(SEARCH("No",G20)))</formula>
    </cfRule>
    <cfRule type="containsText" dxfId="142" priority="10" operator="containsText" text="Yes">
      <formula>NOT(ISERROR(SEARCH("Yes",G20)))</formula>
    </cfRule>
  </conditionalFormatting>
  <conditionalFormatting sqref="J23:J27">
    <cfRule type="containsText" dxfId="141" priority="3" operator="containsText" text="No">
      <formula>NOT(ISERROR(SEARCH("No",J23)))</formula>
    </cfRule>
    <cfRule type="containsText" dxfId="140" priority="4" operator="containsText" text="Yes">
      <formula>NOT(ISERROR(SEARCH("Yes",J23)))</formula>
    </cfRule>
  </conditionalFormatting>
  <conditionalFormatting sqref="M23:M27">
    <cfRule type="containsText" dxfId="139" priority="1" operator="containsText" text="No">
      <formula>NOT(ISERROR(SEARCH("No",M23)))</formula>
    </cfRule>
    <cfRule type="containsText" dxfId="138" priority="2" operator="containsText" text="Yes">
      <formula>NOT(ISERROR(SEARCH("Yes",M23)))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78CD00-B5A7-4D72-A9E8-729E6A44E6B8}">
          <x14:formula1>
            <xm:f>Einstellungsdaten!$A$1:$A$2</xm:f>
          </x14:formula1>
          <xm:sqref>D28:D1048576 D1:D19 G1:G19 G28:G1048576</xm:sqref>
        </x14:dataValidation>
        <x14:dataValidation type="list" allowBlank="1" showInputMessage="1" showErrorMessage="1" xr:uid="{163278A0-54A8-4111-A49C-FE2F1BC44946}">
          <x14:formula1>
            <xm:f>Einstellungsdaten!$C$1:$C$2</xm:f>
          </x14:formula1>
          <xm:sqref>H1:H19 H28:H1048576</xm:sqref>
        </x14:dataValidation>
        <x14:dataValidation type="list" allowBlank="1" showInputMessage="1" showErrorMessage="1" xr:uid="{C98A1B38-A623-497A-8AE2-96775DFA0B2F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9EE8-DFB0-4182-A6B7-CE0523AB993D}">
  <dimension ref="A1:N20"/>
  <sheetViews>
    <sheetView topLeftCell="A7" workbookViewId="0">
      <selection activeCell="F6" sqref="F6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90" x14ac:dyDescent="0.25">
      <c r="A2" t="s">
        <v>9</v>
      </c>
      <c r="B2" t="s">
        <v>53</v>
      </c>
      <c r="C2" s="1">
        <v>2.34375</v>
      </c>
      <c r="D2" t="s">
        <v>11</v>
      </c>
      <c r="E2" s="2" t="s">
        <v>54</v>
      </c>
      <c r="F2" s="3">
        <v>2</v>
      </c>
      <c r="G2" t="s">
        <v>11</v>
      </c>
      <c r="H2" t="s">
        <v>4</v>
      </c>
    </row>
    <row r="3" spans="1:9" ht="90" x14ac:dyDescent="0.25">
      <c r="A3" t="s">
        <v>23</v>
      </c>
      <c r="B3" t="s">
        <v>55</v>
      </c>
      <c r="C3" s="1">
        <v>1.4285715000000001</v>
      </c>
      <c r="D3" t="s">
        <v>21</v>
      </c>
      <c r="E3" s="2" t="s">
        <v>56</v>
      </c>
      <c r="F3" s="1">
        <v>0</v>
      </c>
      <c r="G3" t="s">
        <v>11</v>
      </c>
    </row>
    <row r="4" spans="1:9" x14ac:dyDescent="0.25">
      <c r="A4" t="s">
        <v>23</v>
      </c>
      <c r="B4" t="s">
        <v>57</v>
      </c>
      <c r="C4" s="1">
        <v>0.8333334</v>
      </c>
      <c r="D4" t="s">
        <v>11</v>
      </c>
      <c r="E4" s="2"/>
      <c r="G4" t="s">
        <v>21</v>
      </c>
    </row>
    <row r="5" spans="1:9" x14ac:dyDescent="0.25">
      <c r="A5" t="s">
        <v>9</v>
      </c>
      <c r="B5" t="s">
        <v>58</v>
      </c>
      <c r="C5" s="1">
        <v>1</v>
      </c>
      <c r="D5" t="s">
        <v>11</v>
      </c>
      <c r="E5" s="2"/>
      <c r="G5" t="s">
        <v>21</v>
      </c>
    </row>
    <row r="6" spans="1:9" ht="30" x14ac:dyDescent="0.25">
      <c r="A6" t="s">
        <v>59</v>
      </c>
      <c r="B6" t="s">
        <v>60</v>
      </c>
      <c r="C6" s="1">
        <v>2.5</v>
      </c>
      <c r="D6" t="s">
        <v>21</v>
      </c>
      <c r="E6" s="2" t="s">
        <v>61</v>
      </c>
      <c r="F6" s="1">
        <v>0.5</v>
      </c>
      <c r="G6" t="s">
        <v>11</v>
      </c>
    </row>
    <row r="7" spans="1:9" ht="90" x14ac:dyDescent="0.25">
      <c r="A7" t="s">
        <v>23</v>
      </c>
      <c r="B7" t="s">
        <v>62</v>
      </c>
      <c r="C7" s="1">
        <v>1.6666666999999999</v>
      </c>
      <c r="D7" t="s">
        <v>21</v>
      </c>
      <c r="E7" s="2" t="s">
        <v>63</v>
      </c>
      <c r="F7" s="1">
        <v>0.5</v>
      </c>
      <c r="G7" t="s">
        <v>11</v>
      </c>
    </row>
    <row r="8" spans="1:9" x14ac:dyDescent="0.25">
      <c r="A8" t="s">
        <v>23</v>
      </c>
      <c r="B8" t="s">
        <v>64</v>
      </c>
      <c r="C8" s="1">
        <v>1</v>
      </c>
      <c r="D8" t="s">
        <v>21</v>
      </c>
      <c r="E8" s="2"/>
      <c r="G8" t="s">
        <v>21</v>
      </c>
    </row>
    <row r="9" spans="1:9" x14ac:dyDescent="0.25">
      <c r="A9" t="s">
        <v>9</v>
      </c>
      <c r="B9" t="s">
        <v>65</v>
      </c>
      <c r="C9" s="1">
        <v>1.9230769999999999</v>
      </c>
      <c r="D9" t="s">
        <v>11</v>
      </c>
      <c r="E9" s="2"/>
      <c r="G9" t="s">
        <v>11</v>
      </c>
      <c r="H9" t="s">
        <v>1</v>
      </c>
    </row>
    <row r="10" spans="1:9" ht="90" x14ac:dyDescent="0.25">
      <c r="A10" t="s">
        <v>23</v>
      </c>
      <c r="B10" t="s">
        <v>66</v>
      </c>
      <c r="C10" s="1">
        <v>1</v>
      </c>
      <c r="D10" t="s">
        <v>21</v>
      </c>
      <c r="E10" s="2" t="s">
        <v>67</v>
      </c>
      <c r="F10" s="1">
        <v>1</v>
      </c>
      <c r="G10" t="s">
        <v>21</v>
      </c>
    </row>
    <row r="11" spans="1:9" x14ac:dyDescent="0.25">
      <c r="A11" t="s">
        <v>23</v>
      </c>
      <c r="B11" t="s">
        <v>68</v>
      </c>
      <c r="C11" s="1">
        <v>0.625</v>
      </c>
      <c r="D11" t="s">
        <v>11</v>
      </c>
      <c r="E11" s="2"/>
      <c r="G11" t="s">
        <v>21</v>
      </c>
    </row>
    <row r="12" spans="1:9" ht="75" x14ac:dyDescent="0.25">
      <c r="A12" t="s">
        <v>9</v>
      </c>
      <c r="B12" t="s">
        <v>69</v>
      </c>
      <c r="C12" s="1">
        <v>1.9230769999999999</v>
      </c>
      <c r="D12" t="s">
        <v>11</v>
      </c>
      <c r="E12" s="2" t="s">
        <v>70</v>
      </c>
      <c r="F12" s="1">
        <v>1</v>
      </c>
      <c r="G12" t="s">
        <v>11</v>
      </c>
      <c r="H12" t="s">
        <v>4</v>
      </c>
    </row>
    <row r="13" spans="1:9" x14ac:dyDescent="0.25">
      <c r="E13" s="2"/>
    </row>
    <row r="14" spans="1:9" x14ac:dyDescent="0.25">
      <c r="B14" s="4" t="s">
        <v>46</v>
      </c>
      <c r="C14" s="1">
        <f>AVERAGE(C2:C12)</f>
        <v>1.4766796</v>
      </c>
      <c r="D14">
        <f>COUNTIF(D2:D12,"Yes")</f>
        <v>6</v>
      </c>
      <c r="E14" s="5"/>
      <c r="F14" s="1">
        <f>AVERAGE(F2:F12)</f>
        <v>0.83333333333333337</v>
      </c>
      <c r="G14">
        <f>COUNTIF(G2:G12,"Yes")</f>
        <v>6</v>
      </c>
      <c r="H14">
        <f>COUNTIF(H2:H12,"DocTool")</f>
        <v>1</v>
      </c>
    </row>
    <row r="15" spans="1:9" x14ac:dyDescent="0.25">
      <c r="B15" s="4" t="s">
        <v>47</v>
      </c>
      <c r="C15" s="1">
        <f>_xlfn.STDEV.P(C2:C12)</f>
        <v>0.60729424362921214</v>
      </c>
      <c r="D15" s="5">
        <f>D14/ROWS(D2:D12)</f>
        <v>0.54545454545454541</v>
      </c>
      <c r="F15" s="1">
        <f>_xlfn.STDEV.P(F2:F12)</f>
        <v>0.62360956446232352</v>
      </c>
      <c r="G15" s="5">
        <f>G14/ROWS(G2:G12)</f>
        <v>0.54545454545454541</v>
      </c>
      <c r="H15" s="5">
        <f>H14/COUNTA(H2:H12)</f>
        <v>0.33333333333333331</v>
      </c>
    </row>
    <row r="16" spans="1:9" x14ac:dyDescent="0.25">
      <c r="B16" t="s">
        <v>1</v>
      </c>
      <c r="E16" s="2"/>
      <c r="I16" t="s">
        <v>4</v>
      </c>
    </row>
    <row r="17" spans="2:14" x14ac:dyDescent="0.25">
      <c r="B17" t="s">
        <v>0</v>
      </c>
      <c r="C17" t="s">
        <v>48</v>
      </c>
      <c r="D17" t="s">
        <v>49</v>
      </c>
      <c r="E17" t="s">
        <v>2</v>
      </c>
      <c r="F17" t="s">
        <v>50</v>
      </c>
      <c r="G17" t="s">
        <v>51</v>
      </c>
      <c r="H17" t="s">
        <v>52</v>
      </c>
      <c r="I17" t="s">
        <v>48</v>
      </c>
      <c r="J17" t="s">
        <v>49</v>
      </c>
      <c r="K17" t="s">
        <v>2</v>
      </c>
      <c r="L17" t="s">
        <v>50</v>
      </c>
      <c r="M17" t="s">
        <v>51</v>
      </c>
      <c r="N17" t="s">
        <v>52</v>
      </c>
    </row>
    <row r="18" spans="2:14" x14ac:dyDescent="0.25">
      <c r="B18" t="str" cm="1">
        <f t="array" ref="B18:B20">_xlfn.UNIQUE(_xlfn._xlws.FILTER(GuestLoginStrategy[Kategorie],RegularLoginStrategy[Kategorie]&lt;&gt;""))</f>
        <v>imperfect</v>
      </c>
      <c r="C18" s="1">
        <f>COUNTIFS(GuestLoginStrategy[Kategorie], B18, GuestLoginStrategy[Right/Wrong], "Yes")</f>
        <v>4</v>
      </c>
      <c r="D18" s="5">
        <f>C18/COUNTIF(GuestLoginStrategy[Kategorie],B18)</f>
        <v>1</v>
      </c>
      <c r="E18" s="2">
        <f>AVERAGEIF(GuestLoginStrategy[Kategorie],B18,GuestLoginStrategy[Alibi-Score])</f>
        <v>1.7974760000000001</v>
      </c>
      <c r="F18" s="1" cm="1">
        <f t="array" ref="F18">_xlfn.STDEV.P(IF(GuestLoginStrategy[Kategorie]=B18, GuestLoginStrategy[Alibi-Score]))</f>
        <v>0.49140982795778482</v>
      </c>
      <c r="G18">
        <f>COUNTIFS(GuestLoginStrategy[Kategorie], B18,GuestLoginStrategy[Who is better?],"DocTool")</f>
        <v>1</v>
      </c>
      <c r="H18" s="5">
        <f>G18/COUNTIFS(GuestLoginStrategy[Kategorie],B18,GuestLoginStrategy[Who is better?],"&lt;&gt;")</f>
        <v>0.33333333333333331</v>
      </c>
      <c r="I18" s="1">
        <f>COUNTIFS(GuestLoginStrategy[Kategorie], B18, GuestLoginStrategy[Right/Wrong3], "Yes")</f>
        <v>3</v>
      </c>
      <c r="J18" s="5">
        <f>I18/COUNTIF(GuestLoginStrategy[Kategorie],B18)</f>
        <v>0.75</v>
      </c>
      <c r="K18" s="2">
        <f>AVERAGEIF(GuestLoginStrategy[Kategorie],B18,GuestLoginStrategy[Alibi-Score2])</f>
        <v>1.5</v>
      </c>
      <c r="L18" s="1" cm="1">
        <f t="array" ref="L18">_xlfn.STDEV.P(IF(GuestLoginStrategy[Kategorie]=B18, GuestLoginStrategy[Alibi-Score2]))</f>
        <v>0.82915619758884995</v>
      </c>
      <c r="M18">
        <f>COUNTIFS(GuestLoginStrategy[Kategorie], B18,GuestLoginStrategy[Who is better?],"GPT")</f>
        <v>2</v>
      </c>
      <c r="N18" s="5">
        <f>M18/COUNTIFS(GuestLoginStrategy[Kategorie],B18,GuestLoginStrategy[Who is better?],"&lt;&gt;")</f>
        <v>0.66666666666666663</v>
      </c>
    </row>
    <row r="19" spans="2:14" x14ac:dyDescent="0.25">
      <c r="B19" t="str">
        <v>alibi</v>
      </c>
      <c r="C19" s="1">
        <f>COUNTIFS(GuestLoginStrategy[Kategorie], B19, GuestLoginStrategy[Right/Wrong], "Yes")</f>
        <v>2</v>
      </c>
      <c r="D19" s="5">
        <f>C19/COUNTIF(GuestLoginStrategy[Kategorie],B19)</f>
        <v>0.33333333333333331</v>
      </c>
      <c r="E19" s="2">
        <f>AVERAGEIF(GuestLoginStrategy[Kategorie],B19,GuestLoginStrategy[Alibi-Score])</f>
        <v>1.0922619333333332</v>
      </c>
      <c r="F19" s="1" cm="1">
        <f t="array" ref="F19">_xlfn.STDEV.P(IF(GuestLoginStrategy[Kategorie]=B19, GuestLoginStrategy[Alibi-Score]))</f>
        <v>0.35247864923573119</v>
      </c>
      <c r="G19">
        <f>COUNTIFS(GuestLoginStrategy[Kategorie], B19,GuestLoginStrategy[Who is better?],"DocTool")</f>
        <v>0</v>
      </c>
      <c r="H19" s="5" t="e">
        <f>G19/COUNTIFS(GuestLoginStrategy[Kategorie],B19,GuestLoginStrategy[Who is better?],"&lt;&gt;")</f>
        <v>#DIV/0!</v>
      </c>
      <c r="I19" s="1">
        <f>COUNTIFS(GuestLoginStrategy[Kategorie], B19, GuestLoginStrategy[Right/Wrong3], "Yes")</f>
        <v>2</v>
      </c>
      <c r="J19" s="5">
        <f>I19/COUNTIF(GuestLoginStrategy[Kategorie],B19)</f>
        <v>0.33333333333333331</v>
      </c>
      <c r="K19" s="2">
        <f>AVERAGEIF(GuestLoginStrategy[Kategorie],B19,GuestLoginStrategy[Alibi-Score2])</f>
        <v>0.5</v>
      </c>
      <c r="L19" s="1" cm="1">
        <f t="array" ref="L19">_xlfn.STDEV.P(IF(GuestLoginStrategy[Kategorie]=B19, GuestLoginStrategy[Alibi-Score2]))</f>
        <v>0.38188130791298669</v>
      </c>
      <c r="M19">
        <f>COUNTIFS(GuestLoginStrategy[Kategorie], B19,GuestLoginStrategy[Who is better?],"GPT")</f>
        <v>0</v>
      </c>
      <c r="N19" s="5" t="e">
        <f>M19/COUNTIFS(GuestLoginStrategy[Kategorie],B19,GuestLoginStrategy[Who is better?],"&lt;&gt;")</f>
        <v>#DIV/0!</v>
      </c>
    </row>
    <row r="20" spans="2:14" x14ac:dyDescent="0.25">
      <c r="B20" t="str">
        <v>wrong in meaning</v>
      </c>
      <c r="C20" s="1">
        <f>COUNTIFS(GuestLoginStrategy[Kategorie], B20, GuestLoginStrategy[Right/Wrong], "Yes")</f>
        <v>0</v>
      </c>
      <c r="D20" s="5">
        <f>C20/COUNTIF(GuestLoginStrategy[Kategorie],B20)</f>
        <v>0</v>
      </c>
      <c r="E20" s="2">
        <f>AVERAGEIF(GuestLoginStrategy[Kategorie],B20,GuestLoginStrategy[Alibi-Score])</f>
        <v>2.5</v>
      </c>
      <c r="F20" s="1" cm="1">
        <f t="array" ref="F20">_xlfn.STDEV.P(IF(GuestLoginStrategy[Kategorie]=B20, GuestLoginStrategy[Alibi-Score]))</f>
        <v>0</v>
      </c>
      <c r="G20">
        <f>COUNTIFS(GuestLoginStrategy[Kategorie], B20,GuestLoginStrategy[Who is better?],"DocTool")</f>
        <v>0</v>
      </c>
      <c r="H20" s="5" t="e">
        <f>G20/COUNTIFS(GuestLoginStrategy[Kategorie],B20,GuestLoginStrategy[Who is better?],"&lt;&gt;")</f>
        <v>#DIV/0!</v>
      </c>
      <c r="I20" s="1">
        <f>COUNTIFS(GuestLoginStrategy[Kategorie], B20, GuestLoginStrategy[Right/Wrong3], "Yes")</f>
        <v>1</v>
      </c>
      <c r="J20" s="5">
        <f>I20/COUNTIF(GuestLoginStrategy[Kategorie],B20)</f>
        <v>1</v>
      </c>
      <c r="K20" s="2">
        <f>AVERAGEIF(GuestLoginStrategy[Kategorie],B20,GuestLoginStrategy[Alibi-Score2])</f>
        <v>0.5</v>
      </c>
      <c r="L20" s="1" cm="1">
        <f t="array" ref="L20">_xlfn.STDEV.P(IF(GuestLoginStrategy[Kategorie]=B20, GuestLoginStrategy[Alibi-Score2]))</f>
        <v>0</v>
      </c>
      <c r="M20">
        <f>COUNTIFS(GuestLoginStrategy[Kategorie], B20,GuestLoginStrategy[Who is better?],"GPT")</f>
        <v>0</v>
      </c>
      <c r="N20" s="5" t="e">
        <f>M20/COUNTIFS(GuestLoginStrategy[Kategorie],B20,GuestLoginStrategy[Who is better?],"&lt;&gt;")</f>
        <v>#DIV/0!</v>
      </c>
    </row>
  </sheetData>
  <conditionalFormatting sqref="D1:D14">
    <cfRule type="containsText" dxfId="137" priority="11" operator="containsText" text="No">
      <formula>NOT(ISERROR(SEARCH("No",D1)))</formula>
    </cfRule>
    <cfRule type="containsText" dxfId="136" priority="12" operator="containsText" text="Yes">
      <formula>NOT(ISERROR(SEARCH("Yes",D1)))</formula>
    </cfRule>
  </conditionalFormatting>
  <conditionalFormatting sqref="D16:D1048576">
    <cfRule type="containsText" dxfId="135" priority="7" operator="containsText" text="No">
      <formula>NOT(ISERROR(SEARCH("No",D16)))</formula>
    </cfRule>
    <cfRule type="containsText" dxfId="134" priority="8" operator="containsText" text="Yes">
      <formula>NOT(ISERROR(SEARCH("Yes",D16)))</formula>
    </cfRule>
  </conditionalFormatting>
  <conditionalFormatting sqref="G1:G13">
    <cfRule type="containsText" dxfId="133" priority="13" operator="containsText" text="No">
      <formula>NOT(ISERROR(SEARCH("No",G1)))</formula>
    </cfRule>
    <cfRule type="containsText" dxfId="132" priority="14" operator="containsText" text="Yes">
      <formula>NOT(ISERROR(SEARCH("Yes",G1)))</formula>
    </cfRule>
  </conditionalFormatting>
  <conditionalFormatting sqref="G16:G1048576">
    <cfRule type="containsText" dxfId="131" priority="5" operator="containsText" text="No">
      <formula>NOT(ISERROR(SEARCH("No",G16)))</formula>
    </cfRule>
    <cfRule type="containsText" dxfId="130" priority="6" operator="containsText" text="Yes">
      <formula>NOT(ISERROR(SEARCH("Yes",G16)))</formula>
    </cfRule>
  </conditionalFormatting>
  <conditionalFormatting sqref="G14:H14">
    <cfRule type="containsText" dxfId="129" priority="9" operator="containsText" text="No">
      <formula>NOT(ISERROR(SEARCH("No",G14)))</formula>
    </cfRule>
    <cfRule type="containsText" dxfId="128" priority="10" operator="containsText" text="Yes">
      <formula>NOT(ISERROR(SEARCH("Yes",G14)))</formula>
    </cfRule>
  </conditionalFormatting>
  <conditionalFormatting sqref="J17:J20">
    <cfRule type="containsText" dxfId="127" priority="3" operator="containsText" text="No">
      <formula>NOT(ISERROR(SEARCH("No",J17)))</formula>
    </cfRule>
    <cfRule type="containsText" dxfId="126" priority="4" operator="containsText" text="Yes">
      <formula>NOT(ISERROR(SEARCH("Yes",J17)))</formula>
    </cfRule>
  </conditionalFormatting>
  <conditionalFormatting sqref="M17:M20">
    <cfRule type="containsText" dxfId="125" priority="1" operator="containsText" text="No">
      <formula>NOT(ISERROR(SEARCH("No",M17)))</formula>
    </cfRule>
    <cfRule type="containsText" dxfId="124" priority="2" operator="containsText" text="Yes">
      <formula>NOT(ISERROR(SEARCH("Yes",M17)))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36F664-1018-4CA4-ACF4-C06BC2297843}">
          <x14:formula1>
            <xm:f>Einstellungsdaten!$C$1:$C$2</xm:f>
          </x14:formula1>
          <xm:sqref>H1:H13 H21:H1048576</xm:sqref>
        </x14:dataValidation>
        <x14:dataValidation type="list" allowBlank="1" showInputMessage="1" showErrorMessage="1" xr:uid="{C8E0831F-5780-4748-8DE0-B33CEF6BA230}">
          <x14:formula1>
            <xm:f>Einstellungsdaten!$A$1:$A$2</xm:f>
          </x14:formula1>
          <xm:sqref>D21:D1048576 G1:G13 D1:D13 G21:G1048576</xm:sqref>
        </x14:dataValidation>
        <x14:dataValidation type="list" allowBlank="1" showInputMessage="1" showErrorMessage="1" xr:uid="{295B098C-D07B-4A0D-8818-4F65D46C3447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1312-9B5C-471A-BAE2-0AA67D0AA4E4}">
  <dimension ref="A1:N22"/>
  <sheetViews>
    <sheetView topLeftCell="A11" workbookViewId="0">
      <selection activeCell="H16" sqref="H16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90" x14ac:dyDescent="0.25">
      <c r="A2" t="s">
        <v>29</v>
      </c>
      <c r="B2" t="s">
        <v>71</v>
      </c>
      <c r="C2" s="1">
        <v>1.8421053000000001</v>
      </c>
      <c r="D2" t="s">
        <v>11</v>
      </c>
      <c r="E2" s="2" t="s">
        <v>72</v>
      </c>
      <c r="F2" s="3">
        <v>1</v>
      </c>
      <c r="G2" t="s">
        <v>11</v>
      </c>
      <c r="H2" t="s">
        <v>1</v>
      </c>
    </row>
    <row r="3" spans="1:9" ht="75" x14ac:dyDescent="0.25">
      <c r="A3" t="s">
        <v>29</v>
      </c>
      <c r="B3" t="s">
        <v>73</v>
      </c>
      <c r="C3" s="1">
        <v>0</v>
      </c>
      <c r="D3" t="s">
        <v>21</v>
      </c>
      <c r="E3" s="2" t="s">
        <v>74</v>
      </c>
      <c r="F3" s="1">
        <v>0</v>
      </c>
      <c r="G3" t="s">
        <v>21</v>
      </c>
      <c r="I3" t="s">
        <v>75</v>
      </c>
    </row>
    <row r="4" spans="1:9" ht="75" x14ac:dyDescent="0.25">
      <c r="A4" t="s">
        <v>29</v>
      </c>
      <c r="B4" t="s">
        <v>76</v>
      </c>
      <c r="C4" s="1">
        <v>0.625</v>
      </c>
      <c r="D4" t="s">
        <v>21</v>
      </c>
      <c r="E4" s="2" t="s">
        <v>77</v>
      </c>
      <c r="F4" s="1">
        <v>0</v>
      </c>
      <c r="G4" t="s">
        <v>21</v>
      </c>
      <c r="H4" t="s">
        <v>1</v>
      </c>
      <c r="I4" t="s">
        <v>75</v>
      </c>
    </row>
    <row r="5" spans="1:9" ht="75" x14ac:dyDescent="0.25">
      <c r="A5" t="s">
        <v>23</v>
      </c>
      <c r="B5" t="s">
        <v>78</v>
      </c>
      <c r="C5" s="1">
        <v>0</v>
      </c>
      <c r="D5" t="s">
        <v>11</v>
      </c>
      <c r="E5" s="2" t="s">
        <v>79</v>
      </c>
      <c r="F5" s="1">
        <v>0</v>
      </c>
      <c r="G5" t="s">
        <v>11</v>
      </c>
      <c r="H5" t="s">
        <v>4</v>
      </c>
    </row>
    <row r="6" spans="1:9" ht="75" x14ac:dyDescent="0.25">
      <c r="A6" t="s">
        <v>23</v>
      </c>
      <c r="B6" t="s">
        <v>80</v>
      </c>
      <c r="C6" s="1">
        <v>0</v>
      </c>
      <c r="D6" t="s">
        <v>11</v>
      </c>
      <c r="E6" s="2" t="s">
        <v>81</v>
      </c>
      <c r="F6" s="1">
        <v>0</v>
      </c>
      <c r="G6" t="s">
        <v>11</v>
      </c>
      <c r="H6" t="s">
        <v>4</v>
      </c>
    </row>
    <row r="7" spans="1:9" x14ac:dyDescent="0.25">
      <c r="B7" t="s">
        <v>82</v>
      </c>
      <c r="D7" t="s">
        <v>21</v>
      </c>
      <c r="E7" s="2"/>
      <c r="G7" t="s">
        <v>11</v>
      </c>
      <c r="I7" t="s">
        <v>83</v>
      </c>
    </row>
    <row r="8" spans="1:9" ht="90" x14ac:dyDescent="0.25">
      <c r="A8" t="s">
        <v>23</v>
      </c>
      <c r="B8" t="s">
        <v>84</v>
      </c>
      <c r="C8" s="1">
        <v>1.25</v>
      </c>
      <c r="D8" t="s">
        <v>21</v>
      </c>
      <c r="E8" s="2" t="s">
        <v>85</v>
      </c>
      <c r="F8" s="1">
        <v>0</v>
      </c>
      <c r="G8" t="s">
        <v>11</v>
      </c>
    </row>
    <row r="9" spans="1:9" ht="60" x14ac:dyDescent="0.25">
      <c r="A9" t="s">
        <v>29</v>
      </c>
      <c r="B9" t="s">
        <v>86</v>
      </c>
      <c r="C9" s="1">
        <v>0</v>
      </c>
      <c r="D9" t="s">
        <v>21</v>
      </c>
      <c r="E9" s="2" t="s">
        <v>87</v>
      </c>
      <c r="F9" s="1">
        <v>0</v>
      </c>
      <c r="G9" t="s">
        <v>21</v>
      </c>
      <c r="I9" t="s">
        <v>75</v>
      </c>
    </row>
    <row r="10" spans="1:9" ht="75" x14ac:dyDescent="0.25">
      <c r="A10" t="s">
        <v>29</v>
      </c>
      <c r="B10" t="s">
        <v>88</v>
      </c>
      <c r="C10" s="1">
        <v>0.8333334</v>
      </c>
      <c r="D10" t="s">
        <v>21</v>
      </c>
      <c r="E10" s="2" t="s">
        <v>89</v>
      </c>
      <c r="F10" s="1">
        <v>0</v>
      </c>
      <c r="G10" t="s">
        <v>21</v>
      </c>
      <c r="H10" t="s">
        <v>1</v>
      </c>
      <c r="I10" t="s">
        <v>75</v>
      </c>
    </row>
    <row r="11" spans="1:9" ht="60" x14ac:dyDescent="0.25">
      <c r="A11" t="s">
        <v>29</v>
      </c>
      <c r="B11" t="s">
        <v>90</v>
      </c>
      <c r="C11" s="1">
        <v>0</v>
      </c>
      <c r="D11" t="s">
        <v>21</v>
      </c>
      <c r="E11" s="2" t="s">
        <v>91</v>
      </c>
      <c r="F11" s="1">
        <v>0</v>
      </c>
      <c r="G11" t="s">
        <v>21</v>
      </c>
      <c r="I11" t="s">
        <v>75</v>
      </c>
    </row>
    <row r="12" spans="1:9" ht="75" x14ac:dyDescent="0.25">
      <c r="A12" t="s">
        <v>29</v>
      </c>
      <c r="B12" t="s">
        <v>92</v>
      </c>
      <c r="C12" s="1">
        <v>0.625</v>
      </c>
      <c r="D12" t="s">
        <v>21</v>
      </c>
      <c r="E12" s="2" t="s">
        <v>93</v>
      </c>
      <c r="F12" s="1">
        <v>0</v>
      </c>
      <c r="G12" t="s">
        <v>21</v>
      </c>
      <c r="H12" t="s">
        <v>1</v>
      </c>
      <c r="I12" t="s">
        <v>75</v>
      </c>
    </row>
    <row r="13" spans="1:9" ht="60" x14ac:dyDescent="0.25">
      <c r="A13" t="s">
        <v>29</v>
      </c>
      <c r="B13" t="s">
        <v>94</v>
      </c>
      <c r="C13" s="1">
        <v>0.8333334</v>
      </c>
      <c r="D13" t="s">
        <v>21</v>
      </c>
      <c r="E13" s="2" t="s">
        <v>95</v>
      </c>
      <c r="F13" s="1">
        <v>0</v>
      </c>
      <c r="G13" t="s">
        <v>21</v>
      </c>
      <c r="H13" t="s">
        <v>1</v>
      </c>
      <c r="I13" t="s">
        <v>75</v>
      </c>
    </row>
    <row r="14" spans="1:9" ht="75" x14ac:dyDescent="0.25">
      <c r="A14" t="s">
        <v>23</v>
      </c>
      <c r="B14" t="s">
        <v>96</v>
      </c>
      <c r="C14" s="1">
        <v>0.71428572999999995</v>
      </c>
      <c r="D14" t="s">
        <v>11</v>
      </c>
      <c r="E14" s="2" t="s">
        <v>97</v>
      </c>
      <c r="F14" s="1">
        <v>0</v>
      </c>
      <c r="G14" t="s">
        <v>11</v>
      </c>
      <c r="H14" t="s">
        <v>4</v>
      </c>
    </row>
    <row r="15" spans="1:9" x14ac:dyDescent="0.25">
      <c r="E15" s="2"/>
    </row>
    <row r="16" spans="1:9" x14ac:dyDescent="0.25">
      <c r="B16" s="4" t="s">
        <v>46</v>
      </c>
      <c r="C16" s="1">
        <f>AVERAGE(C2:C14)</f>
        <v>0.56025481916666664</v>
      </c>
      <c r="D16">
        <f>COUNTIF(D2:D14,"Yes")</f>
        <v>4</v>
      </c>
      <c r="E16" s="5"/>
      <c r="F16" s="1">
        <f>AVERAGE(F2:F14)</f>
        <v>8.3333333333333329E-2</v>
      </c>
      <c r="G16">
        <f>COUNTIF(G2:G14,"Yes")</f>
        <v>6</v>
      </c>
      <c r="H16">
        <f>COUNTIF(H2:H14,"DocTool")</f>
        <v>5</v>
      </c>
    </row>
    <row r="17" spans="2:14" x14ac:dyDescent="0.25">
      <c r="B17" s="4" t="s">
        <v>47</v>
      </c>
      <c r="C17" s="1">
        <f>_xlfn.STDEV.P(C2:C14)</f>
        <v>0.56785925505996859</v>
      </c>
      <c r="D17" s="5">
        <f>D16/ROWS(D2:D14)</f>
        <v>0.30769230769230771</v>
      </c>
      <c r="F17" s="1">
        <f>_xlfn.STDEV.P(F2:F14)</f>
        <v>0.27638539919628335</v>
      </c>
      <c r="G17" s="5">
        <f>G16/ROWS(G2:G14)</f>
        <v>0.46153846153846156</v>
      </c>
      <c r="H17" s="5">
        <f>H16/COUNTA(H2:H14)</f>
        <v>0.625</v>
      </c>
    </row>
    <row r="18" spans="2:14" x14ac:dyDescent="0.25">
      <c r="B18" t="s">
        <v>1</v>
      </c>
      <c r="E18" s="2"/>
      <c r="I18" t="s">
        <v>4</v>
      </c>
    </row>
    <row r="19" spans="2:14" x14ac:dyDescent="0.25">
      <c r="B19" t="s">
        <v>0</v>
      </c>
      <c r="C19" t="s">
        <v>48</v>
      </c>
      <c r="D19" t="s">
        <v>49</v>
      </c>
      <c r="E19" t="s">
        <v>2</v>
      </c>
      <c r="F19" t="s">
        <v>50</v>
      </c>
      <c r="G19" t="s">
        <v>51</v>
      </c>
      <c r="H19" t="s">
        <v>52</v>
      </c>
      <c r="I19" t="s">
        <v>48</v>
      </c>
      <c r="J19" t="s">
        <v>49</v>
      </c>
      <c r="K19" t="s">
        <v>2</v>
      </c>
      <c r="L19" t="s">
        <v>50</v>
      </c>
      <c r="M19" t="s">
        <v>51</v>
      </c>
      <c r="N19" t="s">
        <v>52</v>
      </c>
    </row>
    <row r="20" spans="2:14" x14ac:dyDescent="0.25">
      <c r="B20" t="str" cm="1">
        <f t="array" ref="B20:B21">_xlfn.UNIQUE(_xlfn._xlws.FILTER(Language[Kategorie],Language[Kategorie]&lt;&gt;""))</f>
        <v>great</v>
      </c>
      <c r="C20" s="1">
        <f>COUNTIFS(Language[Kategorie], B20, Language[Right/Wrong], "Yes")</f>
        <v>1</v>
      </c>
      <c r="D20" s="5">
        <f>C20/COUNTIF(Language[Kategorie],B20)</f>
        <v>0.125</v>
      </c>
      <c r="E20" s="2">
        <f>AVERAGEIF(Language[Kategorie],B20,Language[Alibi-Score])</f>
        <v>0.59484651249999998</v>
      </c>
      <c r="F20" s="1" cm="1">
        <f t="array" ref="F20">_xlfn.STDEV.P(IF(Language[Kategorie]=B20, Language[Alibi-Score]))</f>
        <v>0.58446044134012065</v>
      </c>
      <c r="G20">
        <f>COUNTIFS(Language[Kategorie], B20,Language[Who is better?],"DocTool")</f>
        <v>5</v>
      </c>
      <c r="H20" s="5">
        <f>G20/COUNTIFS(Language[Kategorie],B20,Language[Who is better?],"&lt;&gt;")</f>
        <v>1</v>
      </c>
      <c r="I20" s="1">
        <f>COUNTIFS(Language[Kategorie], B20, Language[Right/Wrong3], "Yes")</f>
        <v>1</v>
      </c>
      <c r="J20" s="5">
        <f>I20/COUNTIF(Language[Kategorie],B20)</f>
        <v>0.125</v>
      </c>
      <c r="K20" s="2">
        <f>AVERAGEIF(Language[Kategorie],B20,Language[Alibi-Score2])</f>
        <v>0.125</v>
      </c>
      <c r="L20" s="1" cm="1">
        <f t="array" ref="L20">_xlfn.STDEV.P(IF(Language[Kategorie]=B20, Language[Alibi-Score2]))</f>
        <v>0.33071891388307384</v>
      </c>
      <c r="M20">
        <f>COUNTIFS(Language[Kategorie], B20,Language[Who is better?],"GPT")</f>
        <v>0</v>
      </c>
      <c r="N20" s="5">
        <f>M20/COUNTIFS(Language[Kategorie],B20,Language[Who is better?],"&lt;&gt;")</f>
        <v>0</v>
      </c>
    </row>
    <row r="21" spans="2:14" x14ac:dyDescent="0.25">
      <c r="B21" t="str">
        <v>alibi</v>
      </c>
      <c r="C21" s="1">
        <f>COUNTIFS(Language[Kategorie], B21, Language[Right/Wrong], "Yes")</f>
        <v>3</v>
      </c>
      <c r="D21" s="5">
        <f>C21/COUNTIF(Language[Kategorie],B21)</f>
        <v>0.75</v>
      </c>
      <c r="E21" s="2">
        <f>AVERAGEIF(Language[Kategorie],B21,Language[Alibi-Score])</f>
        <v>0.49107143249999996</v>
      </c>
      <c r="F21" s="1" cm="1">
        <f t="array" ref="F21">_xlfn.STDEV.P(IF(Language[Kategorie]=B21, Language[Alibi-Score]))</f>
        <v>0.52633152499428171</v>
      </c>
      <c r="G21">
        <f>COUNTIFS(Language[Kategorie], B21,Language[Who is better?],"DocTool")</f>
        <v>0</v>
      </c>
      <c r="H21" s="5">
        <f>G21/COUNTIFS(Language[Kategorie],B21,Language[Who is better?],"&lt;&gt;")</f>
        <v>0</v>
      </c>
      <c r="I21" s="1">
        <f>COUNTIFS(Language[Kategorie], B21, Language[Right/Wrong3], "Yes")</f>
        <v>4</v>
      </c>
      <c r="J21" s="5">
        <f>I21/COUNTIF(Language[Kategorie],B21)</f>
        <v>1</v>
      </c>
      <c r="K21" s="2">
        <f>AVERAGEIF(Language[Kategorie],B21,Language[Alibi-Score2])</f>
        <v>0</v>
      </c>
      <c r="L21" s="1" cm="1">
        <f t="array" ref="L21">_xlfn.STDEV.P(IF(Language[Kategorie]=B21, Language[Alibi-Score2]))</f>
        <v>0</v>
      </c>
      <c r="M21">
        <f>COUNTIFS(Language[Kategorie], B21,Language[Who is better?],"GPT")</f>
        <v>3</v>
      </c>
      <c r="N21" s="5">
        <f>M21/COUNTIFS(Language[Kategorie],B21,Language[Who is better?],"&lt;&gt;")</f>
        <v>1</v>
      </c>
    </row>
    <row r="22" spans="2:14" x14ac:dyDescent="0.25">
      <c r="D22" s="5"/>
      <c r="E22" s="2"/>
      <c r="H22" s="5"/>
      <c r="I22" s="1"/>
      <c r="J22" s="5"/>
      <c r="K22" s="2"/>
      <c r="L22" s="1"/>
      <c r="N22" s="5"/>
    </row>
  </sheetData>
  <conditionalFormatting sqref="D1:D16">
    <cfRule type="containsText" dxfId="123" priority="11" operator="containsText" text="No">
      <formula>NOT(ISERROR(SEARCH("No",D1)))</formula>
    </cfRule>
    <cfRule type="containsText" dxfId="122" priority="12" operator="containsText" text="Yes">
      <formula>NOT(ISERROR(SEARCH("Yes",D1)))</formula>
    </cfRule>
  </conditionalFormatting>
  <conditionalFormatting sqref="D18:D1048576">
    <cfRule type="containsText" dxfId="121" priority="7" operator="containsText" text="No">
      <formula>NOT(ISERROR(SEARCH("No",D18)))</formula>
    </cfRule>
    <cfRule type="containsText" dxfId="120" priority="8" operator="containsText" text="Yes">
      <formula>NOT(ISERROR(SEARCH("Yes",D18)))</formula>
    </cfRule>
  </conditionalFormatting>
  <conditionalFormatting sqref="G1:G15">
    <cfRule type="containsText" dxfId="119" priority="13" operator="containsText" text="No">
      <formula>NOT(ISERROR(SEARCH("No",G1)))</formula>
    </cfRule>
    <cfRule type="containsText" dxfId="118" priority="14" operator="containsText" text="Yes">
      <formula>NOT(ISERROR(SEARCH("Yes",G1)))</formula>
    </cfRule>
  </conditionalFormatting>
  <conditionalFormatting sqref="G18:G1048576">
    <cfRule type="containsText" dxfId="117" priority="5" operator="containsText" text="No">
      <formula>NOT(ISERROR(SEARCH("No",G18)))</formula>
    </cfRule>
    <cfRule type="containsText" dxfId="116" priority="6" operator="containsText" text="Yes">
      <formula>NOT(ISERROR(SEARCH("Yes",G18)))</formula>
    </cfRule>
  </conditionalFormatting>
  <conditionalFormatting sqref="G16:H16">
    <cfRule type="containsText" dxfId="115" priority="9" operator="containsText" text="No">
      <formula>NOT(ISERROR(SEARCH("No",G16)))</formula>
    </cfRule>
    <cfRule type="containsText" dxfId="114" priority="10" operator="containsText" text="Yes">
      <formula>NOT(ISERROR(SEARCH("Yes",G16)))</formula>
    </cfRule>
  </conditionalFormatting>
  <conditionalFormatting sqref="J19:J22">
    <cfRule type="containsText" dxfId="113" priority="3" operator="containsText" text="No">
      <formula>NOT(ISERROR(SEARCH("No",J19)))</formula>
    </cfRule>
    <cfRule type="containsText" dxfId="112" priority="4" operator="containsText" text="Yes">
      <formula>NOT(ISERROR(SEARCH("Yes",J19)))</formula>
    </cfRule>
  </conditionalFormatting>
  <conditionalFormatting sqref="M19:M22">
    <cfRule type="containsText" dxfId="111" priority="1" operator="containsText" text="No">
      <formula>NOT(ISERROR(SEARCH("No",M19)))</formula>
    </cfRule>
    <cfRule type="containsText" dxfId="110" priority="2" operator="containsText" text="Yes">
      <formula>NOT(ISERROR(SEARCH("Yes",M19)))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C71629-A424-4F57-96BC-B7ED6F085B1C}">
          <x14:formula1>
            <xm:f>Einstellungsdaten!$A$1:$A$2</xm:f>
          </x14:formula1>
          <xm:sqref>D23:D1048576 G1:G15 D1:D15 G23:G1048576</xm:sqref>
        </x14:dataValidation>
        <x14:dataValidation type="list" allowBlank="1" showInputMessage="1" showErrorMessage="1" xr:uid="{C12970BF-B5F9-4F34-9F0A-132629CD4574}">
          <x14:formula1>
            <xm:f>Einstellungsdaten!$C$1:$C$2</xm:f>
          </x14:formula1>
          <xm:sqref>H1:H15 H23:H1048576</xm:sqref>
        </x14:dataValidation>
        <x14:dataValidation type="list" allowBlank="1" showInputMessage="1" showErrorMessage="1" xr:uid="{77AC74A8-8A15-4FDE-9614-E2826CF86768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D4D2-7F5B-4F7C-B246-CEA96FC5E33E}">
  <dimension ref="A1:N45"/>
  <sheetViews>
    <sheetView topLeftCell="A29" workbookViewId="0">
      <selection activeCell="K43" sqref="K43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90" x14ac:dyDescent="0.25">
      <c r="A2" t="s">
        <v>9</v>
      </c>
      <c r="B2" t="s">
        <v>98</v>
      </c>
      <c r="C2" s="1">
        <v>2.65625</v>
      </c>
      <c r="D2" t="s">
        <v>11</v>
      </c>
      <c r="E2" s="2" t="s">
        <v>99</v>
      </c>
      <c r="F2" s="3">
        <v>0</v>
      </c>
      <c r="G2" t="s">
        <v>21</v>
      </c>
    </row>
    <row r="3" spans="1:9" ht="45" x14ac:dyDescent="0.25">
      <c r="A3" t="s">
        <v>13</v>
      </c>
      <c r="B3" t="s">
        <v>100</v>
      </c>
      <c r="D3" t="s">
        <v>11</v>
      </c>
      <c r="E3" s="2" t="s">
        <v>101</v>
      </c>
      <c r="G3" t="s">
        <v>11</v>
      </c>
    </row>
    <row r="4" spans="1:9" ht="90" x14ac:dyDescent="0.25">
      <c r="A4" t="s">
        <v>23</v>
      </c>
      <c r="B4" t="s">
        <v>102</v>
      </c>
      <c r="C4" s="1">
        <v>1.4285715000000001</v>
      </c>
      <c r="D4" t="s">
        <v>21</v>
      </c>
      <c r="E4" s="2" t="s">
        <v>103</v>
      </c>
      <c r="F4" s="1">
        <v>0</v>
      </c>
      <c r="G4" t="s">
        <v>11</v>
      </c>
    </row>
    <row r="5" spans="1:9" ht="75" x14ac:dyDescent="0.25">
      <c r="A5" t="s">
        <v>9</v>
      </c>
      <c r="B5" t="s">
        <v>104</v>
      </c>
      <c r="C5" s="1">
        <v>2</v>
      </c>
      <c r="D5" t="s">
        <v>11</v>
      </c>
      <c r="E5" s="2" t="s">
        <v>105</v>
      </c>
      <c r="F5" s="1">
        <v>0</v>
      </c>
      <c r="G5" t="s">
        <v>21</v>
      </c>
      <c r="I5" t="s">
        <v>75</v>
      </c>
    </row>
    <row r="6" spans="1:9" ht="75" x14ac:dyDescent="0.25">
      <c r="A6" t="s">
        <v>9</v>
      </c>
      <c r="B6" t="s">
        <v>106</v>
      </c>
      <c r="C6" s="1">
        <v>2</v>
      </c>
      <c r="D6" t="s">
        <v>11</v>
      </c>
      <c r="E6" s="2" t="s">
        <v>107</v>
      </c>
      <c r="F6" s="1">
        <v>0</v>
      </c>
      <c r="G6" t="s">
        <v>21</v>
      </c>
      <c r="I6" t="s">
        <v>75</v>
      </c>
    </row>
    <row r="7" spans="1:9" ht="75" x14ac:dyDescent="0.25">
      <c r="A7" t="s">
        <v>9</v>
      </c>
      <c r="B7" t="s">
        <v>108</v>
      </c>
      <c r="C7" s="1">
        <v>2</v>
      </c>
      <c r="D7" t="s">
        <v>11</v>
      </c>
      <c r="E7" s="2" t="s">
        <v>109</v>
      </c>
      <c r="F7" s="1">
        <v>0</v>
      </c>
      <c r="G7" t="s">
        <v>21</v>
      </c>
      <c r="I7" t="s">
        <v>75</v>
      </c>
    </row>
    <row r="8" spans="1:9" ht="75" x14ac:dyDescent="0.25">
      <c r="A8" t="s">
        <v>9</v>
      </c>
      <c r="B8" t="s">
        <v>110</v>
      </c>
      <c r="C8" s="1">
        <v>0.90909094000000001</v>
      </c>
      <c r="D8" t="s">
        <v>21</v>
      </c>
      <c r="E8" s="2" t="s">
        <v>111</v>
      </c>
      <c r="F8" s="1">
        <v>0</v>
      </c>
      <c r="G8" t="s">
        <v>21</v>
      </c>
      <c r="I8" t="s">
        <v>75</v>
      </c>
    </row>
    <row r="9" spans="1:9" x14ac:dyDescent="0.25">
      <c r="A9" t="s">
        <v>23</v>
      </c>
      <c r="B9" t="s">
        <v>112</v>
      </c>
      <c r="C9" s="1">
        <v>0.8333334</v>
      </c>
      <c r="D9" t="s">
        <v>11</v>
      </c>
      <c r="E9" s="2"/>
      <c r="G9" t="s">
        <v>21</v>
      </c>
    </row>
    <row r="10" spans="1:9" ht="90" x14ac:dyDescent="0.25">
      <c r="A10" t="s">
        <v>23</v>
      </c>
      <c r="B10" t="s">
        <v>113</v>
      </c>
      <c r="C10" s="1">
        <v>2.5</v>
      </c>
      <c r="D10" t="s">
        <v>21</v>
      </c>
      <c r="E10" s="2" t="s">
        <v>114</v>
      </c>
      <c r="F10" s="1">
        <v>0</v>
      </c>
      <c r="G10" t="s">
        <v>11</v>
      </c>
    </row>
    <row r="11" spans="1:9" x14ac:dyDescent="0.25">
      <c r="A11" t="s">
        <v>23</v>
      </c>
      <c r="B11" t="s">
        <v>115</v>
      </c>
      <c r="C11" s="1">
        <v>0</v>
      </c>
      <c r="D11" t="s">
        <v>11</v>
      </c>
      <c r="E11" s="2"/>
      <c r="G11" t="s">
        <v>21</v>
      </c>
    </row>
    <row r="12" spans="1:9" ht="90" x14ac:dyDescent="0.25">
      <c r="A12" t="s">
        <v>23</v>
      </c>
      <c r="B12" t="s">
        <v>116</v>
      </c>
      <c r="C12" s="1">
        <v>1.875</v>
      </c>
      <c r="D12" t="s">
        <v>21</v>
      </c>
      <c r="E12" s="2" t="s">
        <v>117</v>
      </c>
      <c r="F12" s="1">
        <v>0</v>
      </c>
      <c r="G12" t="s">
        <v>11</v>
      </c>
    </row>
    <row r="13" spans="1:9" ht="90" x14ac:dyDescent="0.25">
      <c r="A13" t="s">
        <v>23</v>
      </c>
      <c r="B13" t="s">
        <v>118</v>
      </c>
      <c r="C13" s="1">
        <v>1.4285715000000001</v>
      </c>
      <c r="D13" t="s">
        <v>21</v>
      </c>
      <c r="E13" s="2" t="s">
        <v>119</v>
      </c>
      <c r="F13" s="1">
        <v>0</v>
      </c>
      <c r="G13" t="s">
        <v>11</v>
      </c>
    </row>
    <row r="14" spans="1:9" x14ac:dyDescent="0.25">
      <c r="A14" t="s">
        <v>9</v>
      </c>
      <c r="B14" t="s">
        <v>120</v>
      </c>
      <c r="C14" s="1">
        <v>1.25</v>
      </c>
      <c r="D14" t="s">
        <v>11</v>
      </c>
      <c r="E14" s="2"/>
      <c r="G14" t="s">
        <v>11</v>
      </c>
      <c r="H14" t="s">
        <v>1</v>
      </c>
    </row>
    <row r="15" spans="1:9" ht="75" x14ac:dyDescent="0.25">
      <c r="A15" t="s">
        <v>23</v>
      </c>
      <c r="B15" t="s">
        <v>121</v>
      </c>
      <c r="C15" s="1">
        <v>2.1428569999999998</v>
      </c>
      <c r="D15" t="s">
        <v>21</v>
      </c>
      <c r="E15" s="2" t="s">
        <v>122</v>
      </c>
      <c r="F15" s="1">
        <v>0</v>
      </c>
      <c r="G15" t="s">
        <v>11</v>
      </c>
    </row>
    <row r="16" spans="1:9" x14ac:dyDescent="0.25">
      <c r="A16" t="s">
        <v>29</v>
      </c>
      <c r="B16" t="s">
        <v>123</v>
      </c>
      <c r="C16" s="1">
        <v>1.6666666999999999</v>
      </c>
      <c r="D16" t="s">
        <v>11</v>
      </c>
      <c r="G16" t="s">
        <v>11</v>
      </c>
      <c r="H16" t="s">
        <v>1</v>
      </c>
    </row>
    <row r="17" spans="1:9" ht="90" x14ac:dyDescent="0.25">
      <c r="A17" t="s">
        <v>23</v>
      </c>
      <c r="B17" t="s">
        <v>124</v>
      </c>
      <c r="C17" s="1">
        <v>1.111111</v>
      </c>
      <c r="D17" t="s">
        <v>21</v>
      </c>
      <c r="E17" s="2" t="s">
        <v>125</v>
      </c>
      <c r="F17" s="1">
        <v>0</v>
      </c>
      <c r="G17" t="s">
        <v>11</v>
      </c>
    </row>
    <row r="18" spans="1:9" x14ac:dyDescent="0.25">
      <c r="A18" t="s">
        <v>9</v>
      </c>
      <c r="B18" t="s">
        <v>126</v>
      </c>
      <c r="C18" s="1">
        <v>1.25</v>
      </c>
      <c r="D18" t="s">
        <v>11</v>
      </c>
      <c r="E18" s="2"/>
      <c r="G18" t="s">
        <v>11</v>
      </c>
      <c r="H18" t="s">
        <v>1</v>
      </c>
    </row>
    <row r="19" spans="1:9" ht="90" x14ac:dyDescent="0.25">
      <c r="A19" t="s">
        <v>23</v>
      </c>
      <c r="B19" t="s">
        <v>127</v>
      </c>
      <c r="C19" s="1">
        <v>1.25</v>
      </c>
      <c r="D19" t="s">
        <v>21</v>
      </c>
      <c r="E19" s="2" t="s">
        <v>128</v>
      </c>
      <c r="F19" s="1">
        <v>0</v>
      </c>
      <c r="G19" t="s">
        <v>11</v>
      </c>
    </row>
    <row r="20" spans="1:9" x14ac:dyDescent="0.25">
      <c r="A20" t="s">
        <v>9</v>
      </c>
      <c r="B20" t="s">
        <v>129</v>
      </c>
      <c r="C20" s="1">
        <v>0.8333334</v>
      </c>
      <c r="D20" t="s">
        <v>21</v>
      </c>
      <c r="G20" t="s">
        <v>11</v>
      </c>
      <c r="I20" t="s">
        <v>75</v>
      </c>
    </row>
    <row r="21" spans="1:9" ht="90" x14ac:dyDescent="0.25">
      <c r="A21" t="s">
        <v>9</v>
      </c>
      <c r="B21" t="s">
        <v>130</v>
      </c>
      <c r="C21" s="1">
        <v>1.6666666999999999</v>
      </c>
      <c r="D21" t="s">
        <v>11</v>
      </c>
      <c r="E21" s="2" t="s">
        <v>131</v>
      </c>
      <c r="F21" s="1">
        <v>0</v>
      </c>
      <c r="G21" t="s">
        <v>21</v>
      </c>
      <c r="I21" t="s">
        <v>75</v>
      </c>
    </row>
    <row r="22" spans="1:9" x14ac:dyDescent="0.25">
      <c r="A22" t="s">
        <v>23</v>
      </c>
      <c r="B22" t="s">
        <v>132</v>
      </c>
      <c r="C22" s="1">
        <v>0</v>
      </c>
      <c r="D22" t="s">
        <v>11</v>
      </c>
      <c r="G22" t="s">
        <v>21</v>
      </c>
    </row>
    <row r="23" spans="1:9" x14ac:dyDescent="0.25">
      <c r="A23" t="s">
        <v>23</v>
      </c>
      <c r="B23" t="s">
        <v>133</v>
      </c>
      <c r="C23" s="1">
        <v>0</v>
      </c>
      <c r="D23" t="s">
        <v>11</v>
      </c>
      <c r="G23" t="s">
        <v>21</v>
      </c>
    </row>
    <row r="24" spans="1:9" ht="90" x14ac:dyDescent="0.25">
      <c r="A24" t="s">
        <v>23</v>
      </c>
      <c r="B24" t="s">
        <v>134</v>
      </c>
      <c r="C24" s="1">
        <v>2.5</v>
      </c>
      <c r="D24" t="s">
        <v>21</v>
      </c>
      <c r="E24" s="2" t="s">
        <v>135</v>
      </c>
      <c r="F24" s="1">
        <v>0</v>
      </c>
      <c r="G24" t="s">
        <v>11</v>
      </c>
    </row>
    <row r="25" spans="1:9" x14ac:dyDescent="0.25">
      <c r="A25" t="s">
        <v>23</v>
      </c>
      <c r="B25" t="s">
        <v>136</v>
      </c>
      <c r="C25" s="1">
        <v>1</v>
      </c>
      <c r="D25" t="s">
        <v>21</v>
      </c>
      <c r="G25" t="s">
        <v>21</v>
      </c>
      <c r="H25" t="s">
        <v>1</v>
      </c>
    </row>
    <row r="26" spans="1:9" ht="75" x14ac:dyDescent="0.25">
      <c r="A26" t="s">
        <v>23</v>
      </c>
      <c r="B26" t="s">
        <v>137</v>
      </c>
      <c r="C26" s="1">
        <v>1</v>
      </c>
      <c r="D26" t="s">
        <v>21</v>
      </c>
      <c r="E26" s="2" t="s">
        <v>138</v>
      </c>
      <c r="F26" s="1">
        <v>0</v>
      </c>
      <c r="G26" t="s">
        <v>11</v>
      </c>
    </row>
    <row r="27" spans="1:9" ht="90" x14ac:dyDescent="0.25">
      <c r="A27" t="s">
        <v>23</v>
      </c>
      <c r="B27" t="s">
        <v>139</v>
      </c>
      <c r="C27" s="1">
        <v>1.3636364000000001</v>
      </c>
      <c r="D27" t="s">
        <v>21</v>
      </c>
      <c r="E27" s="2" t="s">
        <v>140</v>
      </c>
      <c r="F27" s="1">
        <v>0</v>
      </c>
      <c r="G27" t="s">
        <v>11</v>
      </c>
    </row>
    <row r="28" spans="1:9" x14ac:dyDescent="0.25">
      <c r="A28" t="s">
        <v>23</v>
      </c>
      <c r="B28" t="s">
        <v>141</v>
      </c>
      <c r="C28" s="1">
        <v>1</v>
      </c>
      <c r="D28" t="s">
        <v>21</v>
      </c>
      <c r="G28" t="s">
        <v>21</v>
      </c>
      <c r="H28" t="s">
        <v>1</v>
      </c>
    </row>
    <row r="29" spans="1:9" ht="90" x14ac:dyDescent="0.25">
      <c r="A29" t="s">
        <v>23</v>
      </c>
      <c r="B29" t="s">
        <v>142</v>
      </c>
      <c r="C29" s="1">
        <v>1.25</v>
      </c>
      <c r="D29" t="s">
        <v>21</v>
      </c>
      <c r="E29" s="2" t="s">
        <v>143</v>
      </c>
      <c r="F29" s="1">
        <v>0</v>
      </c>
      <c r="G29" t="s">
        <v>11</v>
      </c>
    </row>
    <row r="30" spans="1:9" x14ac:dyDescent="0.25">
      <c r="A30" t="s">
        <v>9</v>
      </c>
      <c r="B30" t="s">
        <v>144</v>
      </c>
      <c r="C30" s="1">
        <v>1.6666666999999999</v>
      </c>
      <c r="D30" t="s">
        <v>11</v>
      </c>
      <c r="G30" t="s">
        <v>11</v>
      </c>
      <c r="H30" t="s">
        <v>1</v>
      </c>
    </row>
    <row r="31" spans="1:9" x14ac:dyDescent="0.25">
      <c r="A31" t="s">
        <v>9</v>
      </c>
      <c r="B31" t="s">
        <v>145</v>
      </c>
      <c r="C31" s="1">
        <v>1.4285715000000001</v>
      </c>
      <c r="D31" t="s">
        <v>11</v>
      </c>
      <c r="G31" t="s">
        <v>11</v>
      </c>
      <c r="H31" t="s">
        <v>1</v>
      </c>
    </row>
    <row r="32" spans="1:9" x14ac:dyDescent="0.25">
      <c r="A32" t="s">
        <v>9</v>
      </c>
      <c r="B32" t="s">
        <v>146</v>
      </c>
      <c r="C32" s="1">
        <v>1</v>
      </c>
      <c r="D32" t="s">
        <v>11</v>
      </c>
      <c r="G32" t="s">
        <v>11</v>
      </c>
      <c r="H32" t="s">
        <v>1</v>
      </c>
    </row>
    <row r="33" spans="1:14" ht="90" x14ac:dyDescent="0.25">
      <c r="A33" t="s">
        <v>23</v>
      </c>
      <c r="B33" t="s">
        <v>147</v>
      </c>
      <c r="C33" s="1">
        <v>1.25</v>
      </c>
      <c r="D33" t="s">
        <v>21</v>
      </c>
      <c r="E33" s="2" t="s">
        <v>148</v>
      </c>
      <c r="F33" s="1">
        <v>0</v>
      </c>
      <c r="G33" t="s">
        <v>11</v>
      </c>
    </row>
    <row r="34" spans="1:14" x14ac:dyDescent="0.25">
      <c r="A34" t="s">
        <v>9</v>
      </c>
      <c r="B34" t="s">
        <v>149</v>
      </c>
      <c r="C34" s="1">
        <v>1.6666666999999999</v>
      </c>
      <c r="D34" t="s">
        <v>11</v>
      </c>
      <c r="G34" t="s">
        <v>11</v>
      </c>
      <c r="H34" t="s">
        <v>1</v>
      </c>
    </row>
    <row r="35" spans="1:14" x14ac:dyDescent="0.25">
      <c r="A35" t="s">
        <v>9</v>
      </c>
      <c r="B35" t="s">
        <v>150</v>
      </c>
      <c r="C35" s="1">
        <v>1.4285715000000001</v>
      </c>
      <c r="D35" t="s">
        <v>11</v>
      </c>
      <c r="G35" t="s">
        <v>11</v>
      </c>
      <c r="H35" t="s">
        <v>1</v>
      </c>
    </row>
    <row r="36" spans="1:14" ht="90" x14ac:dyDescent="0.25">
      <c r="A36" t="s">
        <v>23</v>
      </c>
      <c r="B36" t="s">
        <v>151</v>
      </c>
      <c r="C36" s="1">
        <v>1</v>
      </c>
      <c r="D36" t="s">
        <v>21</v>
      </c>
      <c r="E36" s="2" t="s">
        <v>152</v>
      </c>
      <c r="F36" s="1">
        <v>0</v>
      </c>
      <c r="G36" t="s">
        <v>11</v>
      </c>
    </row>
    <row r="38" spans="1:14" x14ac:dyDescent="0.25">
      <c r="B38" s="4" t="s">
        <v>46</v>
      </c>
      <c r="C38" s="1">
        <f>AVERAGE(C2:C36)</f>
        <v>1.3633989688235295</v>
      </c>
      <c r="D38">
        <f>COUNTIF(D2:D36,"Yes")</f>
        <v>18</v>
      </c>
      <c r="E38" s="5"/>
      <c r="F38" s="1">
        <f>AVERAGE(F2:F36)</f>
        <v>0</v>
      </c>
      <c r="G38">
        <f>COUNTIF(G2:G36,"Yes")</f>
        <v>23</v>
      </c>
      <c r="H38">
        <f>COUNTIF(H2:H36,"DocTool")</f>
        <v>10</v>
      </c>
    </row>
    <row r="39" spans="1:14" x14ac:dyDescent="0.25">
      <c r="B39" s="4" t="s">
        <v>47</v>
      </c>
      <c r="C39" s="1">
        <f>_xlfn.STDEV.P(C2:C36)</f>
        <v>0.63843284133775968</v>
      </c>
      <c r="D39" s="5">
        <f>D38/ROWS(D2:D36)</f>
        <v>0.51428571428571423</v>
      </c>
      <c r="F39" s="1">
        <f>_xlfn.STDEV.P(F2:F36)</f>
        <v>0</v>
      </c>
      <c r="G39" s="5">
        <f>G38/ROWS(G2:G36)</f>
        <v>0.65714285714285714</v>
      </c>
      <c r="H39" s="5">
        <f>H38/COUNTA(H2:H36)</f>
        <v>1</v>
      </c>
    </row>
    <row r="40" spans="1:14" x14ac:dyDescent="0.25">
      <c r="B40" t="s">
        <v>1</v>
      </c>
      <c r="E40" s="2"/>
      <c r="I40" t="s">
        <v>4</v>
      </c>
    </row>
    <row r="41" spans="1:14" x14ac:dyDescent="0.25">
      <c r="B41" t="s">
        <v>0</v>
      </c>
      <c r="C41" t="s">
        <v>48</v>
      </c>
      <c r="D41" t="s">
        <v>49</v>
      </c>
      <c r="E41" t="s">
        <v>2</v>
      </c>
      <c r="F41" t="s">
        <v>50</v>
      </c>
      <c r="G41" t="s">
        <v>51</v>
      </c>
      <c r="H41" t="s">
        <v>52</v>
      </c>
      <c r="I41" t="s">
        <v>48</v>
      </c>
      <c r="J41" t="s">
        <v>49</v>
      </c>
      <c r="K41" t="s">
        <v>2</v>
      </c>
      <c r="L41" t="s">
        <v>50</v>
      </c>
      <c r="M41" t="s">
        <v>51</v>
      </c>
      <c r="N41" t="s">
        <v>52</v>
      </c>
    </row>
    <row r="42" spans="1:14" x14ac:dyDescent="0.25">
      <c r="B42" t="str" cm="1">
        <f t="array" ref="B42:B45">_xlfn.UNIQUE(_xlfn._xlws.FILTER(Login[Kategorie],Login[Kategorie]&lt;&gt;""))</f>
        <v>imperfect</v>
      </c>
      <c r="C42" s="1">
        <f>COUNTIFS(Login[Kategorie], B42, Login[Right/Wrong], "Yes")</f>
        <v>12</v>
      </c>
      <c r="D42" s="5">
        <f>C42/COUNTIF(Login[Kategorie],B42)</f>
        <v>0.8571428571428571</v>
      </c>
      <c r="E42" s="2">
        <f>AVERAGEIF(Login[Kategorie],B42,Login[Alibi-Score])</f>
        <v>1.55398696</v>
      </c>
      <c r="F42" s="1" cm="1">
        <f t="array" ref="F42">_xlfn.STDEV.P(IF(Login[Kategorie]=B42, Login[Alibi-Score]))</f>
        <v>0.48611176531124611</v>
      </c>
      <c r="G42">
        <f>COUNTIFS(Login[Kategorie], B42,Login[Who is better?],"DocTool")</f>
        <v>7</v>
      </c>
      <c r="H42" s="5">
        <f>G42/COUNTIFS(Login[Kategorie],B42,Login[Who is better?],"&lt;&gt;")</f>
        <v>1</v>
      </c>
      <c r="I42" s="1">
        <f>COUNTIFS(Login[Kategorie], B42, Login[Right/Wrong3], "Yes")</f>
        <v>8</v>
      </c>
      <c r="J42" s="5">
        <f>I42/COUNTIF(Login[Kategorie],B42)</f>
        <v>0.5714285714285714</v>
      </c>
      <c r="K42" s="2">
        <f>AVERAGEIF(Login[Kategorie],B42,Login[Alibi-Score2])</f>
        <v>0</v>
      </c>
      <c r="L42" s="1" cm="1">
        <f t="array" ref="L42">_xlfn.STDEV.P(IF(Login[Kategorie]=B42, Login[Alibi-Score2]))</f>
        <v>0</v>
      </c>
      <c r="M42">
        <f>COUNTIFS(Login[Kategorie], B42,Login[Who is better?],"GPT")</f>
        <v>0</v>
      </c>
      <c r="N42" s="5">
        <f>M42/COUNTIFS(Login[Kategorie],B42,Login[Who is better?],"&lt;&gt;")</f>
        <v>0</v>
      </c>
    </row>
    <row r="43" spans="1:14" x14ac:dyDescent="0.25">
      <c r="B43" t="str">
        <v>missing</v>
      </c>
      <c r="C43" s="1">
        <f>COUNTIFS(Login[Kategorie], B43, Login[Right/Wrong], "Yes")</f>
        <v>1</v>
      </c>
      <c r="D43" s="5">
        <f>C43/COUNTIF(Login[Kategorie],B43)</f>
        <v>1</v>
      </c>
      <c r="E43" s="2" t="e">
        <f>AVERAGEIF(Login[Kategorie],B43,Login[Alibi-Score])</f>
        <v>#DIV/0!</v>
      </c>
      <c r="F43" s="1" cm="1">
        <f t="array" ref="F43">_xlfn.STDEV.P(IF(Login[Kategorie]=B43, Login[Alibi-Score]))</f>
        <v>0</v>
      </c>
      <c r="G43">
        <f>COUNTIFS(Login[Kategorie], B43,Login[Who is better?],"DocTool")</f>
        <v>0</v>
      </c>
      <c r="H43" s="5" t="e">
        <f>G43/COUNTIFS(Login[Kategorie],B43,Login[Who is better?],"&lt;&gt;")</f>
        <v>#DIV/0!</v>
      </c>
      <c r="I43" s="1">
        <f>COUNTIFS(Login[Kategorie], B43, Login[Right/Wrong3], "Yes")</f>
        <v>1</v>
      </c>
      <c r="J43" s="5">
        <f>I43/COUNTIF(Login[Kategorie],B43)</f>
        <v>1</v>
      </c>
      <c r="K43" s="2" t="e">
        <f>AVERAGEIF(Login[Kategorie],B43,Login[Alibi-Score2])</f>
        <v>#DIV/0!</v>
      </c>
      <c r="L43" s="1" cm="1">
        <f t="array" ref="L43">_xlfn.STDEV.P(IF(Login[Kategorie]=B43, Login[Alibi-Score2]))</f>
        <v>0</v>
      </c>
      <c r="M43">
        <f>COUNTIFS(Login[Kategorie], B43,Login[Who is better?],"GPT")</f>
        <v>0</v>
      </c>
      <c r="N43" s="5" t="e">
        <f>M43/COUNTIFS(Login[Kategorie],B43,Login[Who is better?],"&lt;&gt;")</f>
        <v>#DIV/0!</v>
      </c>
    </row>
    <row r="44" spans="1:14" x14ac:dyDescent="0.25">
      <c r="B44" t="str">
        <v>alibi</v>
      </c>
      <c r="C44" s="1">
        <f>COUNTIFS(Login[Kategorie], B44, Login[Right/Wrong], "Yes")</f>
        <v>4</v>
      </c>
      <c r="D44" s="5">
        <f>C44/COUNTIF(Login[Kategorie],B44)</f>
        <v>0.21052631578947367</v>
      </c>
      <c r="E44" s="2">
        <f>AVERAGEIF(Login[Kategorie],B44,Login[Alibi-Score])</f>
        <v>1.207004252631579</v>
      </c>
      <c r="F44" s="1" cm="1">
        <f t="array" ref="F44">_xlfn.STDEV.P(IF(Login[Kategorie]=B44, Login[Alibi-Score]))</f>
        <v>0.70654029472796864</v>
      </c>
      <c r="G44">
        <f>COUNTIFS(Login[Kategorie], B44,Login[Who is better?],"DocTool")</f>
        <v>2</v>
      </c>
      <c r="H44" s="5">
        <f>G44/COUNTIFS(Login[Kategorie],B44,Login[Who is better?],"&lt;&gt;")</f>
        <v>1</v>
      </c>
      <c r="I44" s="1">
        <f>COUNTIFS(Login[Kategorie], B44, Login[Right/Wrong3], "Yes")</f>
        <v>13</v>
      </c>
      <c r="J44" s="5">
        <f>I44/COUNTIF(Login[Kategorie],B44)</f>
        <v>0.68421052631578949</v>
      </c>
      <c r="K44" s="2">
        <f>AVERAGEIF(Login[Kategorie],B44,Login[Alibi-Score2])</f>
        <v>0</v>
      </c>
      <c r="L44" s="1" cm="1">
        <f t="array" ref="L44">_xlfn.STDEV.P(IF(Login[Kategorie]=B44, Login[Alibi-Score2]))</f>
        <v>0</v>
      </c>
      <c r="M44">
        <f>COUNTIFS(Login[Kategorie], B44,Login[Who is better?],"GPT")</f>
        <v>0</v>
      </c>
      <c r="N44" s="5">
        <f>M44/COUNTIFS(Login[Kategorie],B44,Login[Who is better?],"&lt;&gt;")</f>
        <v>0</v>
      </c>
    </row>
    <row r="45" spans="1:14" x14ac:dyDescent="0.25">
      <c r="B45" t="str">
        <v>great</v>
      </c>
      <c r="C45" s="1">
        <f>COUNTIFS(Login[Kategorie], B45, Login[Right/Wrong], "Yes")</f>
        <v>1</v>
      </c>
      <c r="D45" s="5">
        <f>C45/COUNTIF(Login[Kategorie],B45)</f>
        <v>1</v>
      </c>
      <c r="E45" s="2">
        <f>AVERAGEIF(Login[Kategorie],B45,Login[Alibi-Score])</f>
        <v>1.6666666999999999</v>
      </c>
      <c r="F45" s="1" cm="1">
        <f t="array" ref="F45">_xlfn.STDEV.P(IF(Login[Kategorie]=B45, Login[Alibi-Score]))</f>
        <v>0</v>
      </c>
      <c r="G45">
        <f>COUNTIFS(Login[Kategorie], B45,Login[Who is better?],"DocTool")</f>
        <v>1</v>
      </c>
      <c r="H45" s="5">
        <f>G45/COUNTIFS(Login[Kategorie],B45,Login[Who is better?],"&lt;&gt;")</f>
        <v>1</v>
      </c>
      <c r="I45" s="1">
        <f>COUNTIFS(Login[Kategorie], B45, Login[Right/Wrong3], "Yes")</f>
        <v>1</v>
      </c>
      <c r="J45" s="5">
        <f>I45/COUNTIF(Login[Kategorie],B45)</f>
        <v>1</v>
      </c>
      <c r="K45" s="2" t="e">
        <f>AVERAGEIF(Login[Kategorie],B45,Login[Alibi-Score2])</f>
        <v>#DIV/0!</v>
      </c>
      <c r="L45" s="1" cm="1">
        <f t="array" ref="L45">_xlfn.STDEV.P(IF(Login[Kategorie]=B45, Login[Alibi-Score2]))</f>
        <v>0</v>
      </c>
      <c r="M45">
        <f>COUNTIFS(Login[Kategorie], B45,Login[Who is better?],"GPT")</f>
        <v>0</v>
      </c>
      <c r="N45" s="5">
        <f>M45/COUNTIFS(Login[Kategorie],B45,Login[Who is better?],"&lt;&gt;")</f>
        <v>0</v>
      </c>
    </row>
  </sheetData>
  <conditionalFormatting sqref="D1:D38">
    <cfRule type="containsText" dxfId="109" priority="11" operator="containsText" text="No">
      <formula>NOT(ISERROR(SEARCH("No",D1)))</formula>
    </cfRule>
    <cfRule type="containsText" dxfId="108" priority="12" operator="containsText" text="Yes">
      <formula>NOT(ISERROR(SEARCH("Yes",D1)))</formula>
    </cfRule>
  </conditionalFormatting>
  <conditionalFormatting sqref="D40:D1048576">
    <cfRule type="containsText" dxfId="107" priority="7" operator="containsText" text="No">
      <formula>NOT(ISERROR(SEARCH("No",D40)))</formula>
    </cfRule>
    <cfRule type="containsText" dxfId="106" priority="8" operator="containsText" text="Yes">
      <formula>NOT(ISERROR(SEARCH("Yes",D40)))</formula>
    </cfRule>
  </conditionalFormatting>
  <conditionalFormatting sqref="G1:G37">
    <cfRule type="containsText" dxfId="105" priority="13" operator="containsText" text="No">
      <formula>NOT(ISERROR(SEARCH("No",G1)))</formula>
    </cfRule>
    <cfRule type="containsText" dxfId="104" priority="14" operator="containsText" text="Yes">
      <formula>NOT(ISERROR(SEARCH("Yes",G1)))</formula>
    </cfRule>
  </conditionalFormatting>
  <conditionalFormatting sqref="G40:G1048576">
    <cfRule type="containsText" dxfId="103" priority="5" operator="containsText" text="No">
      <formula>NOT(ISERROR(SEARCH("No",G40)))</formula>
    </cfRule>
    <cfRule type="containsText" dxfId="102" priority="6" operator="containsText" text="Yes">
      <formula>NOT(ISERROR(SEARCH("Yes",G40)))</formula>
    </cfRule>
  </conditionalFormatting>
  <conditionalFormatting sqref="G38:H38">
    <cfRule type="containsText" dxfId="101" priority="9" operator="containsText" text="No">
      <formula>NOT(ISERROR(SEARCH("No",G38)))</formula>
    </cfRule>
    <cfRule type="containsText" dxfId="100" priority="10" operator="containsText" text="Yes">
      <formula>NOT(ISERROR(SEARCH("Yes",G38)))</formula>
    </cfRule>
  </conditionalFormatting>
  <conditionalFormatting sqref="J41:J45">
    <cfRule type="containsText" dxfId="99" priority="3" operator="containsText" text="No">
      <formula>NOT(ISERROR(SEARCH("No",J41)))</formula>
    </cfRule>
    <cfRule type="containsText" dxfId="98" priority="4" operator="containsText" text="Yes">
      <formula>NOT(ISERROR(SEARCH("Yes",J41)))</formula>
    </cfRule>
  </conditionalFormatting>
  <conditionalFormatting sqref="M41:M45">
    <cfRule type="containsText" dxfId="97" priority="1" operator="containsText" text="No">
      <formula>NOT(ISERROR(SEARCH("No",M41)))</formula>
    </cfRule>
    <cfRule type="containsText" dxfId="96" priority="2" operator="containsText" text="Yes">
      <formula>NOT(ISERROR(SEARCH("Yes",M41)))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A4374BF-01EC-45BE-83DC-CB3B7FBD326F}">
          <x14:formula1>
            <xm:f>Einstellungsdaten!$C$1:$C$2</xm:f>
          </x14:formula1>
          <xm:sqref>H1:H37 H46:H1048576</xm:sqref>
        </x14:dataValidation>
        <x14:dataValidation type="list" allowBlank="1" showInputMessage="1" showErrorMessage="1" xr:uid="{E1939FB9-7EE0-479A-AF1C-E2FC684140A6}">
          <x14:formula1>
            <xm:f>Einstellungsdaten!$A$1:$A$2</xm:f>
          </x14:formula1>
          <xm:sqref>D46:D1048576 G1:G37 D1:D37 G46:G1048576</xm:sqref>
        </x14:dataValidation>
        <x14:dataValidation type="list" allowBlank="1" showInputMessage="1" showErrorMessage="1" xr:uid="{52701C1D-91DA-4308-AF83-E5BEFB2266A8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D610-C1B4-42F6-9120-ED4E79FB9F89}">
  <dimension ref="A1:N36"/>
  <sheetViews>
    <sheetView topLeftCell="A3" workbookViewId="0">
      <selection activeCell="H2" sqref="H2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4" ht="105" x14ac:dyDescent="0.25">
      <c r="A2" t="s">
        <v>23</v>
      </c>
      <c r="B2" t="s">
        <v>153</v>
      </c>
      <c r="D2" t="s">
        <v>21</v>
      </c>
      <c r="E2" s="2" t="s">
        <v>154</v>
      </c>
      <c r="F2" s="3">
        <v>0</v>
      </c>
      <c r="G2" t="s">
        <v>11</v>
      </c>
      <c r="I2" t="s">
        <v>155</v>
      </c>
    </row>
    <row r="3" spans="1:14" ht="90" x14ac:dyDescent="0.25">
      <c r="A3" t="s">
        <v>23</v>
      </c>
      <c r="B3" t="s">
        <v>156</v>
      </c>
      <c r="C3" s="1">
        <v>1.6666666999999999</v>
      </c>
      <c r="D3" t="s">
        <v>21</v>
      </c>
      <c r="E3" s="2" t="s">
        <v>157</v>
      </c>
      <c r="F3" s="1">
        <v>0</v>
      </c>
      <c r="G3" t="s">
        <v>11</v>
      </c>
    </row>
    <row r="4" spans="1:14" ht="90" x14ac:dyDescent="0.25">
      <c r="A4" t="s">
        <v>23</v>
      </c>
      <c r="B4" t="s">
        <v>158</v>
      </c>
      <c r="C4" s="1">
        <v>1.6666666999999999</v>
      </c>
      <c r="D4" t="s">
        <v>21</v>
      </c>
      <c r="E4" s="2" t="s">
        <v>159</v>
      </c>
      <c r="F4" s="1">
        <v>0</v>
      </c>
      <c r="G4" t="s">
        <v>11</v>
      </c>
    </row>
    <row r="5" spans="1:14" ht="90" x14ac:dyDescent="0.25">
      <c r="A5" t="s">
        <v>59</v>
      </c>
      <c r="B5" t="s">
        <v>160</v>
      </c>
      <c r="C5" s="1">
        <v>2.5</v>
      </c>
      <c r="D5" t="s">
        <v>21</v>
      </c>
      <c r="E5" s="2" t="s">
        <v>161</v>
      </c>
      <c r="F5" s="1">
        <v>0</v>
      </c>
      <c r="G5" t="s">
        <v>21</v>
      </c>
      <c r="H5" t="s">
        <v>4</v>
      </c>
      <c r="I5" t="s">
        <v>162</v>
      </c>
    </row>
    <row r="6" spans="1:14" ht="90" x14ac:dyDescent="0.25">
      <c r="A6" t="s">
        <v>23</v>
      </c>
      <c r="B6" t="s">
        <v>163</v>
      </c>
      <c r="C6" s="1">
        <v>2.0833333000000001</v>
      </c>
      <c r="D6" t="s">
        <v>21</v>
      </c>
      <c r="E6" s="2" t="s">
        <v>164</v>
      </c>
      <c r="F6" s="1">
        <v>1</v>
      </c>
      <c r="G6" t="s">
        <v>21</v>
      </c>
      <c r="H6" t="s">
        <v>4</v>
      </c>
    </row>
    <row r="7" spans="1:14" x14ac:dyDescent="0.25">
      <c r="E7" s="2"/>
    </row>
    <row r="8" spans="1:14" x14ac:dyDescent="0.25">
      <c r="B8" s="4" t="s">
        <v>46</v>
      </c>
      <c r="C8" s="1">
        <f>AVERAGE(C2:C6)</f>
        <v>1.9791666750000001</v>
      </c>
      <c r="D8">
        <f>COUNTIF(D2:D6,"Yes")</f>
        <v>0</v>
      </c>
      <c r="E8" s="5"/>
      <c r="F8" s="1">
        <f>AVERAGE(F2:F6)</f>
        <v>0.2</v>
      </c>
      <c r="G8">
        <f>COUNTIF(G2:G6,"Yes")</f>
        <v>3</v>
      </c>
      <c r="H8">
        <f>COUNTIF(H2:H6,"DocTool")</f>
        <v>0</v>
      </c>
    </row>
    <row r="9" spans="1:14" x14ac:dyDescent="0.25">
      <c r="B9" s="4" t="s">
        <v>47</v>
      </c>
      <c r="C9" s="1">
        <f>_xlfn.STDEV.P(C2:C6)</f>
        <v>0.34548173140719235</v>
      </c>
      <c r="D9" s="5">
        <f>D8/ROWS(D2:D6)</f>
        <v>0</v>
      </c>
      <c r="F9" s="1">
        <f>_xlfn.STDEV.P(F2:F6)</f>
        <v>0.4</v>
      </c>
      <c r="G9" s="5">
        <f>G8/ROWS(G2:G6)</f>
        <v>0.6</v>
      </c>
      <c r="H9" s="5">
        <f>H8/COUNTA(H2:H6)</f>
        <v>0</v>
      </c>
    </row>
    <row r="10" spans="1:14" x14ac:dyDescent="0.25">
      <c r="B10" t="s">
        <v>1</v>
      </c>
      <c r="E10" s="2"/>
      <c r="I10" t="s">
        <v>4</v>
      </c>
    </row>
    <row r="11" spans="1:14" x14ac:dyDescent="0.25">
      <c r="B11" t="s">
        <v>0</v>
      </c>
      <c r="C11" t="s">
        <v>48</v>
      </c>
      <c r="D11" t="s">
        <v>49</v>
      </c>
      <c r="E11" t="s">
        <v>2</v>
      </c>
      <c r="F11" t="s">
        <v>50</v>
      </c>
      <c r="G11" t="s">
        <v>51</v>
      </c>
      <c r="H11" t="s">
        <v>52</v>
      </c>
      <c r="I11" t="s">
        <v>48</v>
      </c>
      <c r="J11" t="s">
        <v>49</v>
      </c>
      <c r="K11" t="s">
        <v>2</v>
      </c>
      <c r="L11" t="s">
        <v>50</v>
      </c>
      <c r="M11" t="s">
        <v>51</v>
      </c>
      <c r="N11" t="s">
        <v>52</v>
      </c>
    </row>
    <row r="12" spans="1:14" x14ac:dyDescent="0.25">
      <c r="B12" t="str" cm="1">
        <f t="array" ref="B12:B13">_xlfn.UNIQUE(_xlfn._xlws.FILTER(LoginStrategy[Kategorie],LoginStrategy[Kategorie]&lt;&gt;""))</f>
        <v>alibi</v>
      </c>
      <c r="C12" s="1">
        <f>COUNTIFS(LoginStrategy[Kategorie], B12, LoginStrategy[Right/Wrong], "Yes")</f>
        <v>0</v>
      </c>
      <c r="D12" s="5">
        <f>C12/COUNTIF(LoginStrategy[Kategorie],B12)</f>
        <v>0</v>
      </c>
      <c r="E12" s="2">
        <f>AVERAGEIF(LoginStrategy[Kategorie],B12,LoginStrategy[Alibi-Score])</f>
        <v>1.8055555666666667</v>
      </c>
      <c r="F12" s="1" cm="1">
        <f t="array" ref="F12">_xlfn.STDEV.P(IF(LoginStrategy[Kategorie]=B12, LoginStrategy[Alibi-Score]))</f>
        <v>0.80011934765140613</v>
      </c>
      <c r="G12">
        <f>COUNTIFS(LoginStrategy[Kategorie], B12,LoginStrategy[Who is better?],"DocTool")</f>
        <v>0</v>
      </c>
      <c r="H12" s="5">
        <f>G12/COUNTIFS(LoginStrategy[Kategorie],B12,LoginStrategy[Who is better?],"&lt;&gt;")</f>
        <v>0</v>
      </c>
      <c r="I12" s="1">
        <f>COUNTIFS(LoginStrategy[Kategorie], B12, LoginStrategy[Right/Wrong3], "Yes")</f>
        <v>3</v>
      </c>
      <c r="J12" s="5">
        <f>I12/COUNTIF(LoginStrategy[Kategorie],B12)</f>
        <v>0.75</v>
      </c>
      <c r="K12" s="2">
        <f>AVERAGEIF(LoginStrategy[Kategorie],B12,LoginStrategy[Alibi-Score2])</f>
        <v>0.25</v>
      </c>
      <c r="L12" s="1" cm="1">
        <f t="array" ref="L12">_xlfn.STDEV.P(IF(LoginStrategy[Kategorie]=B12, LoginStrategy[Alibi-Score2]))</f>
        <v>0.4330127018922193</v>
      </c>
      <c r="M12">
        <f>COUNTIFS(LoginStrategy[Kategorie], B12,LoginStrategy[Who is better?],"GPT")</f>
        <v>1</v>
      </c>
      <c r="N12" s="5">
        <f>M12/COUNTIFS(LoginStrategy[Kategorie],B12,LoginStrategy[Who is better?],"&lt;&gt;")</f>
        <v>1</v>
      </c>
    </row>
    <row r="13" spans="1:14" x14ac:dyDescent="0.25">
      <c r="B13" t="str">
        <v>wrong in meaning</v>
      </c>
      <c r="C13" s="1">
        <f>COUNTIFS(LoginStrategy[Kategorie], B13, LoginStrategy[Right/Wrong], "Yes")</f>
        <v>0</v>
      </c>
      <c r="D13" s="5">
        <f>C13/COUNTIF(LoginStrategy[Kategorie],B13)</f>
        <v>0</v>
      </c>
      <c r="E13" s="2">
        <f>AVERAGEIF(LoginStrategy[Kategorie],B13,LoginStrategy[Alibi-Score])</f>
        <v>2.5</v>
      </c>
      <c r="F13" s="1" cm="1">
        <f t="array" ref="F13">_xlfn.STDEV.P(IF(LoginStrategy[Kategorie]=B13, LoginStrategy[Alibi-Score]))</f>
        <v>0</v>
      </c>
      <c r="G13">
        <f>COUNTIFS(LoginStrategy[Kategorie], B13,LoginStrategy[Who is better?],"DocTool")</f>
        <v>0</v>
      </c>
      <c r="H13" s="5">
        <f>G13/COUNTIFS(LoginStrategy[Kategorie],B13,LoginStrategy[Who is better?],"&lt;&gt;")</f>
        <v>0</v>
      </c>
      <c r="I13" s="1">
        <f>COUNTIFS(LoginStrategy[Kategorie], B13, LoginStrategy[Right/Wrong3], "Yes")</f>
        <v>0</v>
      </c>
      <c r="J13" s="5">
        <f>I13/COUNTIF(LoginStrategy[Kategorie],B13)</f>
        <v>0</v>
      </c>
      <c r="K13" s="2">
        <f>AVERAGEIF(LoginStrategy[Kategorie],B13,LoginStrategy[Alibi-Score2])</f>
        <v>0</v>
      </c>
      <c r="L13" s="1" cm="1">
        <f t="array" ref="L13">_xlfn.STDEV.P(IF(LoginStrategy[Kategorie]=B13, LoginStrategy[Alibi-Score2]))</f>
        <v>0</v>
      </c>
      <c r="M13">
        <f>COUNTIFS(LoginStrategy[Kategorie], B13,LoginStrategy[Who is better?],"GPT")</f>
        <v>1</v>
      </c>
      <c r="N13" s="5">
        <f>M13/COUNTIFS(LoginStrategy[Kategorie],B13,LoginStrategy[Who is better?],"&lt;&gt;")</f>
        <v>1</v>
      </c>
    </row>
    <row r="14" spans="1:14" x14ac:dyDescent="0.25">
      <c r="D14" s="5"/>
      <c r="E14" s="2"/>
      <c r="H14" s="5"/>
      <c r="I14" s="1"/>
      <c r="J14" s="5"/>
      <c r="K14" s="2"/>
      <c r="L14" s="1"/>
      <c r="N14" s="5"/>
    </row>
    <row r="15" spans="1:14" x14ac:dyDescent="0.25">
      <c r="E15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1" spans="5:5" x14ac:dyDescent="0.25">
      <c r="E21" s="2"/>
    </row>
    <row r="24" spans="5:5" x14ac:dyDescent="0.25">
      <c r="E24" s="2"/>
    </row>
    <row r="26" spans="5:5" x14ac:dyDescent="0.25">
      <c r="E26" s="2"/>
    </row>
    <row r="27" spans="5:5" x14ac:dyDescent="0.25">
      <c r="E27" s="2"/>
    </row>
    <row r="29" spans="5:5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8">
    <cfRule type="containsText" dxfId="95" priority="11" operator="containsText" text="No">
      <formula>NOT(ISERROR(SEARCH("No",D1)))</formula>
    </cfRule>
    <cfRule type="containsText" dxfId="94" priority="12" operator="containsText" text="Yes">
      <formula>NOT(ISERROR(SEARCH("Yes",D1)))</formula>
    </cfRule>
  </conditionalFormatting>
  <conditionalFormatting sqref="D10:D1048576">
    <cfRule type="containsText" dxfId="93" priority="7" operator="containsText" text="No">
      <formula>NOT(ISERROR(SEARCH("No",D10)))</formula>
    </cfRule>
    <cfRule type="containsText" dxfId="92" priority="8" operator="containsText" text="Yes">
      <formula>NOT(ISERROR(SEARCH("Yes",D10)))</formula>
    </cfRule>
  </conditionalFormatting>
  <conditionalFormatting sqref="G1:G7">
    <cfRule type="containsText" dxfId="91" priority="17" operator="containsText" text="No">
      <formula>NOT(ISERROR(SEARCH("No",G1)))</formula>
    </cfRule>
    <cfRule type="containsText" dxfId="90" priority="18" operator="containsText" text="Yes">
      <formula>NOT(ISERROR(SEARCH("Yes",G1)))</formula>
    </cfRule>
  </conditionalFormatting>
  <conditionalFormatting sqref="G10:G1048576">
    <cfRule type="containsText" dxfId="89" priority="5" operator="containsText" text="No">
      <formula>NOT(ISERROR(SEARCH("No",G10)))</formula>
    </cfRule>
    <cfRule type="containsText" dxfId="88" priority="6" operator="containsText" text="Yes">
      <formula>NOT(ISERROR(SEARCH("Yes",G10)))</formula>
    </cfRule>
  </conditionalFormatting>
  <conditionalFormatting sqref="G8:H8">
    <cfRule type="containsText" dxfId="87" priority="9" operator="containsText" text="No">
      <formula>NOT(ISERROR(SEARCH("No",G8)))</formula>
    </cfRule>
    <cfRule type="containsText" dxfId="86" priority="10" operator="containsText" text="Yes">
      <formula>NOT(ISERROR(SEARCH("Yes",G8)))</formula>
    </cfRule>
  </conditionalFormatting>
  <conditionalFormatting sqref="J11:J14">
    <cfRule type="containsText" dxfId="85" priority="3" operator="containsText" text="No">
      <formula>NOT(ISERROR(SEARCH("No",J11)))</formula>
    </cfRule>
    <cfRule type="containsText" dxfId="84" priority="4" operator="containsText" text="Yes">
      <formula>NOT(ISERROR(SEARCH("Yes",J11)))</formula>
    </cfRule>
  </conditionalFormatting>
  <conditionalFormatting sqref="M11:M14">
    <cfRule type="containsText" dxfId="83" priority="1" operator="containsText" text="No">
      <formula>NOT(ISERROR(SEARCH("No",M11)))</formula>
    </cfRule>
    <cfRule type="containsText" dxfId="82" priority="2" operator="containsText" text="Yes">
      <formula>NOT(ISERROR(SEARCH("Yes",M11)))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681E11A-C785-4A1D-848A-5E114A80FF46}">
          <x14:formula1>
            <xm:f>Einstellungsdaten!$A$1:$A$2</xm:f>
          </x14:formula1>
          <xm:sqref>D15:D1048576 G1:G7 D1:D7 G15:G1048576</xm:sqref>
        </x14:dataValidation>
        <x14:dataValidation type="list" allowBlank="1" showInputMessage="1" showErrorMessage="1" xr:uid="{F9102E86-1FB0-4E20-8D51-1A0603728596}">
          <x14:formula1>
            <xm:f>Einstellungsdaten!$C$1:$C$2</xm:f>
          </x14:formula1>
          <xm:sqref>H1:H7 H15:H1048576</xm:sqref>
        </x14:dataValidation>
        <x14:dataValidation type="list" allowBlank="1" showInputMessage="1" showErrorMessage="1" xr:uid="{1094CC30-F21E-4252-8DAC-383B3B63CE4E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37DF-5DC7-4D52-B7A3-3DEF96823DD9}">
  <dimension ref="A1:N36"/>
  <sheetViews>
    <sheetView topLeftCell="A8" workbookViewId="0">
      <selection activeCell="L20" sqref="L20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4" ht="90" x14ac:dyDescent="0.25">
      <c r="A2" t="s">
        <v>29</v>
      </c>
      <c r="B2" t="s">
        <v>165</v>
      </c>
      <c r="C2" s="1">
        <v>3</v>
      </c>
      <c r="D2" t="s">
        <v>11</v>
      </c>
      <c r="E2" s="2" t="s">
        <v>166</v>
      </c>
      <c r="F2" s="3">
        <v>3</v>
      </c>
      <c r="G2" t="s">
        <v>11</v>
      </c>
      <c r="H2" t="s">
        <v>1</v>
      </c>
      <c r="I2" t="s">
        <v>167</v>
      </c>
    </row>
    <row r="3" spans="1:14" ht="90" x14ac:dyDescent="0.25">
      <c r="A3" t="s">
        <v>29</v>
      </c>
      <c r="B3" t="s">
        <v>168</v>
      </c>
      <c r="C3" s="1">
        <v>2.2727273000000001</v>
      </c>
      <c r="D3" t="s">
        <v>11</v>
      </c>
      <c r="E3" s="2" t="s">
        <v>169</v>
      </c>
      <c r="F3" s="1">
        <v>3</v>
      </c>
      <c r="G3" t="s">
        <v>11</v>
      </c>
      <c r="H3" t="s">
        <v>4</v>
      </c>
    </row>
    <row r="4" spans="1:14" x14ac:dyDescent="0.25">
      <c r="B4" t="s">
        <v>170</v>
      </c>
      <c r="D4" t="s">
        <v>21</v>
      </c>
      <c r="E4" s="2"/>
      <c r="G4" t="s">
        <v>11</v>
      </c>
      <c r="I4" t="s">
        <v>83</v>
      </c>
    </row>
    <row r="5" spans="1:14" ht="90" x14ac:dyDescent="0.25">
      <c r="A5" t="s">
        <v>29</v>
      </c>
      <c r="B5" t="s">
        <v>171</v>
      </c>
      <c r="C5" s="1">
        <v>2.1875</v>
      </c>
      <c r="D5" t="s">
        <v>11</v>
      </c>
      <c r="E5" s="2" t="s">
        <v>172</v>
      </c>
      <c r="F5" s="1">
        <v>2</v>
      </c>
      <c r="G5" t="s">
        <v>11</v>
      </c>
      <c r="H5" t="s">
        <v>4</v>
      </c>
    </row>
    <row r="6" spans="1:14" ht="75" x14ac:dyDescent="0.25">
      <c r="A6" t="s">
        <v>9</v>
      </c>
      <c r="B6" t="s">
        <v>173</v>
      </c>
      <c r="C6" s="1">
        <v>0</v>
      </c>
      <c r="D6" t="s">
        <v>21</v>
      </c>
      <c r="E6" s="2" t="s">
        <v>174</v>
      </c>
      <c r="F6" s="1">
        <v>0</v>
      </c>
      <c r="G6" t="s">
        <v>21</v>
      </c>
      <c r="I6" t="s">
        <v>75</v>
      </c>
    </row>
    <row r="7" spans="1:14" ht="75" x14ac:dyDescent="0.25">
      <c r="A7" t="s">
        <v>9</v>
      </c>
      <c r="B7" t="s">
        <v>175</v>
      </c>
      <c r="C7" s="1">
        <v>1.25</v>
      </c>
      <c r="D7" t="s">
        <v>11</v>
      </c>
      <c r="E7" s="2" t="s">
        <v>176</v>
      </c>
      <c r="F7" s="1">
        <v>1</v>
      </c>
      <c r="G7" t="s">
        <v>11</v>
      </c>
      <c r="H7" t="s">
        <v>1</v>
      </c>
      <c r="I7" t="s">
        <v>75</v>
      </c>
    </row>
    <row r="8" spans="1:14" ht="75" x14ac:dyDescent="0.25">
      <c r="A8" t="s">
        <v>23</v>
      </c>
      <c r="B8" t="s">
        <v>177</v>
      </c>
      <c r="C8" s="1">
        <v>1.0526316</v>
      </c>
      <c r="D8" t="s">
        <v>21</v>
      </c>
      <c r="E8" s="2" t="s">
        <v>178</v>
      </c>
      <c r="F8" s="1">
        <v>2</v>
      </c>
      <c r="G8" t="s">
        <v>21</v>
      </c>
      <c r="H8" t="s">
        <v>1</v>
      </c>
    </row>
    <row r="9" spans="1:14" ht="90" x14ac:dyDescent="0.25">
      <c r="A9" t="s">
        <v>9</v>
      </c>
      <c r="B9" t="s">
        <v>179</v>
      </c>
      <c r="C9" s="1">
        <v>1.25</v>
      </c>
      <c r="D9" t="s">
        <v>11</v>
      </c>
      <c r="E9" s="2" t="s">
        <v>180</v>
      </c>
      <c r="F9" s="1">
        <v>4</v>
      </c>
      <c r="G9" t="s">
        <v>11</v>
      </c>
      <c r="H9" t="s">
        <v>4</v>
      </c>
    </row>
    <row r="10" spans="1:14" ht="75" x14ac:dyDescent="0.25">
      <c r="A10" t="s">
        <v>29</v>
      </c>
      <c r="D10" t="s">
        <v>21</v>
      </c>
      <c r="E10" s="2" t="s">
        <v>181</v>
      </c>
      <c r="F10" s="1">
        <v>4</v>
      </c>
      <c r="G10" t="s">
        <v>11</v>
      </c>
    </row>
    <row r="11" spans="1:14" x14ac:dyDescent="0.25">
      <c r="E11" s="2"/>
    </row>
    <row r="12" spans="1:14" x14ac:dyDescent="0.25">
      <c r="B12" s="4" t="s">
        <v>46</v>
      </c>
      <c r="C12" s="1">
        <f>AVERAGE(C2:C10)</f>
        <v>1.5732655571428571</v>
      </c>
      <c r="D12">
        <f>COUNTIF(D2:D10,"Yes")</f>
        <v>5</v>
      </c>
      <c r="E12" s="5"/>
      <c r="F12" s="1">
        <f>AVERAGE(F2:F10)</f>
        <v>2.375</v>
      </c>
      <c r="G12">
        <f>COUNTIF(G2:G10,"Yes")</f>
        <v>7</v>
      </c>
      <c r="H12">
        <f>COUNTIF(H2:H10,"DocTool")</f>
        <v>3</v>
      </c>
    </row>
    <row r="13" spans="1:14" x14ac:dyDescent="0.25">
      <c r="B13" s="4" t="s">
        <v>47</v>
      </c>
      <c r="C13" s="1">
        <f>_xlfn.STDEV.P(C2:C10)</f>
        <v>0.91474643812523881</v>
      </c>
      <c r="D13" s="5">
        <f>D12/ROWS(D2:D10)</f>
        <v>0.55555555555555558</v>
      </c>
      <c r="F13" s="1">
        <f>_xlfn.STDEV.P(F2:F10)</f>
        <v>1.3169567191065923</v>
      </c>
      <c r="G13" s="5">
        <f>G12/ROWS(G2:G10)</f>
        <v>0.77777777777777779</v>
      </c>
      <c r="H13" s="5">
        <f>H12/COUNTA(H2:H10)</f>
        <v>0.5</v>
      </c>
    </row>
    <row r="14" spans="1:14" x14ac:dyDescent="0.25">
      <c r="B14" t="s">
        <v>1</v>
      </c>
      <c r="E14" s="2"/>
      <c r="I14" t="s">
        <v>4</v>
      </c>
    </row>
    <row r="15" spans="1:14" x14ac:dyDescent="0.25">
      <c r="B15" t="s">
        <v>0</v>
      </c>
      <c r="C15" t="s">
        <v>48</v>
      </c>
      <c r="D15" t="s">
        <v>49</v>
      </c>
      <c r="E15" t="s">
        <v>2</v>
      </c>
      <c r="F15" t="s">
        <v>50</v>
      </c>
      <c r="G15" t="s">
        <v>51</v>
      </c>
      <c r="H15" t="s">
        <v>52</v>
      </c>
      <c r="I15" t="s">
        <v>48</v>
      </c>
      <c r="J15" t="s">
        <v>49</v>
      </c>
      <c r="K15" t="s">
        <v>2</v>
      </c>
      <c r="L15" t="s">
        <v>50</v>
      </c>
      <c r="M15" t="s">
        <v>51</v>
      </c>
      <c r="N15" t="s">
        <v>52</v>
      </c>
    </row>
    <row r="16" spans="1:14" x14ac:dyDescent="0.25">
      <c r="B16" t="str" cm="1">
        <f t="array" ref="B16:B18">_xlfn.UNIQUE(_xlfn._xlws.FILTER(Question[Kategorie],Question[Kategorie]&lt;&gt;""))</f>
        <v>great</v>
      </c>
      <c r="C16" s="1">
        <f>COUNTIFS(Question[Kategorie], B16, Question[Right/Wrong], "Yes")</f>
        <v>3</v>
      </c>
      <c r="D16" s="5">
        <f>C16/COUNTIF(Question[Kategorie],B16)</f>
        <v>0.75</v>
      </c>
      <c r="E16" s="2">
        <f>AVERAGEIF(Question[Kategorie],B16,Question[Alibi-Score])</f>
        <v>2.4867424333333332</v>
      </c>
      <c r="F16" s="1" cm="1">
        <f t="array" ref="F16">_xlfn.STDEV.P(IF(Question[Kategorie]=B16, Question[Alibi-Score]))</f>
        <v>1.1221294252724339</v>
      </c>
      <c r="G16">
        <f>COUNTIFS(Question[Kategorie], B16,Question[Who is better?],"DocTool")</f>
        <v>1</v>
      </c>
      <c r="H16" s="5">
        <f>G16/COUNTIFS(Question[Kategorie],B16,Question[Who is better?],"&lt;&gt;")</f>
        <v>0.33333333333333331</v>
      </c>
      <c r="I16" s="1">
        <f>COUNTIFS(Question[Kategorie], B16, Question[Right/Wrong3], "Yes")</f>
        <v>4</v>
      </c>
      <c r="J16" s="5">
        <f>I16/COUNTIF(Question[Kategorie],B16)</f>
        <v>1</v>
      </c>
      <c r="K16" s="2">
        <f>AVERAGEIF(Question[Kategorie],B16,Question[Alibi-Score2])</f>
        <v>3</v>
      </c>
      <c r="L16" s="1" cm="1">
        <f t="array" ref="L16">_xlfn.STDEV.P(IF(Question[Kategorie]=B16, Question[Alibi-Score2]))</f>
        <v>0.70710678118654757</v>
      </c>
      <c r="M16">
        <f>COUNTIFS(Question[Kategorie], B16,Question[Who is better?],"GPT")</f>
        <v>2</v>
      </c>
      <c r="N16" s="5">
        <f>M16/COUNTIFS(Question[Kategorie],B16,Question[Who is better?],"&lt;&gt;")</f>
        <v>0.66666666666666663</v>
      </c>
    </row>
    <row r="17" spans="2:14" x14ac:dyDescent="0.25">
      <c r="B17" t="str">
        <v>imperfect</v>
      </c>
      <c r="C17" s="1">
        <f>COUNTIFS(Question[Kategorie], B17, Question[Right/Wrong], "Yes")</f>
        <v>2</v>
      </c>
      <c r="D17" s="5">
        <f>C17/COUNTIF(Question[Kategorie],B17)</f>
        <v>0.66666666666666663</v>
      </c>
      <c r="E17" s="2">
        <f>AVERAGEIF(Question[Kategorie],B17,Question[Alibi-Score])</f>
        <v>0.83333333333333337</v>
      </c>
      <c r="F17" s="1" cm="1">
        <f t="array" ref="F17">_xlfn.STDEV.P(IF(Question[Kategorie]=B17, Question[Alibi-Score]))</f>
        <v>0.58925565098878963</v>
      </c>
      <c r="G17">
        <f>COUNTIFS(Question[Kategorie], B17,Question[Who is better?],"DocTool")</f>
        <v>1</v>
      </c>
      <c r="H17" s="5">
        <f>G17/COUNTIFS(Question[Kategorie],B17,Question[Who is better?],"&lt;&gt;")</f>
        <v>0.5</v>
      </c>
      <c r="I17" s="1">
        <f>COUNTIFS(Question[Kategorie], B17, Question[Right/Wrong3], "Yes")</f>
        <v>2</v>
      </c>
      <c r="J17" s="5">
        <f>I17/COUNTIF(Question[Kategorie],B17)</f>
        <v>0.66666666666666663</v>
      </c>
      <c r="K17" s="2">
        <f>AVERAGEIF(Question[Kategorie],B17,Question[Alibi-Score2])</f>
        <v>1.6666666666666667</v>
      </c>
      <c r="L17" s="1" cm="1">
        <f t="array" ref="L17">_xlfn.STDEV.P(IF(Question[Kategorie]=B17, Question[Alibi-Score2]))</f>
        <v>1.699673171197595</v>
      </c>
      <c r="M17">
        <f>COUNTIFS(Question[Kategorie], B17,Question[Who is better?],"GPT")</f>
        <v>1</v>
      </c>
      <c r="N17" s="5">
        <f>M17/COUNTIFS(Question[Kategorie],B17,Question[Who is better?],"&lt;&gt;")</f>
        <v>0.5</v>
      </c>
    </row>
    <row r="18" spans="2:14" x14ac:dyDescent="0.25">
      <c r="B18" t="str">
        <v>alibi</v>
      </c>
      <c r="C18" s="1">
        <f>COUNTIFS(Question[Kategorie], B18, Question[Right/Wrong], "Yes")</f>
        <v>0</v>
      </c>
      <c r="D18" s="5">
        <f>C18/COUNTIF(Question[Kategorie],B18)</f>
        <v>0</v>
      </c>
      <c r="E18" s="2">
        <f>AVERAGEIF(Question[Kategorie],B18,Question[Alibi-Score])</f>
        <v>1.0526316</v>
      </c>
      <c r="F18" s="1" cm="1">
        <f t="array" ref="F18">_xlfn.STDEV.P(IF(Question[Kategorie]=B18, Question[Alibi-Score]))</f>
        <v>0</v>
      </c>
      <c r="G18">
        <f>COUNTIFS(Question[Kategorie], B18,Question[Who is better?],"DocTool")</f>
        <v>1</v>
      </c>
      <c r="H18" s="5">
        <f>G18/COUNTIFS(Question[Kategorie],B18,Question[Who is better?],"&lt;&gt;")</f>
        <v>1</v>
      </c>
      <c r="I18" s="1">
        <f>COUNTIFS(Question[Kategorie], B18, Question[Right/Wrong3], "Yes")</f>
        <v>0</v>
      </c>
      <c r="J18" s="5">
        <f>I18/COUNTIF(Question[Kategorie],B18)</f>
        <v>0</v>
      </c>
      <c r="K18" s="2">
        <f>AVERAGEIF(Question[Kategorie],B18,Question[Alibi-Score2])</f>
        <v>2</v>
      </c>
      <c r="L18" s="1" cm="1">
        <f t="array" ref="L18">_xlfn.STDEV.P(IF(Question[Kategorie]=B18, Question[Alibi-Score2]))</f>
        <v>0</v>
      </c>
      <c r="M18">
        <f>COUNTIFS(Question[Kategorie], B18,Question[Who is better?],"GPT")</f>
        <v>0</v>
      </c>
      <c r="N18" s="5">
        <f>M18/COUNTIFS(Question[Kategorie],B18,Question[Who is better?],"&lt;&gt;")</f>
        <v>0</v>
      </c>
    </row>
    <row r="19" spans="2:14" x14ac:dyDescent="0.25">
      <c r="E19" s="2"/>
    </row>
    <row r="21" spans="2:14" x14ac:dyDescent="0.25">
      <c r="E21" s="2"/>
    </row>
    <row r="24" spans="2:14" x14ac:dyDescent="0.25">
      <c r="E24" s="2"/>
    </row>
    <row r="26" spans="2:14" x14ac:dyDescent="0.25">
      <c r="E26" s="2"/>
    </row>
    <row r="27" spans="2:14" x14ac:dyDescent="0.25">
      <c r="E27" s="2"/>
    </row>
    <row r="29" spans="2:14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12">
    <cfRule type="containsText" dxfId="81" priority="11" operator="containsText" text="No">
      <formula>NOT(ISERROR(SEARCH("No",D1)))</formula>
    </cfRule>
    <cfRule type="containsText" dxfId="80" priority="12" operator="containsText" text="Yes">
      <formula>NOT(ISERROR(SEARCH("Yes",D1)))</formula>
    </cfRule>
  </conditionalFormatting>
  <conditionalFormatting sqref="D14:D1048576">
    <cfRule type="containsText" dxfId="79" priority="7" operator="containsText" text="No">
      <formula>NOT(ISERROR(SEARCH("No",D14)))</formula>
    </cfRule>
    <cfRule type="containsText" dxfId="78" priority="8" operator="containsText" text="Yes">
      <formula>NOT(ISERROR(SEARCH("Yes",D14)))</formula>
    </cfRule>
  </conditionalFormatting>
  <conditionalFormatting sqref="G1:G11">
    <cfRule type="containsText" dxfId="77" priority="13" operator="containsText" text="No">
      <formula>NOT(ISERROR(SEARCH("No",G1)))</formula>
    </cfRule>
    <cfRule type="containsText" dxfId="76" priority="14" operator="containsText" text="Yes">
      <formula>NOT(ISERROR(SEARCH("Yes",G1)))</formula>
    </cfRule>
  </conditionalFormatting>
  <conditionalFormatting sqref="G14:G1048576">
    <cfRule type="containsText" dxfId="75" priority="5" operator="containsText" text="No">
      <formula>NOT(ISERROR(SEARCH("No",G14)))</formula>
    </cfRule>
    <cfRule type="containsText" dxfId="74" priority="6" operator="containsText" text="Yes">
      <formula>NOT(ISERROR(SEARCH("Yes",G14)))</formula>
    </cfRule>
  </conditionalFormatting>
  <conditionalFormatting sqref="G12:H12">
    <cfRule type="containsText" dxfId="73" priority="9" operator="containsText" text="No">
      <formula>NOT(ISERROR(SEARCH("No",G12)))</formula>
    </cfRule>
    <cfRule type="containsText" dxfId="72" priority="10" operator="containsText" text="Yes">
      <formula>NOT(ISERROR(SEARCH("Yes",G12)))</formula>
    </cfRule>
  </conditionalFormatting>
  <conditionalFormatting sqref="J15:J18">
    <cfRule type="containsText" dxfId="71" priority="3" operator="containsText" text="No">
      <formula>NOT(ISERROR(SEARCH("No",J15)))</formula>
    </cfRule>
    <cfRule type="containsText" dxfId="70" priority="4" operator="containsText" text="Yes">
      <formula>NOT(ISERROR(SEARCH("Yes",J15)))</formula>
    </cfRule>
  </conditionalFormatting>
  <conditionalFormatting sqref="M15:M18">
    <cfRule type="containsText" dxfId="69" priority="1" operator="containsText" text="No">
      <formula>NOT(ISERROR(SEARCH("No",M15)))</formula>
    </cfRule>
    <cfRule type="containsText" dxfId="68" priority="2" operator="containsText" text="Yes">
      <formula>NOT(ISERROR(SEARCH("Yes",M15)))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223BC7-BEC7-416B-AECC-7B518FEF55D8}">
          <x14:formula1>
            <xm:f>Einstellungsdaten!$C$1:$C$2</xm:f>
          </x14:formula1>
          <xm:sqref>H1:H11 H19:H1048576</xm:sqref>
        </x14:dataValidation>
        <x14:dataValidation type="list" allowBlank="1" showInputMessage="1" showErrorMessage="1" xr:uid="{3E4944B9-98C8-43B2-B886-CAB54366AFB0}">
          <x14:formula1>
            <xm:f>Einstellungsdaten!$A$1:$A$2</xm:f>
          </x14:formula1>
          <xm:sqref>D19:D1048576 G1:G11 D1:D11 G19:G1048576</xm:sqref>
        </x14:dataValidation>
        <x14:dataValidation type="list" allowBlank="1" showInputMessage="1" showErrorMessage="1" xr:uid="{A93C9DD2-943C-486A-9911-9BC9D719FBC1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1E80-564B-486B-BCDA-B253722A7AFA}">
  <dimension ref="A1:N36"/>
  <sheetViews>
    <sheetView topLeftCell="A21" workbookViewId="0">
      <selection activeCell="H19" sqref="H19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105" x14ac:dyDescent="0.25">
      <c r="A2" t="s">
        <v>9</v>
      </c>
      <c r="B2" t="s">
        <v>182</v>
      </c>
      <c r="C2" s="1">
        <v>3.1666664999999998</v>
      </c>
      <c r="D2" t="s">
        <v>11</v>
      </c>
      <c r="E2" s="2" t="s">
        <v>183</v>
      </c>
      <c r="F2" s="3">
        <v>1</v>
      </c>
      <c r="G2" t="s">
        <v>11</v>
      </c>
      <c r="H2" t="s">
        <v>4</v>
      </c>
    </row>
    <row r="3" spans="1:9" ht="75" x14ac:dyDescent="0.25">
      <c r="A3" t="s">
        <v>23</v>
      </c>
      <c r="B3" t="s">
        <v>184</v>
      </c>
      <c r="C3" s="1">
        <v>1.4285715000000001</v>
      </c>
      <c r="D3" t="s">
        <v>21</v>
      </c>
      <c r="E3" s="2" t="s">
        <v>185</v>
      </c>
      <c r="F3" s="1">
        <v>0</v>
      </c>
      <c r="G3" t="s">
        <v>11</v>
      </c>
    </row>
    <row r="4" spans="1:9" ht="90" x14ac:dyDescent="0.25">
      <c r="A4" t="s">
        <v>23</v>
      </c>
      <c r="B4" t="s">
        <v>186</v>
      </c>
      <c r="C4" s="1">
        <v>0.71428572999999995</v>
      </c>
      <c r="D4" t="s">
        <v>11</v>
      </c>
      <c r="E4" s="2" t="s">
        <v>187</v>
      </c>
      <c r="F4" s="1">
        <v>0</v>
      </c>
      <c r="G4" t="s">
        <v>11</v>
      </c>
      <c r="H4" t="s">
        <v>4</v>
      </c>
    </row>
    <row r="5" spans="1:9" ht="75" x14ac:dyDescent="0.25">
      <c r="A5" t="s">
        <v>23</v>
      </c>
      <c r="B5" t="s">
        <v>188</v>
      </c>
      <c r="C5" s="1">
        <v>0</v>
      </c>
      <c r="D5" t="s">
        <v>11</v>
      </c>
      <c r="E5" s="2" t="s">
        <v>189</v>
      </c>
      <c r="F5" s="1">
        <v>0</v>
      </c>
      <c r="G5" t="s">
        <v>11</v>
      </c>
      <c r="H5" t="s">
        <v>4</v>
      </c>
    </row>
    <row r="6" spans="1:9" ht="90" x14ac:dyDescent="0.25">
      <c r="A6" t="s">
        <v>23</v>
      </c>
      <c r="B6" t="s">
        <v>190</v>
      </c>
      <c r="C6" s="1">
        <v>0</v>
      </c>
      <c r="D6" t="s">
        <v>11</v>
      </c>
      <c r="E6" s="2" t="s">
        <v>191</v>
      </c>
      <c r="F6" s="1">
        <v>0</v>
      </c>
      <c r="G6" t="s">
        <v>11</v>
      </c>
      <c r="H6" t="s">
        <v>4</v>
      </c>
    </row>
    <row r="7" spans="1:9" x14ac:dyDescent="0.25">
      <c r="A7" t="s">
        <v>23</v>
      </c>
      <c r="B7" t="s">
        <v>192</v>
      </c>
      <c r="C7" s="1">
        <v>0</v>
      </c>
      <c r="D7" t="s">
        <v>11</v>
      </c>
      <c r="E7" s="2"/>
      <c r="G7" t="s">
        <v>21</v>
      </c>
    </row>
    <row r="8" spans="1:9" x14ac:dyDescent="0.25">
      <c r="A8" t="s">
        <v>23</v>
      </c>
      <c r="B8" t="s">
        <v>193</v>
      </c>
      <c r="C8" s="1">
        <v>0.71428572999999995</v>
      </c>
      <c r="D8" t="s">
        <v>11</v>
      </c>
      <c r="E8" s="2"/>
      <c r="G8" t="s">
        <v>21</v>
      </c>
    </row>
    <row r="9" spans="1:9" x14ac:dyDescent="0.25">
      <c r="A9" t="s">
        <v>23</v>
      </c>
      <c r="B9" t="s">
        <v>194</v>
      </c>
      <c r="C9" s="1">
        <v>0</v>
      </c>
      <c r="D9" t="s">
        <v>11</v>
      </c>
      <c r="E9" s="2"/>
      <c r="G9" t="s">
        <v>21</v>
      </c>
    </row>
    <row r="10" spans="1:9" x14ac:dyDescent="0.25">
      <c r="B10" t="s">
        <v>195</v>
      </c>
      <c r="D10" t="s">
        <v>21</v>
      </c>
      <c r="E10" s="2"/>
      <c r="G10" t="s">
        <v>11</v>
      </c>
      <c r="I10" t="s">
        <v>83</v>
      </c>
    </row>
    <row r="11" spans="1:9" ht="90" x14ac:dyDescent="0.25">
      <c r="A11" t="s">
        <v>9</v>
      </c>
      <c r="B11" t="s">
        <v>196</v>
      </c>
      <c r="C11" s="1">
        <v>2.2222219999999999</v>
      </c>
      <c r="D11" t="s">
        <v>11</v>
      </c>
      <c r="E11" s="2" t="s">
        <v>197</v>
      </c>
      <c r="F11" s="1">
        <v>3</v>
      </c>
      <c r="G11" t="s">
        <v>11</v>
      </c>
      <c r="H11" t="s">
        <v>4</v>
      </c>
    </row>
    <row r="12" spans="1:9" x14ac:dyDescent="0.25">
      <c r="A12" t="s">
        <v>9</v>
      </c>
      <c r="B12" t="s">
        <v>198</v>
      </c>
      <c r="C12" s="1">
        <v>0</v>
      </c>
      <c r="D12" t="s">
        <v>21</v>
      </c>
      <c r="E12" s="2"/>
      <c r="G12" t="s">
        <v>11</v>
      </c>
      <c r="I12" t="s">
        <v>75</v>
      </c>
    </row>
    <row r="13" spans="1:9" ht="90" x14ac:dyDescent="0.25">
      <c r="A13" t="s">
        <v>9</v>
      </c>
      <c r="B13" t="s">
        <v>199</v>
      </c>
      <c r="C13" s="1">
        <v>1.25</v>
      </c>
      <c r="D13" t="s">
        <v>11</v>
      </c>
      <c r="E13" s="2" t="s">
        <v>200</v>
      </c>
      <c r="F13" s="1">
        <v>0</v>
      </c>
      <c r="G13" t="s">
        <v>21</v>
      </c>
      <c r="I13" t="s">
        <v>75</v>
      </c>
    </row>
    <row r="14" spans="1:9" x14ac:dyDescent="0.25">
      <c r="A14" t="s">
        <v>9</v>
      </c>
      <c r="B14" t="s">
        <v>201</v>
      </c>
      <c r="C14" s="1">
        <v>0</v>
      </c>
      <c r="D14" t="s">
        <v>21</v>
      </c>
      <c r="E14" s="2"/>
      <c r="G14" t="s">
        <v>11</v>
      </c>
      <c r="I14" t="s">
        <v>75</v>
      </c>
    </row>
    <row r="15" spans="1:9" ht="75" x14ac:dyDescent="0.25">
      <c r="A15" t="s">
        <v>9</v>
      </c>
      <c r="B15" t="s">
        <v>202</v>
      </c>
      <c r="C15" s="1">
        <v>1.4285715000000001</v>
      </c>
      <c r="D15" t="s">
        <v>11</v>
      </c>
      <c r="E15" s="2" t="s">
        <v>203</v>
      </c>
      <c r="F15" s="1">
        <v>0</v>
      </c>
      <c r="G15" t="s">
        <v>21</v>
      </c>
      <c r="I15" t="s">
        <v>75</v>
      </c>
    </row>
    <row r="16" spans="1:9" x14ac:dyDescent="0.25">
      <c r="A16" t="s">
        <v>9</v>
      </c>
      <c r="B16" t="s">
        <v>204</v>
      </c>
      <c r="C16" s="1">
        <v>0</v>
      </c>
      <c r="D16" t="s">
        <v>21</v>
      </c>
      <c r="G16" t="s">
        <v>11</v>
      </c>
      <c r="I16" t="s">
        <v>75</v>
      </c>
    </row>
    <row r="17" spans="1:14" ht="90" x14ac:dyDescent="0.25">
      <c r="A17" t="s">
        <v>9</v>
      </c>
      <c r="B17" t="s">
        <v>205</v>
      </c>
      <c r="C17" s="1">
        <v>1.4285715000000001</v>
      </c>
      <c r="D17" t="s">
        <v>11</v>
      </c>
      <c r="E17" s="2" t="s">
        <v>206</v>
      </c>
      <c r="F17" s="1">
        <v>0</v>
      </c>
      <c r="G17" t="s">
        <v>21</v>
      </c>
      <c r="I17" t="s">
        <v>75</v>
      </c>
    </row>
    <row r="18" spans="1:14" x14ac:dyDescent="0.25">
      <c r="A18" t="s">
        <v>9</v>
      </c>
      <c r="B18" t="s">
        <v>207</v>
      </c>
      <c r="C18" s="1">
        <v>0</v>
      </c>
      <c r="D18" t="s">
        <v>21</v>
      </c>
      <c r="E18" s="2"/>
      <c r="G18" t="s">
        <v>11</v>
      </c>
      <c r="I18" t="s">
        <v>75</v>
      </c>
    </row>
    <row r="19" spans="1:14" ht="75" x14ac:dyDescent="0.25">
      <c r="A19" t="s">
        <v>9</v>
      </c>
      <c r="B19" t="s">
        <v>208</v>
      </c>
      <c r="C19" s="1">
        <v>1.25</v>
      </c>
      <c r="D19" t="s">
        <v>11</v>
      </c>
      <c r="E19" s="2" t="s">
        <v>209</v>
      </c>
      <c r="F19" s="1">
        <v>0</v>
      </c>
      <c r="G19" t="s">
        <v>21</v>
      </c>
      <c r="I19" t="s">
        <v>75</v>
      </c>
    </row>
    <row r="20" spans="1:14" ht="90" x14ac:dyDescent="0.25">
      <c r="A20" t="s">
        <v>23</v>
      </c>
      <c r="B20" t="s">
        <v>210</v>
      </c>
      <c r="C20" s="1">
        <v>1.3636364000000001</v>
      </c>
      <c r="D20" t="s">
        <v>21</v>
      </c>
      <c r="E20" s="2" t="s">
        <v>211</v>
      </c>
      <c r="F20" s="1">
        <v>2</v>
      </c>
      <c r="G20" t="s">
        <v>21</v>
      </c>
      <c r="H20" t="s">
        <v>1</v>
      </c>
    </row>
    <row r="21" spans="1:14" x14ac:dyDescent="0.25">
      <c r="E21" s="2"/>
    </row>
    <row r="22" spans="1:14" x14ac:dyDescent="0.25">
      <c r="B22" s="4" t="s">
        <v>46</v>
      </c>
      <c r="C22" s="1">
        <f>AVERAGE(C2:C20)</f>
        <v>0.83148949222222235</v>
      </c>
      <c r="D22">
        <f>COUNTIF(D2:D20,"Yes")</f>
        <v>12</v>
      </c>
      <c r="E22" s="5"/>
      <c r="F22" s="1">
        <f>AVERAGE(F2:F20)</f>
        <v>0.54545454545454541</v>
      </c>
      <c r="G22">
        <f>COUNTIF(G2:G20,"Yes")</f>
        <v>11</v>
      </c>
      <c r="H22">
        <f>COUNTIF(H2:H20,"DocTool")</f>
        <v>1</v>
      </c>
    </row>
    <row r="23" spans="1:14" x14ac:dyDescent="0.25">
      <c r="B23" s="4" t="s">
        <v>47</v>
      </c>
      <c r="C23" s="1">
        <f>_xlfn.STDEV.P(C2:C20)</f>
        <v>0.90211675176725259</v>
      </c>
      <c r="D23" s="5">
        <f>D22/ROWS(D2:D20)</f>
        <v>0.63157894736842102</v>
      </c>
      <c r="F23" s="1">
        <f>_xlfn.STDEV.P(F2:F20)</f>
        <v>0.98752549920001964</v>
      </c>
      <c r="G23" s="5">
        <f>G22/ROWS(G2:G20)</f>
        <v>0.57894736842105265</v>
      </c>
      <c r="H23" s="5">
        <f>H22/COUNTA(H2:H20)</f>
        <v>0.16666666666666666</v>
      </c>
    </row>
    <row r="24" spans="1:14" x14ac:dyDescent="0.25">
      <c r="B24" t="s">
        <v>1</v>
      </c>
      <c r="E24" s="2"/>
      <c r="I24" t="s">
        <v>4</v>
      </c>
    </row>
    <row r="25" spans="1:14" x14ac:dyDescent="0.25">
      <c r="B25" t="s">
        <v>0</v>
      </c>
      <c r="C25" t="s">
        <v>48</v>
      </c>
      <c r="D25" t="s">
        <v>49</v>
      </c>
      <c r="E25" t="s">
        <v>2</v>
      </c>
      <c r="F25" t="s">
        <v>50</v>
      </c>
      <c r="G25" t="s">
        <v>51</v>
      </c>
      <c r="H25" t="s">
        <v>52</v>
      </c>
      <c r="I25" t="s">
        <v>48</v>
      </c>
      <c r="J25" t="s">
        <v>49</v>
      </c>
      <c r="K25" t="s">
        <v>2</v>
      </c>
      <c r="L25" t="s">
        <v>50</v>
      </c>
      <c r="M25" t="s">
        <v>51</v>
      </c>
      <c r="N25" t="s">
        <v>52</v>
      </c>
    </row>
    <row r="26" spans="1:14" x14ac:dyDescent="0.25">
      <c r="B26" t="str" cm="1">
        <f t="array" ref="B26:B27">_xlfn.UNIQUE(_xlfn._xlws.FILTER(RegistrierterNutzer[Kategorie],RegistrierterNutzer[Kategorie]&lt;&gt;""))</f>
        <v>imperfect</v>
      </c>
      <c r="C26" s="1">
        <f>COUNTIFS(RegistrierterNutzer[Kategorie], B26, RegistrierterNutzer[Right/Wrong], "Yes")</f>
        <v>6</v>
      </c>
      <c r="D26" s="5">
        <f>C26/COUNTIF(RegistrierterNutzer[Kategorie],B26)</f>
        <v>0.6</v>
      </c>
      <c r="E26" s="2">
        <f>AVERAGEIF(RegistrierterNutzer[Kategorie],B26,RegistrierterNutzer[Alibi-Score])</f>
        <v>1.0746031500000002</v>
      </c>
      <c r="F26" s="1" cm="1">
        <f t="array" ref="F26">_xlfn.STDEV.P(IF(RegistrierterNutzer[Kategorie]=B26, RegistrierterNutzer[Alibi-Score]))</f>
        <v>1.0307745195158602</v>
      </c>
      <c r="G26">
        <f>COUNTIFS(RegistrierterNutzer[Kategorie], B26,RegistrierterNutzer[Who is better?],"DocTool")</f>
        <v>0</v>
      </c>
      <c r="H26" s="5">
        <f>G26/COUNTIFS(RegistrierterNutzer[Kategorie],B26,RegistrierterNutzer[Who is better?],"&lt;&gt;")</f>
        <v>0</v>
      </c>
      <c r="I26" s="1">
        <f>COUNTIFS(RegistrierterNutzer[Kategorie], B26, RegistrierterNutzer[Right/Wrong3], "Yes")</f>
        <v>6</v>
      </c>
      <c r="J26" s="5">
        <f>I26/COUNTIF(RegistrierterNutzer[Kategorie],B26)</f>
        <v>0.6</v>
      </c>
      <c r="K26" s="2">
        <f>AVERAGEIF(RegistrierterNutzer[Kategorie],B26,RegistrierterNutzer[Alibi-Score2])</f>
        <v>0.66666666666666663</v>
      </c>
      <c r="L26" s="1" cm="1">
        <f t="array" ref="L26">_xlfn.STDEV.P(IF(RegistrierterNutzer[Kategorie]=B26, RegistrierterNutzer[Alibi-Score2]))</f>
        <v>0.91651513899116799</v>
      </c>
      <c r="M26">
        <f>COUNTIFS(RegistrierterNutzer[Kategorie], B26,RegistrierterNutzer[Who is better?],"GPT")</f>
        <v>2</v>
      </c>
      <c r="N26" s="5">
        <f>M26/COUNTIFS(RegistrierterNutzer[Kategorie],B26,RegistrierterNutzer[Who is better?],"&lt;&gt;")</f>
        <v>1</v>
      </c>
    </row>
    <row r="27" spans="1:14" x14ac:dyDescent="0.25">
      <c r="B27" t="str">
        <v>alibi</v>
      </c>
      <c r="C27" s="1">
        <f>COUNTIFS(RegistrierterNutzer[Kategorie], B27, RegistrierterNutzer[Right/Wrong], "Yes")</f>
        <v>6</v>
      </c>
      <c r="D27" s="5">
        <f>C27/COUNTIF(RegistrierterNutzer[Kategorie],B27)</f>
        <v>0.75</v>
      </c>
      <c r="E27" s="2">
        <f>AVERAGEIF(RegistrierterNutzer[Kategorie],B27,RegistrierterNutzer[Alibi-Score])</f>
        <v>0.52759741999999998</v>
      </c>
      <c r="F27" s="1" cm="1">
        <f t="array" ref="F27">_xlfn.STDEV.P(IF(RegistrierterNutzer[Kategorie]=B27, RegistrierterNutzer[Alibi-Score]))</f>
        <v>0.58028620841952039</v>
      </c>
      <c r="G27">
        <f>COUNTIFS(RegistrierterNutzer[Kategorie], B27,RegistrierterNutzer[Who is better?],"DocTool")</f>
        <v>1</v>
      </c>
      <c r="H27" s="5">
        <f>G27/COUNTIFS(RegistrierterNutzer[Kategorie],B27,RegistrierterNutzer[Who is better?],"&lt;&gt;")</f>
        <v>0.25</v>
      </c>
      <c r="I27" s="1">
        <f>COUNTIFS(RegistrierterNutzer[Kategorie], B27, RegistrierterNutzer[Right/Wrong3], "Yes")</f>
        <v>4</v>
      </c>
      <c r="J27" s="5">
        <f>I27/COUNTIF(RegistrierterNutzer[Kategorie],B27)</f>
        <v>0.5</v>
      </c>
      <c r="K27" s="2">
        <f>AVERAGEIF(RegistrierterNutzer[Kategorie],B27,RegistrierterNutzer[Alibi-Score2])</f>
        <v>0.4</v>
      </c>
      <c r="L27" s="1" cm="1">
        <f t="array" ref="L27">_xlfn.STDEV.P(IF(RegistrierterNutzer[Kategorie]=B27, RegistrierterNutzer[Alibi-Score2]))</f>
        <v>0.66143782776614768</v>
      </c>
      <c r="M27">
        <f>COUNTIFS(RegistrierterNutzer[Kategorie], B27,RegistrierterNutzer[Who is better?],"GPT")</f>
        <v>3</v>
      </c>
      <c r="N27" s="5">
        <f>M27/COUNTIFS(RegistrierterNutzer[Kategorie],B27,RegistrierterNutzer[Who is better?],"&lt;&gt;")</f>
        <v>0.75</v>
      </c>
    </row>
    <row r="28" spans="1:14" x14ac:dyDescent="0.25">
      <c r="D28" s="5"/>
      <c r="E28" s="2"/>
      <c r="H28" s="5"/>
      <c r="I28" s="1"/>
      <c r="J28" s="5"/>
      <c r="K28" s="2"/>
      <c r="L28" s="1"/>
      <c r="N28" s="5"/>
    </row>
    <row r="29" spans="1:14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22">
    <cfRule type="containsText" dxfId="67" priority="11" operator="containsText" text="No">
      <formula>NOT(ISERROR(SEARCH("No",D1)))</formula>
    </cfRule>
    <cfRule type="containsText" dxfId="66" priority="12" operator="containsText" text="Yes">
      <formula>NOT(ISERROR(SEARCH("Yes",D1)))</formula>
    </cfRule>
  </conditionalFormatting>
  <conditionalFormatting sqref="D24:D1048576">
    <cfRule type="containsText" dxfId="65" priority="7" operator="containsText" text="No">
      <formula>NOT(ISERROR(SEARCH("No",D24)))</formula>
    </cfRule>
    <cfRule type="containsText" dxfId="64" priority="8" operator="containsText" text="Yes">
      <formula>NOT(ISERROR(SEARCH("Yes",D24)))</formula>
    </cfRule>
  </conditionalFormatting>
  <conditionalFormatting sqref="G1:G21">
    <cfRule type="containsText" dxfId="63" priority="13" operator="containsText" text="No">
      <formula>NOT(ISERROR(SEARCH("No",G1)))</formula>
    </cfRule>
    <cfRule type="containsText" dxfId="62" priority="14" operator="containsText" text="Yes">
      <formula>NOT(ISERROR(SEARCH("Yes",G1)))</formula>
    </cfRule>
  </conditionalFormatting>
  <conditionalFormatting sqref="G24:G1048576">
    <cfRule type="containsText" dxfId="61" priority="5" operator="containsText" text="No">
      <formula>NOT(ISERROR(SEARCH("No",G24)))</formula>
    </cfRule>
    <cfRule type="containsText" dxfId="60" priority="6" operator="containsText" text="Yes">
      <formula>NOT(ISERROR(SEARCH("Yes",G24)))</formula>
    </cfRule>
  </conditionalFormatting>
  <conditionalFormatting sqref="G22:H22">
    <cfRule type="containsText" dxfId="59" priority="9" operator="containsText" text="No">
      <formula>NOT(ISERROR(SEARCH("No",G22)))</formula>
    </cfRule>
    <cfRule type="containsText" dxfId="58" priority="10" operator="containsText" text="Yes">
      <formula>NOT(ISERROR(SEARCH("Yes",G22)))</formula>
    </cfRule>
  </conditionalFormatting>
  <conditionalFormatting sqref="J25:J28">
    <cfRule type="containsText" dxfId="57" priority="3" operator="containsText" text="No">
      <formula>NOT(ISERROR(SEARCH("No",J25)))</formula>
    </cfRule>
    <cfRule type="containsText" dxfId="56" priority="4" operator="containsText" text="Yes">
      <formula>NOT(ISERROR(SEARCH("Yes",J25)))</formula>
    </cfRule>
  </conditionalFormatting>
  <conditionalFormatting sqref="M25:M28">
    <cfRule type="containsText" dxfId="55" priority="1" operator="containsText" text="No">
      <formula>NOT(ISERROR(SEARCH("No",M25)))</formula>
    </cfRule>
    <cfRule type="containsText" dxfId="54" priority="2" operator="containsText" text="Yes">
      <formula>NOT(ISERROR(SEARCH("Yes",M25)))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610A44-FF2C-4772-A9C4-51716507683D}">
          <x14:formula1>
            <xm:f>Einstellungsdaten!$A$1:$A$2</xm:f>
          </x14:formula1>
          <xm:sqref>D29:D1048576 G1:G21 D1:D21 G29:G1048576</xm:sqref>
        </x14:dataValidation>
        <x14:dataValidation type="list" allowBlank="1" showInputMessage="1" showErrorMessage="1" xr:uid="{DD0B00FF-5CF1-4B12-8268-C1B7551045F3}">
          <x14:formula1>
            <xm:f>Einstellungsdaten!$C$1:$C$2</xm:f>
          </x14:formula1>
          <xm:sqref>H1:H21 H29:H1048576</xm:sqref>
        </x14:dataValidation>
        <x14:dataValidation type="list" allowBlank="1" showInputMessage="1" showErrorMessage="1" xr:uid="{60D9E43B-42CA-45CD-833F-FBBFD0B4B807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35D7-2860-464B-ADBC-2DA1272EBBC0}">
  <dimension ref="A1:N36"/>
  <sheetViews>
    <sheetView topLeftCell="A10" workbookViewId="0">
      <selection activeCell="H12" sqref="H12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90" x14ac:dyDescent="0.25">
      <c r="A2" t="s">
        <v>23</v>
      </c>
      <c r="B2" t="s">
        <v>212</v>
      </c>
      <c r="C2" s="1">
        <v>2.9166664999999998</v>
      </c>
      <c r="D2" t="s">
        <v>21</v>
      </c>
      <c r="E2" s="2" t="s">
        <v>213</v>
      </c>
      <c r="F2" s="3">
        <v>0</v>
      </c>
      <c r="G2" t="s">
        <v>11</v>
      </c>
    </row>
    <row r="3" spans="1:9" ht="45" x14ac:dyDescent="0.25">
      <c r="A3" t="s">
        <v>13</v>
      </c>
      <c r="B3" t="s">
        <v>214</v>
      </c>
      <c r="D3" t="s">
        <v>11</v>
      </c>
      <c r="E3" s="2" t="s">
        <v>215</v>
      </c>
      <c r="G3" t="s">
        <v>11</v>
      </c>
    </row>
    <row r="4" spans="1:9" ht="90" x14ac:dyDescent="0.25">
      <c r="A4" t="s">
        <v>23</v>
      </c>
      <c r="B4" t="s">
        <v>216</v>
      </c>
      <c r="C4" s="1">
        <v>0.71428572999999995</v>
      </c>
      <c r="D4" t="s">
        <v>11</v>
      </c>
      <c r="E4" s="2" t="s">
        <v>217</v>
      </c>
      <c r="F4" s="1">
        <v>0</v>
      </c>
      <c r="G4" t="s">
        <v>11</v>
      </c>
      <c r="H4" t="s">
        <v>4</v>
      </c>
    </row>
    <row r="5" spans="1:9" ht="90" x14ac:dyDescent="0.25">
      <c r="A5" t="s">
        <v>23</v>
      </c>
      <c r="B5" t="s">
        <v>57</v>
      </c>
      <c r="C5" s="1">
        <v>0.8333334</v>
      </c>
      <c r="D5" t="s">
        <v>11</v>
      </c>
      <c r="E5" s="2" t="s">
        <v>218</v>
      </c>
      <c r="F5" s="1">
        <v>0</v>
      </c>
      <c r="G5" t="s">
        <v>11</v>
      </c>
      <c r="H5" t="s">
        <v>4</v>
      </c>
    </row>
    <row r="6" spans="1:9" ht="90" x14ac:dyDescent="0.25">
      <c r="A6" t="s">
        <v>23</v>
      </c>
      <c r="B6" t="s">
        <v>219</v>
      </c>
      <c r="C6" s="1">
        <v>0.8333334</v>
      </c>
      <c r="D6" t="s">
        <v>11</v>
      </c>
      <c r="E6" s="2" t="s">
        <v>220</v>
      </c>
      <c r="F6" s="1">
        <v>0</v>
      </c>
      <c r="G6" t="s">
        <v>11</v>
      </c>
      <c r="H6" t="s">
        <v>4</v>
      </c>
    </row>
    <row r="7" spans="1:9" ht="90" x14ac:dyDescent="0.25">
      <c r="A7" t="s">
        <v>23</v>
      </c>
      <c r="B7" t="s">
        <v>60</v>
      </c>
      <c r="C7" s="1">
        <v>2.5</v>
      </c>
      <c r="D7" t="s">
        <v>21</v>
      </c>
      <c r="E7" s="2" t="s">
        <v>221</v>
      </c>
      <c r="F7" s="1">
        <v>0</v>
      </c>
      <c r="G7" t="s">
        <v>11</v>
      </c>
    </row>
    <row r="8" spans="1:9" ht="90" x14ac:dyDescent="0.25">
      <c r="A8" t="s">
        <v>23</v>
      </c>
      <c r="B8" t="s">
        <v>62</v>
      </c>
      <c r="C8" s="1">
        <v>1.6666666999999999</v>
      </c>
      <c r="D8" t="s">
        <v>21</v>
      </c>
      <c r="E8" s="2" t="s">
        <v>222</v>
      </c>
      <c r="F8" s="1">
        <v>0</v>
      </c>
      <c r="G8" t="s">
        <v>11</v>
      </c>
    </row>
    <row r="9" spans="1:9" ht="75" x14ac:dyDescent="0.25">
      <c r="A9" t="s">
        <v>23</v>
      </c>
      <c r="B9" t="s">
        <v>223</v>
      </c>
      <c r="C9" s="1">
        <v>0.5</v>
      </c>
      <c r="D9" t="s">
        <v>11</v>
      </c>
      <c r="E9" s="2" t="s">
        <v>224</v>
      </c>
      <c r="F9" s="1">
        <v>0</v>
      </c>
      <c r="G9" t="s">
        <v>11</v>
      </c>
      <c r="H9" t="s">
        <v>4</v>
      </c>
    </row>
    <row r="10" spans="1:9" ht="75" x14ac:dyDescent="0.25">
      <c r="A10" t="s">
        <v>9</v>
      </c>
      <c r="B10" t="s">
        <v>225</v>
      </c>
      <c r="C10" s="1">
        <v>1.6666666999999999</v>
      </c>
      <c r="D10" t="s">
        <v>11</v>
      </c>
      <c r="E10" s="2" t="s">
        <v>226</v>
      </c>
      <c r="F10" s="1">
        <v>0</v>
      </c>
      <c r="G10" t="s">
        <v>21</v>
      </c>
    </row>
    <row r="11" spans="1:9" ht="105" x14ac:dyDescent="0.25">
      <c r="A11" t="s">
        <v>23</v>
      </c>
      <c r="B11" t="s">
        <v>227</v>
      </c>
      <c r="C11" s="1">
        <v>1.25</v>
      </c>
      <c r="D11" t="s">
        <v>21</v>
      </c>
      <c r="E11" s="2" t="s">
        <v>228</v>
      </c>
      <c r="F11" s="1">
        <v>0</v>
      </c>
      <c r="G11" t="s">
        <v>11</v>
      </c>
    </row>
    <row r="12" spans="1:9" ht="75" x14ac:dyDescent="0.25">
      <c r="A12" t="s">
        <v>23</v>
      </c>
      <c r="D12" t="s">
        <v>21</v>
      </c>
      <c r="E12" s="2" t="s">
        <v>229</v>
      </c>
      <c r="F12" s="1">
        <v>0</v>
      </c>
      <c r="G12" t="s">
        <v>11</v>
      </c>
    </row>
    <row r="13" spans="1:9" x14ac:dyDescent="0.25">
      <c r="E13" s="2"/>
    </row>
    <row r="14" spans="1:9" x14ac:dyDescent="0.25">
      <c r="B14" s="4" t="s">
        <v>46</v>
      </c>
      <c r="C14" s="1">
        <f>AVERAGE(C2:C12)</f>
        <v>1.4312169366666667</v>
      </c>
      <c r="D14">
        <f>COUNTIF(D2:D12,"Yes")</f>
        <v>6</v>
      </c>
      <c r="E14" s="5"/>
      <c r="F14" s="1">
        <f>AVERAGE(F2:F12)</f>
        <v>0</v>
      </c>
      <c r="G14">
        <f>COUNTIF(G2:G12,"Yes")</f>
        <v>10</v>
      </c>
      <c r="H14">
        <f>COUNTIF(H2:H12,"DocTool")</f>
        <v>0</v>
      </c>
    </row>
    <row r="15" spans="1:9" x14ac:dyDescent="0.25">
      <c r="B15" s="4" t="s">
        <v>47</v>
      </c>
      <c r="C15" s="1">
        <f>_xlfn.STDEV.P(C2:C12)</f>
        <v>0.78801122291635206</v>
      </c>
      <c r="D15" s="5">
        <f>D14/ROWS(D2:D12)</f>
        <v>0.54545454545454541</v>
      </c>
      <c r="F15" s="1">
        <f>_xlfn.STDEV.P(F2:F12)</f>
        <v>0</v>
      </c>
      <c r="G15" s="5">
        <f>G14/ROWS(G2:G12)</f>
        <v>0.90909090909090906</v>
      </c>
      <c r="H15" s="5">
        <f>H14/COUNTA(H2:H12)</f>
        <v>0</v>
      </c>
    </row>
    <row r="16" spans="1:9" x14ac:dyDescent="0.25">
      <c r="B16" t="s">
        <v>1</v>
      </c>
      <c r="E16" s="2"/>
      <c r="I16" t="s">
        <v>4</v>
      </c>
    </row>
    <row r="17" spans="2:14" x14ac:dyDescent="0.25">
      <c r="B17" t="s">
        <v>0</v>
      </c>
      <c r="C17" t="s">
        <v>48</v>
      </c>
      <c r="D17" t="s">
        <v>49</v>
      </c>
      <c r="E17" t="s">
        <v>2</v>
      </c>
      <c r="F17" t="s">
        <v>50</v>
      </c>
      <c r="G17" t="s">
        <v>51</v>
      </c>
      <c r="H17" t="s">
        <v>52</v>
      </c>
      <c r="I17" t="s">
        <v>48</v>
      </c>
      <c r="J17" t="s">
        <v>49</v>
      </c>
      <c r="K17" t="s">
        <v>2</v>
      </c>
      <c r="L17" t="s">
        <v>50</v>
      </c>
      <c r="M17" t="s">
        <v>51</v>
      </c>
      <c r="N17" t="s">
        <v>52</v>
      </c>
    </row>
    <row r="18" spans="2:14" x14ac:dyDescent="0.25">
      <c r="B18" t="str" cm="1">
        <f t="array" ref="B18:B20">_xlfn.UNIQUE(_xlfn._xlws.FILTER(RegularLoginStrategy[Kategorie],RegularLoginStrategy[Kategorie]&lt;&gt;""))</f>
        <v>alibi</v>
      </c>
      <c r="C18" s="1">
        <f>COUNTIFS(RegularLoginStrategy[Kategorie], B18, RegularLoginStrategy[Right/Wrong], "Yes")</f>
        <v>4</v>
      </c>
      <c r="D18" s="5">
        <f>C18/COUNTIF(RegularLoginStrategy[Kategorie],B18)</f>
        <v>0.44444444444444442</v>
      </c>
      <c r="E18" s="2">
        <f>AVERAGEIF(RegularLoginStrategy[Kategorie],B18,RegularLoginStrategy[Alibi-Score])</f>
        <v>1.40178571625</v>
      </c>
      <c r="F18" s="1" cm="1">
        <f t="array" ref="F18">_xlfn.STDEV.P(IF(RegularLoginStrategy[Kategorie]=B18, RegularLoginStrategy[Alibi-Score]))</f>
        <v>0.89894744180022956</v>
      </c>
      <c r="G18">
        <f>COUNTIFS(RegularLoginStrategy[Kategorie], B18,RegularLoginStrategy[Who is better?],"DocTool")</f>
        <v>0</v>
      </c>
      <c r="H18" s="5">
        <f>G18/COUNTIFS(RegularLoginStrategy[Kategorie],B18,RegularLoginStrategy[Who is better?],"&lt;&gt;")</f>
        <v>0</v>
      </c>
      <c r="I18" s="1">
        <f>COUNTIFS(RegularLoginStrategy[Kategorie], B18, RegularLoginStrategy[Right/Wrong3], "Yes")</f>
        <v>9</v>
      </c>
      <c r="J18" s="5">
        <f>I18/COUNTIF(RegularLoginStrategy[Kategorie],B18)</f>
        <v>1</v>
      </c>
      <c r="K18" s="2">
        <f>AVERAGEIF(RegularLoginStrategy[Kategorie],B18,RegularLoginStrategy[Alibi-Score2])</f>
        <v>0</v>
      </c>
      <c r="L18" s="1" cm="1">
        <f t="array" ref="L18">_xlfn.STDEV.P(IF(RegularLoginStrategy[Kategorie]=B18, RegularLoginStrategy[Alibi-Score2]))</f>
        <v>0</v>
      </c>
      <c r="M18">
        <f>COUNTIFS(RegularLoginStrategy[Kategorie], B18,RegularLoginStrategy[Who is better?],"GPT")</f>
        <v>4</v>
      </c>
      <c r="N18" s="5">
        <f>M18/COUNTIFS(RegularLoginStrategy[Kategorie],B18,RegularLoginStrategy[Who is better?],"&lt;&gt;")</f>
        <v>1</v>
      </c>
    </row>
    <row r="19" spans="2:14" x14ac:dyDescent="0.25">
      <c r="B19" t="str">
        <v>missing</v>
      </c>
      <c r="C19" s="1">
        <f>COUNTIFS(RegularLoginStrategy[Kategorie], B19, RegularLoginStrategy[Right/Wrong], "Yes")</f>
        <v>1</v>
      </c>
      <c r="D19" s="5">
        <f>C19/COUNTIF(RegularLoginStrategy[Kategorie],B19)</f>
        <v>1</v>
      </c>
      <c r="E19" s="2" t="e">
        <f>AVERAGEIF(RegularLoginStrategy[Kategorie],B19,RegularLoginStrategy[Alibi-Score])</f>
        <v>#DIV/0!</v>
      </c>
      <c r="F19" s="1" cm="1">
        <f t="array" ref="F19">_xlfn.STDEV.P(IF(RegularLoginStrategy[Kategorie]=B19, RegularLoginStrategy[Alibi-Score]))</f>
        <v>0</v>
      </c>
      <c r="G19">
        <f>COUNTIFS(RegularLoginStrategy[Kategorie], B19,RegularLoginStrategy[Who is better?],"DocTool")</f>
        <v>0</v>
      </c>
      <c r="H19" s="5" t="e">
        <f>G19/COUNTIFS(RegularLoginStrategy[Kategorie],B19,RegularLoginStrategy[Who is better?],"&lt;&gt;")</f>
        <v>#DIV/0!</v>
      </c>
      <c r="I19" s="1">
        <f>COUNTIFS(RegularLoginStrategy[Kategorie], B19, RegularLoginStrategy[Right/Wrong3], "Yes")</f>
        <v>1</v>
      </c>
      <c r="J19" s="5">
        <f>I19/COUNTIF(RegularLoginStrategy[Kategorie],B19)</f>
        <v>1</v>
      </c>
      <c r="K19" s="2" t="e">
        <f>AVERAGEIF(RegularLoginStrategy[Kategorie],B19,RegularLoginStrategy[Alibi-Score2])</f>
        <v>#DIV/0!</v>
      </c>
      <c r="L19" s="1" cm="1">
        <f t="array" ref="L19">_xlfn.STDEV.P(IF(RegularLoginStrategy[Kategorie]=B19, RegularLoginStrategy[Alibi-Score2]))</f>
        <v>0</v>
      </c>
      <c r="M19">
        <f>COUNTIFS(RegularLoginStrategy[Kategorie], B19,RegularLoginStrategy[Who is better?],"GPT")</f>
        <v>0</v>
      </c>
      <c r="N19" s="5" t="e">
        <f>M19/COUNTIFS(RegularLoginStrategy[Kategorie],B19,RegularLoginStrategy[Who is better?],"&lt;&gt;")</f>
        <v>#DIV/0!</v>
      </c>
    </row>
    <row r="20" spans="2:14" x14ac:dyDescent="0.25">
      <c r="B20" t="str">
        <v>imperfect</v>
      </c>
      <c r="C20" s="1">
        <f>COUNTIFS(RegularLoginStrategy[Kategorie], B20, RegularLoginStrategy[Right/Wrong], "Yes")</f>
        <v>1</v>
      </c>
      <c r="D20" s="5">
        <f>C20/COUNTIF(RegularLoginStrategy[Kategorie],B20)</f>
        <v>1</v>
      </c>
      <c r="E20" s="2">
        <f>AVERAGEIF(RegularLoginStrategy[Kategorie],B20,RegularLoginStrategy[Alibi-Score])</f>
        <v>1.6666666999999999</v>
      </c>
      <c r="F20" s="1" cm="1">
        <f t="array" ref="F20">_xlfn.STDEV.P(IF(RegularLoginStrategy[Kategorie]=B20, RegularLoginStrategy[Alibi-Score]))</f>
        <v>0</v>
      </c>
      <c r="G20">
        <f>COUNTIFS(RegularLoginStrategy[Kategorie], B20,RegularLoginStrategy[Who is better?],"DocTool")</f>
        <v>0</v>
      </c>
      <c r="H20" s="5" t="e">
        <f>G20/COUNTIFS(RegularLoginStrategy[Kategorie],B20,RegularLoginStrategy[Who is better?],"&lt;&gt;")</f>
        <v>#DIV/0!</v>
      </c>
      <c r="I20" s="1">
        <f>COUNTIFS(RegularLoginStrategy[Kategorie], B20, RegularLoginStrategy[Right/Wrong3], "Yes")</f>
        <v>0</v>
      </c>
      <c r="J20" s="5">
        <f>I20/COUNTIF(RegularLoginStrategy[Kategorie],B20)</f>
        <v>0</v>
      </c>
      <c r="K20" s="2">
        <f>AVERAGEIF(RegularLoginStrategy[Kategorie],B20,RegularLoginStrategy[Alibi-Score2])</f>
        <v>0</v>
      </c>
      <c r="L20" s="1" cm="1">
        <f t="array" ref="L20">_xlfn.STDEV.P(IF(RegularLoginStrategy[Kategorie]=B20, RegularLoginStrategy[Alibi-Score2]))</f>
        <v>0</v>
      </c>
      <c r="M20">
        <f>COUNTIFS(RegularLoginStrategy[Kategorie], B20,RegularLoginStrategy[Who is better?],"GPT")</f>
        <v>0</v>
      </c>
      <c r="N20" s="5" t="e">
        <f>M20/COUNTIFS(RegularLoginStrategy[Kategorie],B20,RegularLoginStrategy[Who is better?],"&lt;&gt;")</f>
        <v>#DIV/0!</v>
      </c>
    </row>
    <row r="21" spans="2:14" x14ac:dyDescent="0.25">
      <c r="E21" s="2"/>
    </row>
    <row r="24" spans="2:14" x14ac:dyDescent="0.25">
      <c r="E24" s="2"/>
    </row>
    <row r="26" spans="2:14" x14ac:dyDescent="0.25">
      <c r="E26" s="2"/>
    </row>
    <row r="27" spans="2:14" x14ac:dyDescent="0.25">
      <c r="E27" s="2"/>
    </row>
    <row r="29" spans="2:14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14">
    <cfRule type="containsText" dxfId="53" priority="11" operator="containsText" text="No">
      <formula>NOT(ISERROR(SEARCH("No",D1)))</formula>
    </cfRule>
    <cfRule type="containsText" dxfId="52" priority="12" operator="containsText" text="Yes">
      <formula>NOT(ISERROR(SEARCH("Yes",D1)))</formula>
    </cfRule>
  </conditionalFormatting>
  <conditionalFormatting sqref="D16:D1048576">
    <cfRule type="containsText" dxfId="51" priority="7" operator="containsText" text="No">
      <formula>NOT(ISERROR(SEARCH("No",D16)))</formula>
    </cfRule>
    <cfRule type="containsText" dxfId="50" priority="8" operator="containsText" text="Yes">
      <formula>NOT(ISERROR(SEARCH("Yes",D16)))</formula>
    </cfRule>
  </conditionalFormatting>
  <conditionalFormatting sqref="G1:G13">
    <cfRule type="containsText" dxfId="49" priority="13" operator="containsText" text="No">
      <formula>NOT(ISERROR(SEARCH("No",G1)))</formula>
    </cfRule>
    <cfRule type="containsText" dxfId="48" priority="14" operator="containsText" text="Yes">
      <formula>NOT(ISERROR(SEARCH("Yes",G1)))</formula>
    </cfRule>
  </conditionalFormatting>
  <conditionalFormatting sqref="G16:G1048576">
    <cfRule type="containsText" dxfId="47" priority="5" operator="containsText" text="No">
      <formula>NOT(ISERROR(SEARCH("No",G16)))</formula>
    </cfRule>
    <cfRule type="containsText" dxfId="46" priority="6" operator="containsText" text="Yes">
      <formula>NOT(ISERROR(SEARCH("Yes",G16)))</formula>
    </cfRule>
  </conditionalFormatting>
  <conditionalFormatting sqref="G14:H14">
    <cfRule type="containsText" dxfId="45" priority="9" operator="containsText" text="No">
      <formula>NOT(ISERROR(SEARCH("No",G14)))</formula>
    </cfRule>
    <cfRule type="containsText" dxfId="44" priority="10" operator="containsText" text="Yes">
      <formula>NOT(ISERROR(SEARCH("Yes",G14)))</formula>
    </cfRule>
  </conditionalFormatting>
  <conditionalFormatting sqref="J17:J20">
    <cfRule type="containsText" dxfId="43" priority="3" operator="containsText" text="No">
      <formula>NOT(ISERROR(SEARCH("No",J17)))</formula>
    </cfRule>
    <cfRule type="containsText" dxfId="42" priority="4" operator="containsText" text="Yes">
      <formula>NOT(ISERROR(SEARCH("Yes",J17)))</formula>
    </cfRule>
  </conditionalFormatting>
  <conditionalFormatting sqref="M17:M20">
    <cfRule type="containsText" dxfId="41" priority="1" operator="containsText" text="No">
      <formula>NOT(ISERROR(SEARCH("No",M17)))</formula>
    </cfRule>
    <cfRule type="containsText" dxfId="40" priority="2" operator="containsText" text="Yes">
      <formula>NOT(ISERROR(SEARCH("Yes",M17)))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6090A7-EC0A-4E65-A263-3DB818A676D6}">
          <x14:formula1>
            <xm:f>Einstellungsdaten!$C$1:$C$2</xm:f>
          </x14:formula1>
          <xm:sqref>H1:H13 H21:H1048576</xm:sqref>
        </x14:dataValidation>
        <x14:dataValidation type="list" allowBlank="1" showInputMessage="1" showErrorMessage="1" xr:uid="{2D294664-19AE-4A65-A31D-1072ADB844AC}">
          <x14:formula1>
            <xm:f>Einstellungsdaten!$A$1:$A$2</xm:f>
          </x14:formula1>
          <xm:sqref>D21:D1048576 G1:G13 D1:D13 G21:G1048576</xm:sqref>
        </x14:dataValidation>
        <x14:dataValidation type="list" allowBlank="1" showInputMessage="1" showErrorMessage="1" xr:uid="{563366D9-D1E6-4CA2-A8FE-06FFC7AEAACB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3606-2B23-43B6-A06C-BF695DC2AA56}">
  <dimension ref="A1:N36"/>
  <sheetViews>
    <sheetView topLeftCell="A8" workbookViewId="0">
      <selection activeCell="H12" sqref="H12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t="105" x14ac:dyDescent="0.25">
      <c r="A2" t="s">
        <v>9</v>
      </c>
      <c r="B2" t="s">
        <v>230</v>
      </c>
      <c r="C2" s="1">
        <v>2.3333333000000001</v>
      </c>
      <c r="D2" t="s">
        <v>11</v>
      </c>
      <c r="E2" s="2" t="s">
        <v>231</v>
      </c>
      <c r="F2" s="3">
        <v>1</v>
      </c>
      <c r="G2" t="s">
        <v>11</v>
      </c>
      <c r="H2" t="s">
        <v>1</v>
      </c>
    </row>
    <row r="3" spans="1:9" x14ac:dyDescent="0.25">
      <c r="A3" t="s">
        <v>23</v>
      </c>
      <c r="B3" t="s">
        <v>232</v>
      </c>
      <c r="C3" s="1">
        <v>0</v>
      </c>
      <c r="D3" t="s">
        <v>11</v>
      </c>
      <c r="E3" s="2"/>
      <c r="G3" t="s">
        <v>21</v>
      </c>
    </row>
    <row r="4" spans="1:9" x14ac:dyDescent="0.25">
      <c r="A4" t="s">
        <v>9</v>
      </c>
      <c r="B4" t="s">
        <v>233</v>
      </c>
      <c r="C4" s="1">
        <v>1.25</v>
      </c>
      <c r="D4" t="s">
        <v>21</v>
      </c>
      <c r="E4" s="2"/>
      <c r="G4" t="s">
        <v>11</v>
      </c>
    </row>
    <row r="5" spans="1:9" ht="90" x14ac:dyDescent="0.25">
      <c r="A5" t="s">
        <v>23</v>
      </c>
      <c r="B5" t="s">
        <v>234</v>
      </c>
      <c r="C5" s="1">
        <v>1.6666666999999999</v>
      </c>
      <c r="D5" t="s">
        <v>21</v>
      </c>
      <c r="E5" s="2" t="s">
        <v>235</v>
      </c>
      <c r="F5" s="1">
        <v>0</v>
      </c>
      <c r="G5" t="s">
        <v>11</v>
      </c>
    </row>
    <row r="6" spans="1:9" x14ac:dyDescent="0.25">
      <c r="A6" t="s">
        <v>23</v>
      </c>
      <c r="B6" t="s">
        <v>236</v>
      </c>
      <c r="C6" s="1">
        <v>0.55555549999999998</v>
      </c>
      <c r="D6" t="s">
        <v>11</v>
      </c>
      <c r="E6" s="2"/>
      <c r="G6" t="s">
        <v>21</v>
      </c>
    </row>
    <row r="7" spans="1:9" x14ac:dyDescent="0.25">
      <c r="A7" t="s">
        <v>9</v>
      </c>
      <c r="B7" t="s">
        <v>237</v>
      </c>
      <c r="C7" s="1">
        <v>1.25</v>
      </c>
      <c r="D7" t="s">
        <v>11</v>
      </c>
      <c r="E7" s="2"/>
      <c r="G7" t="s">
        <v>11</v>
      </c>
      <c r="H7" t="s">
        <v>1</v>
      </c>
    </row>
    <row r="8" spans="1:9" ht="105" x14ac:dyDescent="0.25">
      <c r="A8" t="s">
        <v>23</v>
      </c>
      <c r="B8" t="s">
        <v>238</v>
      </c>
      <c r="C8" s="1">
        <v>1.6666666999999999</v>
      </c>
      <c r="D8" t="s">
        <v>21</v>
      </c>
      <c r="E8" s="2" t="s">
        <v>239</v>
      </c>
      <c r="F8" s="1">
        <v>0</v>
      </c>
      <c r="G8" t="s">
        <v>11</v>
      </c>
    </row>
    <row r="9" spans="1:9" x14ac:dyDescent="0.25">
      <c r="A9" t="s">
        <v>23</v>
      </c>
      <c r="B9" t="s">
        <v>240</v>
      </c>
      <c r="C9" s="1">
        <v>0.71428572999999995</v>
      </c>
      <c r="D9" t="s">
        <v>11</v>
      </c>
      <c r="E9" s="2"/>
      <c r="G9" t="s">
        <v>21</v>
      </c>
    </row>
    <row r="10" spans="1:9" x14ac:dyDescent="0.25">
      <c r="A10" t="s">
        <v>9</v>
      </c>
      <c r="B10" t="s">
        <v>241</v>
      </c>
      <c r="C10" s="1">
        <v>1.6666666999999999</v>
      </c>
      <c r="D10" t="s">
        <v>11</v>
      </c>
      <c r="E10" s="2"/>
      <c r="G10" t="s">
        <v>11</v>
      </c>
    </row>
    <row r="11" spans="1:9" ht="90" x14ac:dyDescent="0.25">
      <c r="A11" t="s">
        <v>23</v>
      </c>
      <c r="B11" t="s">
        <v>242</v>
      </c>
      <c r="C11" s="1">
        <v>1.9230769999999999</v>
      </c>
      <c r="D11" t="s">
        <v>21</v>
      </c>
      <c r="E11" s="2" t="s">
        <v>243</v>
      </c>
      <c r="F11" s="1">
        <v>0</v>
      </c>
      <c r="G11" t="s">
        <v>11</v>
      </c>
    </row>
    <row r="12" spans="1:9" ht="60" x14ac:dyDescent="0.25">
      <c r="A12" t="s">
        <v>13</v>
      </c>
      <c r="D12" t="s">
        <v>21</v>
      </c>
      <c r="E12" s="2" t="s">
        <v>244</v>
      </c>
      <c r="G12" t="s">
        <v>11</v>
      </c>
    </row>
    <row r="13" spans="1:9" x14ac:dyDescent="0.25">
      <c r="E13" s="2"/>
    </row>
    <row r="14" spans="1:9" x14ac:dyDescent="0.25">
      <c r="B14" s="4" t="s">
        <v>46</v>
      </c>
      <c r="C14" s="1">
        <f>AVERAGE(C2:C12)</f>
        <v>1.3026251629999999</v>
      </c>
      <c r="D14">
        <f>COUNTIF(D2:D12,"Yes")</f>
        <v>6</v>
      </c>
      <c r="E14" s="5"/>
      <c r="F14" s="1">
        <f>AVERAGE(F2:F12)</f>
        <v>0.25</v>
      </c>
      <c r="G14">
        <f>COUNTIF(G2:G12,"Yes")</f>
        <v>8</v>
      </c>
      <c r="H14">
        <f>COUNTIF(H2:H12,"DocTool")</f>
        <v>2</v>
      </c>
    </row>
    <row r="15" spans="1:9" x14ac:dyDescent="0.25">
      <c r="B15" s="4" t="s">
        <v>47</v>
      </c>
      <c r="C15" s="1">
        <f>_xlfn.STDEV.P(C2:C12)</f>
        <v>0.66719756956531828</v>
      </c>
      <c r="D15" s="5">
        <f>D14/ROWS(D2:D12)</f>
        <v>0.54545454545454541</v>
      </c>
      <c r="F15" s="1">
        <f>_xlfn.STDEV.P(F2:F12)</f>
        <v>0.4330127018922193</v>
      </c>
      <c r="G15" s="5">
        <f>G14/ROWS(G2:G12)</f>
        <v>0.72727272727272729</v>
      </c>
      <c r="H15" s="5">
        <f>H14/COUNTA(H2:H12)</f>
        <v>1</v>
      </c>
    </row>
    <row r="16" spans="1:9" x14ac:dyDescent="0.25">
      <c r="B16" t="s">
        <v>1</v>
      </c>
      <c r="E16" s="2"/>
      <c r="I16" t="s">
        <v>4</v>
      </c>
    </row>
    <row r="17" spans="2:14" x14ac:dyDescent="0.25">
      <c r="B17" t="s">
        <v>0</v>
      </c>
      <c r="C17" t="s">
        <v>48</v>
      </c>
      <c r="D17" t="s">
        <v>49</v>
      </c>
      <c r="E17" t="s">
        <v>2</v>
      </c>
      <c r="F17" t="s">
        <v>50</v>
      </c>
      <c r="G17" t="s">
        <v>51</v>
      </c>
      <c r="H17" t="s">
        <v>52</v>
      </c>
      <c r="I17" t="s">
        <v>48</v>
      </c>
      <c r="J17" t="s">
        <v>49</v>
      </c>
      <c r="K17" t="s">
        <v>2</v>
      </c>
      <c r="L17" t="s">
        <v>50</v>
      </c>
      <c r="M17" t="s">
        <v>51</v>
      </c>
      <c r="N17" t="s">
        <v>52</v>
      </c>
    </row>
    <row r="18" spans="2:14" x14ac:dyDescent="0.25">
      <c r="B18" t="str" cm="1">
        <f t="array" ref="B18:B20">_xlfn.UNIQUE(_xlfn._xlws.FILTER(RussianFactory[Kategorie],RussianFactory[Kategorie]&lt;&gt;""))</f>
        <v>imperfect</v>
      </c>
      <c r="C18" s="1">
        <f>COUNTIFS(RussianFactory[Kategorie], B18, RussianFactory[Right/Wrong], "Yes")</f>
        <v>3</v>
      </c>
      <c r="D18" s="5">
        <f>C18/COUNTIF(RussianFactory[Kategorie],B18)</f>
        <v>0.75</v>
      </c>
      <c r="E18" s="2">
        <f>AVERAGEIF(RussianFactory[Kategorie],B18,RussianFactory[Alibi-Score])</f>
        <v>1.625</v>
      </c>
      <c r="F18" s="1" cm="1">
        <f t="array" ref="F18">_xlfn.STDEV.P(IF(TranslationQuestion[Kategorie]=B18, TranslationQuestion[Alibi-Score]))</f>
        <v>0.62338222965665413</v>
      </c>
      <c r="G18">
        <f>COUNTIFS(RussianFactory[Kategorie], B18,RussianFactory[Who is better?],"DocTool")</f>
        <v>2</v>
      </c>
      <c r="H18" s="5">
        <f>G18/COUNTIFS(RussianFactory[Kategorie],B18,RussianFactory[Who is better?],"&lt;&gt;")</f>
        <v>1</v>
      </c>
      <c r="I18" s="1">
        <f>COUNTIFS(RussianFactory[Kategorie], B18, RussianFactory[Right/Wrong3], "Yes")</f>
        <v>4</v>
      </c>
      <c r="J18" s="5">
        <f>I18/COUNTIF(RussianFactory[Kategorie],B18)</f>
        <v>1</v>
      </c>
      <c r="K18" s="2">
        <f>AVERAGEIF(RussianFactory[Kategorie],B18,RussianFactory[Alibi-Score2])</f>
        <v>1</v>
      </c>
      <c r="L18" s="1" cm="1">
        <f t="array" ref="L18">_xlfn.STDEV.P(IF(RussianFactory[Kategorie]=B18, RussianFactory[Alibi-Score2]))</f>
        <v>0.4330127018922193</v>
      </c>
      <c r="M18">
        <f>COUNTIFS(RussianFactory[Kategorie], B18,RussianFactory[Who is better?],"GPT")</f>
        <v>0</v>
      </c>
      <c r="N18" s="5">
        <f>M18/COUNTIFS(RussianFactory[Kategorie],B18,RussianFactory[Who is better?],"&lt;&gt;")</f>
        <v>0</v>
      </c>
    </row>
    <row r="19" spans="2:14" x14ac:dyDescent="0.25">
      <c r="B19" t="str">
        <v>alibi</v>
      </c>
      <c r="C19" s="1">
        <f>COUNTIFS(RussianFactory[Kategorie], B19, RussianFactory[Right/Wrong], "Yes")</f>
        <v>3</v>
      </c>
      <c r="D19" s="5">
        <f>C19/COUNTIF(RussianFactory[Kategorie],B19)</f>
        <v>0.5</v>
      </c>
      <c r="E19" s="2">
        <f>AVERAGEIF(RussianFactory[Kategorie],B19,RussianFactory[Alibi-Score])</f>
        <v>1.087708605</v>
      </c>
      <c r="F19" s="1" cm="1">
        <f t="array" ref="F19">_xlfn.STDEV.P(IF(TranslationQuestion[Kategorie]=B19, TranslationQuestion[Alibi-Score]))</f>
        <v>0.59144619269384713</v>
      </c>
      <c r="G19">
        <f>COUNTIFS(RussianFactory[Kategorie], B19,RussianFactory[Who is better?],"DocTool")</f>
        <v>0</v>
      </c>
      <c r="H19" s="5" t="e">
        <f>G19/COUNTIFS(RussianFactory[Kategorie],B19,RussianFactory[Who is better?],"&lt;&gt;")</f>
        <v>#DIV/0!</v>
      </c>
      <c r="I19" s="1">
        <f>COUNTIFS(RussianFactory[Kategorie], B19, RussianFactory[Right/Wrong3], "Yes")</f>
        <v>3</v>
      </c>
      <c r="J19" s="5">
        <f>I19/COUNTIF(RussianFactory[Kategorie],B19)</f>
        <v>0.5</v>
      </c>
      <c r="K19" s="2">
        <f>AVERAGEIF(RussianFactory[Kategorie],B19,RussianFactory[Alibi-Score2])</f>
        <v>0</v>
      </c>
      <c r="L19" s="1" cm="1">
        <f t="array" ref="L19">_xlfn.STDEV.P(IF(RussianFactory[Kategorie]=B19, RussianFactory[Alibi-Score2]))</f>
        <v>0</v>
      </c>
      <c r="M19">
        <f>COUNTIFS(RussianFactory[Kategorie], B19,RussianFactory[Who is better?],"GPT")</f>
        <v>0</v>
      </c>
      <c r="N19" s="5" t="e">
        <f>M19/COUNTIFS(RussianFactory[Kategorie],B19,RussianFactory[Who is better?],"&lt;&gt;")</f>
        <v>#DIV/0!</v>
      </c>
    </row>
    <row r="20" spans="2:14" x14ac:dyDescent="0.25">
      <c r="B20" t="str">
        <v>missing</v>
      </c>
      <c r="C20" s="1">
        <f>COUNTIFS(RussianFactory[Kategorie], B20, RussianFactory[Right/Wrong], "Yes")</f>
        <v>0</v>
      </c>
      <c r="D20" s="5">
        <f>C20/COUNTIF(RussianFactory[Kategorie],B20)</f>
        <v>0</v>
      </c>
      <c r="E20" s="2" t="e">
        <f>AVERAGEIF(RussianFactory[Kategorie],B20,RussianFactory[Alibi-Score])</f>
        <v>#DIV/0!</v>
      </c>
      <c r="F20" s="1" t="e" cm="1">
        <f t="array" ref="F20">_xlfn.STDEV.P(IF(TranslationQuestion[Kategorie]=B20, TranslationQuestion[Alibi-Score]))</f>
        <v>#DIV/0!</v>
      </c>
      <c r="G20">
        <f>COUNTIFS(RussianFactory[Kategorie], B20,RussianFactory[Who is better?],"DocTool")</f>
        <v>0</v>
      </c>
      <c r="H20" s="5" t="e">
        <f>G20/COUNTIFS(RussianFactory[Kategorie],B20,RussianFactory[Who is better?],"&lt;&gt;")</f>
        <v>#DIV/0!</v>
      </c>
      <c r="I20" s="1">
        <f>COUNTIFS(RussianFactory[Kategorie], B20, RussianFactory[Right/Wrong3], "Yes")</f>
        <v>1</v>
      </c>
      <c r="J20" s="5">
        <f>I20/COUNTIF(RussianFactory[Kategorie],B20)</f>
        <v>1</v>
      </c>
      <c r="K20" s="2" t="e">
        <f>AVERAGEIF(RussianFactory[Kategorie],B20,RussianFactory[Alibi-Score2])</f>
        <v>#DIV/0!</v>
      </c>
      <c r="L20" s="1" cm="1">
        <f t="array" ref="L20">_xlfn.STDEV.P(IF(RussianFactory[Kategorie]=B20, RussianFactory[Alibi-Score2]))</f>
        <v>0</v>
      </c>
      <c r="M20">
        <f>COUNTIFS(RussianFactory[Kategorie], B20,RussianFactory[Who is better?],"GPT")</f>
        <v>0</v>
      </c>
      <c r="N20" s="5" t="e">
        <f>M20/COUNTIFS(RussianFactory[Kategorie],B20,RussianFactory[Who is better?],"&lt;&gt;")</f>
        <v>#DIV/0!</v>
      </c>
    </row>
    <row r="21" spans="2:14" x14ac:dyDescent="0.25">
      <c r="E21" s="2"/>
    </row>
    <row r="24" spans="2:14" x14ac:dyDescent="0.25">
      <c r="E24" s="2"/>
    </row>
    <row r="26" spans="2:14" x14ac:dyDescent="0.25">
      <c r="E26" s="2"/>
    </row>
    <row r="27" spans="2:14" x14ac:dyDescent="0.25">
      <c r="E27" s="2"/>
    </row>
    <row r="29" spans="2:14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14">
    <cfRule type="containsText" dxfId="39" priority="11" operator="containsText" text="No">
      <formula>NOT(ISERROR(SEARCH("No",D1)))</formula>
    </cfRule>
    <cfRule type="containsText" dxfId="38" priority="12" operator="containsText" text="Yes">
      <formula>NOT(ISERROR(SEARCH("Yes",D1)))</formula>
    </cfRule>
  </conditionalFormatting>
  <conditionalFormatting sqref="D16:D1048576">
    <cfRule type="containsText" dxfId="37" priority="7" operator="containsText" text="No">
      <formula>NOT(ISERROR(SEARCH("No",D16)))</formula>
    </cfRule>
    <cfRule type="containsText" dxfId="36" priority="8" operator="containsText" text="Yes">
      <formula>NOT(ISERROR(SEARCH("Yes",D16)))</formula>
    </cfRule>
  </conditionalFormatting>
  <conditionalFormatting sqref="G1:G13">
    <cfRule type="containsText" dxfId="35" priority="13" operator="containsText" text="No">
      <formula>NOT(ISERROR(SEARCH("No",G1)))</formula>
    </cfRule>
    <cfRule type="containsText" dxfId="34" priority="14" operator="containsText" text="Yes">
      <formula>NOT(ISERROR(SEARCH("Yes",G1)))</formula>
    </cfRule>
  </conditionalFormatting>
  <conditionalFormatting sqref="G16:G1048576">
    <cfRule type="containsText" dxfId="33" priority="5" operator="containsText" text="No">
      <formula>NOT(ISERROR(SEARCH("No",G16)))</formula>
    </cfRule>
    <cfRule type="containsText" dxfId="32" priority="6" operator="containsText" text="Yes">
      <formula>NOT(ISERROR(SEARCH("Yes",G16)))</formula>
    </cfRule>
  </conditionalFormatting>
  <conditionalFormatting sqref="G14:H14">
    <cfRule type="containsText" dxfId="31" priority="9" operator="containsText" text="No">
      <formula>NOT(ISERROR(SEARCH("No",G14)))</formula>
    </cfRule>
    <cfRule type="containsText" dxfId="30" priority="10" operator="containsText" text="Yes">
      <formula>NOT(ISERROR(SEARCH("Yes",G14)))</formula>
    </cfRule>
  </conditionalFormatting>
  <conditionalFormatting sqref="J17:J20">
    <cfRule type="containsText" dxfId="29" priority="3" operator="containsText" text="No">
      <formula>NOT(ISERROR(SEARCH("No",J17)))</formula>
    </cfRule>
    <cfRule type="containsText" dxfId="28" priority="4" operator="containsText" text="Yes">
      <formula>NOT(ISERROR(SEARCH("Yes",J17)))</formula>
    </cfRule>
  </conditionalFormatting>
  <conditionalFormatting sqref="M17:M20">
    <cfRule type="containsText" dxfId="27" priority="1" operator="containsText" text="No">
      <formula>NOT(ISERROR(SEARCH("No",M17)))</formula>
    </cfRule>
    <cfRule type="containsText" dxfId="26" priority="2" operator="containsText" text="Yes">
      <formula>NOT(ISERROR(SEARCH("Yes",M17)))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7992EF-77EB-43D4-8B0A-8BFA932067A1}">
          <x14:formula1>
            <xm:f>Einstellungsdaten!$A$1:$A$2</xm:f>
          </x14:formula1>
          <xm:sqref>D21:D1048576 G1:G13 D1:D13 G21:G1048576</xm:sqref>
        </x14:dataValidation>
        <x14:dataValidation type="list" allowBlank="1" showInputMessage="1" showErrorMessage="1" xr:uid="{7EC378CD-EBE7-4944-8BE3-8427D878A635}">
          <x14:formula1>
            <xm:f>Einstellungsdaten!$C$1:$C$2</xm:f>
          </x14:formula1>
          <xm:sqref>H1:H13 H21:H1048576</xm:sqref>
        </x14:dataValidation>
        <x14:dataValidation type="list" allowBlank="1" showInputMessage="1" showErrorMessage="1" xr:uid="{BA0FDC2B-8775-4414-810E-A1A503B660E9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5C51-0445-41AA-866A-358C28761C52}">
  <dimension ref="A1:N36"/>
  <sheetViews>
    <sheetView topLeftCell="A9" workbookViewId="0">
      <selection activeCell="H12" sqref="H12"/>
    </sheetView>
  </sheetViews>
  <sheetFormatPr baseColWidth="10" defaultColWidth="11.42578125" defaultRowHeight="15" x14ac:dyDescent="0.25"/>
  <cols>
    <col min="1" max="1" width="11.7109375" customWidth="1"/>
    <col min="2" max="2" width="81" customWidth="1"/>
    <col min="3" max="3" width="12.85546875" style="1" customWidth="1"/>
    <col min="4" max="4" width="14.5703125" customWidth="1"/>
    <col min="5" max="5" width="62.140625" customWidth="1"/>
    <col min="6" max="6" width="15" style="1" customWidth="1"/>
    <col min="7" max="7" width="15.5703125" customWidth="1"/>
    <col min="8" max="8" width="17.42578125" customWidth="1"/>
    <col min="9" max="9" width="27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4" ht="90" x14ac:dyDescent="0.25">
      <c r="A2" t="s">
        <v>23</v>
      </c>
      <c r="B2" t="s">
        <v>245</v>
      </c>
      <c r="C2" s="1">
        <v>2.9166664999999998</v>
      </c>
      <c r="D2" t="s">
        <v>21</v>
      </c>
      <c r="E2" s="2" t="s">
        <v>246</v>
      </c>
      <c r="F2" s="3">
        <v>1</v>
      </c>
      <c r="G2" t="s">
        <v>21</v>
      </c>
      <c r="H2" t="s">
        <v>4</v>
      </c>
    </row>
    <row r="3" spans="1:14" ht="90" x14ac:dyDescent="0.25">
      <c r="A3" t="s">
        <v>23</v>
      </c>
      <c r="B3" t="s">
        <v>247</v>
      </c>
      <c r="C3" s="1">
        <v>2</v>
      </c>
      <c r="D3" t="s">
        <v>21</v>
      </c>
      <c r="E3" s="2" t="s">
        <v>248</v>
      </c>
      <c r="F3" s="1">
        <v>1</v>
      </c>
      <c r="G3" t="s">
        <v>21</v>
      </c>
      <c r="H3" t="s">
        <v>4</v>
      </c>
    </row>
    <row r="4" spans="1:14" x14ac:dyDescent="0.25">
      <c r="A4" t="s">
        <v>9</v>
      </c>
      <c r="B4" t="s">
        <v>249</v>
      </c>
      <c r="C4" s="1">
        <v>0.8333334</v>
      </c>
      <c r="D4" t="s">
        <v>21</v>
      </c>
      <c r="E4" s="2"/>
      <c r="G4" t="s">
        <v>11</v>
      </c>
    </row>
    <row r="5" spans="1:14" x14ac:dyDescent="0.25">
      <c r="A5" t="s">
        <v>9</v>
      </c>
      <c r="B5" t="s">
        <v>250</v>
      </c>
      <c r="C5" s="1">
        <v>1.4285715000000001</v>
      </c>
      <c r="D5" t="s">
        <v>11</v>
      </c>
      <c r="E5" s="2"/>
      <c r="G5" t="s">
        <v>11</v>
      </c>
      <c r="H5" t="s">
        <v>1</v>
      </c>
    </row>
    <row r="6" spans="1:14" x14ac:dyDescent="0.25">
      <c r="A6" t="s">
        <v>9</v>
      </c>
      <c r="B6" t="s">
        <v>251</v>
      </c>
      <c r="C6" s="1">
        <v>2.5</v>
      </c>
      <c r="D6" t="s">
        <v>11</v>
      </c>
      <c r="E6" s="2"/>
      <c r="G6" t="s">
        <v>11</v>
      </c>
      <c r="H6" t="s">
        <v>1</v>
      </c>
    </row>
    <row r="7" spans="1:14" x14ac:dyDescent="0.25">
      <c r="B7" t="s">
        <v>252</v>
      </c>
      <c r="D7" t="s">
        <v>21</v>
      </c>
      <c r="E7" s="2"/>
      <c r="G7" t="s">
        <v>11</v>
      </c>
      <c r="I7" t="s">
        <v>83</v>
      </c>
    </row>
    <row r="8" spans="1:14" ht="105" x14ac:dyDescent="0.25">
      <c r="A8" t="s">
        <v>9</v>
      </c>
      <c r="B8" t="s">
        <v>253</v>
      </c>
      <c r="C8" s="1">
        <v>2</v>
      </c>
      <c r="D8" t="s">
        <v>11</v>
      </c>
      <c r="E8" s="2" t="s">
        <v>254</v>
      </c>
      <c r="F8" s="1">
        <v>1</v>
      </c>
      <c r="G8" t="s">
        <v>11</v>
      </c>
      <c r="H8" t="s">
        <v>4</v>
      </c>
    </row>
    <row r="9" spans="1:14" ht="105" x14ac:dyDescent="0.25">
      <c r="A9" t="s">
        <v>23</v>
      </c>
      <c r="B9" t="s">
        <v>255</v>
      </c>
      <c r="C9" s="1">
        <v>1.25</v>
      </c>
      <c r="D9" t="s">
        <v>21</v>
      </c>
      <c r="E9" s="2" t="s">
        <v>256</v>
      </c>
      <c r="F9" s="1">
        <v>1</v>
      </c>
      <c r="G9" t="s">
        <v>21</v>
      </c>
      <c r="H9" t="s">
        <v>4</v>
      </c>
    </row>
    <row r="10" spans="1:14" ht="90" x14ac:dyDescent="0.25">
      <c r="A10" t="s">
        <v>23</v>
      </c>
      <c r="B10" t="s">
        <v>257</v>
      </c>
      <c r="C10" s="1">
        <v>2.1428569999999998</v>
      </c>
      <c r="D10" t="s">
        <v>21</v>
      </c>
      <c r="E10" s="2" t="s">
        <v>258</v>
      </c>
      <c r="F10" s="1">
        <v>1</v>
      </c>
      <c r="G10" t="s">
        <v>21</v>
      </c>
      <c r="H10" t="s">
        <v>4</v>
      </c>
    </row>
    <row r="11" spans="1:14" x14ac:dyDescent="0.25">
      <c r="E11" s="2"/>
    </row>
    <row r="12" spans="1:14" x14ac:dyDescent="0.25">
      <c r="B12" s="4" t="s">
        <v>46</v>
      </c>
      <c r="C12" s="1">
        <f>AVERAGE(C2:C10)</f>
        <v>1.8839285499999998</v>
      </c>
      <c r="D12">
        <f>COUNTIF(D2:D10,"Yes")</f>
        <v>3</v>
      </c>
      <c r="E12" s="5"/>
      <c r="F12" s="1">
        <f>AVERAGE(F2:F10)</f>
        <v>1</v>
      </c>
      <c r="G12">
        <f>COUNTIF(G2:G10,"Yes")</f>
        <v>5</v>
      </c>
      <c r="H12">
        <f>COUNTIF(H2:H10,"DocTool")</f>
        <v>2</v>
      </c>
    </row>
    <row r="13" spans="1:14" x14ac:dyDescent="0.25">
      <c r="B13" s="4" t="s">
        <v>47</v>
      </c>
      <c r="C13" s="1">
        <f>_xlfn.STDEV.P(C2:C10)</f>
        <v>0.63767609614896203</v>
      </c>
      <c r="D13" s="5">
        <f>D12/ROWS(D2:D10)</f>
        <v>0.33333333333333331</v>
      </c>
      <c r="F13" s="1">
        <f>_xlfn.STDEV.P(F2:F10)</f>
        <v>0</v>
      </c>
      <c r="G13" s="5">
        <f>G12/ROWS(G2:G10)</f>
        <v>0.55555555555555558</v>
      </c>
      <c r="H13" s="5">
        <f>H12/COUNTA(H2:H10)</f>
        <v>0.2857142857142857</v>
      </c>
    </row>
    <row r="14" spans="1:14" x14ac:dyDescent="0.25">
      <c r="B14" t="s">
        <v>1</v>
      </c>
      <c r="E14" s="2"/>
      <c r="I14" t="s">
        <v>4</v>
      </c>
    </row>
    <row r="15" spans="1:14" x14ac:dyDescent="0.25">
      <c r="B15" t="s">
        <v>0</v>
      </c>
      <c r="C15" t="s">
        <v>48</v>
      </c>
      <c r="D15" t="s">
        <v>49</v>
      </c>
      <c r="E15" t="s">
        <v>2</v>
      </c>
      <c r="F15" t="s">
        <v>50</v>
      </c>
      <c r="G15" t="s">
        <v>51</v>
      </c>
      <c r="H15" t="s">
        <v>52</v>
      </c>
      <c r="I15" t="s">
        <v>48</v>
      </c>
      <c r="J15" t="s">
        <v>49</v>
      </c>
      <c r="K15" t="s">
        <v>2</v>
      </c>
      <c r="L15" t="s">
        <v>50</v>
      </c>
      <c r="M15" t="s">
        <v>51</v>
      </c>
      <c r="N15" t="s">
        <v>52</v>
      </c>
    </row>
    <row r="16" spans="1:14" x14ac:dyDescent="0.25">
      <c r="B16" t="str">
        <f t="array" ref="B16:B17">_xlfn.UNIQUE(_xlfn._xlws.FILTER(TranslationQuestion[Kategorie], TranslationQuestion[Kategorie]&lt;&gt;""))</f>
        <v>alibi</v>
      </c>
      <c r="C16" s="1">
        <f>COUNTIFS(TranslationQuestion[Kategorie], B16, TranslationQuestion[Right/Wrong], "Yes")</f>
        <v>0</v>
      </c>
      <c r="D16" s="5">
        <f>C16/COUNTIF(TranslationQuestion[Kategorie],B16)</f>
        <v>0</v>
      </c>
      <c r="E16" s="2">
        <f>AVERAGEIF(TranslationQuestion[Kategorie],B16,TranslationQuestion[Alibi-Score])</f>
        <v>2.0773808749999998</v>
      </c>
      <c r="F16" s="1" cm="1">
        <f t="array" ref="F16">_xlfn.STDEV.P(IF(TranslationQuestion[Kategorie]=B16, TranslationQuestion[Alibi-Score]))</f>
        <v>0.59144619269384713</v>
      </c>
      <c r="G16">
        <f>COUNTIFS(TranslationQuestion[Kategorie], B16,TranslationQuestion[Who is better?],"DocTool")</f>
        <v>0</v>
      </c>
      <c r="H16" s="5">
        <f>G16/COUNTIFS(TranslationQuestion[Kategorie],B16,TranslationQuestion[Who is better?],"&lt;&gt;")</f>
        <v>0</v>
      </c>
      <c r="I16" s="1">
        <f>COUNTIFS(TranslationQuestion[Kategorie], B16, TranslationQuestion[Right/Wrong3], "Yes")</f>
        <v>0</v>
      </c>
      <c r="J16" s="5">
        <f>I16/COUNTIF(TranslationQuestion[Kategorie],B16)</f>
        <v>0</v>
      </c>
      <c r="K16" s="2">
        <f>AVERAGEIF(TranslationQuestion[Kategorie],B16,TranslationQuestion[Alibi-Score2])</f>
        <v>1</v>
      </c>
      <c r="L16" s="1" cm="1">
        <f t="array" ref="L16">_xlfn.STDEV.P(IF(TranslationQuestion[Kategorie]=B16, TranslationQuestion[Alibi-Score2]))</f>
        <v>0</v>
      </c>
      <c r="M16">
        <f>COUNTIFS(TranslationQuestion[Kategorie], B16,TranslationQuestion[Who is better?],"GPT")</f>
        <v>4</v>
      </c>
      <c r="N16" s="5">
        <f>M16/COUNTIFS(TranslationQuestion[Kategorie],B16,TranslationQuestion[Who is better?],"&lt;&gt;")</f>
        <v>1</v>
      </c>
    </row>
    <row r="17" spans="2:14" x14ac:dyDescent="0.25">
      <c r="B17" t="str">
        <v>imperfect</v>
      </c>
      <c r="C17" s="1">
        <f>COUNTIFS(TranslationQuestion[Kategorie], B17, TranslationQuestion[Right/Wrong], "Yes")</f>
        <v>3</v>
      </c>
      <c r="D17" s="5">
        <f>C17/COUNTIF(TranslationQuestion[Kategorie],B17)</f>
        <v>0.75</v>
      </c>
      <c r="E17" s="2">
        <f>AVERAGEIF(TranslationQuestion[Kategorie],B17,TranslationQuestion[Alibi-Score])</f>
        <v>1.6904762250000001</v>
      </c>
      <c r="F17" s="1" cm="1">
        <f t="array" ref="F17">_xlfn.STDEV.P(IF(TranslationQuestion[Kategorie]=B17, TranslationQuestion[Alibi-Score]))</f>
        <v>0.62338222965665413</v>
      </c>
      <c r="G17">
        <f>COUNTIFS(TranslationQuestion[Kategorie], B17,TranslationQuestion[Who is better?],"DocTool")</f>
        <v>2</v>
      </c>
      <c r="H17" s="5">
        <f>G17/COUNTIFS(TranslationQuestion[Kategorie],B17,TranslationQuestion[Who is better?],"&lt;&gt;")</f>
        <v>0.66666666666666663</v>
      </c>
      <c r="I17" s="1">
        <f>COUNTIFS(TranslationQuestion[Kategorie], B17, TranslationQuestion[Right/Wrong3], "Yes")</f>
        <v>4</v>
      </c>
      <c r="J17" s="5">
        <f>I17/COUNTIF(TranslationQuestion[Kategorie],B17)</f>
        <v>1</v>
      </c>
      <c r="K17" s="2">
        <f>AVERAGEIF(TranslationQuestion[Kategorie],B17,TranslationQuestion[Alibi-Score2])</f>
        <v>1</v>
      </c>
      <c r="L17" s="1" cm="1">
        <f t="array" ref="L17">_xlfn.STDEV.P(IF(TranslationQuestion[Kategorie]=B17, TranslationQuestion[Alibi-Score2]))</f>
        <v>0.4330127018922193</v>
      </c>
      <c r="M17">
        <f>COUNTIFS(TranslationQuestion[Kategorie], B17,TranslationQuestion[Who is better?],"GPT")</f>
        <v>1</v>
      </c>
      <c r="N17" s="5">
        <f>M17/COUNTIFS(TranslationQuestion[Kategorie],B17,TranslationQuestion[Who is better?],"&lt;&gt;")</f>
        <v>0.33333333333333331</v>
      </c>
    </row>
    <row r="18" spans="2:14" x14ac:dyDescent="0.25">
      <c r="E18" s="2"/>
    </row>
    <row r="19" spans="2:14" x14ac:dyDescent="0.25">
      <c r="E19" s="2"/>
    </row>
    <row r="20" spans="2:14" x14ac:dyDescent="0.25">
      <c r="E20" s="2"/>
    </row>
    <row r="21" spans="2:14" x14ac:dyDescent="0.25">
      <c r="E21" s="2"/>
    </row>
    <row r="24" spans="2:14" x14ac:dyDescent="0.25">
      <c r="E24" s="2"/>
    </row>
    <row r="26" spans="2:14" x14ac:dyDescent="0.25">
      <c r="E26" s="2"/>
    </row>
    <row r="27" spans="2:14" x14ac:dyDescent="0.25">
      <c r="E27" s="2"/>
    </row>
    <row r="29" spans="2:14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12">
    <cfRule type="containsText" dxfId="25" priority="11" operator="containsText" text="No">
      <formula>NOT(ISERROR(SEARCH("No",D1)))</formula>
    </cfRule>
    <cfRule type="containsText" dxfId="24" priority="12" operator="containsText" text="Yes">
      <formula>NOT(ISERROR(SEARCH("Yes",D1)))</formula>
    </cfRule>
  </conditionalFormatting>
  <conditionalFormatting sqref="D14:D1048576">
    <cfRule type="containsText" dxfId="23" priority="7" operator="containsText" text="No">
      <formula>NOT(ISERROR(SEARCH("No",D14)))</formula>
    </cfRule>
    <cfRule type="containsText" dxfId="22" priority="8" operator="containsText" text="Yes">
      <formula>NOT(ISERROR(SEARCH("Yes",D14)))</formula>
    </cfRule>
  </conditionalFormatting>
  <conditionalFormatting sqref="G1:G11">
    <cfRule type="containsText" dxfId="21" priority="13" operator="containsText" text="No">
      <formula>NOT(ISERROR(SEARCH("No",G1)))</formula>
    </cfRule>
    <cfRule type="containsText" dxfId="20" priority="14" operator="containsText" text="Yes">
      <formula>NOT(ISERROR(SEARCH("Yes",G1)))</formula>
    </cfRule>
  </conditionalFormatting>
  <conditionalFormatting sqref="G14:G1048576">
    <cfRule type="containsText" dxfId="19" priority="5" operator="containsText" text="No">
      <formula>NOT(ISERROR(SEARCH("No",G14)))</formula>
    </cfRule>
    <cfRule type="containsText" dxfId="18" priority="6" operator="containsText" text="Yes">
      <formula>NOT(ISERROR(SEARCH("Yes",G14)))</formula>
    </cfRule>
  </conditionalFormatting>
  <conditionalFormatting sqref="G12:H12">
    <cfRule type="containsText" dxfId="17" priority="9" operator="containsText" text="No">
      <formula>NOT(ISERROR(SEARCH("No",G12)))</formula>
    </cfRule>
    <cfRule type="containsText" dxfId="16" priority="10" operator="containsText" text="Yes">
      <formula>NOT(ISERROR(SEARCH("Yes",G12)))</formula>
    </cfRule>
  </conditionalFormatting>
  <conditionalFormatting sqref="J15:J17">
    <cfRule type="containsText" dxfId="15" priority="3" operator="containsText" text="No">
      <formula>NOT(ISERROR(SEARCH("No",J15)))</formula>
    </cfRule>
    <cfRule type="containsText" dxfId="14" priority="4" operator="containsText" text="Yes">
      <formula>NOT(ISERROR(SEARCH("Yes",J15)))</formula>
    </cfRule>
  </conditionalFormatting>
  <conditionalFormatting sqref="M15:M17">
    <cfRule type="containsText" dxfId="13" priority="1" operator="containsText" text="No">
      <formula>NOT(ISERROR(SEARCH("No",M15)))</formula>
    </cfRule>
    <cfRule type="containsText" dxfId="12" priority="2" operator="containsText" text="Yes">
      <formula>NOT(ISERROR(SEARCH("Yes",M15)))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1B9027-4078-454B-88D8-AAF08C361DB7}">
          <x14:formula1>
            <xm:f>Einstellungsdaten!$C$1:$C$2</xm:f>
          </x14:formula1>
          <xm:sqref>H1:H11 H18:H1048576</xm:sqref>
        </x14:dataValidation>
        <x14:dataValidation type="list" allowBlank="1" showInputMessage="1" showErrorMessage="1" xr:uid="{3E2EFC2B-4237-49A4-A2E5-684C5926BA54}">
          <x14:formula1>
            <xm:f>Einstellungsdaten!$A$1:$A$2</xm:f>
          </x14:formula1>
          <xm:sqref>D18:D1048576 G1:G11 D1:D11 G18:G1048576</xm:sqref>
        </x14:dataValidation>
        <x14:dataValidation type="list" allowBlank="1" showInputMessage="1" showErrorMessage="1" xr:uid="{CE9E5062-F0B2-499A-A749-C6FC891F3181}">
          <x14:formula1>
            <xm:f>Einstellungsdaten!$E$1:$E$5</xm:f>
          </x14:formula1>
          <xm:sqref>A1:A1048576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0DBE-1494-4372-A852-8211F59337FF}">
  <dimension ref="A1:N36"/>
  <sheetViews>
    <sheetView zoomScale="88" workbookViewId="0">
      <selection activeCell="H3" sqref="H3"/>
    </sheetView>
  </sheetViews>
  <sheetFormatPr baseColWidth="10" defaultColWidth="11.42578125" defaultRowHeight="15" x14ac:dyDescent="0.25"/>
  <cols>
    <col min="1" max="1" width="11.85546875" customWidth="1"/>
    <col min="2" max="2" width="81" customWidth="1"/>
    <col min="3" max="3" width="12.85546875" style="1" customWidth="1"/>
    <col min="4" max="4" width="14.7109375" customWidth="1"/>
    <col min="5" max="5" width="62.140625" customWidth="1"/>
    <col min="6" max="6" width="15" style="1" customWidth="1"/>
    <col min="7" max="7" width="15.85546875" customWidth="1"/>
    <col min="8" max="8" width="17.42578125" customWidth="1"/>
    <col min="9" max="9" width="27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4" ht="105" x14ac:dyDescent="0.25">
      <c r="A2" t="s">
        <v>9</v>
      </c>
      <c r="B2" t="s">
        <v>259</v>
      </c>
      <c r="C2" s="1">
        <v>3.4615385999999999</v>
      </c>
      <c r="D2" t="s">
        <v>11</v>
      </c>
      <c r="E2" s="2" t="s">
        <v>260</v>
      </c>
      <c r="F2" s="3">
        <v>1</v>
      </c>
      <c r="G2" t="s">
        <v>11</v>
      </c>
      <c r="H2" t="s">
        <v>4</v>
      </c>
    </row>
    <row r="3" spans="1:14" ht="75" x14ac:dyDescent="0.25">
      <c r="A3" t="s">
        <v>23</v>
      </c>
      <c r="B3" t="s">
        <v>261</v>
      </c>
      <c r="C3" s="1">
        <v>0</v>
      </c>
      <c r="D3" t="s">
        <v>11</v>
      </c>
      <c r="E3" s="2" t="s">
        <v>262</v>
      </c>
      <c r="F3" s="1">
        <v>0</v>
      </c>
      <c r="G3" t="s">
        <v>11</v>
      </c>
      <c r="H3" t="s">
        <v>4</v>
      </c>
    </row>
    <row r="4" spans="1:14" x14ac:dyDescent="0.25">
      <c r="B4" t="s">
        <v>263</v>
      </c>
      <c r="D4" t="s">
        <v>21</v>
      </c>
      <c r="E4" s="2"/>
      <c r="G4" t="s">
        <v>11</v>
      </c>
      <c r="I4" t="s">
        <v>83</v>
      </c>
    </row>
    <row r="5" spans="1:14" ht="75" x14ac:dyDescent="0.25">
      <c r="A5" t="s">
        <v>9</v>
      </c>
      <c r="B5" t="s">
        <v>264</v>
      </c>
      <c r="C5" s="1">
        <v>3</v>
      </c>
      <c r="D5" t="s">
        <v>11</v>
      </c>
      <c r="E5" s="2" t="s">
        <v>265</v>
      </c>
      <c r="F5" s="1">
        <v>1</v>
      </c>
      <c r="G5" t="s">
        <v>11</v>
      </c>
      <c r="H5" t="s">
        <v>4</v>
      </c>
    </row>
    <row r="6" spans="1:14" x14ac:dyDescent="0.25">
      <c r="A6" t="s">
        <v>23</v>
      </c>
      <c r="B6" t="s">
        <v>266</v>
      </c>
      <c r="C6" s="1">
        <v>1.6666666999999999</v>
      </c>
      <c r="D6" t="s">
        <v>21</v>
      </c>
      <c r="E6" s="2"/>
      <c r="G6" t="s">
        <v>21</v>
      </c>
      <c r="H6" t="s">
        <v>1</v>
      </c>
    </row>
    <row r="7" spans="1:14" x14ac:dyDescent="0.25">
      <c r="A7" t="s">
        <v>23</v>
      </c>
      <c r="B7" t="s">
        <v>267</v>
      </c>
      <c r="C7" s="1">
        <v>1</v>
      </c>
      <c r="D7" t="s">
        <v>21</v>
      </c>
      <c r="E7" s="2"/>
      <c r="G7" t="s">
        <v>21</v>
      </c>
      <c r="H7" t="s">
        <v>1</v>
      </c>
    </row>
    <row r="8" spans="1:14" ht="105" x14ac:dyDescent="0.25">
      <c r="A8" t="s">
        <v>23</v>
      </c>
      <c r="B8" t="s">
        <v>268</v>
      </c>
      <c r="C8" s="1">
        <v>1.1538461</v>
      </c>
      <c r="D8" t="s">
        <v>21</v>
      </c>
      <c r="E8" s="2" t="s">
        <v>269</v>
      </c>
      <c r="F8" s="1">
        <v>0</v>
      </c>
      <c r="G8" t="s">
        <v>11</v>
      </c>
    </row>
    <row r="9" spans="1:14" x14ac:dyDescent="0.25">
      <c r="E9" s="2"/>
    </row>
    <row r="10" spans="1:14" x14ac:dyDescent="0.25">
      <c r="B10" s="4" t="s">
        <v>46</v>
      </c>
      <c r="C10" s="1">
        <f>AVERAGE(C2:C8)</f>
        <v>1.7136752333333334</v>
      </c>
      <c r="D10">
        <f>COUNTIF(D2:D8,"Yes")</f>
        <v>3</v>
      </c>
      <c r="E10" s="5"/>
      <c r="F10" s="1">
        <f>AVERAGE(F2:F8)</f>
        <v>0.5</v>
      </c>
      <c r="G10">
        <f>COUNTIF(G2:G8,"Yes")</f>
        <v>5</v>
      </c>
      <c r="H10">
        <f>COUNTIF(H2:H8,"DocTool")</f>
        <v>2</v>
      </c>
    </row>
    <row r="11" spans="1:14" x14ac:dyDescent="0.25">
      <c r="B11" s="4" t="s">
        <v>47</v>
      </c>
      <c r="C11" s="1">
        <f>_xlfn.STDEV.P(C2:C8)</f>
        <v>1.1882263644204987</v>
      </c>
      <c r="D11" s="5">
        <f>D10/ROWS(D2:D8)</f>
        <v>0.42857142857142855</v>
      </c>
      <c r="F11" s="1">
        <f>_xlfn.STDEV.P(F2:F8)</f>
        <v>0.5</v>
      </c>
      <c r="G11" s="5">
        <f>G10/ROWS(G2:G8)</f>
        <v>0.7142857142857143</v>
      </c>
      <c r="H11" s="5">
        <f>H10/COUNTA(H2:H8)</f>
        <v>0.4</v>
      </c>
    </row>
    <row r="12" spans="1:14" x14ac:dyDescent="0.25">
      <c r="B12" t="s">
        <v>1</v>
      </c>
      <c r="E12" s="2"/>
      <c r="I12" t="s">
        <v>4</v>
      </c>
    </row>
    <row r="13" spans="1:14" x14ac:dyDescent="0.25">
      <c r="B13" t="s">
        <v>0</v>
      </c>
      <c r="C13" t="s">
        <v>48</v>
      </c>
      <c r="D13" t="s">
        <v>49</v>
      </c>
      <c r="E13" t="s">
        <v>2</v>
      </c>
      <c r="F13" t="s">
        <v>50</v>
      </c>
      <c r="G13" t="s">
        <v>51</v>
      </c>
      <c r="H13" t="s">
        <v>52</v>
      </c>
      <c r="I13" t="s">
        <v>48</v>
      </c>
      <c r="J13" t="s">
        <v>49</v>
      </c>
      <c r="K13" t="s">
        <v>2</v>
      </c>
      <c r="L13" t="s">
        <v>50</v>
      </c>
      <c r="M13" t="s">
        <v>51</v>
      </c>
      <c r="N13" t="s">
        <v>52</v>
      </c>
    </row>
    <row r="14" spans="1:14" x14ac:dyDescent="0.25">
      <c r="B14" t="str" cm="1">
        <f t="array" ref="B14:B15">_xlfn.UNIQUE(_xlfn._xlws.FILTER(Utilities[Kategorie], Utilities[Kategorie]&lt;&gt;""))</f>
        <v>imperfect</v>
      </c>
      <c r="C14" s="1">
        <f>COUNTIFS(Utilities[Kategorie], B14, Utilities[Right/Wrong], "Yes")</f>
        <v>2</v>
      </c>
      <c r="D14" s="5">
        <f>C14/COUNTIF(Utilities[Kategorie],B14)</f>
        <v>1</v>
      </c>
      <c r="E14" s="2">
        <f>AVERAGEIF(Utilities[Kategorie],B14,Utilities[Alibi-Score])</f>
        <v>3.2307693</v>
      </c>
      <c r="F14" s="1">
        <f t="array" ref="F14">_xlfn.STDEV.P(IF(Utilities[Kategorie]=B14, Utilities[Alibi-Score]))</f>
        <v>0.23076929999999996</v>
      </c>
      <c r="G14">
        <f>COUNTIFS(Utilities[Kategorie], B14,Utilities[Who is better?],"DocTool")</f>
        <v>0</v>
      </c>
      <c r="H14" s="5">
        <f>G14/COUNTIFS(Utilities[Kategorie],B14,Utilities[Who is better?],"&lt;&gt;")</f>
        <v>0</v>
      </c>
      <c r="I14" s="1">
        <f>COUNTIFS(Utilities[Kategorie], B14, Utilities[Right/Wrong3], "Yes")</f>
        <v>2</v>
      </c>
      <c r="J14" s="5">
        <f>I14/COUNTIF(Utilities[Kategorie],B14)</f>
        <v>1</v>
      </c>
      <c r="K14" s="2">
        <f>AVERAGEIF(Utilities[Kategorie],B14,Utilities[Alibi-Score2])</f>
        <v>1</v>
      </c>
      <c r="L14" s="1">
        <f t="array" ref="L14">_xlfn.STDEV.P(IF(Utilities[Kategorie]=B14, Utilities[Alibi-Score2]))</f>
        <v>0</v>
      </c>
      <c r="M14">
        <f>COUNTIFS(Utilities[Kategorie], B14,Utilities[Who is better?],"GPT")</f>
        <v>2</v>
      </c>
      <c r="N14" s="5">
        <f>M14/COUNTIFS(Utilities[Kategorie],B14,Utilities[Who is better?],"&lt;&gt;")</f>
        <v>1</v>
      </c>
    </row>
    <row r="15" spans="1:14" x14ac:dyDescent="0.25">
      <c r="B15" t="str">
        <v>alibi</v>
      </c>
      <c r="C15" s="1">
        <f>COUNTIFS(Utilities[Kategorie], B15, Utilities[Right/Wrong], "Yes")</f>
        <v>1</v>
      </c>
      <c r="D15" s="5">
        <f>C15/COUNTIF(Utilities[Kategorie],B15)</f>
        <v>0.25</v>
      </c>
      <c r="E15" s="2">
        <f>AVERAGEIF(Utilities[Kategorie],B15,Utilities[Alibi-Score])</f>
        <v>0.95512819999999998</v>
      </c>
      <c r="F15" s="1">
        <f t="array" ref="F15">_xlfn.STDEV.P(IF(Utilities[Kategorie]=B15, Utilities[Alibi-Score]))</f>
        <v>0.60416454663302199</v>
      </c>
      <c r="G15">
        <f>COUNTIFS(Utilities[Kategorie], B15,Utilities[Who is better?],"DocTool")</f>
        <v>2</v>
      </c>
      <c r="H15" s="5">
        <f>G15/COUNTIFS(Utilities[Kategorie],B15,Utilities[Who is better?],"&lt;&gt;")</f>
        <v>0.66666666666666663</v>
      </c>
      <c r="I15" s="1">
        <f>COUNTIFS(Utilities[Kategorie], B15, Utilities[Right/Wrong3], "Yes")</f>
        <v>2</v>
      </c>
      <c r="J15" s="5">
        <f>I15/COUNTIF(Utilities[Kategorie],B15)</f>
        <v>0.5</v>
      </c>
      <c r="K15" s="2">
        <f>AVERAGEIF(Utilities[Kategorie],B15,Utilities[Alibi-Score2])</f>
        <v>0</v>
      </c>
      <c r="L15" s="1">
        <f t="array" ref="L15">_xlfn.STDEV.P(IF(Utilities[Kategorie]=B15, Utilities[Alibi-Score2]))</f>
        <v>0</v>
      </c>
      <c r="M15">
        <f>COUNTIFS(Utilities[Kategorie], B15,Utilities[Who is better?],"GPT")</f>
        <v>1</v>
      </c>
      <c r="N15" s="5">
        <f>M15/COUNTIFS(Utilities[Kategorie],B15,Utilities[Who is better?],"&lt;&gt;")</f>
        <v>0.33333333333333331</v>
      </c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4" spans="5:5" x14ac:dyDescent="0.25">
      <c r="E24" s="2"/>
    </row>
    <row r="26" spans="5:5" x14ac:dyDescent="0.25">
      <c r="E26" s="2"/>
    </row>
    <row r="27" spans="5:5" x14ac:dyDescent="0.25">
      <c r="E27" s="2"/>
    </row>
    <row r="29" spans="5:5" x14ac:dyDescent="0.25">
      <c r="E29" s="2"/>
    </row>
    <row r="33" spans="5:5" x14ac:dyDescent="0.25">
      <c r="E33" s="2"/>
    </row>
    <row r="36" spans="5:5" x14ac:dyDescent="0.25">
      <c r="E36" s="2"/>
    </row>
  </sheetData>
  <conditionalFormatting sqref="D1:D10">
    <cfRule type="containsText" dxfId="11" priority="11" operator="containsText" text="No">
      <formula>NOT(ISERROR(SEARCH("No",D1)))</formula>
    </cfRule>
    <cfRule type="containsText" dxfId="10" priority="12" operator="containsText" text="Yes">
      <formula>NOT(ISERROR(SEARCH("Yes",D1)))</formula>
    </cfRule>
  </conditionalFormatting>
  <conditionalFormatting sqref="D12:D1048576">
    <cfRule type="containsText" dxfId="9" priority="15" operator="containsText" text="No">
      <formula>NOT(ISERROR(SEARCH("No",D12)))</formula>
    </cfRule>
    <cfRule type="containsText" dxfId="8" priority="16" operator="containsText" text="Yes">
      <formula>NOT(ISERROR(SEARCH("Yes",D12)))</formula>
    </cfRule>
  </conditionalFormatting>
  <conditionalFormatting sqref="G1:G9 G12:G1048576">
    <cfRule type="containsText" dxfId="7" priority="13" operator="containsText" text="No">
      <formula>NOT(ISERROR(SEARCH("No",G1)))</formula>
    </cfRule>
    <cfRule type="containsText" dxfId="6" priority="14" operator="containsText" text="Yes">
      <formula>NOT(ISERROR(SEARCH("Yes",G1)))</formula>
    </cfRule>
  </conditionalFormatting>
  <conditionalFormatting sqref="G10:H10">
    <cfRule type="containsText" dxfId="5" priority="9" operator="containsText" text="No">
      <formula>NOT(ISERROR(SEARCH("No",G10)))</formula>
    </cfRule>
    <cfRule type="containsText" dxfId="4" priority="10" operator="containsText" text="Yes">
      <formula>NOT(ISERROR(SEARCH("Yes",G10)))</formula>
    </cfRule>
  </conditionalFormatting>
  <conditionalFormatting sqref="J13:J15">
    <cfRule type="containsText" dxfId="3" priority="3" operator="containsText" text="No">
      <formula>NOT(ISERROR(SEARCH("No",J13)))</formula>
    </cfRule>
    <cfRule type="containsText" dxfId="2" priority="4" operator="containsText" text="Yes">
      <formula>NOT(ISERROR(SEARCH("Yes",J13)))</formula>
    </cfRule>
  </conditionalFormatting>
  <conditionalFormatting sqref="M13:M15">
    <cfRule type="containsText" dxfId="1" priority="1" operator="containsText" text="No">
      <formula>NOT(ISERROR(SEARCH("No",M13)))</formula>
    </cfRule>
    <cfRule type="containsText" dxfId="0" priority="2" operator="containsText" text="Yes">
      <formula>NOT(ISERROR(SEARCH("Yes",M13)))</formula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2269D8-B0F5-4779-89E3-4F657290442C}">
          <x14:formula1>
            <xm:f>Einstellungsdaten!$A$1:$A$2</xm:f>
          </x14:formula1>
          <xm:sqref>G1:G8 D1:D8 D23:D1048576 G23:G1048576</xm:sqref>
        </x14:dataValidation>
        <x14:dataValidation type="list" allowBlank="1" showInputMessage="1" showErrorMessage="1" xr:uid="{616CD4C5-AE6B-435D-8DC7-26528972CB4D}">
          <x14:formula1>
            <xm:f>Einstellungsdaten!$C$1:$C$2</xm:f>
          </x14:formula1>
          <xm:sqref>H23:H1048576 H1:H8</xm:sqref>
        </x14:dataValidation>
        <x14:dataValidation type="list" allowBlank="1" showInputMessage="1" showErrorMessage="1" xr:uid="{EFE47125-C76D-418D-9599-17597B5AA197}">
          <x14:formula1>
            <xm:f>Einstellungsdaten!$E$1:$E$5</xm:f>
          </x14:formula1>
          <xm:sqref>A1:A8 A23:A1048576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EA53-2F14-410E-B53E-3D71C59D7B7B}">
  <dimension ref="A1:P7"/>
  <sheetViews>
    <sheetView topLeftCell="H1" workbookViewId="0">
      <selection activeCell="L15" sqref="L15"/>
    </sheetView>
  </sheetViews>
  <sheetFormatPr baseColWidth="10" defaultColWidth="11.42578125" defaultRowHeight="15" outlineLevelCol="1" x14ac:dyDescent="0.25"/>
  <cols>
    <col min="1" max="1" width="18.28515625" customWidth="1"/>
    <col min="2" max="2" width="11.42578125" customWidth="1" outlineLevel="1"/>
    <col min="3" max="3" width="32.5703125" customWidth="1" outlineLevel="1"/>
    <col min="4" max="4" width="31.7109375" customWidth="1" outlineLevel="1"/>
    <col min="5" max="5" width="16.140625" customWidth="1"/>
    <col min="6" max="6" width="15.5703125" customWidth="1"/>
    <col min="7" max="7" width="12.85546875" customWidth="1"/>
    <col min="8" max="8" width="25.85546875" customWidth="1"/>
    <col min="9" max="9" width="35.85546875" customWidth="1"/>
    <col min="10" max="10" width="36" customWidth="1"/>
    <col min="11" max="11" width="17.140625" customWidth="1"/>
    <col min="12" max="12" width="16.28515625" customWidth="1"/>
    <col min="13" max="13" width="13.85546875" customWidth="1"/>
    <col min="14" max="14" width="27.28515625" customWidth="1"/>
    <col min="15" max="15" width="38.140625" customWidth="1"/>
    <col min="16" max="16" width="36" customWidth="1"/>
  </cols>
  <sheetData>
    <row r="1" spans="1:16" x14ac:dyDescent="0.25">
      <c r="B1" t="s">
        <v>284</v>
      </c>
      <c r="E1" t="s">
        <v>1</v>
      </c>
      <c r="K1" t="s">
        <v>4</v>
      </c>
    </row>
    <row r="2" spans="1:16" x14ac:dyDescent="0.25">
      <c r="A2" t="s">
        <v>0</v>
      </c>
      <c r="B2" t="s">
        <v>277</v>
      </c>
      <c r="C2" t="s">
        <v>278</v>
      </c>
      <c r="D2" t="s">
        <v>279</v>
      </c>
      <c r="E2" s="6" t="s">
        <v>48</v>
      </c>
      <c r="F2" s="6" t="s">
        <v>49</v>
      </c>
      <c r="G2" s="6" t="s">
        <v>2</v>
      </c>
      <c r="H2" s="6" t="s">
        <v>50</v>
      </c>
      <c r="I2" s="6" t="s">
        <v>51</v>
      </c>
      <c r="J2" s="6" t="s">
        <v>52</v>
      </c>
      <c r="K2" s="6" t="s">
        <v>285</v>
      </c>
      <c r="L2" s="6" t="s">
        <v>286</v>
      </c>
      <c r="M2" s="6" t="s">
        <v>287</v>
      </c>
      <c r="N2" s="6" t="s">
        <v>288</v>
      </c>
      <c r="O2" s="6" t="s">
        <v>289</v>
      </c>
      <c r="P2" s="6" t="s">
        <v>290</v>
      </c>
    </row>
    <row r="3" spans="1:16" x14ac:dyDescent="0.25">
      <c r="A3" t="s">
        <v>29</v>
      </c>
      <c r="B3" s="6">
        <f>'Rohdaten Analyse'!E3</f>
        <v>15</v>
      </c>
      <c r="C3" s="6">
        <f>'Rohdaten Analyse'!F3</f>
        <v>13</v>
      </c>
      <c r="D3" s="8">
        <f>'Rohdaten Analyse'!G3</f>
        <v>0.8666666666666667</v>
      </c>
      <c r="E3" s="6">
        <f>'Rohdaten Analyse'!H3</f>
        <v>6</v>
      </c>
      <c r="F3" s="8">
        <f>'Rohdaten Analyse'!I3</f>
        <v>0.4</v>
      </c>
      <c r="G3" s="7">
        <f>'Rohdaten Analyse'!J3</f>
        <v>1.6818555989583335</v>
      </c>
      <c r="H3" s="7">
        <f>'Rohdaten Analyse'!K3</f>
        <v>0.76518915415313871</v>
      </c>
      <c r="I3" s="6">
        <f>'Rohdaten Analyse'!L3</f>
        <v>8</v>
      </c>
      <c r="J3" s="8">
        <f>'Rohdaten Analyse'!M3</f>
        <v>0.8</v>
      </c>
      <c r="K3" s="6">
        <f>'Rohdaten Analyse'!N3</f>
        <v>8</v>
      </c>
      <c r="L3" s="8">
        <f>'Rohdaten Analyse'!O3</f>
        <v>0.53333333333333333</v>
      </c>
      <c r="M3" s="7">
        <f>'Rohdaten Analyse'!P3</f>
        <v>1.375</v>
      </c>
      <c r="N3" s="7">
        <f>'Rohdaten Analyse'!Q3</f>
        <v>0.38445642376740535</v>
      </c>
      <c r="O3" s="6">
        <f>'Rohdaten Analyse'!R3</f>
        <v>2</v>
      </c>
      <c r="P3" s="8">
        <f>'Rohdaten Analyse'!S3</f>
        <v>0.2</v>
      </c>
    </row>
    <row r="4" spans="1:16" x14ac:dyDescent="0.25">
      <c r="A4" t="s">
        <v>9</v>
      </c>
      <c r="B4" s="6">
        <f>'Rohdaten Analyse'!E4</f>
        <v>47</v>
      </c>
      <c r="C4" s="6">
        <f>'Rohdaten Analyse'!F4</f>
        <v>29</v>
      </c>
      <c r="D4" s="8">
        <f>'Rohdaten Analyse'!G4</f>
        <v>0.61702127659574468</v>
      </c>
      <c r="E4" s="6">
        <f>'Rohdaten Analyse'!H4</f>
        <v>38</v>
      </c>
      <c r="F4" s="8">
        <f>'Rohdaten Analyse'!I4</f>
        <v>0.80851063829787229</v>
      </c>
      <c r="G4" s="7">
        <f>'Rohdaten Analyse'!J4</f>
        <v>1.7283672098148148</v>
      </c>
      <c r="H4" s="7">
        <f>'Rohdaten Analyse'!K4</f>
        <v>0.52201230733282566</v>
      </c>
      <c r="I4" s="6">
        <f>'Rohdaten Analyse'!L4</f>
        <v>15</v>
      </c>
      <c r="J4" s="8">
        <f>'Rohdaten Analyse'!M4</f>
        <v>0.57692307692307687</v>
      </c>
      <c r="K4" s="6">
        <f>'Rohdaten Analyse'!N4</f>
        <v>34</v>
      </c>
      <c r="L4" s="8">
        <f>'Rohdaten Analyse'!O4</f>
        <v>0.72340425531914898</v>
      </c>
      <c r="M4" s="7">
        <f>'Rohdaten Analyse'!P4</f>
        <v>0.9814814814814814</v>
      </c>
      <c r="N4" s="7">
        <f>'Rohdaten Analyse'!Q4</f>
        <v>0.59235264603117876</v>
      </c>
      <c r="O4" s="6">
        <f>'Rohdaten Analyse'!R4</f>
        <v>11</v>
      </c>
      <c r="P4" s="8">
        <f>'Rohdaten Analyse'!S4</f>
        <v>0.42307692307692307</v>
      </c>
    </row>
    <row r="5" spans="1:16" x14ac:dyDescent="0.25">
      <c r="A5" t="s">
        <v>23</v>
      </c>
      <c r="B5" s="6">
        <f>'Rohdaten Analyse'!E6</f>
        <v>71</v>
      </c>
      <c r="C5" s="6">
        <f>'Rohdaten Analyse'!F6</f>
        <v>28</v>
      </c>
      <c r="D5" s="8">
        <f>'Rohdaten Analyse'!G6</f>
        <v>0.39436619718309857</v>
      </c>
      <c r="E5" s="6">
        <f>'Rohdaten Analyse'!H6</f>
        <v>25</v>
      </c>
      <c r="F5" s="8">
        <f>'Rohdaten Analyse'!I6</f>
        <v>0.352112676056338</v>
      </c>
      <c r="G5" s="7">
        <f>'Rohdaten Analyse'!J6</f>
        <v>1.1472584349740829</v>
      </c>
      <c r="H5" s="7">
        <f>'Rohdaten Analyse'!K6</f>
        <v>0.57438245785194086</v>
      </c>
      <c r="I5" s="6">
        <f>'Rohdaten Analyse'!L6</f>
        <v>10</v>
      </c>
      <c r="J5" s="8">
        <f>'Rohdaten Analyse'!M6</f>
        <v>0.38461538461538464</v>
      </c>
      <c r="K5" s="6">
        <f>'Rohdaten Analyse'!N6</f>
        <v>40</v>
      </c>
      <c r="L5" s="8">
        <f>'Rohdaten Analyse'!O6</f>
        <v>0.56338028169014087</v>
      </c>
      <c r="M5" s="7">
        <f>'Rohdaten Analyse'!P6</f>
        <v>0.5818181818181819</v>
      </c>
      <c r="N5" s="7">
        <f>'Rohdaten Analyse'!Q6</f>
        <v>0.24860341607119499</v>
      </c>
      <c r="O5" s="6">
        <f>'Rohdaten Analyse'!R6</f>
        <v>16</v>
      </c>
      <c r="P5" s="8">
        <f>'Rohdaten Analyse'!S6</f>
        <v>0.61538461538461542</v>
      </c>
    </row>
    <row r="6" spans="1:16" x14ac:dyDescent="0.25">
      <c r="A6" t="s">
        <v>13</v>
      </c>
      <c r="B6" s="6">
        <f>'Rohdaten Analyse'!E5</f>
        <v>6</v>
      </c>
      <c r="C6" s="6">
        <f>'Rohdaten Analyse'!F5</f>
        <v>5</v>
      </c>
      <c r="D6" s="8">
        <f>'Rohdaten Analyse'!G5</f>
        <v>0.83333333333333337</v>
      </c>
      <c r="E6" s="6">
        <f>'Rohdaten Analyse'!H5</f>
        <v>5</v>
      </c>
      <c r="F6" s="8">
        <f>'Rohdaten Analyse'!I5</f>
        <v>0.83333333333333337</v>
      </c>
      <c r="G6" s="7" t="str">
        <f>'Rohdaten Analyse'!J5</f>
        <v>/</v>
      </c>
      <c r="H6" s="7" t="str">
        <f>'Rohdaten Analyse'!K5</f>
        <v>/</v>
      </c>
      <c r="I6" s="6" t="str">
        <f>'Rohdaten Analyse'!L5</f>
        <v>/</v>
      </c>
      <c r="J6" s="8" t="str">
        <f>'Rohdaten Analyse'!M5</f>
        <v>/</v>
      </c>
      <c r="K6" s="6">
        <f>'Rohdaten Analyse'!N5</f>
        <v>6</v>
      </c>
      <c r="L6" s="8">
        <f>'Rohdaten Analyse'!O5</f>
        <v>1</v>
      </c>
      <c r="M6" s="7" t="str">
        <f>'Rohdaten Analyse'!P5</f>
        <v>/</v>
      </c>
      <c r="N6" s="7" t="str">
        <f>'Rohdaten Analyse'!Q5</f>
        <v>/</v>
      </c>
      <c r="O6" s="6" t="str">
        <f>'Rohdaten Analyse'!R5</f>
        <v>/</v>
      </c>
      <c r="P6" s="8" t="str">
        <f>'Rohdaten Analyse'!S5</f>
        <v>/</v>
      </c>
    </row>
    <row r="7" spans="1:16" x14ac:dyDescent="0.25">
      <c r="A7" t="s">
        <v>59</v>
      </c>
      <c r="B7" s="6">
        <f>'Rohdaten Analyse'!E7</f>
        <v>2</v>
      </c>
      <c r="C7" s="6">
        <f>'Rohdaten Analyse'!F7</f>
        <v>1</v>
      </c>
      <c r="D7" s="8">
        <f>'Rohdaten Analyse'!G7</f>
        <v>0.5</v>
      </c>
      <c r="E7" s="6">
        <f>'Rohdaten Analyse'!H7</f>
        <v>0</v>
      </c>
      <c r="F7" s="8">
        <f>'Rohdaten Analyse'!I7</f>
        <v>0</v>
      </c>
      <c r="G7" s="7">
        <f>'Rohdaten Analyse'!J7</f>
        <v>2.5</v>
      </c>
      <c r="H7" s="7">
        <f>'Rohdaten Analyse'!K7</f>
        <v>0</v>
      </c>
      <c r="I7" s="6">
        <f>'Rohdaten Analyse'!L7</f>
        <v>0</v>
      </c>
      <c r="J7" s="8">
        <f>'Rohdaten Analyse'!M7</f>
        <v>0</v>
      </c>
      <c r="K7" s="6">
        <f>'Rohdaten Analyse'!N7</f>
        <v>1</v>
      </c>
      <c r="L7" s="8">
        <f>'Rohdaten Analyse'!O7</f>
        <v>0.5</v>
      </c>
      <c r="M7" s="7">
        <f>'Rohdaten Analyse'!P7</f>
        <v>0.25</v>
      </c>
      <c r="N7" s="7">
        <f>'Rohdaten Analyse'!Q7</f>
        <v>0</v>
      </c>
      <c r="O7" s="6">
        <f>'Rohdaten Analyse'!R7</f>
        <v>1</v>
      </c>
      <c r="P7" s="8">
        <f>'Rohdaten Analyse'!S7</f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2F97-67AD-47ED-9B33-D33FFE045F33}">
  <dimension ref="A1:T20"/>
  <sheetViews>
    <sheetView tabSelected="1" topLeftCell="D1" workbookViewId="0">
      <selection activeCell="H26" sqref="H26"/>
    </sheetView>
  </sheetViews>
  <sheetFormatPr baseColWidth="10" defaultColWidth="11.42578125" defaultRowHeight="15" x14ac:dyDescent="0.25"/>
  <cols>
    <col min="1" max="1" width="33" customWidth="1"/>
    <col min="2" max="2" width="30.28515625" customWidth="1"/>
    <col min="4" max="4" width="18.85546875" customWidth="1"/>
    <col min="5" max="5" width="15" customWidth="1"/>
    <col min="6" max="6" width="14.42578125" customWidth="1"/>
    <col min="7" max="7" width="12.5703125" customWidth="1"/>
    <col min="8" max="8" width="25.5703125" customWidth="1"/>
    <col min="9" max="9" width="38.42578125" customWidth="1"/>
    <col min="10" max="10" width="33.42578125" customWidth="1"/>
  </cols>
  <sheetData>
    <row r="1" spans="1:20" x14ac:dyDescent="0.25">
      <c r="A1" t="s">
        <v>270</v>
      </c>
      <c r="B1" t="s">
        <v>271</v>
      </c>
      <c r="H1" t="s">
        <v>1</v>
      </c>
      <c r="N1" t="s">
        <v>4</v>
      </c>
    </row>
    <row r="2" spans="1:20" x14ac:dyDescent="0.25">
      <c r="A2" s="5">
        <f>AVERAGE(Utilities!D11,TranslationQuestion!D13,'RussianFactory'!D15,'RegularLoginStrategy'!D15,'RegistrierterNutzer'!D23,Question!D13,LoginStrategy!D9,Login!D39,Language!D17,GuestLoginStrategy!D15,InstructionPlayRound!D21)</f>
        <v>0.45949452242725536</v>
      </c>
      <c r="B2" s="5">
        <f>AVERAGE(Utilities!G11,TranslationQuestion!G13,'RussianFactory'!G15,'RegularLoginStrategy'!G15,'RegistrierterNutzer'!G23,Question!G13,LoginStrategy!G9,Login!G39,Language!G17,GuestLoginStrategy!G15,InstructionPlayRound!G21)</f>
        <v>0.65219315818809198</v>
      </c>
      <c r="D2" t="s">
        <v>0</v>
      </c>
      <c r="E2" t="s">
        <v>277</v>
      </c>
      <c r="F2" t="s">
        <v>278</v>
      </c>
      <c r="G2" t="s">
        <v>279</v>
      </c>
      <c r="H2" s="6" t="s">
        <v>48</v>
      </c>
      <c r="I2" s="6" t="s">
        <v>49</v>
      </c>
      <c r="J2" s="6" t="s">
        <v>2</v>
      </c>
      <c r="K2" s="6" t="s">
        <v>50</v>
      </c>
      <c r="L2" s="6" t="s">
        <v>51</v>
      </c>
      <c r="M2" s="6" t="s">
        <v>52</v>
      </c>
      <c r="N2" s="6" t="s">
        <v>48</v>
      </c>
      <c r="O2" s="6" t="s">
        <v>49</v>
      </c>
      <c r="P2" s="6" t="s">
        <v>2</v>
      </c>
      <c r="Q2" s="6" t="s">
        <v>50</v>
      </c>
      <c r="R2" s="6" t="s">
        <v>51</v>
      </c>
      <c r="S2" s="6" t="s">
        <v>52</v>
      </c>
    </row>
    <row r="3" spans="1:20" x14ac:dyDescent="0.25">
      <c r="D3" t="str" cm="1">
        <f t="array" ref="D3:D7">Einstellungsdaten!E1:E5</f>
        <v>great</v>
      </c>
      <c r="E3">
        <f>SUM(COUNTIF(Utilities[Kategorie],'Rohdaten Analyse'!D3),COUNTIF(TranslationQuestion[Kategorie],'Rohdaten Analyse'!D3),COUNTIF(RussianFactory[Kategorie],'Rohdaten Analyse'!D3),COUNTIF(RegularLoginStrategy[Kategorie],'Rohdaten Analyse'!D3),COUNTIF(RegistrierterNutzer[Kategorie],'Rohdaten Analyse'!D3),COUNTIF(Question[Kategorie],'Rohdaten Analyse'!D3),COUNTIF(LoginStrategy[Kategorie],'Rohdaten Analyse'!D3),COUNTIF(Login[Kategorie],'Rohdaten Analyse'!D3),COUNTIF(Language[Kategorie],'Rohdaten Analyse'!D3),COUNTIF(GuestLoginStrategy[Kategorie],'Rohdaten Analyse'!D3),COUNTIF(InstructionPlayRound[Kategorie],'Rohdaten Analyse'!D3))</f>
        <v>15</v>
      </c>
      <c r="F3" cm="1">
        <f t="array" ref="F3">SUMPRODUCT((Utilities[Kategorie]='Rohdaten Analyse'!D3)*(Utilities[Right/Wrong]=Utilities[Right/Wrong3])) +
SUMPRODUCT((TranslationQuestion[Kategorie]='Rohdaten Analyse'!D3)*(TranslationQuestion[Right/Wrong]=TranslationQuestion[Right/Wrong3])) +
SUMPRODUCT((RussianFactory[Kategorie]='Rohdaten Analyse'!D3)*(RussianFactory[Right/Wrong]=RussianFactory[Right/Wrong3])) +
SUMPRODUCT((RegularLoginStrategy[Kategorie]='Rohdaten Analyse'!D3)*(RegularLoginStrategy[Right/Wrong]=RegularLoginStrategy[Right/Wrong3])) +
SUMPRODUCT((RegistrierterNutzer[Kategorie]='Rohdaten Analyse'!D3)*(RegistrierterNutzer[Right/Wrong]=RegistrierterNutzer[Right/Wrong3])) +
SUMPRODUCT((Question[Kategorie]='Rohdaten Analyse'!D3)*(Question[Right/Wrong]=Question[Right/Wrong3])) +
SUMPRODUCT((LoginStrategy[Kategorie]='Rohdaten Analyse'!D3)*(LoginStrategy[Right/Wrong]=LoginStrategy[Right/Wrong3])) +
SUMPRODUCT((Login[Kategorie]='Rohdaten Analyse'!D3)*(Login[Right/Wrong]=Login[Right/Wrong3])) +
SUMPRODUCT((Language[Kategorie]='Rohdaten Analyse'!D3)*(Language[Right/Wrong]=Language[Right/Wrong3])) +
SUMPRODUCT((GuestLoginStrategy[Kategorie]='Rohdaten Analyse'!D3)*(GuestLoginStrategy[Right/Wrong]=GuestLoginStrategy[Right/Wrong3])) +
SUMPRODUCT((InstructionPlayRound[Kategorie]='Rohdaten Analyse'!D3)*(InstructionPlayRound[Right/Wrong]=InstructionPlayRound[Right/Wrong3]))</f>
        <v>13</v>
      </c>
      <c r="G3" s="5">
        <f>F3/E3</f>
        <v>0.8666666666666667</v>
      </c>
      <c r="H3" s="7">
        <f>SUM(Question!C16,Login!C45,Language!C20,InstructionPlayRound!C27)</f>
        <v>6</v>
      </c>
      <c r="I3" s="8">
        <f>H3/E3</f>
        <v>0.4</v>
      </c>
      <c r="J3" s="7">
        <f>AVERAGE(Question!E16,Login!E45,Language!E20,InstructionPlayRound!E27)</f>
        <v>1.6818555989583335</v>
      </c>
      <c r="K3" s="7">
        <f>AVERAGE(Question!F16,Login!F45,Language!F20,InstructionPlayRound!F27)</f>
        <v>0.76518915415313871</v>
      </c>
      <c r="L3" s="7">
        <f>SUM(Question!G16,Login!G45,Language!G20,InstructionPlayRound!G27)</f>
        <v>8</v>
      </c>
      <c r="M3" s="8" cm="1">
        <f t="array" ref="M3">L3/(SUMPRODUCT((Utilities[Kategorie]='Rohdaten Analyse'!D3)*(Utilities[Right/Wrong]=Utilities[Right/Wrong3])*(Utilities[Who is better?]&lt;&gt;"")) +
SUMPRODUCT((TranslationQuestion[Kategorie]='Rohdaten Analyse'!D3)*(TranslationQuestion[Right/Wrong]=TranslationQuestion[Right/Wrong3])*(TranslationQuestion[Who is better?]&lt;&gt;"")) +
SUMPRODUCT((RussianFactory[Kategorie]='Rohdaten Analyse'!D3)*(RussianFactory[Right/Wrong]=RussianFactory[Right/Wrong3])*(RussianFactory[Who is better?]&lt;&gt;"")) +
SUMPRODUCT((RegularLoginStrategy[Kategorie]='Rohdaten Analyse'!D3)*(RegularLoginStrategy[Right/Wrong]=RegularLoginStrategy[Right/Wrong3])*(RegularLoginStrategy[Who is better?]&lt;&gt;"")) +
SUMPRODUCT((RegistrierterNutzer[Kategorie]='Rohdaten Analyse'!D3)*(RegistrierterNutzer[Right/Wrong]=RegistrierterNutzer[Right/Wrong3])*(RegistrierterNutzer[Who is better?]&lt;&gt;"")) +
SUMPRODUCT((Question[Kategorie]='Rohdaten Analyse'!D3)*(Question[Right/Wrong]=Question[Right/Wrong3])*(Question[Who is better?]&lt;&gt;"")) +
SUMPRODUCT((LoginStrategy[Kategorie]='Rohdaten Analyse'!D3)*(LoginStrategy[Right/Wrong]=LoginStrategy[Right/Wrong3])*(LoginStrategy[Who is better?]&lt;&gt;"")) +
SUMPRODUCT((Login[Kategorie]='Rohdaten Analyse'!D3)*(Login[Right/Wrong]=Login[Right/Wrong3])*(Login[Who is better?]&lt;&gt;"")) +
SUMPRODUCT((Language[Kategorie]='Rohdaten Analyse'!D3)*(Language[Right/Wrong]=Language[Right/Wrong3])*(Language[Who is better?]&lt;&gt;"")) +
SUMPRODUCT((GuestLoginStrategy[Kategorie]='Rohdaten Analyse'!D3)*(GuestLoginStrategy[Right/Wrong]=GuestLoginStrategy[Right/Wrong3])*(GuestLoginStrategy[Who is better?]&lt;&gt;"")) +
SUMPRODUCT((InstructionPlayRound[Kategorie]='Rohdaten Analyse'!D3)*(InstructionPlayRound[Right/Wrong]=InstructionPlayRound[Right/Wrong3])*(InstructionPlayRound[Who is better?]&lt;&gt;"")))</f>
        <v>0.8</v>
      </c>
      <c r="N3" s="7">
        <f>SUM(Question!I16,Login!I45,Language!I20,InstructionPlayRound!I27)</f>
        <v>8</v>
      </c>
      <c r="O3" s="8">
        <f>N3/E3</f>
        <v>0.53333333333333333</v>
      </c>
      <c r="P3" s="7">
        <f>AVERAGE(Question!K16,Language!K20,InstructionPlayRound!K27)</f>
        <v>1.375</v>
      </c>
      <c r="Q3" s="7">
        <f>AVERAGE(Question!L16,Login!L45,Language!L20,InstructionPlayRound!L27)</f>
        <v>0.38445642376740535</v>
      </c>
      <c r="R3" s="7">
        <f>SUM(Question!M16,Login!M45,Language!M20,InstructionPlayRound!M27)</f>
        <v>2</v>
      </c>
      <c r="S3" s="8" cm="1">
        <f t="array" ref="S3">R3/(SUMPRODUCT((Utilities[Kategorie]='Rohdaten Analyse'!D3)*(Utilities[Right/Wrong]=Utilities[Right/Wrong3])*(Utilities[Who is better?]&lt;&gt;"")) +
SUMPRODUCT((TranslationQuestion[Kategorie]='Rohdaten Analyse'!D3)*(TranslationQuestion[Right/Wrong]=TranslationQuestion[Right/Wrong3])*(TranslationQuestion[Who is better?]&lt;&gt;"")) +
SUMPRODUCT((RussianFactory[Kategorie]='Rohdaten Analyse'!D3)*(RussianFactory[Right/Wrong]=RussianFactory[Right/Wrong3])*(RussianFactory[Who is better?]&lt;&gt;"")) +
SUMPRODUCT((RegularLoginStrategy[Kategorie]='Rohdaten Analyse'!D3)*(RegularLoginStrategy[Right/Wrong]=RegularLoginStrategy[Right/Wrong3])*(RegularLoginStrategy[Who is better?]&lt;&gt;"")) +
SUMPRODUCT((RegistrierterNutzer[Kategorie]='Rohdaten Analyse'!D3)*(RegistrierterNutzer[Right/Wrong]=RegistrierterNutzer[Right/Wrong3])*(RegistrierterNutzer[Who is better?]&lt;&gt;"")) +
SUMPRODUCT((Question[Kategorie]='Rohdaten Analyse'!D3)*(Question[Right/Wrong]=Question[Right/Wrong3])*(Question[Who is better?]&lt;&gt;"")) +
SUMPRODUCT((LoginStrategy[Kategorie]='Rohdaten Analyse'!D3)*(LoginStrategy[Right/Wrong]=LoginStrategy[Right/Wrong3])*(LoginStrategy[Who is better?]&lt;&gt;"")) +
SUMPRODUCT((Login[Kategorie]='Rohdaten Analyse'!D3)*(Login[Right/Wrong]=Login[Right/Wrong3])*(Login[Who is better?]&lt;&gt;"")) +
SUMPRODUCT((Language[Kategorie]='Rohdaten Analyse'!D3)*(Language[Right/Wrong]=Language[Right/Wrong3])*(Language[Who is better?]&lt;&gt;"")) +
SUMPRODUCT((GuestLoginStrategy[Kategorie]='Rohdaten Analyse'!D3)*(GuestLoginStrategy[Right/Wrong]=GuestLoginStrategy[Right/Wrong3])*(GuestLoginStrategy[Who is better?]&lt;&gt;"")) +
SUMPRODUCT((InstructionPlayRound[Kategorie]='Rohdaten Analyse'!D3)*(InstructionPlayRound[Right/Wrong]=InstructionPlayRound[Right/Wrong3])*(InstructionPlayRound[Who is better?]&lt;&gt;"")))</f>
        <v>0.2</v>
      </c>
    </row>
    <row r="4" spans="1:20" x14ac:dyDescent="0.25">
      <c r="A4" t="s">
        <v>272</v>
      </c>
      <c r="B4" t="s">
        <v>273</v>
      </c>
      <c r="D4" t="str">
        <v>imperfect</v>
      </c>
      <c r="E4">
        <f>SUM(COUNTIF(Utilities[Kategorie],'Rohdaten Analyse'!D4),COUNTIF(TranslationQuestion[Kategorie],'Rohdaten Analyse'!D4),COUNTIF(RussianFactory[Kategorie],'Rohdaten Analyse'!D4),COUNTIF(RegularLoginStrategy[Kategorie],'Rohdaten Analyse'!D4),COUNTIF(RegistrierterNutzer[Kategorie],'Rohdaten Analyse'!D4),COUNTIF(Question[Kategorie],'Rohdaten Analyse'!D4),COUNTIF(LoginStrategy[Kategorie],'Rohdaten Analyse'!D4),COUNTIF(Login[Kategorie],'Rohdaten Analyse'!D4),COUNTIF(Language[Kategorie],'Rohdaten Analyse'!D4),COUNTIF(GuestLoginStrategy[Kategorie],'Rohdaten Analyse'!D4),COUNTIF(InstructionPlayRound[Kategorie],'Rohdaten Analyse'!D4))</f>
        <v>47</v>
      </c>
      <c r="F4" cm="1">
        <f t="array" ref="F4">SUMPRODUCT((Utilities[Kategorie]='Rohdaten Analyse'!D4)*(Utilities[Right/Wrong]=Utilities[Right/Wrong3])) +
SUMPRODUCT((TranslationQuestion[Kategorie]='Rohdaten Analyse'!D4)*(TranslationQuestion[Right/Wrong]=TranslationQuestion[Right/Wrong3])) +
SUMPRODUCT((RussianFactory[Kategorie]='Rohdaten Analyse'!D4)*(RussianFactory[Right/Wrong]=RussianFactory[Right/Wrong3])) +
SUMPRODUCT((RegularLoginStrategy[Kategorie]='Rohdaten Analyse'!D4)*(RegularLoginStrategy[Right/Wrong]=RegularLoginStrategy[Right/Wrong3])) +
SUMPRODUCT((RegistrierterNutzer[Kategorie]='Rohdaten Analyse'!D4)*(RegistrierterNutzer[Right/Wrong]=RegistrierterNutzer[Right/Wrong3])) +
SUMPRODUCT((Question[Kategorie]='Rohdaten Analyse'!D4)*(Question[Right/Wrong]=Question[Right/Wrong3])) +
SUMPRODUCT((LoginStrategy[Kategorie]='Rohdaten Analyse'!D4)*(LoginStrategy[Right/Wrong]=LoginStrategy[Right/Wrong3])) +
SUMPRODUCT((Login[Kategorie]='Rohdaten Analyse'!D4)*(Login[Right/Wrong]=Login[Right/Wrong3])) +
SUMPRODUCT((Language[Kategorie]='Rohdaten Analyse'!D4)*(Language[Right/Wrong]=Language[Right/Wrong3])) +
SUMPRODUCT((GuestLoginStrategy[Kategorie]='Rohdaten Analyse'!D4)*(GuestLoginStrategy[Right/Wrong]=GuestLoginStrategy[Right/Wrong3])) +
SUMPRODUCT((InstructionPlayRound[Kategorie]='Rohdaten Analyse'!D4)*(InstructionPlayRound[Right/Wrong]=InstructionPlayRound[Right/Wrong3]))</f>
        <v>29</v>
      </c>
      <c r="G4" s="5">
        <f t="shared" ref="G4:G7" si="0">F4/E4</f>
        <v>0.61702127659574468</v>
      </c>
      <c r="H4" s="7">
        <f>SUM(Utilities!C14,TranslationQuestion!C17,'RussianFactory'!C18,'RegularLoginStrategy'!C20,'RegistrierterNutzer'!C26,Question!C17,Login!C42,GuestLoginStrategy!C18,InstructionPlayRound!C24)</f>
        <v>38</v>
      </c>
      <c r="I4" s="8">
        <f>H4/E4</f>
        <v>0.80851063829787229</v>
      </c>
      <c r="J4" s="7">
        <f>AVERAGE(Utilities!E14,TranslationQuestion!E17,'RussianFactory'!E18,'RegularLoginStrategy'!E20,'RegistrierterNutzer'!E26,Question!E17,Login!E42,GuestLoginStrategy!E18,InstructionPlayRound!E24)</f>
        <v>1.7283672098148148</v>
      </c>
      <c r="K4" s="7">
        <f>AVERAGE(Utilities!F14,TranslationQuestion!F17,'RussianFactory'!F18,'RegularLoginStrategy'!F20,'RegistrierterNutzer'!F26,Question!F17,Login!F42,GuestLoginStrategy!F18,InstructionPlayRound!F24)</f>
        <v>0.52201230733282566</v>
      </c>
      <c r="L4" s="7">
        <f>SUM(Utilities!G14,TranslationQuestion!G17,'RussianFactory'!G18,'RegularLoginStrategy'!G20,'RegistrierterNutzer'!G26,Question!G17,Login!G42,GuestLoginStrategy!G18,InstructionPlayRound!G24)</f>
        <v>15</v>
      </c>
      <c r="M4" s="8" cm="1">
        <f t="array" ref="M4">L4/(SUMPRODUCT((Utilities[Kategorie]='Rohdaten Analyse'!D4)*(Utilities[Right/Wrong]=Utilities[Right/Wrong3])*(Utilities[Who is better?]&lt;&gt;"")) +
SUMPRODUCT((TranslationQuestion[Kategorie]='Rohdaten Analyse'!D4)*(TranslationQuestion[Right/Wrong]=TranslationQuestion[Right/Wrong3])*(TranslationQuestion[Who is better?]&lt;&gt;"")) +
SUMPRODUCT((RussianFactory[Kategorie]='Rohdaten Analyse'!D4)*(RussianFactory[Right/Wrong]=RussianFactory[Right/Wrong3])*(RussianFactory[Who is better?]&lt;&gt;"")) +
SUMPRODUCT((RegularLoginStrategy[Kategorie]='Rohdaten Analyse'!D4)*(RegularLoginStrategy[Right/Wrong]=RegularLoginStrategy[Right/Wrong3])*(RegularLoginStrategy[Who is better?]&lt;&gt;"")) +
SUMPRODUCT((RegistrierterNutzer[Kategorie]='Rohdaten Analyse'!D4)*(RegistrierterNutzer[Right/Wrong]=RegistrierterNutzer[Right/Wrong3])*(RegistrierterNutzer[Who is better?]&lt;&gt;"")) +
SUMPRODUCT((Question[Kategorie]='Rohdaten Analyse'!D4)*(Question[Right/Wrong]=Question[Right/Wrong3])*(Question[Who is better?]&lt;&gt;"")) +
SUMPRODUCT((LoginStrategy[Kategorie]='Rohdaten Analyse'!D4)*(LoginStrategy[Right/Wrong]=LoginStrategy[Right/Wrong3])*(LoginStrategy[Who is better?]&lt;&gt;"")) +
SUMPRODUCT((Login[Kategorie]='Rohdaten Analyse'!D4)*(Login[Right/Wrong]=Login[Right/Wrong3])*(Login[Who is better?]&lt;&gt;"")) +
SUMPRODUCT((Language[Kategorie]='Rohdaten Analyse'!D4)*(Language[Right/Wrong]=Language[Right/Wrong3])*(Language[Who is better?]&lt;&gt;"")) +
SUMPRODUCT((GuestLoginStrategy[Kategorie]='Rohdaten Analyse'!D4)*(GuestLoginStrategy[Right/Wrong]=GuestLoginStrategy[Right/Wrong3])*(GuestLoginStrategy[Who is better?]&lt;&gt;"")) +
SUMPRODUCT((InstructionPlayRound[Kategorie]='Rohdaten Analyse'!D4)*(InstructionPlayRound[Right/Wrong]=InstructionPlayRound[Right/Wrong3])*(InstructionPlayRound[Who is better?]&lt;&gt;"")))</f>
        <v>0.57692307692307687</v>
      </c>
      <c r="N4" s="7">
        <f>SUM(Utilities!I14,TranslationQuestion!I17,'RussianFactory'!I18,'RegularLoginStrategy'!I20,'RegistrierterNutzer'!I26,Question!I17,Login!I42,GuestLoginStrategy!I18,InstructionPlayRound!I24)</f>
        <v>34</v>
      </c>
      <c r="O4" s="8">
        <f>N4/E4</f>
        <v>0.72340425531914898</v>
      </c>
      <c r="P4" s="7">
        <f>AVERAGE(Utilities!K14,TranslationQuestion!K17,'RussianFactory'!K18,'RegularLoginStrategy'!K20,'RegistrierterNutzer'!K26,Question!K17,Login!K42,GuestLoginStrategy!K18,InstructionPlayRound!K24)</f>
        <v>0.9814814814814814</v>
      </c>
      <c r="Q4" s="7">
        <f>AVERAGE(Utilities!L14,TranslationQuestion!L17,'RussianFactory'!L18,'RegularLoginStrategy'!L20,'RegistrierterNutzer'!L26,Question!L17,Login!L42,GuestLoginStrategy!L18,InstructionPlayRound!L24)</f>
        <v>0.59235264603117876</v>
      </c>
      <c r="R4" s="7">
        <f>SUM(Utilities!M14,TranslationQuestion!M17,'RussianFactory'!M18,'RegularLoginStrategy'!M20,'RegistrierterNutzer'!M26,Question!M17,Login!M42,GuestLoginStrategy!M18,InstructionPlayRound!M24)</f>
        <v>11</v>
      </c>
      <c r="S4" s="8" cm="1">
        <f t="array" ref="S4">R4/(SUMPRODUCT((Utilities[Kategorie]='Rohdaten Analyse'!D4)*(Utilities[Right/Wrong]=Utilities[Right/Wrong3])*(Utilities[Who is better?]&lt;&gt;"")) +
SUMPRODUCT((TranslationQuestion[Kategorie]='Rohdaten Analyse'!D4)*(TranslationQuestion[Right/Wrong]=TranslationQuestion[Right/Wrong3])*(TranslationQuestion[Who is better?]&lt;&gt;"")) +
SUMPRODUCT((RussianFactory[Kategorie]='Rohdaten Analyse'!D4)*(RussianFactory[Right/Wrong]=RussianFactory[Right/Wrong3])*(RussianFactory[Who is better?]&lt;&gt;"")) +
SUMPRODUCT((RegularLoginStrategy[Kategorie]='Rohdaten Analyse'!D4)*(RegularLoginStrategy[Right/Wrong]=RegularLoginStrategy[Right/Wrong3])*(RegularLoginStrategy[Who is better?]&lt;&gt;"")) +
SUMPRODUCT((RegistrierterNutzer[Kategorie]='Rohdaten Analyse'!D4)*(RegistrierterNutzer[Right/Wrong]=RegistrierterNutzer[Right/Wrong3])*(RegistrierterNutzer[Who is better?]&lt;&gt;"")) +
SUMPRODUCT((Question[Kategorie]='Rohdaten Analyse'!D4)*(Question[Right/Wrong]=Question[Right/Wrong3])*(Question[Who is better?]&lt;&gt;"")) +
SUMPRODUCT((LoginStrategy[Kategorie]='Rohdaten Analyse'!D4)*(LoginStrategy[Right/Wrong]=LoginStrategy[Right/Wrong3])*(LoginStrategy[Who is better?]&lt;&gt;"")) +
SUMPRODUCT((Login[Kategorie]='Rohdaten Analyse'!D4)*(Login[Right/Wrong]=Login[Right/Wrong3])*(Login[Who is better?]&lt;&gt;"")) +
SUMPRODUCT((Language[Kategorie]='Rohdaten Analyse'!D4)*(Language[Right/Wrong]=Language[Right/Wrong3])*(Language[Who is better?]&lt;&gt;"")) +
SUMPRODUCT((GuestLoginStrategy[Kategorie]='Rohdaten Analyse'!D4)*(GuestLoginStrategy[Right/Wrong]=GuestLoginStrategy[Right/Wrong3])*(GuestLoginStrategy[Who is better?]&lt;&gt;"")) +
SUMPRODUCT((InstructionPlayRound[Kategorie]='Rohdaten Analyse'!D4)*(InstructionPlayRound[Right/Wrong]=InstructionPlayRound[Right/Wrong3])*(InstructionPlayRound[Who is better?]&lt;&gt;"")))</f>
        <v>0.42307692307692307</v>
      </c>
    </row>
    <row r="5" spans="1:20" x14ac:dyDescent="0.25">
      <c r="A5" s="1">
        <f>AVERAGE(Utilities!C10,TranslationQuestion!C12,'RussianFactory'!C14,'RegularLoginStrategy'!C14,'RegistrierterNutzer'!C22,Question!C12,LoginStrategy!C8,Login!C38,Language!C16,GuestLoginStrategy!C14,InstructionPlayRound!C20)</f>
        <v>1.4224315778994308</v>
      </c>
      <c r="B5" s="1">
        <f>AVERAGE(Utilities!F10,TranslationQuestion!F12,'RussianFactory'!F14,'RegularLoginStrategy'!F14,'RegistrierterNutzer'!F22,Question!F12,LoginStrategy!F8,Login!F38,Language!F16,GuestLoginStrategy!F14,InstructionPlayRound!F20)</f>
        <v>0.7079201101928374</v>
      </c>
      <c r="D5" t="str">
        <v>missing</v>
      </c>
      <c r="E5">
        <f>SUM(COUNTIF(Utilities[Kategorie],'Rohdaten Analyse'!D5),COUNTIF(TranslationQuestion[Kategorie],'Rohdaten Analyse'!D5),COUNTIF(RussianFactory[Kategorie],'Rohdaten Analyse'!D5),COUNTIF(RegularLoginStrategy[Kategorie],'Rohdaten Analyse'!D5),COUNTIF(RegistrierterNutzer[Kategorie],'Rohdaten Analyse'!D5),COUNTIF(Question[Kategorie],'Rohdaten Analyse'!D5),COUNTIF(LoginStrategy[Kategorie],'Rohdaten Analyse'!D5),COUNTIF(Login[Kategorie],'Rohdaten Analyse'!D5),COUNTIF(Language[Kategorie],'Rohdaten Analyse'!D5),COUNTIF(GuestLoginStrategy[Kategorie],'Rohdaten Analyse'!D5),COUNTIF(InstructionPlayRound[Kategorie],'Rohdaten Analyse'!D5))</f>
        <v>6</v>
      </c>
      <c r="F5" cm="1">
        <f t="array" ref="F5">SUMPRODUCT((Utilities[Kategorie]='Rohdaten Analyse'!D5)*(Utilities[Right/Wrong]=Utilities[Right/Wrong3])) +
SUMPRODUCT((TranslationQuestion[Kategorie]='Rohdaten Analyse'!D5)*(TranslationQuestion[Right/Wrong]=TranslationQuestion[Right/Wrong3])) +
SUMPRODUCT((RussianFactory[Kategorie]='Rohdaten Analyse'!D5)*(RussianFactory[Right/Wrong]=RussianFactory[Right/Wrong3])) +
SUMPRODUCT((RegularLoginStrategy[Kategorie]='Rohdaten Analyse'!D5)*(RegularLoginStrategy[Right/Wrong]=RegularLoginStrategy[Right/Wrong3])) +
SUMPRODUCT((RegistrierterNutzer[Kategorie]='Rohdaten Analyse'!D5)*(RegistrierterNutzer[Right/Wrong]=RegistrierterNutzer[Right/Wrong3])) +
SUMPRODUCT((Question[Kategorie]='Rohdaten Analyse'!D5)*(Question[Right/Wrong]=Question[Right/Wrong3])) +
SUMPRODUCT((LoginStrategy[Kategorie]='Rohdaten Analyse'!D5)*(LoginStrategy[Right/Wrong]=LoginStrategy[Right/Wrong3])) +
SUMPRODUCT((Login[Kategorie]='Rohdaten Analyse'!D5)*(Login[Right/Wrong]=Login[Right/Wrong3])) +
SUMPRODUCT((Language[Kategorie]='Rohdaten Analyse'!D5)*(Language[Right/Wrong]=Language[Right/Wrong3])) +
SUMPRODUCT((GuestLoginStrategy[Kategorie]='Rohdaten Analyse'!D5)*(GuestLoginStrategy[Right/Wrong]=GuestLoginStrategy[Right/Wrong3])) +
SUMPRODUCT((InstructionPlayRound[Kategorie]='Rohdaten Analyse'!D5)*(InstructionPlayRound[Right/Wrong]=InstructionPlayRound[Right/Wrong3]))</f>
        <v>5</v>
      </c>
      <c r="G5" s="5">
        <f t="shared" si="0"/>
        <v>0.83333333333333337</v>
      </c>
      <c r="H5" s="7">
        <f>SUM('RussianFactory'!C20,'RegularLoginStrategy'!C19,Login!C43,InstructionPlayRound!C25)</f>
        <v>5</v>
      </c>
      <c r="I5" s="8">
        <f>H5/E5</f>
        <v>0.83333333333333337</v>
      </c>
      <c r="J5" s="8" t="s">
        <v>274</v>
      </c>
      <c r="K5" s="6" t="s">
        <v>274</v>
      </c>
      <c r="L5" s="7" t="s">
        <v>274</v>
      </c>
      <c r="M5" s="8" t="s">
        <v>274</v>
      </c>
      <c r="N5" s="7">
        <f>SUM('RussianFactory'!I20,'RegularLoginStrategy'!I19,Login!I43,InstructionPlayRound!I25)</f>
        <v>6</v>
      </c>
      <c r="O5" s="8">
        <f>N5/E5</f>
        <v>1</v>
      </c>
      <c r="P5" s="8" t="s">
        <v>274</v>
      </c>
      <c r="Q5" s="7" t="s">
        <v>274</v>
      </c>
      <c r="R5" s="7" t="s">
        <v>274</v>
      </c>
      <c r="S5" s="8" t="s">
        <v>274</v>
      </c>
    </row>
    <row r="6" spans="1:20" x14ac:dyDescent="0.25">
      <c r="A6" s="1"/>
      <c r="B6" s="1"/>
      <c r="D6" s="1" t="str">
        <v>alibi</v>
      </c>
      <c r="E6">
        <f>SUM(COUNTIF(Utilities[Kategorie],'Rohdaten Analyse'!D6),COUNTIF(TranslationQuestion[Kategorie],'Rohdaten Analyse'!D6),COUNTIF(RussianFactory[Kategorie],'Rohdaten Analyse'!D6),COUNTIF(RegularLoginStrategy[Kategorie],'Rohdaten Analyse'!D6),COUNTIF(RegistrierterNutzer[Kategorie],'Rohdaten Analyse'!D6),COUNTIF(Question[Kategorie],'Rohdaten Analyse'!D6),COUNTIF(LoginStrategy[Kategorie],'Rohdaten Analyse'!D6),COUNTIF(Login[Kategorie],'Rohdaten Analyse'!D6),COUNTIF(Language[Kategorie],'Rohdaten Analyse'!D6),COUNTIF(GuestLoginStrategy[Kategorie],'Rohdaten Analyse'!D6),COUNTIF(InstructionPlayRound[Kategorie],'Rohdaten Analyse'!D6))</f>
        <v>71</v>
      </c>
      <c r="F6" cm="1">
        <f t="array" ref="F6">SUMPRODUCT((Utilities[Kategorie]='Rohdaten Analyse'!D6)*(Utilities[Right/Wrong]=Utilities[Right/Wrong3])) +
SUMPRODUCT((TranslationQuestion[Kategorie]='Rohdaten Analyse'!D6)*(TranslationQuestion[Right/Wrong]=TranslationQuestion[Right/Wrong3])) +
SUMPRODUCT((RussianFactory[Kategorie]='Rohdaten Analyse'!D6)*(RussianFactory[Right/Wrong]=RussianFactory[Right/Wrong3])) +
SUMPRODUCT((RegularLoginStrategy[Kategorie]='Rohdaten Analyse'!D6)*(RegularLoginStrategy[Right/Wrong]=RegularLoginStrategy[Right/Wrong3])) +
SUMPRODUCT((RegistrierterNutzer[Kategorie]='Rohdaten Analyse'!D6)*(RegistrierterNutzer[Right/Wrong]=RegistrierterNutzer[Right/Wrong3])) +
SUMPRODUCT((Question[Kategorie]='Rohdaten Analyse'!D6)*(Question[Right/Wrong]=Question[Right/Wrong3])) +
SUMPRODUCT((LoginStrategy[Kategorie]='Rohdaten Analyse'!D6)*(LoginStrategy[Right/Wrong]=LoginStrategy[Right/Wrong3])) +
SUMPRODUCT((Login[Kategorie]='Rohdaten Analyse'!D6)*(Login[Right/Wrong]=Login[Right/Wrong3])) +
SUMPRODUCT((Language[Kategorie]='Rohdaten Analyse'!D6)*(Language[Right/Wrong]=Language[Right/Wrong3])) +
SUMPRODUCT((GuestLoginStrategy[Kategorie]='Rohdaten Analyse'!D6)*(GuestLoginStrategy[Right/Wrong]=GuestLoginStrategy[Right/Wrong3])) +
SUMPRODUCT((InstructionPlayRound[Kategorie]='Rohdaten Analyse'!D6)*(InstructionPlayRound[Right/Wrong]=InstructionPlayRound[Right/Wrong3]))</f>
        <v>28</v>
      </c>
      <c r="G6" s="5">
        <f t="shared" si="0"/>
        <v>0.39436619718309857</v>
      </c>
      <c r="H6" s="7">
        <f>SUM(Utilities!C15,TranslationQuestion!C16,'RussianFactory'!C19,'RegularLoginStrategy'!C18,'RegistrierterNutzer'!C27,Question!C18,LoginStrategy!C12,Login!C44,Language!C21,GuestLoginStrategy!C19,InstructionPlayRound!C26)</f>
        <v>25</v>
      </c>
      <c r="I6" s="8">
        <f>H6/E6</f>
        <v>0.352112676056338</v>
      </c>
      <c r="J6" s="7">
        <f>AVERAGE(Utilities!E15,TranslationQuestion!E16,'RussianFactory'!E19,'RegularLoginStrategy'!E18,'RegistrierterNutzer'!E27,Question!E18,LoginStrategy!E12,Login!E44,Language!E21,GuestLoginStrategy!E19,InstructionPlayRound!E26)</f>
        <v>1.1472584349740829</v>
      </c>
      <c r="K6" s="7">
        <f>AVERAGE(Utilities!F15,TranslationQuestion!F16,'RussianFactory'!F19,'RegularLoginStrategy'!F18,'RegistrierterNutzer'!F27,Question!F18,LoginStrategy!F12,Login!F44,Language!F21,GuestLoginStrategy!F19,InstructionPlayRound!F26)</f>
        <v>0.57438245785194086</v>
      </c>
      <c r="L6" s="7">
        <f>SUM(Utilities!G15,TranslationQuestion!G16,'RussianFactory'!G19,'RegularLoginStrategy'!G18,'RegistrierterNutzer'!G27,Question!G18,LoginStrategy!G12,Login!G44,Language!G21,GuestLoginStrategy!G19,InstructionPlayRound!G26)</f>
        <v>10</v>
      </c>
      <c r="M6" s="8" cm="1">
        <f t="array" ref="M6">L6/(SUMPRODUCT((Utilities[Kategorie]='Rohdaten Analyse'!D6)*(Utilities[Right/Wrong]=Utilities[Right/Wrong3])*(Utilities[Who is better?]&lt;&gt;"")) +
SUMPRODUCT((TranslationQuestion[Kategorie]='Rohdaten Analyse'!D6)*(TranslationQuestion[Right/Wrong]=TranslationQuestion[Right/Wrong3])*(TranslationQuestion[Who is better?]&lt;&gt;"")) +
SUMPRODUCT((RussianFactory[Kategorie]='Rohdaten Analyse'!D6)*(RussianFactory[Right/Wrong]=RussianFactory[Right/Wrong3])*(RussianFactory[Who is better?]&lt;&gt;"")) +
SUMPRODUCT((RegularLoginStrategy[Kategorie]='Rohdaten Analyse'!D6)*(RegularLoginStrategy[Right/Wrong]=RegularLoginStrategy[Right/Wrong3])*(RegularLoginStrategy[Who is better?]&lt;&gt;"")) +
SUMPRODUCT((RegistrierterNutzer[Kategorie]='Rohdaten Analyse'!D6)*(RegistrierterNutzer[Right/Wrong]=RegistrierterNutzer[Right/Wrong3])*(RegistrierterNutzer[Who is better?]&lt;&gt;"")) +
SUMPRODUCT((Question[Kategorie]='Rohdaten Analyse'!D6)*(Question[Right/Wrong]=Question[Right/Wrong3])*(Question[Who is better?]&lt;&gt;"")) +
SUMPRODUCT((LoginStrategy[Kategorie]='Rohdaten Analyse'!D6)*(LoginStrategy[Right/Wrong]=LoginStrategy[Right/Wrong3])*(LoginStrategy[Who is better?]&lt;&gt;"")) +
SUMPRODUCT((Login[Kategorie]='Rohdaten Analyse'!D6)*(Login[Right/Wrong]=Login[Right/Wrong3])*(Login[Who is better?]&lt;&gt;"")) +
SUMPRODUCT((Language[Kategorie]='Rohdaten Analyse'!D6)*(Language[Right/Wrong]=Language[Right/Wrong3])*(Language[Who is better?]&lt;&gt;"")) +
SUMPRODUCT((GuestLoginStrategy[Kategorie]='Rohdaten Analyse'!D6)*(GuestLoginStrategy[Right/Wrong]=GuestLoginStrategy[Right/Wrong3])*(GuestLoginStrategy[Who is better?]&lt;&gt;"")) +
SUMPRODUCT((InstructionPlayRound[Kategorie]='Rohdaten Analyse'!D6)*(InstructionPlayRound[Right/Wrong]=InstructionPlayRound[Right/Wrong3])*(InstructionPlayRound[Who is better?]&lt;&gt;"")))</f>
        <v>0.38461538461538464</v>
      </c>
      <c r="N6" s="7">
        <f>SUM(Utilities!I15,TranslationQuestion!I16,'RussianFactory'!I19,'RegularLoginStrategy'!I18,'RegistrierterNutzer'!I27,Question!I18,LoginStrategy!I12,Login!I44,Language!I21,GuestLoginStrategy!I19,InstructionPlayRound!I26)</f>
        <v>40</v>
      </c>
      <c r="O6" s="8">
        <f>N6/E6</f>
        <v>0.56338028169014087</v>
      </c>
      <c r="P6" s="7">
        <f>AVERAGE(Utilities!K15,TranslationQuestion!K16,'RussianFactory'!K19,'RegularLoginStrategy'!K18,'RegistrierterNutzer'!K27,Question!K18,LoginStrategy!K12,Login!K44,Language!K21,GuestLoginStrategy!K19,InstructionPlayRound!K26)</f>
        <v>0.5818181818181819</v>
      </c>
      <c r="Q6" s="7">
        <f>AVERAGE(Utilities!L15,TranslationQuestion!L16,'RussianFactory'!L19,'RegularLoginStrategy'!L18,'RegistrierterNutzer'!L27,Question!L18,LoginStrategy!L12,Login!L44,Language!L21,GuestLoginStrategy!L19,InstructionPlayRound!L26)</f>
        <v>0.24860341607119499</v>
      </c>
      <c r="R6" s="7">
        <f>SUM(Utilities!M15,TranslationQuestion!M16,'RussianFactory'!M19,'RegularLoginStrategy'!M18,'RegistrierterNutzer'!M27,Question!M18,LoginStrategy!M12,Login!M44,Language!M21,GuestLoginStrategy!M19,InstructionPlayRound!M26)</f>
        <v>16</v>
      </c>
      <c r="S6" s="8" cm="1">
        <f t="array" ref="S6">R6/(SUMPRODUCT((Utilities[Kategorie]='Rohdaten Analyse'!D6)*(Utilities[Right/Wrong]=Utilities[Right/Wrong3])*(Utilities[Who is better?]&lt;&gt;"")) +
SUMPRODUCT((TranslationQuestion[Kategorie]='Rohdaten Analyse'!D6)*(TranslationQuestion[Right/Wrong]=TranslationQuestion[Right/Wrong3])*(TranslationQuestion[Who is better?]&lt;&gt;"")) +
SUMPRODUCT((RussianFactory[Kategorie]='Rohdaten Analyse'!D6)*(RussianFactory[Right/Wrong]=RussianFactory[Right/Wrong3])*(RussianFactory[Who is better?]&lt;&gt;"")) +
SUMPRODUCT((RegularLoginStrategy[Kategorie]='Rohdaten Analyse'!D6)*(RegularLoginStrategy[Right/Wrong]=RegularLoginStrategy[Right/Wrong3])*(RegularLoginStrategy[Who is better?]&lt;&gt;"")) +
SUMPRODUCT((RegistrierterNutzer[Kategorie]='Rohdaten Analyse'!D6)*(RegistrierterNutzer[Right/Wrong]=RegistrierterNutzer[Right/Wrong3])*(RegistrierterNutzer[Who is better?]&lt;&gt;"")) +
SUMPRODUCT((Question[Kategorie]='Rohdaten Analyse'!D6)*(Question[Right/Wrong]=Question[Right/Wrong3])*(Question[Who is better?]&lt;&gt;"")) +
SUMPRODUCT((LoginStrategy[Kategorie]='Rohdaten Analyse'!D6)*(LoginStrategy[Right/Wrong]=LoginStrategy[Right/Wrong3])*(LoginStrategy[Who is better?]&lt;&gt;"")) +
SUMPRODUCT((Login[Kategorie]='Rohdaten Analyse'!D6)*(Login[Right/Wrong]=Login[Right/Wrong3])*(Login[Who is better?]&lt;&gt;"")) +
SUMPRODUCT((Language[Kategorie]='Rohdaten Analyse'!D6)*(Language[Right/Wrong]=Language[Right/Wrong3])*(Language[Who is better?]&lt;&gt;"")) +
SUMPRODUCT((GuestLoginStrategy[Kategorie]='Rohdaten Analyse'!D6)*(GuestLoginStrategy[Right/Wrong]=GuestLoginStrategy[Right/Wrong3])*(GuestLoginStrategy[Who is better?]&lt;&gt;"")) +
SUMPRODUCT((InstructionPlayRound[Kategorie]='Rohdaten Analyse'!D6)*(InstructionPlayRound[Right/Wrong]=InstructionPlayRound[Right/Wrong3])*(InstructionPlayRound[Who is better?]&lt;&gt;"")))</f>
        <v>0.61538461538461542</v>
      </c>
      <c r="T6" s="5"/>
    </row>
    <row r="7" spans="1:20" x14ac:dyDescent="0.25">
      <c r="A7" t="s">
        <v>275</v>
      </c>
      <c r="B7" t="s">
        <v>276</v>
      </c>
      <c r="D7" t="str">
        <v>wrong in meaning</v>
      </c>
      <c r="E7">
        <f>SUM(COUNTIF(Utilities[Kategorie],'Rohdaten Analyse'!D7),COUNTIF(TranslationQuestion[Kategorie],'Rohdaten Analyse'!D7),COUNTIF(RussianFactory[Kategorie],'Rohdaten Analyse'!D7),COUNTIF(RegularLoginStrategy[Kategorie],'Rohdaten Analyse'!D7),COUNTIF(RegistrierterNutzer[Kategorie],'Rohdaten Analyse'!D7),COUNTIF(Question[Kategorie],'Rohdaten Analyse'!D7),COUNTIF(LoginStrategy[Kategorie],'Rohdaten Analyse'!D7),COUNTIF(Login[Kategorie],'Rohdaten Analyse'!D7),COUNTIF(Language[Kategorie],'Rohdaten Analyse'!D7),COUNTIF(GuestLoginStrategy[Kategorie],'Rohdaten Analyse'!D7),COUNTIF(InstructionPlayRound[Kategorie],'Rohdaten Analyse'!D7))</f>
        <v>2</v>
      </c>
      <c r="F7" cm="1">
        <f t="array" ref="F7">SUMPRODUCT((Utilities[Kategorie]='Rohdaten Analyse'!D7)*(Utilities[Right/Wrong]=Utilities[Right/Wrong3])) +
SUMPRODUCT((TranslationQuestion[Kategorie]='Rohdaten Analyse'!D7)*(TranslationQuestion[Right/Wrong]=TranslationQuestion[Right/Wrong3])) +
SUMPRODUCT((RussianFactory[Kategorie]='Rohdaten Analyse'!D7)*(RussianFactory[Right/Wrong]=RussianFactory[Right/Wrong3])) +
SUMPRODUCT((RegularLoginStrategy[Kategorie]='Rohdaten Analyse'!D7)*(RegularLoginStrategy[Right/Wrong]=RegularLoginStrategy[Right/Wrong3])) +
SUMPRODUCT((RegistrierterNutzer[Kategorie]='Rohdaten Analyse'!D7)*(RegistrierterNutzer[Right/Wrong]=RegistrierterNutzer[Right/Wrong3])) +
SUMPRODUCT((Question[Kategorie]='Rohdaten Analyse'!D7)*(Question[Right/Wrong]=Question[Right/Wrong3])) +
SUMPRODUCT((LoginStrategy[Kategorie]='Rohdaten Analyse'!D7)*(LoginStrategy[Right/Wrong]=LoginStrategy[Right/Wrong3])) +
SUMPRODUCT((Login[Kategorie]='Rohdaten Analyse'!D7)*(Login[Right/Wrong]=Login[Right/Wrong3])) +
SUMPRODUCT((Language[Kategorie]='Rohdaten Analyse'!D7)*(Language[Right/Wrong]=Language[Right/Wrong3])) +
SUMPRODUCT((GuestLoginStrategy[Kategorie]='Rohdaten Analyse'!D7)*(GuestLoginStrategy[Right/Wrong]=GuestLoginStrategy[Right/Wrong3])) +
SUMPRODUCT((InstructionPlayRound[Kategorie]='Rohdaten Analyse'!D7)*(InstructionPlayRound[Right/Wrong]=InstructionPlayRound[Right/Wrong3]))</f>
        <v>1</v>
      </c>
      <c r="G7" s="5">
        <f t="shared" si="0"/>
        <v>0.5</v>
      </c>
      <c r="H7" s="7">
        <f>SUM(LoginStrategy!C13,GuestLoginStrategy!C20)</f>
        <v>0</v>
      </c>
      <c r="I7" s="8">
        <f>H7/E7</f>
        <v>0</v>
      </c>
      <c r="J7" s="7">
        <f>AVERAGE(LoginStrategy!E13,GuestLoginStrategy!E20)</f>
        <v>2.5</v>
      </c>
      <c r="K7" s="7">
        <f>AVERAGE(LoginStrategy!F13,GuestLoginStrategy!F20)</f>
        <v>0</v>
      </c>
      <c r="L7" s="7">
        <f>SUM(LoginStrategy!G13,GuestLoginStrategy!G20)</f>
        <v>0</v>
      </c>
      <c r="M7" s="8" cm="1">
        <f t="array" ref="M7">L7/(SUMPRODUCT((Utilities[Kategorie]='Rohdaten Analyse'!D7)*(Utilities[Right/Wrong]=Utilities[Right/Wrong3])*(Utilities[Who is better?]&lt;&gt;"")) +
SUMPRODUCT((TranslationQuestion[Kategorie]='Rohdaten Analyse'!D7)*(TranslationQuestion[Right/Wrong]=TranslationQuestion[Right/Wrong3])*(TranslationQuestion[Who is better?]&lt;&gt;"")) +
SUMPRODUCT((RussianFactory[Kategorie]='Rohdaten Analyse'!D7)*(RussianFactory[Right/Wrong]=RussianFactory[Right/Wrong3])*(RussianFactory[Who is better?]&lt;&gt;"")) +
SUMPRODUCT((RegularLoginStrategy[Kategorie]='Rohdaten Analyse'!D7)*(RegularLoginStrategy[Right/Wrong]=RegularLoginStrategy[Right/Wrong3])*(RegularLoginStrategy[Who is better?]&lt;&gt;"")) +
SUMPRODUCT((RegistrierterNutzer[Kategorie]='Rohdaten Analyse'!D7)*(RegistrierterNutzer[Right/Wrong]=RegistrierterNutzer[Right/Wrong3])*(RegistrierterNutzer[Who is better?]&lt;&gt;"")) +
SUMPRODUCT((Question[Kategorie]='Rohdaten Analyse'!D7)*(Question[Right/Wrong]=Question[Right/Wrong3])*(Question[Who is better?]&lt;&gt;"")) +
SUMPRODUCT((LoginStrategy[Kategorie]='Rohdaten Analyse'!D7)*(LoginStrategy[Right/Wrong]=LoginStrategy[Right/Wrong3])*(LoginStrategy[Who is better?]&lt;&gt;"")) +
SUMPRODUCT((Login[Kategorie]='Rohdaten Analyse'!D7)*(Login[Right/Wrong]=Login[Right/Wrong3])*(Login[Who is better?]&lt;&gt;"")) +
SUMPRODUCT((Language[Kategorie]='Rohdaten Analyse'!D7)*(Language[Right/Wrong]=Language[Right/Wrong3])*(Language[Who is better?]&lt;&gt;"")) +
SUMPRODUCT((GuestLoginStrategy[Kategorie]='Rohdaten Analyse'!D7)*(GuestLoginStrategy[Right/Wrong]=GuestLoginStrategy[Right/Wrong3])*(GuestLoginStrategy[Who is better?]&lt;&gt;"")) +
SUMPRODUCT((InstructionPlayRound[Kategorie]='Rohdaten Analyse'!D7)*(InstructionPlayRound[Right/Wrong]=InstructionPlayRound[Right/Wrong3])*(InstructionPlayRound[Who is better?]&lt;&gt;"")))</f>
        <v>0</v>
      </c>
      <c r="N7" s="7">
        <f>SUM(LoginStrategy!I13,GuestLoginStrategy!I20)</f>
        <v>1</v>
      </c>
      <c r="O7" s="8">
        <f>N7/E7</f>
        <v>0.5</v>
      </c>
      <c r="P7" s="7">
        <f>AVERAGE(LoginStrategy!K13,GuestLoginStrategy!K20)</f>
        <v>0.25</v>
      </c>
      <c r="Q7" s="7">
        <f>AVERAGE(LoginStrategy!L13,GuestLoginStrategy!L20)</f>
        <v>0</v>
      </c>
      <c r="R7" s="7">
        <f>SUM(LoginStrategy!M13,GuestLoginStrategy!M20)</f>
        <v>1</v>
      </c>
      <c r="S7" s="8" cm="1">
        <f t="array" ref="S7">R7/(SUMPRODUCT((Utilities[Kategorie]='Rohdaten Analyse'!D7)*(Utilities[Right/Wrong]=Utilities[Right/Wrong3])*(Utilities[Who is better?]&lt;&gt;"")) +
SUMPRODUCT((TranslationQuestion[Kategorie]='Rohdaten Analyse'!D7)*(TranslationQuestion[Right/Wrong]=TranslationQuestion[Right/Wrong3])*(TranslationQuestion[Who is better?]&lt;&gt;"")) +
SUMPRODUCT((RussianFactory[Kategorie]='Rohdaten Analyse'!D7)*(RussianFactory[Right/Wrong]=RussianFactory[Right/Wrong3])*(RussianFactory[Who is better?]&lt;&gt;"")) +
SUMPRODUCT((RegularLoginStrategy[Kategorie]='Rohdaten Analyse'!D7)*(RegularLoginStrategy[Right/Wrong]=RegularLoginStrategy[Right/Wrong3])*(RegularLoginStrategy[Who is better?]&lt;&gt;"")) +
SUMPRODUCT((RegistrierterNutzer[Kategorie]='Rohdaten Analyse'!D7)*(RegistrierterNutzer[Right/Wrong]=RegistrierterNutzer[Right/Wrong3])*(RegistrierterNutzer[Who is better?]&lt;&gt;"")) +
SUMPRODUCT((Question[Kategorie]='Rohdaten Analyse'!D7)*(Question[Right/Wrong]=Question[Right/Wrong3])*(Question[Who is better?]&lt;&gt;"")) +
SUMPRODUCT((LoginStrategy[Kategorie]='Rohdaten Analyse'!D7)*(LoginStrategy[Right/Wrong]=LoginStrategy[Right/Wrong3])*(LoginStrategy[Who is better?]&lt;&gt;"")) +
SUMPRODUCT((Login[Kategorie]='Rohdaten Analyse'!D7)*(Login[Right/Wrong]=Login[Right/Wrong3])*(Login[Who is better?]&lt;&gt;"")) +
SUMPRODUCT((Language[Kategorie]='Rohdaten Analyse'!D7)*(Language[Right/Wrong]=Language[Right/Wrong3])*(Language[Who is better?]&lt;&gt;"")) +
SUMPRODUCT((GuestLoginStrategy[Kategorie]='Rohdaten Analyse'!D7)*(GuestLoginStrategy[Right/Wrong]=GuestLoginStrategy[Right/Wrong3])*(GuestLoginStrategy[Who is better?]&lt;&gt;"")) +
SUMPRODUCT((InstructionPlayRound[Kategorie]='Rohdaten Analyse'!D7)*(InstructionPlayRound[Right/Wrong]=InstructionPlayRound[Right/Wrong3])*(InstructionPlayRound[Who is better?]&lt;&gt;"")))</f>
        <v>1</v>
      </c>
    </row>
    <row r="8" spans="1:20" x14ac:dyDescent="0.25">
      <c r="A8" s="1">
        <f>AVERAGE(Utilities!C11,TranslationQuestion!C13,'RussianFactory'!C15,'RegularLoginStrategy'!C15,'RegistrierterNutzer'!C23,Question!C13,LoginStrategy!C9,Login!C39,Language!C17,GuestLoginStrategy!C15,InstructionPlayRound!C21)</f>
        <v>0.74860981626276379</v>
      </c>
      <c r="B8" s="1">
        <f>AVERAGE(Utilities!F11,TranslationQuestion!F13,'RussianFactory'!F15,'RegularLoginStrategy'!F15,'RegistrierterNutzer'!F23,Question!F13,LoginStrategy!F9,Login!F39,Language!F17,GuestLoginStrategy!F15,InstructionPlayRound!F21)</f>
        <v>0.48672604225319671</v>
      </c>
    </row>
    <row r="10" spans="1:20" x14ac:dyDescent="0.25">
      <c r="A10" t="s">
        <v>280</v>
      </c>
      <c r="B10" t="s">
        <v>281</v>
      </c>
      <c r="C10" t="s">
        <v>282</v>
      </c>
    </row>
    <row r="11" spans="1:20" x14ac:dyDescent="0.25">
      <c r="A11">
        <f>SUM(E3:E7)</f>
        <v>141</v>
      </c>
      <c r="B11">
        <f>SUM(F3:F7)</f>
        <v>76</v>
      </c>
      <c r="C11" s="5">
        <f>B11/A11</f>
        <v>0.53900709219858156</v>
      </c>
    </row>
    <row r="13" spans="1:20" x14ac:dyDescent="0.25">
      <c r="A13" t="s">
        <v>283</v>
      </c>
      <c r="B13" t="s">
        <v>295</v>
      </c>
      <c r="C13" t="s">
        <v>296</v>
      </c>
    </row>
    <row r="14" spans="1:20" x14ac:dyDescent="0.25">
      <c r="A14">
        <f>SUM(COUNTIF(Utilities[Kommentar],"*Konstruktor*"),COUNTIF(TranslationQuestion[Kommentar],"*Konstruktor*"),COUNTIF(RussianFactory[Kommentar],"*Konstruktor*"),COUNTIF(RegularLoginStrategy[Kommentar],"*Konstruktor*"),COUNTIF(RegistrierterNutzer[Kommentar],"*Konstruktor*"),COUNTIF(Question[Kommentar],"*Konstruktor*"),COUNTIF(LoginStrategy[Kommentar],"*Konstruktor*"),COUNTIF(Login[Kommentar],"*Konstruktor*"),COUNTIF(Language[Kommentar],"*Konstruktor*"),COUNTIF(GuestLoginStrategy[Kommentar],"*Konstruktor*"),COUNTIF(InstructionPlayRound[Kommentar],"*Konstruktor*"))</f>
        <v>6</v>
      </c>
      <c r="B14">
        <f>SUM(COUNTIF(Utilities[Kommentar],"*Kontext*"),COUNTIF(TranslationQuestion[Kommentar],"*Kontext*"),COUNTIF(RussianFactory[Kommentar],"*Kontext*"),COUNTIF(RegularLoginStrategy[Kommentar],"*Kontext*"),COUNTIF(RegistrierterNutzer[Kommentar],"*Kontext*"),COUNTIF(Question[Kommentar],"*Kontext*"),COUNTIF(LoginStrategy[Kommentar],"*Kontext*"),COUNTIF(Login[Kommentar],"*Kontext*"),COUNTIF(Language[Kommentar],"*Kontext*"),COUNTIF(GuestLoginStrategy[Kommentar],"*Kontext*"),COUNTIF(InstructionPlayRound[Kommentar],"*Kontext*"))</f>
        <v>23</v>
      </c>
      <c r="C14">
        <f>SUM(COUNTIF(Utilities[Kommentar],"*Pars*"),COUNTIF(TranslationQuestion[Kommentar],"*Pars*"),COUNTIF(RussianFactory[Kommentar],"*Pars*"),COUNTIF(RegularLoginStrategy[Kommentar],"*Pars*"),COUNTIF(RegistrierterNutzer[Kommentar],"*Pars*"),COUNTIF(Question[Kommentar],"*Pars*"),COUNTIF(LoginStrategy[Kommentar],"*Pars*"),COUNTIF(Login[Kommentar],"*Pars*"),COUNTIF(Language[Kommentar],"*Pars*"),COUNTIF(GuestLoginStrategy[Kommentar],"*Pars*"),COUNTIF(InstructionPlayRound[Kommentar],"*Pars*"))</f>
        <v>1</v>
      </c>
    </row>
    <row r="16" spans="1:20" x14ac:dyDescent="0.25">
      <c r="A16" t="s">
        <v>291</v>
      </c>
      <c r="B16" t="s">
        <v>292</v>
      </c>
    </row>
    <row r="17" spans="1:2" x14ac:dyDescent="0.25">
      <c r="A17" s="1">
        <f>SUM(H3:H7)</f>
        <v>74</v>
      </c>
      <c r="B17" s="1">
        <f>SUM(N3:N7)</f>
        <v>89</v>
      </c>
    </row>
    <row r="19" spans="1:2" x14ac:dyDescent="0.25">
      <c r="A19" t="s">
        <v>293</v>
      </c>
      <c r="B19" t="s">
        <v>294</v>
      </c>
    </row>
    <row r="20" spans="1:2" x14ac:dyDescent="0.25">
      <c r="A20" s="5">
        <f>A17/A11</f>
        <v>0.52482269503546097</v>
      </c>
      <c r="B20" s="5">
        <f>B17/A11</f>
        <v>0.63120567375886527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1C1D-B61D-4F40-8B25-169D57D7A32A}">
  <dimension ref="A1:O43"/>
  <sheetViews>
    <sheetView topLeftCell="D1" zoomScaleNormal="100" workbookViewId="0">
      <selection activeCell="M30" sqref="M30"/>
    </sheetView>
  </sheetViews>
  <sheetFormatPr baseColWidth="10" defaultRowHeight="15" x14ac:dyDescent="0.25"/>
  <cols>
    <col min="1" max="1" width="26.42578125" customWidth="1"/>
    <col min="2" max="2" width="31.42578125" customWidth="1"/>
    <col min="3" max="3" width="19.5703125" customWidth="1"/>
    <col min="4" max="4" width="22" customWidth="1"/>
    <col min="5" max="5" width="25.28515625" customWidth="1"/>
    <col min="6" max="6" width="18.7109375" customWidth="1"/>
    <col min="7" max="7" width="26.7109375" customWidth="1"/>
    <col min="8" max="8" width="18.7109375" customWidth="1"/>
    <col min="9" max="9" width="25.28515625" customWidth="1"/>
    <col min="10" max="10" width="15.140625" customWidth="1"/>
    <col min="11" max="11" width="17.85546875" customWidth="1"/>
    <col min="13" max="13" width="16.42578125" customWidth="1"/>
    <col min="14" max="14" width="25" customWidth="1"/>
    <col min="15" max="15" width="64.42578125" customWidth="1"/>
  </cols>
  <sheetData>
    <row r="1" spans="1:15" x14ac:dyDescent="0.25">
      <c r="A1" s="9" t="s">
        <v>297</v>
      </c>
      <c r="B1" s="9" t="s">
        <v>298</v>
      </c>
      <c r="C1" s="9" t="s">
        <v>299</v>
      </c>
      <c r="D1" s="9" t="s">
        <v>300</v>
      </c>
      <c r="E1" s="9" t="s">
        <v>301</v>
      </c>
      <c r="F1" s="9" t="s">
        <v>302</v>
      </c>
      <c r="G1" s="9" t="s">
        <v>303</v>
      </c>
      <c r="H1" s="9" t="s">
        <v>304</v>
      </c>
      <c r="I1" s="9" t="s">
        <v>305</v>
      </c>
      <c r="J1" s="9" t="s">
        <v>306</v>
      </c>
      <c r="K1" s="9" t="s">
        <v>307</v>
      </c>
      <c r="L1" s="9" t="s">
        <v>308</v>
      </c>
      <c r="M1" s="10" t="s">
        <v>323</v>
      </c>
      <c r="N1" s="10" t="s">
        <v>339</v>
      </c>
      <c r="O1" s="10" t="s">
        <v>8</v>
      </c>
    </row>
    <row r="2" spans="1:15" x14ac:dyDescent="0.25">
      <c r="A2" t="s">
        <v>309</v>
      </c>
      <c r="B2" t="s">
        <v>310</v>
      </c>
      <c r="C2">
        <v>4</v>
      </c>
      <c r="D2">
        <v>29</v>
      </c>
      <c r="E2">
        <v>7.25</v>
      </c>
      <c r="F2">
        <v>10</v>
      </c>
      <c r="G2">
        <v>2.5</v>
      </c>
      <c r="H2">
        <v>137</v>
      </c>
      <c r="I2">
        <v>34.25</v>
      </c>
      <c r="J2">
        <v>2</v>
      </c>
      <c r="K2">
        <v>1</v>
      </c>
      <c r="L2">
        <v>0</v>
      </c>
      <c r="M2">
        <v>1</v>
      </c>
      <c r="N2">
        <f>M2/C2</f>
        <v>0.25</v>
      </c>
    </row>
    <row r="3" spans="1:15" x14ac:dyDescent="0.25">
      <c r="A3" t="s">
        <v>309</v>
      </c>
      <c r="B3" t="s">
        <v>311</v>
      </c>
      <c r="C3">
        <v>7</v>
      </c>
      <c r="D3">
        <v>69</v>
      </c>
      <c r="E3">
        <v>9.86</v>
      </c>
      <c r="F3">
        <v>15</v>
      </c>
      <c r="G3">
        <v>2.14</v>
      </c>
      <c r="H3">
        <v>267</v>
      </c>
      <c r="I3">
        <v>38.14</v>
      </c>
      <c r="J3">
        <v>2</v>
      </c>
      <c r="K3">
        <v>1</v>
      </c>
      <c r="L3">
        <v>0</v>
      </c>
      <c r="M3">
        <v>0</v>
      </c>
      <c r="N3">
        <f t="shared" ref="N3:N34" si="0">M3/C3</f>
        <v>0</v>
      </c>
    </row>
    <row r="4" spans="1:15" x14ac:dyDescent="0.25">
      <c r="A4" t="s">
        <v>309</v>
      </c>
      <c r="B4" t="s">
        <v>312</v>
      </c>
      <c r="C4">
        <v>6</v>
      </c>
      <c r="D4">
        <v>38</v>
      </c>
      <c r="E4">
        <v>6.33</v>
      </c>
      <c r="F4">
        <v>15</v>
      </c>
      <c r="G4">
        <v>2.5</v>
      </c>
      <c r="H4">
        <v>180</v>
      </c>
      <c r="I4">
        <v>30</v>
      </c>
      <c r="J4">
        <v>2</v>
      </c>
      <c r="K4">
        <v>1</v>
      </c>
      <c r="L4">
        <v>0</v>
      </c>
      <c r="M4">
        <v>0</v>
      </c>
      <c r="N4">
        <f t="shared" si="0"/>
        <v>0</v>
      </c>
    </row>
    <row r="5" spans="1:15" x14ac:dyDescent="0.25">
      <c r="A5" t="s">
        <v>309</v>
      </c>
      <c r="B5" t="s">
        <v>313</v>
      </c>
      <c r="C5">
        <v>14</v>
      </c>
      <c r="D5">
        <v>121</v>
      </c>
      <c r="E5">
        <v>8.64</v>
      </c>
      <c r="F5">
        <v>32</v>
      </c>
      <c r="G5">
        <v>2.29</v>
      </c>
      <c r="H5">
        <v>394</v>
      </c>
      <c r="I5">
        <v>28.14</v>
      </c>
      <c r="J5">
        <v>2</v>
      </c>
      <c r="K5">
        <v>1</v>
      </c>
      <c r="L5">
        <v>0</v>
      </c>
      <c r="M5">
        <v>0</v>
      </c>
      <c r="N5">
        <f t="shared" si="0"/>
        <v>0</v>
      </c>
    </row>
    <row r="6" spans="1:15" x14ac:dyDescent="0.25">
      <c r="A6" t="s">
        <v>309</v>
      </c>
      <c r="B6" t="s">
        <v>314</v>
      </c>
      <c r="C6">
        <v>2</v>
      </c>
      <c r="D6">
        <v>15</v>
      </c>
      <c r="E6">
        <v>7.5</v>
      </c>
      <c r="F6">
        <v>6</v>
      </c>
      <c r="G6">
        <v>3</v>
      </c>
      <c r="H6">
        <v>63</v>
      </c>
      <c r="I6">
        <v>31.5</v>
      </c>
      <c r="J6">
        <v>2</v>
      </c>
      <c r="K6">
        <v>1</v>
      </c>
      <c r="L6">
        <v>0</v>
      </c>
      <c r="M6">
        <v>1</v>
      </c>
      <c r="N6">
        <f t="shared" si="0"/>
        <v>0.5</v>
      </c>
    </row>
    <row r="7" spans="1:15" x14ac:dyDescent="0.25">
      <c r="A7" t="s">
        <v>309</v>
      </c>
      <c r="B7" t="s">
        <v>315</v>
      </c>
      <c r="C7">
        <v>4</v>
      </c>
      <c r="D7">
        <v>26</v>
      </c>
      <c r="E7">
        <v>6.5</v>
      </c>
      <c r="F7">
        <v>9</v>
      </c>
      <c r="G7">
        <v>2.25</v>
      </c>
      <c r="H7">
        <v>103</v>
      </c>
      <c r="I7">
        <v>25.75</v>
      </c>
      <c r="J7">
        <v>2</v>
      </c>
      <c r="K7">
        <v>1</v>
      </c>
      <c r="L7">
        <v>0</v>
      </c>
      <c r="M7">
        <v>0</v>
      </c>
      <c r="N7">
        <f t="shared" si="0"/>
        <v>0</v>
      </c>
    </row>
    <row r="8" spans="1:15" x14ac:dyDescent="0.25">
      <c r="A8" t="s">
        <v>309</v>
      </c>
      <c r="B8" t="s">
        <v>316</v>
      </c>
      <c r="C8">
        <v>9</v>
      </c>
      <c r="D8">
        <v>48</v>
      </c>
      <c r="E8">
        <v>5.33</v>
      </c>
      <c r="F8">
        <v>22</v>
      </c>
      <c r="G8">
        <v>2.44</v>
      </c>
      <c r="H8">
        <v>191</v>
      </c>
      <c r="I8">
        <v>21.22</v>
      </c>
      <c r="J8">
        <v>2</v>
      </c>
      <c r="K8">
        <v>1</v>
      </c>
      <c r="L8">
        <v>0</v>
      </c>
      <c r="M8">
        <v>0</v>
      </c>
      <c r="N8">
        <f t="shared" si="0"/>
        <v>0</v>
      </c>
    </row>
    <row r="9" spans="1:15" x14ac:dyDescent="0.25">
      <c r="A9" t="s">
        <v>309</v>
      </c>
      <c r="B9" t="s">
        <v>317</v>
      </c>
      <c r="C9">
        <v>3</v>
      </c>
      <c r="D9">
        <v>26</v>
      </c>
      <c r="E9">
        <v>8.67</v>
      </c>
      <c r="F9">
        <v>11</v>
      </c>
      <c r="G9">
        <v>3.67</v>
      </c>
      <c r="H9">
        <v>131</v>
      </c>
      <c r="I9">
        <v>43.67</v>
      </c>
      <c r="J9">
        <v>2</v>
      </c>
      <c r="K9">
        <v>1</v>
      </c>
      <c r="L9">
        <v>0</v>
      </c>
      <c r="M9">
        <v>0</v>
      </c>
      <c r="N9">
        <f t="shared" si="0"/>
        <v>0</v>
      </c>
    </row>
    <row r="10" spans="1:15" x14ac:dyDescent="0.25">
      <c r="A10" t="s">
        <v>309</v>
      </c>
      <c r="B10" t="s">
        <v>318</v>
      </c>
      <c r="C10">
        <v>4</v>
      </c>
      <c r="D10">
        <v>27</v>
      </c>
      <c r="E10">
        <v>6.75</v>
      </c>
      <c r="F10">
        <v>9</v>
      </c>
      <c r="G10">
        <v>2.25</v>
      </c>
      <c r="H10">
        <v>144</v>
      </c>
      <c r="I10">
        <v>36</v>
      </c>
      <c r="J10">
        <v>2</v>
      </c>
      <c r="K10">
        <v>1</v>
      </c>
      <c r="L10">
        <v>0</v>
      </c>
      <c r="M10">
        <v>0</v>
      </c>
      <c r="N10">
        <f t="shared" si="0"/>
        <v>0</v>
      </c>
    </row>
    <row r="11" spans="1:15" x14ac:dyDescent="0.25">
      <c r="A11" t="s">
        <v>309</v>
      </c>
      <c r="B11" t="s">
        <v>319</v>
      </c>
      <c r="C11">
        <v>3</v>
      </c>
      <c r="D11">
        <v>41</v>
      </c>
      <c r="E11">
        <v>13.67</v>
      </c>
      <c r="F11">
        <v>10</v>
      </c>
      <c r="G11">
        <v>3.33</v>
      </c>
      <c r="H11">
        <v>149</v>
      </c>
      <c r="I11">
        <v>49.67</v>
      </c>
      <c r="J11">
        <v>2</v>
      </c>
      <c r="K11">
        <v>1</v>
      </c>
      <c r="L11">
        <v>0</v>
      </c>
      <c r="M11">
        <v>0</v>
      </c>
      <c r="N11">
        <f t="shared" si="0"/>
        <v>0</v>
      </c>
    </row>
    <row r="12" spans="1:15" x14ac:dyDescent="0.25">
      <c r="A12" t="s">
        <v>309</v>
      </c>
      <c r="B12" t="s">
        <v>320</v>
      </c>
      <c r="C12">
        <v>3</v>
      </c>
      <c r="D12">
        <v>18</v>
      </c>
      <c r="E12">
        <v>6</v>
      </c>
      <c r="F12">
        <v>8</v>
      </c>
      <c r="G12">
        <v>2.67</v>
      </c>
      <c r="H12">
        <v>76</v>
      </c>
      <c r="I12">
        <v>25.33</v>
      </c>
      <c r="J12">
        <v>2</v>
      </c>
      <c r="K12">
        <v>1</v>
      </c>
      <c r="L12">
        <v>0</v>
      </c>
      <c r="M12">
        <v>0</v>
      </c>
      <c r="N12">
        <f t="shared" si="0"/>
        <v>0</v>
      </c>
    </row>
    <row r="13" spans="1:15" x14ac:dyDescent="0.25">
      <c r="A13" t="s">
        <v>321</v>
      </c>
      <c r="B13" t="s">
        <v>310</v>
      </c>
      <c r="C13">
        <v>5</v>
      </c>
      <c r="D13">
        <v>47</v>
      </c>
      <c r="E13">
        <v>9.4</v>
      </c>
      <c r="F13">
        <v>18</v>
      </c>
      <c r="G13">
        <v>3.6</v>
      </c>
      <c r="H13">
        <v>329</v>
      </c>
      <c r="I13">
        <v>65.8</v>
      </c>
      <c r="J13">
        <v>1</v>
      </c>
      <c r="K13">
        <v>1</v>
      </c>
      <c r="L13">
        <v>1</v>
      </c>
      <c r="M13">
        <v>0</v>
      </c>
      <c r="N13">
        <f t="shared" si="0"/>
        <v>0</v>
      </c>
    </row>
    <row r="14" spans="1:15" x14ac:dyDescent="0.25">
      <c r="A14" t="s">
        <v>321</v>
      </c>
      <c r="B14" t="s">
        <v>311</v>
      </c>
      <c r="C14">
        <v>12</v>
      </c>
      <c r="D14">
        <v>86</v>
      </c>
      <c r="E14">
        <v>7.17</v>
      </c>
      <c r="F14">
        <v>28</v>
      </c>
      <c r="G14">
        <v>2.33</v>
      </c>
      <c r="H14">
        <v>460</v>
      </c>
      <c r="I14">
        <v>38.33</v>
      </c>
      <c r="J14">
        <v>1</v>
      </c>
      <c r="K14">
        <v>1</v>
      </c>
      <c r="L14">
        <v>4</v>
      </c>
      <c r="M14">
        <v>1</v>
      </c>
      <c r="N14">
        <f t="shared" si="0"/>
        <v>8.3333333333333329E-2</v>
      </c>
      <c r="O14" t="s">
        <v>324</v>
      </c>
    </row>
    <row r="15" spans="1:15" x14ac:dyDescent="0.25">
      <c r="A15" t="s">
        <v>321</v>
      </c>
      <c r="B15" t="s">
        <v>312</v>
      </c>
      <c r="C15">
        <v>7</v>
      </c>
      <c r="D15">
        <v>66</v>
      </c>
      <c r="E15">
        <v>9.43</v>
      </c>
      <c r="F15">
        <v>19</v>
      </c>
      <c r="G15">
        <v>2.71</v>
      </c>
      <c r="H15">
        <v>343</v>
      </c>
      <c r="I15">
        <v>49</v>
      </c>
      <c r="J15">
        <v>1</v>
      </c>
      <c r="K15">
        <v>1</v>
      </c>
      <c r="L15">
        <v>2</v>
      </c>
      <c r="M15">
        <v>1</v>
      </c>
      <c r="N15">
        <f t="shared" si="0"/>
        <v>0.14285714285714285</v>
      </c>
      <c r="O15" t="s">
        <v>325</v>
      </c>
    </row>
    <row r="16" spans="1:15" x14ac:dyDescent="0.25">
      <c r="A16" t="s">
        <v>321</v>
      </c>
      <c r="B16" t="s">
        <v>313</v>
      </c>
      <c r="C16">
        <v>20</v>
      </c>
      <c r="D16">
        <v>141</v>
      </c>
      <c r="E16">
        <v>7.05</v>
      </c>
      <c r="F16">
        <v>52</v>
      </c>
      <c r="G16">
        <v>2.6</v>
      </c>
      <c r="H16">
        <v>641</v>
      </c>
      <c r="I16">
        <v>32.049999999999997</v>
      </c>
      <c r="J16">
        <v>1</v>
      </c>
      <c r="K16">
        <v>1</v>
      </c>
      <c r="L16">
        <v>4</v>
      </c>
      <c r="M16">
        <v>1</v>
      </c>
      <c r="N16">
        <f t="shared" si="0"/>
        <v>0.05</v>
      </c>
      <c r="O16" t="s">
        <v>326</v>
      </c>
    </row>
    <row r="17" spans="1:15" x14ac:dyDescent="0.25">
      <c r="A17" t="s">
        <v>321</v>
      </c>
      <c r="B17" t="s">
        <v>314</v>
      </c>
      <c r="C17">
        <v>2</v>
      </c>
      <c r="D17">
        <v>25</v>
      </c>
      <c r="E17">
        <v>12.5</v>
      </c>
      <c r="F17">
        <v>8</v>
      </c>
      <c r="G17">
        <v>4</v>
      </c>
      <c r="H17">
        <v>161</v>
      </c>
      <c r="I17">
        <v>80.5</v>
      </c>
      <c r="J17">
        <v>1</v>
      </c>
      <c r="K17">
        <v>1</v>
      </c>
      <c r="L17">
        <v>1</v>
      </c>
      <c r="M17">
        <v>0</v>
      </c>
      <c r="N17">
        <f t="shared" si="0"/>
        <v>0</v>
      </c>
    </row>
    <row r="18" spans="1:15" x14ac:dyDescent="0.25">
      <c r="A18" t="s">
        <v>321</v>
      </c>
      <c r="B18" t="s">
        <v>315</v>
      </c>
      <c r="C18">
        <v>5</v>
      </c>
      <c r="D18">
        <v>40</v>
      </c>
      <c r="E18">
        <v>8</v>
      </c>
      <c r="F18">
        <v>14</v>
      </c>
      <c r="G18">
        <v>2.8</v>
      </c>
      <c r="H18">
        <v>220</v>
      </c>
      <c r="I18">
        <v>44</v>
      </c>
      <c r="J18">
        <v>1</v>
      </c>
      <c r="K18">
        <v>1</v>
      </c>
      <c r="L18">
        <v>2</v>
      </c>
      <c r="M18">
        <v>0</v>
      </c>
      <c r="N18">
        <f t="shared" si="0"/>
        <v>0</v>
      </c>
    </row>
    <row r="19" spans="1:15" x14ac:dyDescent="0.25">
      <c r="A19" t="s">
        <v>321</v>
      </c>
      <c r="B19" t="s">
        <v>316</v>
      </c>
      <c r="C19">
        <v>11</v>
      </c>
      <c r="D19">
        <v>79</v>
      </c>
      <c r="E19">
        <v>7.18</v>
      </c>
      <c r="F19">
        <v>28</v>
      </c>
      <c r="G19">
        <v>2.5499999999999998</v>
      </c>
      <c r="H19">
        <v>519</v>
      </c>
      <c r="I19">
        <v>47.18</v>
      </c>
      <c r="J19">
        <v>1</v>
      </c>
      <c r="K19">
        <v>1</v>
      </c>
      <c r="L19">
        <v>2</v>
      </c>
      <c r="M19">
        <v>1</v>
      </c>
      <c r="N19">
        <f t="shared" si="0"/>
        <v>9.0909090909090912E-2</v>
      </c>
      <c r="O19" t="s">
        <v>327</v>
      </c>
    </row>
    <row r="20" spans="1:15" x14ac:dyDescent="0.25">
      <c r="A20" t="s">
        <v>321</v>
      </c>
      <c r="B20" t="s">
        <v>317</v>
      </c>
      <c r="C20">
        <v>5</v>
      </c>
      <c r="D20">
        <v>42</v>
      </c>
      <c r="E20">
        <v>8.4</v>
      </c>
      <c r="F20">
        <v>15</v>
      </c>
      <c r="G20">
        <v>3</v>
      </c>
      <c r="H20">
        <v>311</v>
      </c>
      <c r="I20">
        <v>62.2</v>
      </c>
      <c r="J20">
        <v>1</v>
      </c>
      <c r="K20">
        <v>1</v>
      </c>
      <c r="L20">
        <v>1</v>
      </c>
      <c r="M20">
        <v>0</v>
      </c>
      <c r="N20">
        <f t="shared" si="0"/>
        <v>0</v>
      </c>
    </row>
    <row r="21" spans="1:15" x14ac:dyDescent="0.25">
      <c r="A21" t="s">
        <v>321</v>
      </c>
      <c r="B21" t="s">
        <v>318</v>
      </c>
      <c r="C21">
        <v>4</v>
      </c>
      <c r="D21">
        <v>48</v>
      </c>
      <c r="E21">
        <v>12</v>
      </c>
      <c r="F21">
        <v>16</v>
      </c>
      <c r="G21">
        <v>4</v>
      </c>
      <c r="H21">
        <v>332</v>
      </c>
      <c r="I21">
        <v>83</v>
      </c>
      <c r="J21">
        <v>1</v>
      </c>
      <c r="K21">
        <v>1</v>
      </c>
      <c r="L21">
        <v>1</v>
      </c>
      <c r="M21">
        <v>0</v>
      </c>
      <c r="N21">
        <f t="shared" si="0"/>
        <v>0</v>
      </c>
    </row>
    <row r="22" spans="1:15" x14ac:dyDescent="0.25">
      <c r="A22" t="s">
        <v>321</v>
      </c>
      <c r="B22" t="s">
        <v>319</v>
      </c>
      <c r="C22">
        <v>5</v>
      </c>
      <c r="D22">
        <v>66</v>
      </c>
      <c r="E22">
        <v>13.2</v>
      </c>
      <c r="F22">
        <v>15</v>
      </c>
      <c r="G22">
        <v>3</v>
      </c>
      <c r="H22">
        <v>416</v>
      </c>
      <c r="I22">
        <v>83.2</v>
      </c>
      <c r="J22">
        <v>1</v>
      </c>
      <c r="K22">
        <v>1</v>
      </c>
      <c r="L22">
        <v>1</v>
      </c>
      <c r="M22">
        <v>1</v>
      </c>
      <c r="N22">
        <f t="shared" si="0"/>
        <v>0.2</v>
      </c>
      <c r="O22" t="s">
        <v>334</v>
      </c>
    </row>
    <row r="23" spans="1:15" x14ac:dyDescent="0.25">
      <c r="A23" t="s">
        <v>321</v>
      </c>
      <c r="B23" t="s">
        <v>320</v>
      </c>
      <c r="C23">
        <v>4</v>
      </c>
      <c r="D23">
        <v>38</v>
      </c>
      <c r="E23">
        <v>9.5</v>
      </c>
      <c r="F23">
        <v>12</v>
      </c>
      <c r="G23">
        <v>3</v>
      </c>
      <c r="H23">
        <v>268</v>
      </c>
      <c r="I23">
        <v>67</v>
      </c>
      <c r="J23">
        <v>1</v>
      </c>
      <c r="K23">
        <v>1</v>
      </c>
      <c r="L23">
        <v>3</v>
      </c>
      <c r="M23">
        <v>0</v>
      </c>
      <c r="N23">
        <f t="shared" si="0"/>
        <v>0</v>
      </c>
    </row>
    <row r="24" spans="1:15" x14ac:dyDescent="0.25">
      <c r="A24" t="s">
        <v>322</v>
      </c>
      <c r="B24" t="s">
        <v>310</v>
      </c>
      <c r="C24">
        <v>5</v>
      </c>
      <c r="D24">
        <v>55</v>
      </c>
      <c r="E24">
        <v>11</v>
      </c>
      <c r="F24">
        <v>24</v>
      </c>
      <c r="G24">
        <v>4.8</v>
      </c>
      <c r="H24">
        <v>417</v>
      </c>
      <c r="I24">
        <v>83.4</v>
      </c>
      <c r="J24">
        <v>1</v>
      </c>
      <c r="K24">
        <v>1</v>
      </c>
      <c r="L24">
        <v>4</v>
      </c>
      <c r="M24">
        <v>0</v>
      </c>
      <c r="N24">
        <f t="shared" si="0"/>
        <v>0</v>
      </c>
    </row>
    <row r="25" spans="1:15" x14ac:dyDescent="0.25">
      <c r="A25" t="s">
        <v>322</v>
      </c>
      <c r="B25" t="s">
        <v>311</v>
      </c>
      <c r="C25">
        <v>12</v>
      </c>
      <c r="D25">
        <v>114</v>
      </c>
      <c r="E25">
        <v>9.5</v>
      </c>
      <c r="F25">
        <v>27</v>
      </c>
      <c r="G25">
        <v>2.25</v>
      </c>
      <c r="H25">
        <v>582</v>
      </c>
      <c r="I25">
        <v>48.5</v>
      </c>
      <c r="J25">
        <v>1</v>
      </c>
      <c r="K25">
        <v>1</v>
      </c>
      <c r="L25">
        <v>5</v>
      </c>
      <c r="M25">
        <v>1</v>
      </c>
      <c r="N25">
        <f t="shared" si="0"/>
        <v>8.3333333333333329E-2</v>
      </c>
      <c r="O25" t="s">
        <v>328</v>
      </c>
    </row>
    <row r="26" spans="1:15" x14ac:dyDescent="0.25">
      <c r="A26" t="s">
        <v>322</v>
      </c>
      <c r="B26" t="s">
        <v>312</v>
      </c>
      <c r="C26">
        <v>7</v>
      </c>
      <c r="D26">
        <v>60</v>
      </c>
      <c r="E26">
        <v>8.57</v>
      </c>
      <c r="F26">
        <v>21</v>
      </c>
      <c r="G26">
        <v>3</v>
      </c>
      <c r="H26">
        <v>301</v>
      </c>
      <c r="I26">
        <v>43</v>
      </c>
      <c r="J26">
        <v>1</v>
      </c>
      <c r="K26">
        <v>1</v>
      </c>
      <c r="L26">
        <v>2</v>
      </c>
      <c r="M26">
        <v>1</v>
      </c>
      <c r="N26">
        <f t="shared" si="0"/>
        <v>0.14285714285714285</v>
      </c>
      <c r="O26" t="s">
        <v>329</v>
      </c>
    </row>
    <row r="27" spans="1:15" x14ac:dyDescent="0.25">
      <c r="A27" t="s">
        <v>322</v>
      </c>
      <c r="B27" t="s">
        <v>313</v>
      </c>
      <c r="C27">
        <v>20</v>
      </c>
      <c r="D27">
        <v>130</v>
      </c>
      <c r="E27">
        <v>6.5</v>
      </c>
      <c r="F27">
        <v>49</v>
      </c>
      <c r="G27">
        <v>2.4500000000000002</v>
      </c>
      <c r="H27">
        <v>583</v>
      </c>
      <c r="I27">
        <v>29.15</v>
      </c>
      <c r="J27">
        <v>1</v>
      </c>
      <c r="K27">
        <v>1</v>
      </c>
      <c r="L27">
        <v>13</v>
      </c>
      <c r="M27">
        <v>0</v>
      </c>
      <c r="N27">
        <f t="shared" si="0"/>
        <v>0</v>
      </c>
    </row>
    <row r="28" spans="1:15" x14ac:dyDescent="0.25">
      <c r="A28" t="s">
        <v>322</v>
      </c>
      <c r="B28" t="s">
        <v>314</v>
      </c>
      <c r="C28">
        <v>2</v>
      </c>
      <c r="D28">
        <v>28</v>
      </c>
      <c r="E28">
        <v>14</v>
      </c>
      <c r="F28">
        <v>9</v>
      </c>
      <c r="G28">
        <v>4.5</v>
      </c>
      <c r="H28">
        <v>164</v>
      </c>
      <c r="I28">
        <v>82</v>
      </c>
      <c r="J28">
        <v>1</v>
      </c>
      <c r="K28">
        <v>1</v>
      </c>
      <c r="L28">
        <v>0</v>
      </c>
      <c r="M28">
        <v>1</v>
      </c>
      <c r="N28">
        <f t="shared" si="0"/>
        <v>0.5</v>
      </c>
      <c r="O28" t="s">
        <v>330</v>
      </c>
    </row>
    <row r="29" spans="1:15" x14ac:dyDescent="0.25">
      <c r="A29" t="s">
        <v>322</v>
      </c>
      <c r="B29" t="s">
        <v>315</v>
      </c>
      <c r="C29">
        <v>5</v>
      </c>
      <c r="D29">
        <v>42</v>
      </c>
      <c r="E29">
        <v>8.4</v>
      </c>
      <c r="F29">
        <v>17</v>
      </c>
      <c r="G29">
        <v>3.4</v>
      </c>
      <c r="H29">
        <v>246</v>
      </c>
      <c r="I29">
        <v>49.2</v>
      </c>
      <c r="J29">
        <v>1</v>
      </c>
      <c r="K29">
        <v>1</v>
      </c>
      <c r="L29">
        <v>2</v>
      </c>
      <c r="M29">
        <v>1</v>
      </c>
      <c r="N29">
        <f t="shared" si="0"/>
        <v>0.2</v>
      </c>
      <c r="O29" t="s">
        <v>331</v>
      </c>
    </row>
    <row r="30" spans="1:15" x14ac:dyDescent="0.25">
      <c r="A30" t="s">
        <v>322</v>
      </c>
      <c r="B30" t="s">
        <v>316</v>
      </c>
      <c r="C30">
        <v>11</v>
      </c>
      <c r="D30">
        <v>87</v>
      </c>
      <c r="E30">
        <v>7.91</v>
      </c>
      <c r="F30">
        <v>27</v>
      </c>
      <c r="G30">
        <v>2.4500000000000002</v>
      </c>
      <c r="H30">
        <v>567</v>
      </c>
      <c r="I30">
        <v>51.55</v>
      </c>
      <c r="J30">
        <v>1</v>
      </c>
      <c r="K30">
        <v>1</v>
      </c>
      <c r="L30">
        <v>1</v>
      </c>
      <c r="M30">
        <v>8</v>
      </c>
      <c r="N30">
        <f t="shared" si="0"/>
        <v>0.72727272727272729</v>
      </c>
      <c r="O30" t="s">
        <v>332</v>
      </c>
    </row>
    <row r="31" spans="1:15" x14ac:dyDescent="0.25">
      <c r="A31" t="s">
        <v>322</v>
      </c>
      <c r="B31" t="s">
        <v>317</v>
      </c>
      <c r="C31">
        <v>5</v>
      </c>
      <c r="D31">
        <v>45</v>
      </c>
      <c r="E31">
        <v>9</v>
      </c>
      <c r="F31">
        <v>17</v>
      </c>
      <c r="G31">
        <v>3.4</v>
      </c>
      <c r="H31">
        <v>360</v>
      </c>
      <c r="I31">
        <v>72</v>
      </c>
      <c r="J31">
        <v>1</v>
      </c>
      <c r="K31">
        <v>1</v>
      </c>
      <c r="L31">
        <v>2</v>
      </c>
      <c r="M31">
        <v>1</v>
      </c>
      <c r="N31">
        <f t="shared" si="0"/>
        <v>0.2</v>
      </c>
      <c r="O31" t="s">
        <v>333</v>
      </c>
    </row>
    <row r="32" spans="1:15" x14ac:dyDescent="0.25">
      <c r="A32" t="s">
        <v>322</v>
      </c>
      <c r="B32" t="s">
        <v>318</v>
      </c>
      <c r="C32">
        <v>4</v>
      </c>
      <c r="D32">
        <v>51</v>
      </c>
      <c r="E32">
        <v>12.75</v>
      </c>
      <c r="F32">
        <v>12</v>
      </c>
      <c r="G32">
        <v>3</v>
      </c>
      <c r="H32">
        <v>293</v>
      </c>
      <c r="I32">
        <v>73.25</v>
      </c>
      <c r="J32">
        <v>1</v>
      </c>
      <c r="K32">
        <v>1</v>
      </c>
      <c r="L32">
        <v>6</v>
      </c>
      <c r="M32">
        <v>0</v>
      </c>
      <c r="N32">
        <f t="shared" si="0"/>
        <v>0</v>
      </c>
    </row>
    <row r="33" spans="1:15" x14ac:dyDescent="0.25">
      <c r="A33" t="s">
        <v>322</v>
      </c>
      <c r="B33" t="s">
        <v>319</v>
      </c>
      <c r="C33">
        <v>5</v>
      </c>
      <c r="D33">
        <v>54</v>
      </c>
      <c r="E33">
        <v>10.8</v>
      </c>
      <c r="F33">
        <v>17</v>
      </c>
      <c r="G33">
        <v>3.4</v>
      </c>
      <c r="H33">
        <v>324</v>
      </c>
      <c r="I33">
        <v>64.8</v>
      </c>
      <c r="J33">
        <v>1</v>
      </c>
      <c r="K33">
        <v>1</v>
      </c>
      <c r="L33">
        <v>6</v>
      </c>
      <c r="M33">
        <v>0</v>
      </c>
      <c r="N33">
        <f t="shared" si="0"/>
        <v>0</v>
      </c>
    </row>
    <row r="34" spans="1:15" x14ac:dyDescent="0.25">
      <c r="A34" t="s">
        <v>322</v>
      </c>
      <c r="B34" t="s">
        <v>320</v>
      </c>
      <c r="C34">
        <v>4</v>
      </c>
      <c r="D34">
        <v>51</v>
      </c>
      <c r="E34">
        <v>12.75</v>
      </c>
      <c r="F34">
        <v>15</v>
      </c>
      <c r="G34">
        <v>3.75</v>
      </c>
      <c r="H34">
        <v>348</v>
      </c>
      <c r="I34">
        <v>87</v>
      </c>
      <c r="J34">
        <v>1</v>
      </c>
      <c r="K34">
        <v>1</v>
      </c>
      <c r="L34">
        <v>5</v>
      </c>
      <c r="M34">
        <v>2</v>
      </c>
      <c r="N34">
        <f t="shared" si="0"/>
        <v>0.5</v>
      </c>
      <c r="O34" t="s">
        <v>335</v>
      </c>
    </row>
    <row r="36" spans="1:15" x14ac:dyDescent="0.25">
      <c r="B36" t="s">
        <v>341</v>
      </c>
      <c r="C36">
        <f>SUM(C2:C12)</f>
        <v>59</v>
      </c>
      <c r="D36">
        <f>SUM(D2:D12)</f>
        <v>458</v>
      </c>
      <c r="F36">
        <f>SUM(F2:F12)</f>
        <v>147</v>
      </c>
      <c r="H36">
        <f>SUM(H2:H12)</f>
        <v>1835</v>
      </c>
    </row>
    <row r="37" spans="1:15" x14ac:dyDescent="0.25">
      <c r="B37" t="s">
        <v>342</v>
      </c>
      <c r="C37">
        <f>SUM(C13:C23)</f>
        <v>80</v>
      </c>
      <c r="D37">
        <f>SUM(D13:D23)</f>
        <v>678</v>
      </c>
      <c r="F37">
        <f>SUM(F13:F23)</f>
        <v>225</v>
      </c>
      <c r="H37">
        <f>SUM(H13:H23)</f>
        <v>4000</v>
      </c>
    </row>
    <row r="38" spans="1:15" x14ac:dyDescent="0.25">
      <c r="B38" t="s">
        <v>343</v>
      </c>
      <c r="C38">
        <f>SUM(C24:C34)</f>
        <v>80</v>
      </c>
      <c r="D38">
        <f>SUM(D24:D34)</f>
        <v>717</v>
      </c>
      <c r="F38">
        <f>SUM(F24:F34)</f>
        <v>235</v>
      </c>
      <c r="H38">
        <f>SUM(H24:H34)</f>
        <v>4185</v>
      </c>
      <c r="M38" t="s">
        <v>336</v>
      </c>
      <c r="O38" s="11">
        <f>SUM(M13:M23)</f>
        <v>5</v>
      </c>
    </row>
    <row r="39" spans="1:15" x14ac:dyDescent="0.25">
      <c r="M39" t="s">
        <v>338</v>
      </c>
      <c r="O39" s="11">
        <f>O38/SUM(C13:C23)</f>
        <v>6.25E-2</v>
      </c>
    </row>
    <row r="40" spans="1:15" x14ac:dyDescent="0.25">
      <c r="M40" t="s">
        <v>337</v>
      </c>
      <c r="O40" s="11">
        <f>SUM(M24:M34)</f>
        <v>15</v>
      </c>
    </row>
    <row r="41" spans="1:15" x14ac:dyDescent="0.25">
      <c r="M41" t="s">
        <v>338</v>
      </c>
      <c r="O41" s="11">
        <f>O40/SUM(C24:C34)</f>
        <v>0.1875</v>
      </c>
    </row>
    <row r="42" spans="1:15" x14ac:dyDescent="0.25">
      <c r="M42" t="s">
        <v>340</v>
      </c>
      <c r="O42" s="11">
        <f>SUM(M2:M12)</f>
        <v>2</v>
      </c>
    </row>
    <row r="43" spans="1:15" x14ac:dyDescent="0.25">
      <c r="M43" t="s">
        <v>338</v>
      </c>
      <c r="O43" s="11">
        <f>O42/SUM(C2:C12)</f>
        <v>3.3898305084745763E-2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40E2-7FF0-472B-B153-39EB5E20B503}">
  <dimension ref="A1:E5"/>
  <sheetViews>
    <sheetView workbookViewId="0">
      <selection activeCell="L31" sqref="L31"/>
    </sheetView>
  </sheetViews>
  <sheetFormatPr baseColWidth="10" defaultColWidth="11.42578125" defaultRowHeight="15" x14ac:dyDescent="0.25"/>
  <cols>
    <col min="5" max="5" width="19.7109375" customWidth="1"/>
  </cols>
  <sheetData>
    <row r="1" spans="1:5" x14ac:dyDescent="0.25">
      <c r="A1" t="s">
        <v>11</v>
      </c>
      <c r="C1" t="s">
        <v>1</v>
      </c>
      <c r="E1" t="s">
        <v>29</v>
      </c>
    </row>
    <row r="2" spans="1:5" x14ac:dyDescent="0.25">
      <c r="A2" t="s">
        <v>21</v>
      </c>
      <c r="C2" t="s">
        <v>4</v>
      </c>
      <c r="E2" t="s">
        <v>9</v>
      </c>
    </row>
    <row r="3" spans="1:5" x14ac:dyDescent="0.25">
      <c r="E3" t="s">
        <v>13</v>
      </c>
    </row>
    <row r="4" spans="1:5" x14ac:dyDescent="0.25">
      <c r="E4" t="s">
        <v>23</v>
      </c>
    </row>
    <row r="5" spans="1:5" x14ac:dyDescent="0.25">
      <c r="E5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InstructionPlayRound</vt:lpstr>
      <vt:lpstr>GuestLoginStrategy</vt:lpstr>
      <vt:lpstr>Language</vt:lpstr>
      <vt:lpstr>Login</vt:lpstr>
      <vt:lpstr>LoginStrategy</vt:lpstr>
      <vt:lpstr>Question</vt:lpstr>
      <vt:lpstr>RegistrierterNutzer</vt:lpstr>
      <vt:lpstr>RegularLoginStrategy</vt:lpstr>
      <vt:lpstr>RussianFactory</vt:lpstr>
      <vt:lpstr>TranslationQuestion</vt:lpstr>
      <vt:lpstr>Utilities</vt:lpstr>
      <vt:lpstr>Statistiken Analyse</vt:lpstr>
      <vt:lpstr>Rohdaten Analyse</vt:lpstr>
      <vt:lpstr>Statistiken Generierung</vt:lpstr>
      <vt:lpstr>Einstellungsdaten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Jhannes Reimann</dc:creator>
  <cp:keywords/>
  <dc:description/>
  <cp:lastModifiedBy>Jhannes Reimann</cp:lastModifiedBy>
  <cp:revision/>
  <dcterms:created xsi:type="dcterms:W3CDTF">2025-06-21T23:13:53Z</dcterms:created>
  <dcterms:modified xsi:type="dcterms:W3CDTF">2025-06-27T11:34:48Z</dcterms:modified>
  <cp:category/>
  <cp:contentStatus/>
</cp:coreProperties>
</file>