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3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drawings/drawing4.xml" ContentType="application/vnd.openxmlformats-officedocument.drawing+xml"/>
  <Override PartName="/xl/tables/table1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codeName="ThisWorkbook"/>
  <xr:revisionPtr revIDLastSave="0" documentId="13_ncr:1_{C7E3FCE2-CF66-4648-8440-5D94F04642AE}" xr6:coauthVersionLast="47" xr6:coauthVersionMax="47" xr10:uidLastSave="{00000000-0000-0000-0000-000000000000}"/>
  <bookViews>
    <workbookView xWindow="-120" yWindow="-120" windowWidth="25440" windowHeight="15390" tabRatio="756" activeTab="1" xr2:uid="{00000000-000D-0000-FFFF-FFFF00000000}"/>
  </bookViews>
  <sheets>
    <sheet name="INÍCIO" sheetId="6" r:id="rId1"/>
    <sheet name="DESPESAS PLANEJADAS" sheetId="2" r:id="rId2"/>
    <sheet name="DESPESAS REAIS" sheetId="3" r:id="rId3"/>
    <sheet name="VARIAÇÕES DE DESPESAS" sheetId="4" r:id="rId4"/>
    <sheet name="ANÁLISE DE DESPESAS" sheetId="5" r:id="rId5"/>
  </sheets>
  <definedNames>
    <definedName name="título_da_planilha">'DESPESAS PLANEJADAS'!$K$2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5" l="1"/>
  <c r="C8" i="2"/>
  <c r="O6" i="2"/>
  <c r="G7" i="2"/>
  <c r="G8" i="2" s="1"/>
  <c r="G19" i="2"/>
  <c r="G28" i="2"/>
  <c r="G33" i="2"/>
  <c r="C7" i="2"/>
  <c r="C6" i="4"/>
  <c r="D18" i="4"/>
  <c r="E18" i="4"/>
  <c r="F18" i="4"/>
  <c r="G18" i="4"/>
  <c r="D17" i="4"/>
  <c r="E17" i="4"/>
  <c r="F17" i="4"/>
  <c r="G17" i="4"/>
  <c r="D16" i="4"/>
  <c r="E16" i="4"/>
  <c r="F16" i="4"/>
  <c r="G16" i="4"/>
  <c r="D15" i="4"/>
  <c r="E15" i="4"/>
  <c r="F15" i="4"/>
  <c r="G15" i="4"/>
  <c r="D14" i="4"/>
  <c r="E14" i="4"/>
  <c r="F14" i="4"/>
  <c r="G14" i="4"/>
  <c r="D13" i="4"/>
  <c r="E13" i="4"/>
  <c r="F13" i="4"/>
  <c r="G13" i="4"/>
  <c r="D12" i="4"/>
  <c r="E12" i="4"/>
  <c r="F12" i="4"/>
  <c r="G12" i="4"/>
  <c r="D11" i="4"/>
  <c r="E11" i="4"/>
  <c r="F11" i="4"/>
  <c r="G11" i="4"/>
  <c r="C12" i="4"/>
  <c r="C13" i="4"/>
  <c r="C14" i="4"/>
  <c r="C15" i="4"/>
  <c r="C16" i="4"/>
  <c r="C17" i="4"/>
  <c r="C18" i="4"/>
  <c r="C11" i="4"/>
  <c r="G36" i="2" l="1"/>
  <c r="B2" i="3"/>
  <c r="B2" i="5" l="1"/>
  <c r="B2" i="4"/>
  <c r="C32" i="4" l="1"/>
  <c r="D32" i="4"/>
  <c r="E32" i="4"/>
  <c r="F32" i="4"/>
  <c r="G32" i="4"/>
  <c r="D31" i="4"/>
  <c r="E31" i="4"/>
  <c r="F31" i="4"/>
  <c r="G31" i="4"/>
  <c r="C31" i="4"/>
  <c r="C23" i="4"/>
  <c r="D23" i="4"/>
  <c r="E23" i="4"/>
  <c r="F23" i="4"/>
  <c r="G23" i="4"/>
  <c r="C24" i="4"/>
  <c r="D24" i="4"/>
  <c r="E24" i="4"/>
  <c r="F24" i="4"/>
  <c r="G24" i="4"/>
  <c r="C25" i="4"/>
  <c r="D25" i="4"/>
  <c r="E25" i="4"/>
  <c r="F25" i="4"/>
  <c r="G25" i="4"/>
  <c r="C26" i="4"/>
  <c r="D26" i="4"/>
  <c r="E26" i="4"/>
  <c r="F26" i="4"/>
  <c r="G26" i="4"/>
  <c r="C27" i="4"/>
  <c r="D27" i="4"/>
  <c r="E27" i="4"/>
  <c r="F27" i="4"/>
  <c r="G27" i="4"/>
  <c r="D22" i="4"/>
  <c r="E22" i="4"/>
  <c r="F22" i="4"/>
  <c r="G22" i="4"/>
  <c r="C22" i="4"/>
  <c r="D6" i="4"/>
  <c r="E6" i="4"/>
  <c r="F6" i="4"/>
  <c r="G6" i="4"/>
  <c r="D19" i="3"/>
  <c r="E19" i="3"/>
  <c r="F19" i="3"/>
  <c r="G19" i="3"/>
  <c r="D28" i="3"/>
  <c r="E28" i="3"/>
  <c r="F28" i="3"/>
  <c r="G28" i="3"/>
  <c r="D33" i="3"/>
  <c r="E33" i="3"/>
  <c r="F33" i="3"/>
  <c r="G33" i="3"/>
  <c r="C33" i="3"/>
  <c r="C28" i="3"/>
  <c r="C19" i="3"/>
  <c r="D33" i="2"/>
  <c r="E33" i="2"/>
  <c r="F33" i="2"/>
  <c r="C33" i="2"/>
  <c r="D28" i="2"/>
  <c r="E28" i="2"/>
  <c r="F28" i="2"/>
  <c r="C28" i="2"/>
  <c r="D19" i="2"/>
  <c r="E19" i="2"/>
  <c r="F19" i="2"/>
  <c r="C19" i="2"/>
  <c r="O22" i="4" l="1"/>
  <c r="O24" i="4"/>
  <c r="O6" i="4"/>
  <c r="O23" i="4"/>
  <c r="O32" i="4"/>
  <c r="O27" i="4"/>
  <c r="O26" i="4"/>
  <c r="O25" i="4"/>
  <c r="O31" i="4"/>
  <c r="B10" i="5"/>
  <c r="B9" i="5"/>
  <c r="B8" i="5"/>
  <c r="B7" i="5"/>
  <c r="G33" i="4"/>
  <c r="F33" i="4"/>
  <c r="E33" i="4"/>
  <c r="D33" i="4"/>
  <c r="C33" i="4"/>
  <c r="G28" i="4"/>
  <c r="F28" i="4"/>
  <c r="E28" i="4"/>
  <c r="D28" i="4"/>
  <c r="C28" i="4"/>
  <c r="O32" i="3"/>
  <c r="O31" i="3"/>
  <c r="O27" i="3"/>
  <c r="O26" i="3"/>
  <c r="O25" i="3"/>
  <c r="O24" i="3"/>
  <c r="O23" i="3"/>
  <c r="O22" i="3"/>
  <c r="O18" i="3"/>
  <c r="O17" i="3"/>
  <c r="O16" i="3"/>
  <c r="O15" i="3"/>
  <c r="O14" i="3"/>
  <c r="O13" i="3"/>
  <c r="O12" i="3"/>
  <c r="O11" i="3"/>
  <c r="G7" i="3" l="1"/>
  <c r="G8" i="3" s="1"/>
  <c r="G36" i="3" s="1"/>
  <c r="F7" i="3"/>
  <c r="F8" i="3" s="1"/>
  <c r="F36" i="3" s="1"/>
  <c r="E7" i="3"/>
  <c r="E8" i="3" s="1"/>
  <c r="E36" i="3" s="1"/>
  <c r="D7" i="3"/>
  <c r="D8" i="3" s="1"/>
  <c r="D36" i="3" s="1"/>
  <c r="C7" i="3"/>
  <c r="C8" i="3" s="1"/>
  <c r="C36" i="3" s="1"/>
  <c r="O6" i="3"/>
  <c r="O32" i="2"/>
  <c r="O31" i="2"/>
  <c r="O33" i="2" s="1"/>
  <c r="O27" i="2"/>
  <c r="O26" i="2"/>
  <c r="O25" i="2"/>
  <c r="O24" i="2"/>
  <c r="O23" i="2"/>
  <c r="O22" i="2"/>
  <c r="O18" i="2"/>
  <c r="O17" i="2"/>
  <c r="O16" i="2"/>
  <c r="O15" i="2"/>
  <c r="O14" i="2"/>
  <c r="O13" i="2"/>
  <c r="O12" i="2"/>
  <c r="O11" i="2"/>
  <c r="F7" i="2" l="1"/>
  <c r="F8" i="2" s="1"/>
  <c r="E7" i="2"/>
  <c r="E8" i="2" s="1"/>
  <c r="D7" i="2"/>
  <c r="D8" i="2" l="1"/>
  <c r="O7" i="2"/>
  <c r="O8" i="2" s="1"/>
  <c r="G7" i="4"/>
  <c r="G8" i="4" s="1"/>
  <c r="D36" i="2" l="1"/>
  <c r="D7" i="4"/>
  <c r="D8" i="4" s="1"/>
  <c r="E7" i="4" l="1"/>
  <c r="E8" i="4" s="1"/>
  <c r="E36" i="2" l="1"/>
  <c r="F7" i="4" l="1"/>
  <c r="F8" i="4" s="1"/>
  <c r="F36" i="2" l="1"/>
  <c r="C7" i="4" l="1"/>
  <c r="C8" i="4" s="1"/>
  <c r="C36" i="2" l="1"/>
  <c r="G37" i="2" s="1"/>
  <c r="O33" i="3" l="1"/>
  <c r="O28" i="3"/>
  <c r="D8" i="5" s="1"/>
  <c r="O19" i="3" l="1"/>
  <c r="D7" i="5" s="1"/>
  <c r="C9" i="5"/>
  <c r="O28" i="2"/>
  <c r="C8" i="5" l="1"/>
  <c r="O19" i="2"/>
  <c r="C7" i="5" s="1"/>
  <c r="O7" i="3"/>
  <c r="O8" i="3" s="1"/>
  <c r="D6" i="5" s="1"/>
  <c r="O33" i="4"/>
  <c r="C6" i="5"/>
  <c r="O36" i="3" l="1"/>
  <c r="D10" i="5" s="1"/>
  <c r="O36" i="2"/>
  <c r="C10" i="5" s="1"/>
  <c r="E37" i="2"/>
  <c r="D37" i="2"/>
  <c r="O7" i="4"/>
  <c r="O8" i="4" s="1"/>
  <c r="C37" i="2"/>
  <c r="F37" i="2"/>
  <c r="E8" i="5"/>
  <c r="F8" i="5" s="1"/>
  <c r="O28" i="4"/>
  <c r="D9" i="5"/>
  <c r="E9" i="5" s="1"/>
  <c r="F9" i="5" s="1"/>
  <c r="G37" i="3"/>
  <c r="F37" i="3"/>
  <c r="C37" i="3"/>
  <c r="D37" i="3"/>
  <c r="E37" i="3"/>
  <c r="E7" i="5"/>
  <c r="F7" i="5" s="1"/>
  <c r="E6" i="5"/>
  <c r="F6" i="5" s="1"/>
  <c r="E10" i="5" l="1"/>
  <c r="F10" i="5" s="1"/>
  <c r="O12" i="4"/>
  <c r="O14" i="4"/>
  <c r="O15" i="4"/>
  <c r="O16" i="4"/>
  <c r="O17" i="4"/>
  <c r="O18" i="4"/>
  <c r="O13" i="4"/>
  <c r="C19" i="4"/>
  <c r="C36" i="4" s="1"/>
  <c r="C37" i="4" l="1"/>
  <c r="G19" i="4"/>
  <c r="G36" i="4" s="1"/>
  <c r="E19" i="4"/>
  <c r="E36" i="4" s="1"/>
  <c r="F19" i="4"/>
  <c r="F36" i="4" s="1"/>
  <c r="D19" i="4"/>
  <c r="D36" i="4" s="1"/>
  <c r="D37" i="4" l="1"/>
  <c r="E37" i="4"/>
  <c r="F37" i="4"/>
  <c r="G37" i="4"/>
  <c r="O11" i="4"/>
  <c r="O19" i="4" s="1"/>
  <c r="O36" i="4" s="1"/>
</calcChain>
</file>

<file path=xl/sharedStrings.xml><?xml version="1.0" encoding="utf-8"?>
<sst xmlns="http://schemas.openxmlformats.org/spreadsheetml/2006/main" count="323" uniqueCount="67">
  <si>
    <t>SOBRE ESTE MODELO</t>
  </si>
  <si>
    <t>Use esta pasta de trabalho de Orçamento de despesas comerciais para acompanhar as despesas planejadas e reais e as variações.</t>
  </si>
  <si>
    <t>Preencha com o Nome da empresa e adicione o logotipo.</t>
  </si>
  <si>
    <t>Insira as informações nas tabelas das planilhas Despesas planejadas e Despesas reais.</t>
  </si>
  <si>
    <t>As tabelas são atualizadas automaticamente na planilha Variação de despesas e os gráficos na planilha Análise de despesas</t>
  </si>
  <si>
    <t>Observação: </t>
  </si>
  <si>
    <t>há instruções adicionais na coluna A de cada planilha. Este texto está oculto de propósito. Para removê-lo, selecione a coluna A e selecione Excluir. Para reexibir o texto, selecione a coluna A e altere a cor da fonte.</t>
  </si>
  <si>
    <t>Para saber mais sobre tabelas, pressione SHIFT e, em seguida, F10 dentro de uma tabela, selecione a opção TABELA e, em seguida, selecione TEXTO ALTERNATIVO</t>
  </si>
  <si>
    <t>DESPESAS PLANEJADAS</t>
  </si>
  <si>
    <t>Custos com funcionários</t>
  </si>
  <si>
    <t>Salários</t>
  </si>
  <si>
    <t>Benefícios</t>
  </si>
  <si>
    <t>Subtotal</t>
  </si>
  <si>
    <t>Custos do escritório</t>
  </si>
  <si>
    <t>Aluguel do escritório</t>
  </si>
  <si>
    <t>Eletricidade</t>
  </si>
  <si>
    <t>Água</t>
  </si>
  <si>
    <t>Telefone</t>
  </si>
  <si>
    <t>Acesso à Internet</t>
  </si>
  <si>
    <t>Material de escritório</t>
  </si>
  <si>
    <t>Custos de marketing</t>
  </si>
  <si>
    <t>Hospedagem de site</t>
  </si>
  <si>
    <t>Atualizações do site</t>
  </si>
  <si>
    <t>Preparação de materiais de referência</t>
  </si>
  <si>
    <t>Impressão de materiais de referência</t>
  </si>
  <si>
    <t>Eventos de marketing</t>
  </si>
  <si>
    <t>Despesas diversas</t>
  </si>
  <si>
    <t>Viagem/Treinamento</t>
  </si>
  <si>
    <t>Sessões de treinamento</t>
  </si>
  <si>
    <t>Custos com viagens para treinamento</t>
  </si>
  <si>
    <t>TOTAIS</t>
  </si>
  <si>
    <t>Despesas mensais planejadas</t>
  </si>
  <si>
    <t>TOTAL Despesas planejadas</t>
  </si>
  <si>
    <t>Jan</t>
  </si>
  <si>
    <t>Fev</t>
  </si>
  <si>
    <t>Mar</t>
  </si>
  <si>
    <t>Abr</t>
  </si>
  <si>
    <t>Maio</t>
  </si>
  <si>
    <t>Mai</t>
  </si>
  <si>
    <t>ANO</t>
  </si>
  <si>
    <t>Ano</t>
  </si>
  <si>
    <t xml:space="preserve"> </t>
  </si>
  <si>
    <t>DESPESAS REAIS</t>
  </si>
  <si>
    <t>Despesas mensais reais</t>
  </si>
  <si>
    <t>TOTAL Despesas reais</t>
  </si>
  <si>
    <t>VARIAÇÕES DE DESPESAS</t>
  </si>
  <si>
    <t>Categoria de Despesas</t>
  </si>
  <si>
    <t>Custos com Funcionários</t>
  </si>
  <si>
    <t>Despesas Planejadas</t>
  </si>
  <si>
    <t>Despesas reais</t>
  </si>
  <si>
    <t>Variações de Despesas</t>
  </si>
  <si>
    <t>Porcentagem da Variação</t>
  </si>
  <si>
    <t>AGOSTO</t>
  </si>
  <si>
    <t>JULHO</t>
  </si>
  <si>
    <t>JUNHO</t>
  </si>
  <si>
    <t>DEZEMBRO</t>
  </si>
  <si>
    <t>JANEIRO</t>
  </si>
  <si>
    <t>Licença de Software</t>
  </si>
  <si>
    <t>Equipamento de Informática</t>
  </si>
  <si>
    <t>Column1</t>
  </si>
  <si>
    <t>Column2</t>
  </si>
  <si>
    <t>Column3</t>
  </si>
  <si>
    <t>Column4</t>
  </si>
  <si>
    <t>Column5</t>
  </si>
  <si>
    <t>Column6</t>
  </si>
  <si>
    <t>Column7</t>
  </si>
  <si>
    <t>Projeto SCOA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</si>
</sst>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8" formatCode="&quot;$&quot;#,##0.00_);[Red]\(&quot;$&quot;#,##0.00\)"/>
    <numFmt numFmtId="164" formatCode="&quot;R$&quot;\ #,##0.00;[Red]\-&quot;R$&quot;\ #,##0.00"/>
    <numFmt numFmtId="165" formatCode="#,##0_ ;\-#,##0\ "/>
  </numFmts>
  <fonts count="46" x14ac:knownFonts="1">
    <font>
      <sz val="9"/>
      <color theme="1" tint="0.24994659260841701"/>
      <name val="Microsoft Sans Serif"/>
      <family val="2"/>
      <scheme val="minor"/>
    </font>
    <font>
      <sz val="14"/>
      <color theme="1"/>
      <name val="Microsoft Sans Serif"/>
      <family val="2"/>
      <scheme val="minor"/>
    </font>
    <font>
      <b/>
      <sz val="14"/>
      <color theme="1"/>
      <name val="Microsoft Sans Serif"/>
      <family val="2"/>
      <scheme val="minor"/>
    </font>
    <font>
      <sz val="10"/>
      <color theme="1"/>
      <name val="Microsoft Sans Serif"/>
      <family val="2"/>
      <scheme val="minor"/>
    </font>
    <font>
      <b/>
      <u/>
      <sz val="10"/>
      <color theme="1"/>
      <name val="Microsoft Sans Serif"/>
      <family val="2"/>
      <scheme val="minor"/>
    </font>
    <font>
      <b/>
      <sz val="10"/>
      <color theme="1"/>
      <name val="Microsoft Sans Serif"/>
      <family val="2"/>
      <scheme val="minor"/>
    </font>
    <font>
      <b/>
      <i/>
      <sz val="10"/>
      <color theme="1"/>
      <name val="Microsoft Sans Serif"/>
      <family val="2"/>
      <scheme val="minor"/>
    </font>
    <font>
      <b/>
      <sz val="22"/>
      <color theme="1" tint="0.24994659260841701"/>
      <name val="Franklin Gothic Book"/>
      <family val="2"/>
      <scheme val="major"/>
    </font>
    <font>
      <sz val="11"/>
      <color theme="1" tint="0.24994659260841701"/>
      <name val="Franklin Gothic Book"/>
      <family val="2"/>
      <scheme val="major"/>
    </font>
    <font>
      <b/>
      <sz val="10"/>
      <color theme="2"/>
      <name val="Franklin Gothic Book"/>
      <family val="2"/>
      <scheme val="major"/>
    </font>
    <font>
      <b/>
      <sz val="14"/>
      <color theme="0"/>
      <name val="Franklin Gothic Book"/>
      <family val="2"/>
      <scheme val="major"/>
    </font>
    <font>
      <i/>
      <sz val="11"/>
      <color theme="3" tint="0.79998168889431442"/>
      <name val="Microsoft Sans Serif"/>
      <family val="2"/>
      <scheme val="minor"/>
    </font>
    <font>
      <b/>
      <sz val="36"/>
      <color theme="0"/>
      <name val="Franklin Gothic Book"/>
      <family val="2"/>
      <scheme val="major"/>
    </font>
    <font>
      <sz val="9"/>
      <color theme="1"/>
      <name val="Microsoft Sans Serif"/>
      <family val="2"/>
      <scheme val="minor"/>
    </font>
    <font>
      <b/>
      <sz val="9"/>
      <color theme="1"/>
      <name val="Microsoft Sans Serif"/>
      <family val="2"/>
      <scheme val="minor"/>
    </font>
    <font>
      <b/>
      <sz val="10"/>
      <color theme="0"/>
      <name val="Microsoft Sans Serif"/>
      <family val="2"/>
      <scheme val="minor"/>
    </font>
    <font>
      <b/>
      <sz val="16"/>
      <color theme="0"/>
      <name val="Franklin Gothic Book"/>
      <family val="2"/>
      <scheme val="major"/>
    </font>
    <font>
      <sz val="10"/>
      <color theme="1" tint="0.24994659260841701"/>
      <name val="Microsoft Sans Serif"/>
      <family val="2"/>
      <scheme val="minor"/>
    </font>
    <font>
      <b/>
      <sz val="10"/>
      <color theme="1" tint="0.24994659260841701"/>
      <name val="Microsoft Sans Serif"/>
      <family val="2"/>
      <scheme val="minor"/>
    </font>
    <font>
      <sz val="9"/>
      <color theme="6" tint="0.39997558519241921"/>
      <name val="Microsoft Sans Serif"/>
      <family val="2"/>
      <scheme val="minor"/>
    </font>
    <font>
      <b/>
      <sz val="14"/>
      <color theme="2"/>
      <name val="Franklin Gothic Book"/>
      <family val="2"/>
      <scheme val="major"/>
    </font>
    <font>
      <sz val="14"/>
      <color theme="3"/>
      <name val="Microsoft Sans Serif"/>
      <family val="2"/>
      <scheme val="minor"/>
    </font>
    <font>
      <b/>
      <sz val="13"/>
      <color theme="3"/>
      <name val="Franklin Gothic Book"/>
      <family val="2"/>
      <scheme val="major"/>
    </font>
    <font>
      <b/>
      <sz val="14"/>
      <color theme="0"/>
      <name val="Microsoft Sans Serif"/>
      <family val="2"/>
      <scheme val="minor"/>
    </font>
    <font>
      <sz val="9"/>
      <name val="Microsoft Sans Serif"/>
      <family val="2"/>
      <scheme val="minor"/>
    </font>
    <font>
      <b/>
      <sz val="9"/>
      <name val="Microsoft Sans Serif"/>
      <family val="2"/>
      <scheme val="minor"/>
    </font>
    <font>
      <b/>
      <sz val="10"/>
      <name val="Microsoft Sans Serif"/>
      <family val="2"/>
      <scheme val="minor"/>
    </font>
    <font>
      <b/>
      <sz val="10"/>
      <color theme="3" tint="-0.499984740745262"/>
      <name val="Franklin Gothic Book"/>
      <family val="2"/>
      <scheme val="major"/>
    </font>
    <font>
      <b/>
      <sz val="14"/>
      <color theme="3"/>
      <name val="Microsoft Sans Serif"/>
      <family val="2"/>
      <scheme val="minor"/>
    </font>
    <font>
      <b/>
      <sz val="14"/>
      <color theme="3" tint="-0.499984740745262"/>
      <name val="Franklin Gothic Book"/>
      <family val="2"/>
      <scheme val="major"/>
    </font>
    <font>
      <sz val="10"/>
      <color theme="5" tint="0.79998168889431442"/>
      <name val="Microsoft Sans Serif"/>
      <family val="2"/>
      <scheme val="minor"/>
    </font>
    <font>
      <b/>
      <sz val="16"/>
      <color theme="0"/>
      <name val="Arial"/>
      <family val="2"/>
    </font>
    <font>
      <sz val="14"/>
      <color theme="3" tint="-0.249977111117893"/>
      <name val="Microsoft Sans Serif"/>
      <family val="2"/>
      <scheme val="minor"/>
    </font>
    <font>
      <sz val="14"/>
      <color theme="6" tint="0.39997558519241921"/>
      <name val="Microsoft Sans Serif"/>
      <family val="2"/>
      <scheme val="minor"/>
    </font>
    <font>
      <sz val="11"/>
      <color theme="6" tint="0.39997558519241921"/>
      <name val="Calibri"/>
      <family val="2"/>
    </font>
    <font>
      <sz val="11"/>
      <color theme="1" tint="4.9989318521683403E-2"/>
      <name val="Calibri"/>
      <family val="2"/>
    </font>
    <font>
      <b/>
      <sz val="11"/>
      <color theme="1" tint="4.9989318521683403E-2"/>
      <name val="Calibri"/>
      <family val="2"/>
    </font>
    <font>
      <i/>
      <sz val="11"/>
      <color theme="0"/>
      <name val="Microsoft Sans Serif"/>
      <family val="2"/>
      <scheme val="minor"/>
    </font>
    <font>
      <b/>
      <sz val="16"/>
      <color theme="3"/>
      <name val="Franklin Gothic Book"/>
      <family val="2"/>
      <scheme val="major"/>
    </font>
    <font>
      <sz val="14"/>
      <color theme="0"/>
      <name val="Microsoft Sans Serif"/>
      <family val="2"/>
      <scheme val="minor"/>
    </font>
    <font>
      <b/>
      <i/>
      <u/>
      <sz val="10"/>
      <color theme="1"/>
      <name val="Microsoft Sans Serif"/>
      <family val="2"/>
      <scheme val="minor"/>
    </font>
    <font>
      <u/>
      <sz val="14"/>
      <color theme="3" tint="-0.249977111117893"/>
      <name val="Microsoft Sans Serif"/>
      <family val="2"/>
      <scheme val="minor"/>
    </font>
    <font>
      <sz val="10"/>
      <name val="Microsoft Sans Serif"/>
      <family val="2"/>
      <scheme val="minor"/>
    </font>
    <font>
      <u val="singleAccounting"/>
      <sz val="9"/>
      <color theme="6" tint="0.39997558519241921"/>
      <name val="Microsoft Sans Serif"/>
      <family val="2"/>
      <scheme val="minor"/>
    </font>
    <font>
      <u/>
      <sz val="9"/>
      <color theme="6" tint="0.39997558519241921"/>
      <name val="Microsoft Sans Serif"/>
      <family val="2"/>
      <scheme val="minor"/>
    </font>
    <font>
      <sz val="8"/>
      <name val="Microsoft Sans Serif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3" tint="0.8999603259376811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theme="5" tint="-0.499984740745262"/>
      </left>
      <right style="thin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  <border>
      <left style="medium">
        <color theme="6" tint="0.39997558519241921"/>
      </left>
      <right style="medium">
        <color theme="6" tint="0.39997558519241921"/>
      </right>
      <top style="medium">
        <color theme="6" tint="0.39997558519241921"/>
      </top>
      <bottom style="medium">
        <color theme="6" tint="0.39997558519241921"/>
      </bottom>
      <diagonal/>
    </border>
    <border>
      <left/>
      <right/>
      <top/>
      <bottom style="medium">
        <color theme="6" tint="0.39997558519241921"/>
      </bottom>
      <diagonal/>
    </border>
    <border>
      <left/>
      <right/>
      <top style="medium">
        <color theme="6" tint="0.39997558519241921"/>
      </top>
      <bottom/>
      <diagonal/>
    </border>
    <border>
      <left style="medium">
        <color theme="6" tint="0.39997558519241921"/>
      </left>
      <right style="medium">
        <color theme="6" tint="0.39997558519241921"/>
      </right>
      <top style="medium">
        <color theme="6" tint="0.39997558519241921"/>
      </top>
      <bottom/>
      <diagonal/>
    </border>
    <border>
      <left/>
      <right style="medium">
        <color theme="6" tint="0.39997558519241921"/>
      </right>
      <top/>
      <bottom/>
      <diagonal/>
    </border>
    <border>
      <left/>
      <right style="medium">
        <color theme="6" tint="0.39997558519241921"/>
      </right>
      <top style="medium">
        <color theme="6" tint="0.39997558519241921"/>
      </top>
      <bottom/>
      <diagonal/>
    </border>
    <border>
      <left style="medium">
        <color theme="6" tint="0.39997558519241921"/>
      </left>
      <right style="medium">
        <color theme="6" tint="0.39997558519241921"/>
      </right>
      <top/>
      <bottom/>
      <diagonal/>
    </border>
    <border>
      <left/>
      <right/>
      <top/>
      <bottom style="medium">
        <color theme="6" tint="0.39994506668294322"/>
      </bottom>
      <diagonal/>
    </border>
    <border>
      <left/>
      <right/>
      <top style="medium">
        <color theme="6" tint="0.39994506668294322"/>
      </top>
      <bottom style="medium">
        <color theme="6" tint="0.39994506668294322"/>
      </bottom>
      <diagonal/>
    </border>
    <border>
      <left/>
      <right/>
      <top style="medium">
        <color theme="6" tint="0.39994506668294322"/>
      </top>
      <bottom/>
      <diagonal/>
    </border>
    <border>
      <left/>
      <right style="medium">
        <color theme="6" tint="0.39991454817346722"/>
      </right>
      <top style="medium">
        <color theme="6" tint="0.39994506668294322"/>
      </top>
      <bottom/>
      <diagonal/>
    </border>
    <border>
      <left style="medium">
        <color theme="6" tint="0.39994506668294322"/>
      </left>
      <right style="medium">
        <color theme="6" tint="0.39994506668294322"/>
      </right>
      <top style="medium">
        <color theme="6" tint="0.39994506668294322"/>
      </top>
      <bottom style="medium">
        <color theme="6" tint="0.39994506668294322"/>
      </bottom>
      <diagonal/>
    </border>
    <border>
      <left/>
      <right style="medium">
        <color theme="6" tint="0.39994506668294322"/>
      </right>
      <top/>
      <bottom style="medium">
        <color theme="6" tint="0.39994506668294322"/>
      </bottom>
      <diagonal/>
    </border>
    <border>
      <left style="medium">
        <color theme="6" tint="0.39994506668294322"/>
      </left>
      <right style="medium">
        <color theme="6" tint="0.39994506668294322"/>
      </right>
      <top/>
      <bottom style="medium">
        <color theme="6" tint="0.39994506668294322"/>
      </bottom>
      <diagonal/>
    </border>
    <border>
      <left style="medium">
        <color theme="6" tint="0.39994506668294322"/>
      </left>
      <right/>
      <top/>
      <bottom style="medium">
        <color theme="6" tint="0.39994506668294322"/>
      </bottom>
      <diagonal/>
    </border>
    <border>
      <left/>
      <right style="medium">
        <color theme="6" tint="0.39994506668294322"/>
      </right>
      <top style="medium">
        <color theme="6" tint="0.39994506668294322"/>
      </top>
      <bottom style="medium">
        <color theme="6" tint="0.39994506668294322"/>
      </bottom>
      <diagonal/>
    </border>
    <border>
      <left style="medium">
        <color theme="6" tint="0.39994506668294322"/>
      </left>
      <right/>
      <top style="medium">
        <color theme="6" tint="0.39994506668294322"/>
      </top>
      <bottom style="medium">
        <color theme="6" tint="0.39994506668294322"/>
      </bottom>
      <diagonal/>
    </border>
    <border>
      <left/>
      <right style="medium">
        <color theme="6" tint="0.39994506668294322"/>
      </right>
      <top style="medium">
        <color theme="6" tint="0.39994506668294322"/>
      </top>
      <bottom/>
      <diagonal/>
    </border>
    <border>
      <left style="medium">
        <color theme="6" tint="0.39994506668294322"/>
      </left>
      <right style="medium">
        <color theme="6" tint="0.39994506668294322"/>
      </right>
      <top style="medium">
        <color theme="6" tint="0.39994506668294322"/>
      </top>
      <bottom/>
      <diagonal/>
    </border>
    <border>
      <left style="medium">
        <color theme="6" tint="0.39994506668294322"/>
      </left>
      <right/>
      <top style="medium">
        <color theme="6" tint="0.39994506668294322"/>
      </top>
      <bottom/>
      <diagonal/>
    </border>
    <border>
      <left/>
      <right style="medium">
        <color theme="6" tint="0.39994506668294322"/>
      </right>
      <top style="medium">
        <color theme="6" tint="0.39991454817346722"/>
      </top>
      <bottom style="medium">
        <color theme="6" tint="0.39994506668294322"/>
      </bottom>
      <diagonal/>
    </border>
    <border>
      <left style="medium">
        <color theme="6" tint="0.39994506668294322"/>
      </left>
      <right style="medium">
        <color theme="6" tint="0.39994506668294322"/>
      </right>
      <top style="medium">
        <color theme="6" tint="0.39991454817346722"/>
      </top>
      <bottom style="medium">
        <color theme="6" tint="0.39994506668294322"/>
      </bottom>
      <diagonal/>
    </border>
    <border>
      <left style="medium">
        <color theme="6" tint="0.39994506668294322"/>
      </left>
      <right/>
      <top style="medium">
        <color theme="6" tint="0.39991454817346722"/>
      </top>
      <bottom style="medium">
        <color theme="6" tint="0.39994506668294322"/>
      </bottom>
      <diagonal/>
    </border>
    <border>
      <left style="medium">
        <color theme="6" tint="0.39988402966399123"/>
      </left>
      <right/>
      <top style="medium">
        <color theme="6" tint="0.39991454817346722"/>
      </top>
      <bottom style="medium">
        <color theme="6" tint="0.39994506668294322"/>
      </bottom>
      <diagonal/>
    </border>
    <border>
      <left style="medium">
        <color theme="6" tint="0.39988402966399123"/>
      </left>
      <right/>
      <top style="medium">
        <color theme="6" tint="0.39994506668294322"/>
      </top>
      <bottom style="medium">
        <color theme="6" tint="0.39994506668294322"/>
      </bottom>
      <diagonal/>
    </border>
    <border>
      <left style="medium">
        <color theme="6" tint="0.39988402966399123"/>
      </left>
      <right style="medium">
        <color theme="6" tint="0.39985351115451523"/>
      </right>
      <top style="medium">
        <color theme="6" tint="0.39994506668294322"/>
      </top>
      <bottom style="medium">
        <color theme="6" tint="0.39985351115451523"/>
      </bottom>
      <diagonal/>
    </border>
    <border>
      <left/>
      <right style="medium">
        <color theme="6" tint="0.39997558519241921"/>
      </right>
      <top style="medium">
        <color theme="6" tint="0.39997558519241921"/>
      </top>
      <bottom style="medium">
        <color theme="6" tint="0.39997558519241921"/>
      </bottom>
      <diagonal/>
    </border>
    <border>
      <left/>
      <right style="medium">
        <color theme="6" tint="0.39994506668294322"/>
      </right>
      <top/>
      <bottom style="medium">
        <color theme="6" tint="0.39997558519241921"/>
      </bottom>
      <diagonal/>
    </border>
    <border>
      <left style="medium">
        <color theme="6" tint="0.39985351115451523"/>
      </left>
      <right style="medium">
        <color theme="6" tint="0.39994506668294322"/>
      </right>
      <top style="medium">
        <color theme="6" tint="0.39994506668294322"/>
      </top>
      <bottom style="medium">
        <color theme="6" tint="0.39982299264503923"/>
      </bottom>
      <diagonal/>
    </border>
    <border>
      <left style="medium">
        <color theme="6" tint="0.39994506668294322"/>
      </left>
      <right style="medium">
        <color theme="6" tint="0.39994506668294322"/>
      </right>
      <top style="medium">
        <color theme="6" tint="0.39994506668294322"/>
      </top>
      <bottom style="medium">
        <color theme="6" tint="0.39982299264503923"/>
      </bottom>
      <diagonal/>
    </border>
    <border>
      <left style="medium">
        <color theme="6" tint="0.39994506668294322"/>
      </left>
      <right/>
      <top style="medium">
        <color theme="6" tint="0.39994506668294322"/>
      </top>
      <bottom style="medium">
        <color theme="6" tint="0.39982299264503923"/>
      </bottom>
      <diagonal/>
    </border>
    <border>
      <left/>
      <right style="medium">
        <color theme="6" tint="0.39994506668294322"/>
      </right>
      <top style="medium">
        <color theme="6" tint="0.39994506668294322"/>
      </top>
      <bottom style="medium">
        <color theme="6" tint="0.39991454817346722"/>
      </bottom>
      <diagonal/>
    </border>
    <border>
      <left style="medium">
        <color theme="6" tint="0.39994506668294322"/>
      </left>
      <right style="medium">
        <color theme="6" tint="0.39994506668294322"/>
      </right>
      <top style="medium">
        <color theme="6" tint="0.39994506668294322"/>
      </top>
      <bottom style="medium">
        <color theme="6" tint="0.39991454817346722"/>
      </bottom>
      <diagonal/>
    </border>
    <border>
      <left style="medium">
        <color theme="6" tint="0.39994506668294322"/>
      </left>
      <right/>
      <top style="medium">
        <color theme="6" tint="0.39994506668294322"/>
      </top>
      <bottom style="medium">
        <color theme="6" tint="0.39991454817346722"/>
      </bottom>
      <diagonal/>
    </border>
  </borders>
  <cellStyleXfs count="6">
    <xf numFmtId="0" fontId="0" fillId="10" borderId="0"/>
    <xf numFmtId="0" fontId="7" fillId="0" borderId="0" applyNumberFormat="0" applyFill="0" applyProtection="0">
      <alignment vertical="center"/>
    </xf>
    <xf numFmtId="0" fontId="16" fillId="4" borderId="0" applyNumberFormat="0" applyProtection="0">
      <alignment vertical="center"/>
    </xf>
    <xf numFmtId="0" fontId="9" fillId="2" borderId="0" applyNumberFormat="0" applyProtection="0">
      <alignment vertical="center"/>
    </xf>
    <xf numFmtId="0" fontId="8" fillId="3" borderId="1" applyNumberFormat="0" applyProtection="0">
      <alignment horizontal="left" vertical="center" indent="1"/>
    </xf>
    <xf numFmtId="0" fontId="11" fillId="0" borderId="0" applyNumberFormat="0" applyFill="0" applyBorder="0" applyAlignment="0" applyProtection="0"/>
  </cellStyleXfs>
  <cellXfs count="136">
    <xf numFmtId="0" fontId="0" fillId="10" borderId="0" xfId="0"/>
    <xf numFmtId="0" fontId="1" fillId="10" borderId="0" xfId="0" applyFont="1"/>
    <xf numFmtId="0" fontId="3" fillId="10" borderId="0" xfId="0" applyFont="1"/>
    <xf numFmtId="8" fontId="0" fillId="10" borderId="0" xfId="0" applyNumberFormat="1" applyAlignment="1">
      <alignment horizontal="right"/>
    </xf>
    <xf numFmtId="9" fontId="0" fillId="10" borderId="0" xfId="0" applyNumberFormat="1" applyAlignment="1">
      <alignment horizontal="right"/>
    </xf>
    <xf numFmtId="0" fontId="1" fillId="4" borderId="0" xfId="0" applyFont="1" applyFill="1" applyAlignment="1">
      <alignment horizontal="left" vertical="top" indent="1"/>
    </xf>
    <xf numFmtId="0" fontId="2" fillId="4" borderId="0" xfId="0" applyFont="1" applyFill="1" applyAlignment="1">
      <alignment horizontal="left" vertical="top" indent="1"/>
    </xf>
    <xf numFmtId="0" fontId="4" fillId="4" borderId="0" xfId="0" applyFont="1" applyFill="1" applyAlignment="1">
      <alignment horizontal="left" vertical="top" indent="1"/>
    </xf>
    <xf numFmtId="0" fontId="1" fillId="8" borderId="0" xfId="0" applyFont="1" applyFill="1" applyAlignment="1">
      <alignment horizontal="left" vertical="top" indent="1"/>
    </xf>
    <xf numFmtId="0" fontId="21" fillId="10" borderId="0" xfId="0" applyFont="1"/>
    <xf numFmtId="0" fontId="20" fillId="9" borderId="0" xfId="3" applyFont="1" applyFill="1" applyAlignment="1">
      <alignment horizontal="left" vertical="center" indent="1"/>
    </xf>
    <xf numFmtId="0" fontId="15" fillId="4" borderId="5" xfId="0" applyFont="1" applyFill="1" applyBorder="1" applyAlignment="1">
      <alignment horizontal="left" vertical="center" indent="1"/>
    </xf>
    <xf numFmtId="0" fontId="3" fillId="10" borderId="4" xfId="0" applyFont="1" applyBorder="1"/>
    <xf numFmtId="0" fontId="16" fillId="4" borderId="0" xfId="2" applyAlignment="1"/>
    <xf numFmtId="0" fontId="9" fillId="6" borderId="0" xfId="3" applyFill="1" applyAlignment="1">
      <alignment horizontal="left" vertical="center" indent="2"/>
    </xf>
    <xf numFmtId="0" fontId="9" fillId="5" borderId="0" xfId="3" applyFill="1" applyAlignment="1">
      <alignment horizontal="left" vertical="center" indent="2"/>
    </xf>
    <xf numFmtId="0" fontId="9" fillId="7" borderId="0" xfId="3" applyFill="1" applyAlignment="1">
      <alignment horizontal="left" vertical="center" indent="2"/>
    </xf>
    <xf numFmtId="0" fontId="9" fillId="4" borderId="0" xfId="3" applyFill="1" applyAlignment="1">
      <alignment horizontal="left" vertical="center" indent="2"/>
    </xf>
    <xf numFmtId="0" fontId="0" fillId="11" borderId="2" xfId="0" applyFill="1" applyBorder="1" applyAlignment="1">
      <alignment horizontal="left" vertical="center" indent="2"/>
    </xf>
    <xf numFmtId="9" fontId="0" fillId="11" borderId="2" xfId="0" applyNumberFormat="1" applyFill="1" applyBorder="1" applyAlignment="1">
      <alignment horizontal="right" vertical="center" indent="2"/>
    </xf>
    <xf numFmtId="0" fontId="22" fillId="12" borderId="0" xfId="3" applyFont="1" applyFill="1" applyAlignment="1">
      <alignment horizontal="left"/>
    </xf>
    <xf numFmtId="0" fontId="10" fillId="9" borderId="3" xfId="3" applyFont="1" applyFill="1" applyBorder="1" applyAlignment="1">
      <alignment horizontal="left" vertical="center" indent="1"/>
    </xf>
    <xf numFmtId="0" fontId="15" fillId="4" borderId="7" xfId="0" applyFont="1" applyFill="1" applyBorder="1" applyAlignment="1">
      <alignment horizontal="left" vertical="center" indent="1"/>
    </xf>
    <xf numFmtId="0" fontId="27" fillId="9" borderId="3" xfId="3" applyFont="1" applyFill="1" applyBorder="1">
      <alignment vertical="center"/>
    </xf>
    <xf numFmtId="0" fontId="19" fillId="10" borderId="0" xfId="0" applyFont="1" applyAlignment="1">
      <alignment wrapText="1"/>
    </xf>
    <xf numFmtId="0" fontId="20" fillId="9" borderId="3" xfId="3" applyFont="1" applyFill="1" applyBorder="1" applyAlignment="1">
      <alignment horizontal="left" vertical="center" indent="1"/>
    </xf>
    <xf numFmtId="0" fontId="29" fillId="9" borderId="0" xfId="3" applyFont="1" applyFill="1">
      <alignment vertical="center"/>
    </xf>
    <xf numFmtId="0" fontId="0" fillId="10" borderId="0" xfId="0" applyAlignment="1">
      <alignment vertical="center"/>
    </xf>
    <xf numFmtId="0" fontId="31" fillId="8" borderId="0" xfId="2" applyFont="1" applyFill="1" applyAlignment="1">
      <alignment horizontal="center" vertical="center"/>
    </xf>
    <xf numFmtId="0" fontId="32" fillId="8" borderId="0" xfId="0" applyFont="1" applyFill="1" applyAlignment="1">
      <alignment horizontal="left" vertical="top" indent="1"/>
    </xf>
    <xf numFmtId="0" fontId="33" fillId="10" borderId="0" xfId="0" applyFont="1"/>
    <xf numFmtId="0" fontId="32" fillId="8" borderId="0" xfId="0" applyFont="1" applyFill="1" applyAlignment="1">
      <alignment horizontal="left" vertical="top" wrapText="1" indent="1"/>
    </xf>
    <xf numFmtId="0" fontId="32" fillId="8" borderId="0" xfId="0" applyFont="1" applyFill="1" applyAlignment="1">
      <alignment horizontal="left" vertical="top" wrapText="1"/>
    </xf>
    <xf numFmtId="0" fontId="33" fillId="10" borderId="0" xfId="0" applyFont="1" applyAlignment="1">
      <alignment wrapText="1"/>
    </xf>
    <xf numFmtId="0" fontId="34" fillId="10" borderId="0" xfId="0" applyFont="1" applyAlignment="1">
      <alignment vertical="center" wrapText="1"/>
    </xf>
    <xf numFmtId="0" fontId="1" fillId="10" borderId="0" xfId="0" applyFont="1" applyAlignment="1">
      <alignment wrapText="1"/>
    </xf>
    <xf numFmtId="0" fontId="0" fillId="11" borderId="5" xfId="0" applyFill="1" applyBorder="1" applyAlignment="1">
      <alignment horizontal="left" vertical="center" indent="2"/>
    </xf>
    <xf numFmtId="9" fontId="0" fillId="11" borderId="5" xfId="0" applyNumberFormat="1" applyFill="1" applyBorder="1" applyAlignment="1">
      <alignment horizontal="right" vertical="center" indent="2"/>
    </xf>
    <xf numFmtId="0" fontId="33" fillId="10" borderId="6" xfId="0" applyFont="1" applyBorder="1"/>
    <xf numFmtId="0" fontId="35" fillId="10" borderId="0" xfId="0" applyFont="1" applyAlignment="1">
      <alignment vertical="center" wrapText="1"/>
    </xf>
    <xf numFmtId="0" fontId="35" fillId="10" borderId="0" xfId="0" applyFont="1" applyAlignment="1">
      <alignment wrapText="1"/>
    </xf>
    <xf numFmtId="0" fontId="36" fillId="10" borderId="0" xfId="0" applyFont="1" applyAlignment="1">
      <alignment vertical="center" wrapText="1"/>
    </xf>
    <xf numFmtId="0" fontId="23" fillId="6" borderId="9" xfId="4" applyFont="1" applyFill="1" applyBorder="1">
      <alignment horizontal="left" vertical="center" indent="1"/>
    </xf>
    <xf numFmtId="0" fontId="15" fillId="4" borderId="10" xfId="0" applyFont="1" applyFill="1" applyBorder="1" applyAlignment="1">
      <alignment horizontal="left" vertical="center" indent="1"/>
    </xf>
    <xf numFmtId="0" fontId="5" fillId="11" borderId="12" xfId="0" applyFont="1" applyFill="1" applyBorder="1" applyAlignment="1">
      <alignment horizontal="left" vertical="center" indent="1"/>
    </xf>
    <xf numFmtId="0" fontId="5" fillId="11" borderId="12" xfId="0" applyFont="1" applyFill="1" applyBorder="1" applyAlignment="1">
      <alignment horizontal="left" vertical="center" indent="2"/>
    </xf>
    <xf numFmtId="0" fontId="23" fillId="5" borderId="14" xfId="4" applyFont="1" applyFill="1" applyBorder="1">
      <alignment horizontal="left" vertical="center" indent="1"/>
    </xf>
    <xf numFmtId="0" fontId="23" fillId="5" borderId="9" xfId="4" applyFont="1" applyFill="1" applyBorder="1">
      <alignment horizontal="left" vertical="center" indent="1"/>
    </xf>
    <xf numFmtId="0" fontId="23" fillId="5" borderId="25" xfId="4" applyFont="1" applyFill="1" applyBorder="1">
      <alignment horizontal="left" vertical="center" indent="1"/>
    </xf>
    <xf numFmtId="0" fontId="23" fillId="7" borderId="14" xfId="4" applyFont="1" applyFill="1" applyBorder="1">
      <alignment horizontal="left" vertical="center" indent="1"/>
    </xf>
    <xf numFmtId="0" fontId="23" fillId="6" borderId="14" xfId="4" applyFont="1" applyFill="1" applyBorder="1">
      <alignment horizontal="left" vertical="center" indent="1"/>
    </xf>
    <xf numFmtId="0" fontId="5" fillId="11" borderId="27" xfId="0" applyFont="1" applyFill="1" applyBorder="1" applyAlignment="1">
      <alignment horizontal="left" vertical="center" indent="2"/>
    </xf>
    <xf numFmtId="0" fontId="39" fillId="4" borderId="0" xfId="0" applyFont="1" applyFill="1" applyAlignment="1">
      <alignment horizontal="left" vertical="top" indent="1"/>
    </xf>
    <xf numFmtId="0" fontId="15" fillId="4" borderId="17" xfId="0" applyFont="1" applyFill="1" applyBorder="1" applyAlignment="1">
      <alignment horizontal="left" vertical="center" indent="1"/>
    </xf>
    <xf numFmtId="0" fontId="26" fillId="11" borderId="19" xfId="0" applyFont="1" applyFill="1" applyBorder="1" applyAlignment="1">
      <alignment horizontal="left" vertical="center" indent="1"/>
    </xf>
    <xf numFmtId="0" fontId="26" fillId="11" borderId="11" xfId="0" applyFont="1" applyFill="1" applyBorder="1" applyAlignment="1">
      <alignment horizontal="left" vertical="center" indent="1"/>
    </xf>
    <xf numFmtId="0" fontId="26" fillId="11" borderId="19" xfId="0" applyFont="1" applyFill="1" applyBorder="1" applyAlignment="1">
      <alignment horizontal="left" vertical="center" indent="2"/>
    </xf>
    <xf numFmtId="0" fontId="23" fillId="7" borderId="9" xfId="4" applyFont="1" applyFill="1" applyBorder="1">
      <alignment horizontal="left" vertical="center" indent="1"/>
    </xf>
    <xf numFmtId="0" fontId="15" fillId="4" borderId="4" xfId="0" applyFont="1" applyFill="1" applyBorder="1" applyAlignment="1">
      <alignment horizontal="left" vertical="center" indent="1"/>
    </xf>
    <xf numFmtId="0" fontId="29" fillId="9" borderId="29" xfId="3" applyFont="1" applyFill="1" applyBorder="1">
      <alignment vertical="center"/>
    </xf>
    <xf numFmtId="0" fontId="18" fillId="11" borderId="19" xfId="0" applyFont="1" applyFill="1" applyBorder="1" applyAlignment="1">
      <alignment horizontal="left" vertical="center" indent="1"/>
    </xf>
    <xf numFmtId="0" fontId="17" fillId="11" borderId="19" xfId="0" applyFont="1" applyFill="1" applyBorder="1" applyAlignment="1">
      <alignment horizontal="left" vertical="center" indent="2"/>
    </xf>
    <xf numFmtId="0" fontId="5" fillId="11" borderId="19" xfId="0" applyFont="1" applyFill="1" applyBorder="1" applyAlignment="1">
      <alignment horizontal="left" vertical="center" indent="1"/>
    </xf>
    <xf numFmtId="0" fontId="18" fillId="11" borderId="19" xfId="0" applyFont="1" applyFill="1" applyBorder="1" applyAlignment="1">
      <alignment horizontal="left" vertical="center" indent="2"/>
    </xf>
    <xf numFmtId="0" fontId="0" fillId="11" borderId="2" xfId="0" applyFill="1" applyBorder="1" applyAlignment="1">
      <alignment horizontal="left" vertical="center" indent="1"/>
    </xf>
    <xf numFmtId="0" fontId="15" fillId="4" borderId="26" xfId="0" applyFont="1" applyFill="1" applyBorder="1" applyAlignment="1">
      <alignment horizontal="left" vertical="center" indent="1"/>
    </xf>
    <xf numFmtId="0" fontId="0" fillId="10" borderId="0" xfId="0" applyAlignment="1">
      <alignment horizontal="left" indent="1"/>
    </xf>
    <xf numFmtId="0" fontId="3" fillId="10" borderId="0" xfId="0" applyFont="1" applyAlignment="1">
      <alignment horizontal="left"/>
    </xf>
    <xf numFmtId="0" fontId="28" fillId="4" borderId="0" xfId="0" applyFont="1" applyFill="1" applyAlignment="1">
      <alignment horizontal="center" vertical="top"/>
    </xf>
    <xf numFmtId="0" fontId="5" fillId="10" borderId="0" xfId="0" applyFont="1" applyAlignment="1">
      <alignment horizontal="center"/>
    </xf>
    <xf numFmtId="0" fontId="3" fillId="10" borderId="0" xfId="0" applyFont="1" applyAlignment="1">
      <alignment horizontal="center"/>
    </xf>
    <xf numFmtId="0" fontId="12" fillId="8" borderId="0" xfId="1" applyFont="1" applyFill="1" applyAlignment="1">
      <alignment horizontal="left" vertical="top" indent="1"/>
    </xf>
    <xf numFmtId="0" fontId="3" fillId="10" borderId="0" xfId="0" applyFont="1" applyAlignment="1">
      <alignment horizontal="left" indent="1"/>
    </xf>
    <xf numFmtId="0" fontId="38" fillId="4" borderId="0" xfId="2" applyFont="1" applyAlignment="1">
      <alignment horizontal="center" wrapText="1"/>
    </xf>
    <xf numFmtId="0" fontId="2" fillId="8" borderId="0" xfId="0" applyFont="1" applyFill="1" applyAlignment="1">
      <alignment horizontal="left" vertical="top" indent="1"/>
    </xf>
    <xf numFmtId="0" fontId="4" fillId="8" borderId="0" xfId="0" applyFont="1" applyFill="1" applyAlignment="1">
      <alignment horizontal="left" vertical="top" indent="1"/>
    </xf>
    <xf numFmtId="0" fontId="22" fillId="12" borderId="0" xfId="3" applyNumberFormat="1" applyFont="1" applyFill="1" applyAlignment="1">
      <alignment horizontal="center"/>
    </xf>
    <xf numFmtId="0" fontId="19" fillId="12" borderId="14" xfId="4" applyNumberFormat="1" applyFont="1" applyFill="1" applyBorder="1" applyAlignment="1">
      <alignment horizontal="center" vertical="center"/>
    </xf>
    <xf numFmtId="0" fontId="19" fillId="12" borderId="15" xfId="4" applyNumberFormat="1" applyFont="1" applyFill="1" applyBorder="1" applyAlignment="1">
      <alignment horizontal="center" vertical="center"/>
    </xf>
    <xf numFmtId="0" fontId="19" fillId="12" borderId="16" xfId="4" applyNumberFormat="1" applyFont="1" applyFill="1" applyBorder="1" applyAlignment="1">
      <alignment horizontal="center" vertical="center"/>
    </xf>
    <xf numFmtId="164" fontId="13" fillId="13" borderId="17" xfId="0" applyNumberFormat="1" applyFont="1" applyFill="1" applyBorder="1" applyAlignment="1">
      <alignment horizontal="right" vertical="center"/>
    </xf>
    <xf numFmtId="164" fontId="13" fillId="13" borderId="13" xfId="0" applyNumberFormat="1" applyFont="1" applyFill="1" applyBorder="1" applyAlignment="1">
      <alignment horizontal="right" vertical="center"/>
    </xf>
    <xf numFmtId="164" fontId="13" fillId="11" borderId="18" xfId="0" applyNumberFormat="1" applyFont="1" applyFill="1" applyBorder="1" applyAlignment="1">
      <alignment horizontal="right" vertical="center"/>
    </xf>
    <xf numFmtId="164" fontId="13" fillId="11" borderId="19" xfId="0" applyNumberFormat="1" applyFont="1" applyFill="1" applyBorder="1" applyAlignment="1">
      <alignment horizontal="right" vertical="center"/>
    </xf>
    <xf numFmtId="164" fontId="13" fillId="11" borderId="20" xfId="0" applyNumberFormat="1" applyFont="1" applyFill="1" applyBorder="1" applyAlignment="1">
      <alignment horizontal="right" vertical="center"/>
    </xf>
    <xf numFmtId="164" fontId="13" fillId="11" borderId="21" xfId="0" applyNumberFormat="1" applyFont="1" applyFill="1" applyBorder="1" applyAlignment="1">
      <alignment horizontal="right" vertical="center"/>
    </xf>
    <xf numFmtId="165" fontId="3" fillId="10" borderId="0" xfId="0" applyNumberFormat="1" applyFont="1" applyAlignment="1">
      <alignment horizontal="right"/>
    </xf>
    <xf numFmtId="165" fontId="5" fillId="10" borderId="0" xfId="0" applyNumberFormat="1" applyFont="1" applyAlignment="1">
      <alignment horizontal="right"/>
    </xf>
    <xf numFmtId="0" fontId="19" fillId="12" borderId="22" xfId="4" applyNumberFormat="1" applyFont="1" applyFill="1" applyBorder="1">
      <alignment horizontal="left" vertical="center" indent="1"/>
    </xf>
    <xf numFmtId="0" fontId="19" fillId="12" borderId="23" xfId="4" applyNumberFormat="1" applyFont="1" applyFill="1" applyBorder="1">
      <alignment horizontal="left" vertical="center" indent="1"/>
    </xf>
    <xf numFmtId="0" fontId="19" fillId="12" borderId="24" xfId="4" applyNumberFormat="1" applyFont="1" applyFill="1" applyBorder="1">
      <alignment horizontal="left" vertical="center" indent="1"/>
    </xf>
    <xf numFmtId="165" fontId="6" fillId="10" borderId="0" xfId="0" applyNumberFormat="1" applyFont="1" applyAlignment="1">
      <alignment horizontal="right"/>
    </xf>
    <xf numFmtId="164" fontId="13" fillId="11" borderId="30" xfId="0" applyNumberFormat="1" applyFont="1" applyFill="1" applyBorder="1" applyAlignment="1">
      <alignment horizontal="right" vertical="center"/>
    </xf>
    <xf numFmtId="164" fontId="13" fillId="11" borderId="31" xfId="0" applyNumberFormat="1" applyFont="1" applyFill="1" applyBorder="1" applyAlignment="1">
      <alignment horizontal="right" vertical="center"/>
    </xf>
    <xf numFmtId="164" fontId="13" fillId="11" borderId="32" xfId="0" applyNumberFormat="1" applyFont="1" applyFill="1" applyBorder="1" applyAlignment="1">
      <alignment horizontal="right" vertical="center"/>
    </xf>
    <xf numFmtId="165" fontId="40" fillId="10" borderId="0" xfId="0" applyNumberFormat="1" applyFont="1" applyAlignment="1">
      <alignment horizontal="right"/>
    </xf>
    <xf numFmtId="0" fontId="19" fillId="12" borderId="15" xfId="4" applyNumberFormat="1" applyFont="1" applyFill="1" applyBorder="1">
      <alignment horizontal="left" vertical="center" indent="1"/>
    </xf>
    <xf numFmtId="0" fontId="19" fillId="12" borderId="16" xfId="4" applyNumberFormat="1" applyFont="1" applyFill="1" applyBorder="1">
      <alignment horizontal="left" vertical="center" indent="1"/>
    </xf>
    <xf numFmtId="164" fontId="0" fillId="13" borderId="17" xfId="0" applyNumberFormat="1" applyFill="1" applyBorder="1" applyAlignment="1">
      <alignment horizontal="right" vertical="center"/>
    </xf>
    <xf numFmtId="164" fontId="0" fillId="13" borderId="13" xfId="0" applyNumberFormat="1" applyFill="1" applyBorder="1" applyAlignment="1">
      <alignment horizontal="right" vertical="center"/>
    </xf>
    <xf numFmtId="164" fontId="0" fillId="11" borderId="18" xfId="0" applyNumberFormat="1" applyFill="1" applyBorder="1" applyAlignment="1">
      <alignment horizontal="right" vertical="center"/>
    </xf>
    <xf numFmtId="164" fontId="0" fillId="11" borderId="19" xfId="0" applyNumberFormat="1" applyFill="1" applyBorder="1" applyAlignment="1">
      <alignment horizontal="right" vertical="center"/>
    </xf>
    <xf numFmtId="164" fontId="0" fillId="11" borderId="20" xfId="0" applyNumberFormat="1" applyFill="1" applyBorder="1" applyAlignment="1">
      <alignment horizontal="right" vertical="center"/>
    </xf>
    <xf numFmtId="164" fontId="0" fillId="11" borderId="21" xfId="0" applyNumberFormat="1" applyFill="1" applyBorder="1" applyAlignment="1">
      <alignment horizontal="right" vertical="center"/>
    </xf>
    <xf numFmtId="164" fontId="14" fillId="11" borderId="5" xfId="0" applyNumberFormat="1" applyFont="1" applyFill="1" applyBorder="1" applyAlignment="1">
      <alignment horizontal="right" vertical="center"/>
    </xf>
    <xf numFmtId="0" fontId="41" fillId="8" borderId="0" xfId="0" applyFont="1" applyFill="1" applyAlignment="1">
      <alignment horizontal="left" vertical="top" wrapText="1" indent="1"/>
    </xf>
    <xf numFmtId="0" fontId="42" fillId="11" borderId="33" xfId="0" applyFont="1" applyFill="1" applyBorder="1"/>
    <xf numFmtId="0" fontId="19" fillId="12" borderId="14" xfId="4" applyNumberFormat="1" applyFont="1" applyFill="1" applyBorder="1">
      <alignment horizontal="left" vertical="center" indent="1"/>
    </xf>
    <xf numFmtId="164" fontId="0" fillId="11" borderId="19" xfId="0" applyNumberFormat="1" applyFill="1" applyBorder="1" applyAlignment="1">
      <alignment vertical="center"/>
    </xf>
    <xf numFmtId="164" fontId="0" fillId="11" borderId="20" xfId="0" applyNumberFormat="1" applyFill="1" applyBorder="1" applyAlignment="1">
      <alignment vertical="center"/>
    </xf>
    <xf numFmtId="164" fontId="0" fillId="11" borderId="21" xfId="0" applyNumberFormat="1" applyFill="1" applyBorder="1" applyAlignment="1">
      <alignment vertical="center"/>
    </xf>
    <xf numFmtId="164" fontId="0" fillId="11" borderId="34" xfId="0" applyNumberFormat="1" applyFill="1" applyBorder="1"/>
    <xf numFmtId="164" fontId="0" fillId="11" borderId="35" xfId="0" applyNumberFormat="1" applyFill="1" applyBorder="1"/>
    <xf numFmtId="0" fontId="43" fillId="12" borderId="15" xfId="4" applyNumberFormat="1" applyFont="1" applyFill="1" applyBorder="1">
      <alignment horizontal="left" vertical="center" indent="1"/>
    </xf>
    <xf numFmtId="164" fontId="24" fillId="11" borderId="20" xfId="0" applyNumberFormat="1" applyFont="1" applyFill="1" applyBorder="1" applyAlignment="1">
      <alignment horizontal="right" vertical="center"/>
    </xf>
    <xf numFmtId="164" fontId="14" fillId="11" borderId="28" xfId="0" applyNumberFormat="1" applyFont="1" applyFill="1" applyBorder="1" applyAlignment="1">
      <alignment horizontal="right"/>
    </xf>
    <xf numFmtId="164" fontId="14" fillId="11" borderId="2" xfId="0" applyNumberFormat="1" applyFont="1" applyFill="1" applyBorder="1" applyAlignment="1">
      <alignment horizontal="right"/>
    </xf>
    <xf numFmtId="164" fontId="14" fillId="11" borderId="6" xfId="0" applyNumberFormat="1" applyFont="1" applyFill="1" applyBorder="1" applyAlignment="1">
      <alignment horizontal="right"/>
    </xf>
    <xf numFmtId="164" fontId="14" fillId="11" borderId="8" xfId="0" applyNumberFormat="1" applyFont="1" applyFill="1" applyBorder="1" applyAlignment="1">
      <alignment horizontal="right"/>
    </xf>
    <xf numFmtId="164" fontId="14" fillId="11" borderId="5" xfId="0" applyNumberFormat="1" applyFont="1" applyFill="1" applyBorder="1" applyAlignment="1">
      <alignment horizontal="right"/>
    </xf>
    <xf numFmtId="0" fontId="19" fillId="12" borderId="15" xfId="4" applyNumberFormat="1" applyFont="1" applyFill="1" applyBorder="1" applyAlignment="1">
      <alignment horizontal="left"/>
    </xf>
    <xf numFmtId="0" fontId="19" fillId="12" borderId="16" xfId="4" applyNumberFormat="1" applyFont="1" applyFill="1" applyBorder="1" applyAlignment="1">
      <alignment horizontal="left"/>
    </xf>
    <xf numFmtId="164" fontId="13" fillId="11" borderId="20" xfId="0" applyNumberFormat="1" applyFont="1" applyFill="1" applyBorder="1" applyAlignment="1">
      <alignment vertical="center"/>
    </xf>
    <xf numFmtId="0" fontId="44" fillId="12" borderId="15" xfId="4" applyNumberFormat="1" applyFont="1" applyFill="1" applyBorder="1">
      <alignment horizontal="left" vertical="center" indent="1"/>
    </xf>
    <xf numFmtId="0" fontId="44" fillId="12" borderId="16" xfId="4" applyNumberFormat="1" applyFont="1" applyFill="1" applyBorder="1">
      <alignment horizontal="left" vertical="center" indent="1"/>
    </xf>
    <xf numFmtId="164" fontId="25" fillId="11" borderId="2" xfId="0" applyNumberFormat="1" applyFont="1" applyFill="1" applyBorder="1" applyAlignment="1">
      <alignment horizontal="right"/>
    </xf>
    <xf numFmtId="164" fontId="25" fillId="11" borderId="8" xfId="0" applyNumberFormat="1" applyFont="1" applyFill="1" applyBorder="1" applyAlignment="1">
      <alignment horizontal="right"/>
    </xf>
    <xf numFmtId="164" fontId="0" fillId="11" borderId="2" xfId="0" applyNumberFormat="1" applyFill="1" applyBorder="1" applyAlignment="1">
      <alignment horizontal="right" vertical="center" indent="2"/>
    </xf>
    <xf numFmtId="164" fontId="0" fillId="11" borderId="5" xfId="0" applyNumberFormat="1" applyFill="1" applyBorder="1" applyAlignment="1">
      <alignment horizontal="right" vertical="center" indent="2"/>
    </xf>
    <xf numFmtId="0" fontId="19" fillId="10" borderId="0" xfId="0" applyFont="1" applyAlignment="1">
      <alignment wrapText="1"/>
    </xf>
    <xf numFmtId="0" fontId="19" fillId="10" borderId="0" xfId="0" applyFont="1"/>
    <xf numFmtId="0" fontId="16" fillId="4" borderId="0" xfId="2" applyAlignment="1">
      <alignment horizontal="left" indent="1"/>
    </xf>
    <xf numFmtId="0" fontId="11" fillId="4" borderId="0" xfId="5" applyFill="1" applyAlignment="1">
      <alignment horizontal="left" vertical="top" indent="1"/>
    </xf>
    <xf numFmtId="0" fontId="37" fillId="4" borderId="0" xfId="5" applyFont="1" applyFill="1" applyAlignment="1">
      <alignment horizontal="left" vertical="top" indent="1"/>
    </xf>
    <xf numFmtId="0" fontId="16" fillId="4" borderId="0" xfId="2" applyAlignment="1">
      <alignment horizontal="right" vertical="center" indent="3"/>
    </xf>
    <xf numFmtId="0" fontId="30" fillId="11" borderId="0" xfId="0" applyFont="1" applyFill="1" applyAlignment="1">
      <alignment horizontal="center"/>
    </xf>
  </cellXfs>
  <cellStyles count="6">
    <cellStyle name="Explanatory Text" xfId="5" builtinId="53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Normal" xfId="0" builtinId="0" customBuiltin="1"/>
  </cellStyles>
  <dxfs count="4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Microsoft Sans Serif"/>
        <family val="2"/>
        <scheme val="minor"/>
      </font>
      <numFmt numFmtId="13" formatCode="0%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2" justifyLastLine="0" shrinkToFit="0" readingOrder="0"/>
      <border diagonalUp="0" diagonalDown="0">
        <left style="medium">
          <color theme="6" tint="0.39997558519241921"/>
        </left>
        <right style="medium">
          <color theme="6" tint="0.39997558519241921"/>
        </right>
        <top style="medium">
          <color theme="6" tint="0.39997558519241921"/>
        </top>
        <bottom style="medium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2" justifyLastLine="0" shrinkToFit="0" readingOrder="0"/>
      <border diagonalUp="0" diagonalDown="0">
        <left style="medium">
          <color theme="6" tint="0.39997558519241921"/>
        </left>
        <right style="medium">
          <color theme="6" tint="0.39997558519241921"/>
        </right>
        <top style="medium">
          <color theme="6" tint="0.39997558519241921"/>
        </top>
        <bottom style="medium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2" justifyLastLine="0" shrinkToFit="0" readingOrder="0"/>
      <border diagonalUp="0" diagonalDown="0">
        <left style="medium">
          <color theme="6" tint="0.39997558519241921"/>
        </left>
        <right style="medium">
          <color theme="6" tint="0.39997558519241921"/>
        </right>
        <top style="medium">
          <color theme="6" tint="0.39997558519241921"/>
        </top>
        <bottom style="medium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2" justifyLastLine="0" shrinkToFit="0" readingOrder="0"/>
      <border diagonalUp="0" diagonalDown="0">
        <left style="medium">
          <color theme="6" tint="0.39997558519241921"/>
        </left>
        <right style="medium">
          <color theme="6" tint="0.39997558519241921"/>
        </right>
        <top style="medium">
          <color theme="6" tint="0.39997558519241921"/>
        </top>
        <bottom style="medium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Microsoft Sans Serif"/>
        <family val="2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left" vertical="center" textRotation="0" wrapText="0" indent="2" justifyLastLine="0" shrinkToFit="0" readingOrder="0"/>
      <border diagonalUp="0" diagonalDown="0">
        <left style="medium">
          <color theme="6" tint="0.39997558519241921"/>
        </left>
        <right style="medium">
          <color theme="6" tint="0.39997558519241921"/>
        </right>
        <top style="medium">
          <color theme="6" tint="0.39997558519241921"/>
        </top>
        <bottom style="medium">
          <color theme="6" tint="0.39997558519241921"/>
        </bottom>
        <vertical/>
        <horizontal/>
      </border>
    </dxf>
    <dxf>
      <border outline="0">
        <bottom style="medium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Microsoft Sans Serif"/>
        <family val="2"/>
        <scheme val="minor"/>
      </font>
      <fill>
        <patternFill patternType="solid">
          <fgColor indexed="64"/>
          <bgColor theme="6" tint="0.79998168889431442"/>
        </patternFill>
      </fill>
      <alignment horizontal="right" vertical="center" textRotation="0" wrapText="0" indent="2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theme="6" tint="0.39997558519241921"/>
        </left>
        <right style="medium">
          <color theme="6" tint="0.39997558519241921"/>
        </right>
        <top style="medium">
          <color theme="6" tint="0.39997558519241921"/>
        </top>
        <bottom style="medium">
          <color theme="6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theme="6" tint="0.39997558519241921"/>
        </left>
        <right style="medium">
          <color theme="6" tint="0.39997558519241921"/>
        </right>
        <top style="medium">
          <color theme="6" tint="0.39997558519241921"/>
        </top>
        <bottom style="medium">
          <color theme="6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theme="6" tint="0.39997558519241921"/>
        </left>
        <right style="medium">
          <color theme="6" tint="0.39997558519241921"/>
        </right>
        <top style="medium">
          <color theme="6" tint="0.39997558519241921"/>
        </top>
        <bottom style="medium">
          <color theme="6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theme="6" tint="0.39997558519241921"/>
        </left>
        <right style="medium">
          <color theme="6" tint="0.39997558519241921"/>
        </right>
        <top style="medium">
          <color theme="6" tint="0.39997558519241921"/>
        </top>
        <bottom style="medium">
          <color theme="6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theme="6" tint="0.39997558519241921"/>
        </left>
        <right style="medium">
          <color theme="6" tint="0.39997558519241921"/>
        </right>
        <top style="medium">
          <color theme="6" tint="0.39997558519241921"/>
        </top>
        <bottom style="medium">
          <color theme="6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theme="6" tint="0.39997558519241921"/>
        </left>
        <right style="medium">
          <color theme="6" tint="0.39997558519241921"/>
        </right>
        <top style="medium">
          <color theme="6" tint="0.39997558519241921"/>
        </top>
        <bottom style="medium">
          <color theme="6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theme="6" tint="0.39997558519241921"/>
        </left>
        <right style="medium">
          <color theme="6" tint="0.39997558519241921"/>
        </right>
        <top style="medium">
          <color theme="6" tint="0.39997558519241921"/>
        </top>
        <bottom style="medium">
          <color theme="6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theme="6" tint="0.39997558519241921"/>
        </left>
        <right style="medium">
          <color theme="6" tint="0.39997558519241921"/>
        </right>
        <top style="medium">
          <color theme="6" tint="0.39997558519241921"/>
        </top>
        <bottom style="medium">
          <color theme="6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theme="6" tint="0.39997558519241921"/>
        </left>
        <right style="medium">
          <color theme="6" tint="0.39997558519241921"/>
        </right>
        <top style="medium">
          <color theme="6" tint="0.39997558519241921"/>
        </top>
        <bottom style="medium">
          <color theme="6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theme="6" tint="0.39997558519241921"/>
        </left>
        <right style="medium">
          <color theme="6" tint="0.39997558519241921"/>
        </right>
        <top style="medium">
          <color theme="6" tint="0.39997558519241921"/>
        </top>
        <bottom style="medium">
          <color theme="6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theme="6" tint="0.39997558519241921"/>
        </left>
        <right style="medium">
          <color theme="6" tint="0.39997558519241921"/>
        </right>
        <top style="medium">
          <color theme="6" tint="0.39997558519241921"/>
        </top>
        <bottom style="medium">
          <color theme="6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theme="6" tint="0.39997558519241921"/>
        </left>
        <right style="medium">
          <color theme="6" tint="0.39997558519241921"/>
        </right>
        <top style="medium">
          <color theme="6" tint="0.39997558519241921"/>
        </top>
        <bottom style="medium">
          <color theme="6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>
        <left/>
        <right style="medium">
          <color theme="6" tint="0.39997558519241921"/>
        </right>
        <top style="medium">
          <color theme="6" tint="0.39997558519241921"/>
        </top>
        <bottom style="medium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Sans Serif"/>
        <family val="2"/>
        <scheme val="minor"/>
      </font>
      <numFmt numFmtId="0" formatCode="General"/>
      <fill>
        <patternFill patternType="solid">
          <fgColor indexed="64"/>
          <bgColor theme="3"/>
        </patternFill>
      </fill>
      <alignment horizontal="left" vertical="center" textRotation="0" wrapText="0" relativeIndent="1" justifyLastLine="0" shrinkToFit="0" readingOrder="0"/>
      <border diagonalUp="0" diagonalDown="0" outline="0">
        <left style="medium">
          <color theme="6" tint="0.39997558519241921"/>
        </left>
        <right style="medium">
          <color theme="6" tint="0.39997558519241921"/>
        </right>
        <top style="medium">
          <color theme="6" tint="0.39997558519241921"/>
        </top>
        <bottom/>
      </border>
    </dxf>
    <dxf>
      <border outline="0">
        <bottom style="medium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Sans Serif"/>
        <family val="2"/>
        <scheme val="minor"/>
      </font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2"/>
        <name val="Franklin Gothic Book"/>
        <family val="2"/>
        <scheme val="major"/>
      </font>
      <numFmt numFmtId="0" formatCode="General"/>
      <fill>
        <patternFill patternType="solid">
          <fgColor indexed="64"/>
          <bgColor theme="3" tint="-0.499984740745262"/>
        </patternFill>
      </fill>
      <alignment horizontal="general" vertical="center" textRotation="0" wrapText="0" indent="0" justifyLastLine="0" shrinkToFit="0" readingOrder="0"/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/>
        <top style="medium">
          <color theme="6" tint="0.39994506668294322"/>
        </top>
        <bottom/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vertical="center" textRotation="0" wrapText="0" indent="0" justifyLastLine="0" shrinkToFit="0" readingOrder="0"/>
      <border diagonalUp="0" diagonalDown="0">
        <left style="medium">
          <color theme="6" tint="0.39994506668294322"/>
        </left>
        <right/>
        <top style="medium">
          <color theme="6" tint="0.39994506668294322"/>
        </top>
        <bottom style="medium">
          <color theme="6" tint="0.39994506668294322"/>
        </bottom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>
        <left/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Microsoft Sans Serif"/>
        <family val="2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2" justifyLastLine="0" shrinkToFit="0" readingOrder="0"/>
      <border diagonalUp="0" diagonalDown="0" outline="0">
        <left/>
        <right style="medium">
          <color theme="6" tint="0.39994506668294322"/>
        </right>
        <top style="medium">
          <color theme="6" tint="0.39994506668294322"/>
        </top>
        <bottom/>
      </border>
    </dxf>
    <dxf>
      <font>
        <b/>
        <strike val="0"/>
        <outline val="0"/>
        <shadow val="0"/>
        <u val="none"/>
        <vertAlign val="baseline"/>
        <sz val="10"/>
        <color theme="0"/>
        <name val="Microsoft Sans Serif"/>
        <family val="2"/>
        <scheme val="minor"/>
      </font>
      <fill>
        <patternFill patternType="solid">
          <fgColor indexed="64"/>
          <bgColor theme="3"/>
        </patternFill>
      </fill>
      <alignment horizontal="left" vertical="center" textRotation="0" wrapText="0" relativeIndent="-1" justifyLastLine="0" shrinkToFit="0" readingOrder="0"/>
      <border diagonalUp="0" diagonalDown="0" outline="0">
        <left/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border>
        <top style="medium">
          <color theme="6" tint="0.39994506668294322"/>
        </top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medium">
          <color theme="6" tint="0.39994506668294322"/>
        </left>
        <right style="medium">
          <color theme="6" tint="0.39994506668294322"/>
        </right>
        <top/>
        <bottom/>
      </border>
    </dxf>
    <dxf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border>
        <bottom style="medium">
          <color theme="6" tint="0.39994506668294322"/>
        </bottom>
      </border>
    </dxf>
    <dxf>
      <border diagonalUp="0" diagonalDown="0">
        <left style="medium">
          <color theme="6" tint="0.39994506668294322"/>
        </left>
        <right style="medium">
          <color theme="6" tint="0.39994506668294322"/>
        </right>
        <top/>
        <bottom/>
        <vertical style="medium">
          <color theme="6" tint="0.39994506668294322"/>
        </vertical>
        <horizontal style="medium">
          <color theme="6" tint="0.39994506668294322"/>
        </horizontal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/>
        <top style="medium">
          <color theme="6" tint="0.39994506668294322"/>
        </top>
        <bottom/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vertical="center" textRotation="0" wrapText="0" indent="0" justifyLastLine="0" shrinkToFit="0" readingOrder="0"/>
      <border diagonalUp="0" diagonalDown="0">
        <left style="medium">
          <color theme="6" tint="0.39994506668294322"/>
        </left>
        <right/>
        <top style="medium">
          <color theme="6" tint="0.39994506668294322"/>
        </top>
        <bottom style="medium">
          <color theme="6" tint="0.39994506668294322"/>
        </bottom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>
        <left/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Microsoft Sans Serif"/>
        <family val="2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2" justifyLastLine="0" shrinkToFit="0" readingOrder="0"/>
      <border diagonalUp="0" diagonalDown="0" outline="0">
        <left/>
        <right style="medium">
          <color theme="6" tint="0.39994506668294322"/>
        </right>
        <top style="medium">
          <color theme="6" tint="0.39994506668294322"/>
        </top>
        <bottom/>
      </border>
    </dxf>
    <dxf>
      <font>
        <b/>
        <strike val="0"/>
        <outline val="0"/>
        <shadow val="0"/>
        <u val="none"/>
        <vertAlign val="baseline"/>
        <sz val="10"/>
        <color theme="0"/>
        <name val="Microsoft Sans Serif"/>
        <family val="2"/>
        <scheme val="minor"/>
      </font>
      <fill>
        <patternFill patternType="solid">
          <fgColor indexed="64"/>
          <bgColor theme="3"/>
        </patternFill>
      </fill>
      <alignment horizontal="left" vertical="center" textRotation="0" wrapText="0" relativeIndent="-1" justifyLastLine="0" shrinkToFit="0" readingOrder="0"/>
      <border diagonalUp="0" diagonalDown="0" outline="0">
        <left/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border>
        <top style="medium">
          <color theme="6" tint="0.39994506668294322"/>
        </top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medium">
          <color theme="6" tint="0.39994506668294322"/>
        </left>
        <right style="medium">
          <color theme="6" tint="0.39994506668294322"/>
        </right>
        <top/>
        <bottom/>
      </border>
    </dxf>
    <dxf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border>
        <bottom style="medium">
          <color theme="6" tint="0.39994506668294322"/>
        </bottom>
      </border>
    </dxf>
    <dxf>
      <border diagonalUp="0" diagonalDown="0">
        <left style="medium">
          <color theme="6" tint="0.39994506668294322"/>
        </left>
        <right style="medium">
          <color theme="6" tint="0.39994506668294322"/>
        </right>
        <top/>
        <bottom/>
        <vertical style="medium">
          <color theme="6" tint="0.39994506668294322"/>
        </vertical>
        <horizontal style="medium">
          <color theme="6" tint="0.39994506668294322"/>
        </horizontal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/>
        <top style="medium">
          <color theme="6" tint="0.39994506668294322"/>
        </top>
        <bottom/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vertical="center" textRotation="0" wrapText="0" indent="0" justifyLastLine="0" shrinkToFit="0" readingOrder="0"/>
      <border diagonalUp="0" diagonalDown="0">
        <left style="medium">
          <color theme="6" tint="0.39994506668294322"/>
        </left>
        <right/>
        <top style="medium">
          <color theme="6" tint="0.39994506668294322"/>
        </top>
        <bottom style="medium">
          <color theme="6" tint="0.39994506668294322"/>
        </bottom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>
        <left/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Sans Serif"/>
        <family val="2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medium">
          <color theme="6" tint="0.39994506668294322"/>
        </right>
        <top style="medium">
          <color theme="6" tint="0.39994506668294322"/>
        </top>
        <bottom/>
      </border>
    </dxf>
    <dxf>
      <font>
        <b/>
        <strike val="0"/>
        <outline val="0"/>
        <shadow val="0"/>
        <u val="none"/>
        <vertAlign val="baseline"/>
        <sz val="10"/>
        <color theme="0"/>
        <name val="Microsoft Sans Serif"/>
        <family val="2"/>
        <scheme val="minor"/>
      </font>
      <fill>
        <patternFill patternType="solid">
          <fgColor indexed="64"/>
          <bgColor theme="3"/>
        </patternFill>
      </fill>
      <alignment horizontal="left" vertical="center" textRotation="0" wrapText="0" relativeIndent="-1" justifyLastLine="0" shrinkToFit="0" readingOrder="0"/>
      <border diagonalUp="0" diagonalDown="0" outline="0">
        <left/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border>
        <top style="medium">
          <color theme="6" tint="0.39994506668294322"/>
        </top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medium">
          <color theme="6" tint="0.39994506668294322"/>
        </left>
        <right style="medium">
          <color theme="6" tint="0.39994506668294322"/>
        </right>
        <top/>
        <bottom/>
      </border>
    </dxf>
    <dxf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border>
        <bottom style="medium">
          <color theme="6" tint="0.39994506668294322"/>
        </bottom>
      </border>
    </dxf>
    <dxf>
      <border diagonalUp="0" diagonalDown="0">
        <left style="medium">
          <color theme="6" tint="0.39994506668294322"/>
        </left>
        <right style="medium">
          <color theme="6" tint="0.39994506668294322"/>
        </right>
        <top/>
        <bottom/>
        <vertical style="medium">
          <color theme="6" tint="0.39994506668294322"/>
        </vertical>
        <horizontal style="medium">
          <color theme="6" tint="0.39994506668294322"/>
        </horizontal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/>
        <top style="medium">
          <color theme="6" tint="0.39994506668294322"/>
        </top>
        <bottom/>
      </border>
    </dxf>
    <dxf>
      <font>
        <b val="0"/>
      </font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theme="6" tint="0.39994506668294322"/>
        </left>
        <right/>
        <top style="medium">
          <color theme="6" tint="0.39994506668294322"/>
        </top>
        <bottom style="medium">
          <color theme="6" tint="0.39994506668294322"/>
        </bottom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Microsoft Sans Serif"/>
        <family val="2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medium">
          <color theme="6" tint="0.39994506668294322"/>
        </right>
        <top style="medium">
          <color theme="6" tint="0.39994506668294322"/>
        </top>
        <bottom/>
      </border>
    </dxf>
    <dxf>
      <alignment horizontal="left" vertical="center" textRotation="0" wrapText="0" relativeIndent="1" justifyLastLine="0" shrinkToFit="0" readingOrder="0"/>
    </dxf>
    <dxf>
      <border>
        <top style="medium">
          <color theme="6" tint="0.39994506668294322"/>
        </top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theme="6" tint="0.39994506668294322"/>
        </left>
        <right style="medium">
          <color theme="6" tint="0.39994506668294322"/>
        </right>
        <top/>
        <bottom/>
        <vertical style="medium">
          <color theme="6" tint="0.39994506668294322"/>
        </vertical>
        <horizontal style="medium">
          <color theme="6" tint="0.39994506668294322"/>
        </horizontal>
      </border>
    </dxf>
    <dxf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border>
        <bottom style="medium">
          <color theme="6" tint="0.39994506668294322"/>
        </bottom>
      </border>
    </dxf>
    <dxf>
      <border diagonalUp="0" diagonalDown="0">
        <left style="medium">
          <color theme="6" tint="0.39994506668294322"/>
        </left>
        <right style="medium">
          <color theme="6" tint="0.39994506668294322"/>
        </right>
        <top/>
        <bottom/>
        <vertical style="medium">
          <color theme="6" tint="0.39994506668294322"/>
        </vertical>
        <horizontal style="medium">
          <color theme="6" tint="0.39994506668294322"/>
        </horizontal>
      </border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theme="6" tint="0.39997558519241921"/>
        </left>
        <right style="medium">
          <color theme="6" tint="0.39997558519241921"/>
        </right>
        <top style="medium">
          <color theme="6" tint="0.39997558519241921"/>
        </top>
        <bottom style="medium">
          <color theme="6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theme="6" tint="0.39997558519241921"/>
        </left>
        <right style="medium">
          <color theme="6" tint="0.39997558519241921"/>
        </right>
        <top style="medium">
          <color theme="6" tint="0.39997558519241921"/>
        </top>
        <bottom style="medium">
          <color theme="6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theme="6" tint="0.39997558519241921"/>
        </left>
        <right style="medium">
          <color theme="6" tint="0.39997558519241921"/>
        </right>
        <top style="medium">
          <color theme="6" tint="0.39997558519241921"/>
        </top>
        <bottom style="medium">
          <color theme="6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theme="6" tint="0.39997558519241921"/>
        </left>
        <right style="medium">
          <color theme="6" tint="0.39997558519241921"/>
        </right>
        <top style="medium">
          <color theme="6" tint="0.39997558519241921"/>
        </top>
        <bottom style="medium">
          <color theme="6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theme="6" tint="0.39997558519241921"/>
        </left>
        <right style="medium">
          <color theme="6" tint="0.39997558519241921"/>
        </right>
        <top style="medium">
          <color theme="6" tint="0.39997558519241921"/>
        </top>
        <bottom style="medium">
          <color theme="6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theme="6" tint="0.39997558519241921"/>
        </left>
        <right style="medium">
          <color theme="6" tint="0.39997558519241921"/>
        </right>
        <top style="medium">
          <color theme="6" tint="0.39997558519241921"/>
        </top>
        <bottom style="medium">
          <color theme="6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theme="6" tint="0.39997558519241921"/>
        </left>
        <right style="medium">
          <color theme="6" tint="0.39997558519241921"/>
        </right>
        <top style="medium">
          <color theme="6" tint="0.39997558519241921"/>
        </top>
        <bottom style="medium">
          <color theme="6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theme="6" tint="0.39997558519241921"/>
        </left>
        <right style="medium">
          <color theme="6" tint="0.39997558519241921"/>
        </right>
        <top style="medium">
          <color theme="6" tint="0.39997558519241921"/>
        </top>
        <bottom style="medium">
          <color theme="6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theme="6" tint="0.39997558519241921"/>
        </left>
        <right style="medium">
          <color theme="6" tint="0.39997558519241921"/>
        </right>
        <top style="medium">
          <color theme="6" tint="0.39997558519241921"/>
        </top>
        <bottom style="medium">
          <color theme="6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theme="6" tint="0.39997558519241921"/>
        </left>
        <right style="medium">
          <color theme="6" tint="0.39997558519241921"/>
        </right>
        <top style="medium">
          <color theme="6" tint="0.39997558519241921"/>
        </top>
        <bottom style="medium">
          <color theme="6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theme="6" tint="0.39997558519241921"/>
        </left>
        <right style="medium">
          <color theme="6" tint="0.39997558519241921"/>
        </right>
        <top style="medium">
          <color theme="6" tint="0.39997558519241921"/>
        </top>
        <bottom style="medium">
          <color theme="6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theme="6" tint="0.39997558519241921"/>
        </left>
        <right style="medium">
          <color theme="6" tint="0.39997558519241921"/>
        </right>
        <top style="medium">
          <color theme="6" tint="0.39997558519241921"/>
        </top>
        <bottom style="medium">
          <color theme="6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>
        <left/>
        <right style="medium">
          <color theme="6" tint="0.39997558519241921"/>
        </right>
        <top style="medium">
          <color theme="6" tint="0.39997558519241921"/>
        </top>
        <bottom style="medium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Sans Serif"/>
        <family val="2"/>
        <scheme val="minor"/>
      </font>
      <numFmt numFmtId="0" formatCode="General"/>
      <fill>
        <patternFill patternType="solid">
          <fgColor indexed="64"/>
          <bgColor theme="3"/>
        </patternFill>
      </fill>
      <alignment horizontal="left" vertical="center" textRotation="0" wrapText="0" relativeIndent="1" justifyLastLine="0" shrinkToFit="0" readingOrder="0"/>
      <border diagonalUp="0" diagonalDown="0" outline="0">
        <left/>
        <right/>
        <top style="medium">
          <color theme="6" tint="0.39997558519241921"/>
        </top>
        <bottom/>
      </border>
    </dxf>
    <dxf>
      <border outline="0">
        <left style="medium">
          <color theme="6" tint="0.39997558519241921"/>
        </left>
        <bottom style="medium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Sans Serif"/>
        <family val="2"/>
        <scheme val="minor"/>
      </font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2"/>
        <name val="Franklin Gothic Book"/>
        <family val="2"/>
        <scheme val="major"/>
      </font>
      <numFmt numFmtId="0" formatCode="General"/>
      <fill>
        <patternFill patternType="solid">
          <fgColor indexed="64"/>
          <bgColor theme="3" tint="-0.499984740745262"/>
        </patternFill>
      </fill>
      <alignment horizontal="general" vertical="center" textRotation="0" wrapText="0" indent="0" justifyLastLine="0" shrinkToFit="0" readingOrder="0"/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/>
        <top style="medium">
          <color theme="6" tint="0.39994506668294322"/>
        </top>
        <bottom/>
      </border>
    </dxf>
    <dxf>
      <numFmt numFmtId="164" formatCode="&quot;R$&quot;\ #,##0.00;[Red]\-&quot;R$&quot;\ #,##0.00"/>
      <alignment vertical="center" textRotation="0" wrapText="0" indent="0" justifyLastLine="0" shrinkToFit="0" readingOrder="0"/>
      <border diagonalUp="0" diagonalDown="0">
        <left style="medium">
          <color theme="6" tint="0.39994506668294322"/>
        </left>
        <right/>
        <top style="medium">
          <color theme="6" tint="0.39994506668294322"/>
        </top>
        <bottom style="medium">
          <color theme="6" tint="0.39994506668294322"/>
        </bottom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border diagonalUp="0" diagonalDown="0">
        <left/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icrosoft Sans Serif"/>
        <family val="2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medium">
          <color theme="6" tint="0.39994506668294322"/>
        </top>
        <bottom/>
      </border>
    </dxf>
    <dxf>
      <alignment horizontal="left" vertical="center" textRotation="0" wrapText="0" relativeIndent="1" justifyLastLine="0" shrinkToFit="0" readingOrder="0"/>
      <border diagonalUp="0" diagonalDown="0" outline="0">
        <left/>
        <right/>
        <top style="medium">
          <color theme="6" tint="0.39994506668294322"/>
        </top>
        <bottom style="medium">
          <color theme="6" tint="0.39994506668294322"/>
        </bottom>
      </border>
    </dxf>
    <dxf>
      <border>
        <top style="medium">
          <color theme="6" tint="0.39994506668294322"/>
        </top>
      </border>
    </dxf>
    <dxf>
      <border diagonalUp="0" diagonalDown="0">
        <left style="medium">
          <color theme="6" tint="0.39994506668294322"/>
        </left>
        <right style="medium">
          <color theme="6" tint="0.39994506668294322"/>
        </right>
        <top/>
        <bottom/>
        <vertical style="medium">
          <color theme="6" tint="0.39994506668294322"/>
        </vertical>
        <horizontal style="medium">
          <color theme="6" tint="0.39994506668294322"/>
        </horizontal>
      </border>
    </dxf>
    <dxf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border>
        <bottom style="medium">
          <color theme="6" tint="0.39994506668294322"/>
        </bottom>
      </border>
    </dxf>
    <dxf>
      <border diagonalUp="0" diagonalDown="0">
        <left style="medium">
          <color theme="6" tint="0.39994506668294322"/>
        </left>
        <right style="medium">
          <color theme="6" tint="0.39994506668294322"/>
        </right>
        <top/>
        <bottom/>
        <vertical style="medium">
          <color theme="6" tint="0.39994506668294322"/>
        </vertical>
        <horizontal style="medium">
          <color theme="6" tint="0.39994506668294322"/>
        </horizontal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/>
        <top style="medium">
          <color theme="6" tint="0.39994506668294322"/>
        </top>
        <bottom/>
      </border>
    </dxf>
    <dxf>
      <numFmt numFmtId="164" formatCode="&quot;R$&quot;\ #,##0.00;[Red]\-&quot;R$&quot;\ #,##0.00"/>
      <alignment horizontal="right" vertical="center" textRotation="0" wrapText="0" indent="0" justifyLastLine="0" shrinkToFit="0" readingOrder="0"/>
      <border diagonalUp="0" diagonalDown="0">
        <left style="medium">
          <color theme="6" tint="0.39994506668294322"/>
        </left>
        <right/>
        <top style="medium">
          <color theme="6" tint="0.39994506668294322"/>
        </top>
        <bottom style="medium">
          <color theme="6" tint="0.39994506668294322"/>
        </bottom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icrosoft Sans Serif"/>
        <family val="2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2" justifyLastLine="0" shrinkToFit="0" readingOrder="0"/>
      <border diagonalUp="0" diagonalDown="0" outline="0">
        <left/>
        <right style="medium">
          <color theme="6" tint="0.39994506668294322"/>
        </right>
        <top style="medium">
          <color theme="6" tint="0.39994506668294322"/>
        </top>
        <bottom/>
      </border>
    </dxf>
    <dxf>
      <font>
        <b/>
        <strike val="0"/>
        <outline val="0"/>
        <shadow val="0"/>
        <u val="none"/>
        <vertAlign val="baseline"/>
        <sz val="10"/>
        <color theme="0"/>
        <name val="Microsoft Sans Serif"/>
        <family val="2"/>
        <scheme val="minor"/>
      </font>
      <fill>
        <patternFill patternType="solid">
          <fgColor indexed="64"/>
          <bgColor theme="3"/>
        </patternFill>
      </fill>
      <alignment horizontal="left" vertical="center" textRotation="0" wrapText="0" relativeIndent="-1" justifyLastLine="0" shrinkToFit="0" readingOrder="0"/>
      <border diagonalUp="0" diagonalDown="0" outline="0">
        <left/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border>
        <top style="medium">
          <color theme="6" tint="0.39994506668294322"/>
        </top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medium">
          <color theme="6" tint="0.39994506668294322"/>
        </left>
        <right style="medium">
          <color theme="6" tint="0.39994506668294322"/>
        </right>
        <top/>
        <bottom/>
      </border>
    </dxf>
    <dxf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border>
        <bottom style="medium">
          <color theme="6" tint="0.39994506668294322"/>
        </bottom>
      </border>
    </dxf>
    <dxf>
      <border diagonalUp="0" diagonalDown="0">
        <left style="medium">
          <color theme="6" tint="0.39994506668294322"/>
        </left>
        <right style="medium">
          <color theme="6" tint="0.39994506668294322"/>
        </right>
        <top/>
        <bottom/>
        <vertical style="medium">
          <color theme="6" tint="0.39994506668294322"/>
        </vertical>
        <horizontal style="medium">
          <color theme="6" tint="0.39994506668294322"/>
        </horizontal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/>
        <top style="medium">
          <color theme="6" tint="0.39994506668294322"/>
        </top>
        <bottom/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vertical="center" textRotation="0" wrapText="0" indent="0" justifyLastLine="0" shrinkToFit="0" readingOrder="0"/>
      <border diagonalUp="0" diagonalDown="0">
        <left style="medium">
          <color theme="6" tint="0.39994506668294322"/>
        </left>
        <right/>
        <top style="medium">
          <color theme="6" tint="0.39994506668294322"/>
        </top>
        <bottom style="medium">
          <color theme="6" tint="0.39994506668294322"/>
        </bottom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>
        <left/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icrosoft Sans Serif"/>
        <family val="2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medium">
          <color theme="6" tint="0.39994506668294322"/>
        </right>
        <top style="medium">
          <color theme="6" tint="0.39994506668294322"/>
        </top>
        <bottom/>
      </border>
    </dxf>
    <dxf>
      <alignment horizontal="left" vertical="center" textRotation="0" wrapText="0" relativeIndent="-1" justifyLastLine="0" shrinkToFit="0" readingOrder="0"/>
      <border diagonalUp="0" diagonalDown="0" outline="0">
        <left/>
        <right/>
        <top style="medium">
          <color theme="6" tint="0.39994506668294322"/>
        </top>
        <bottom style="medium">
          <color theme="6" tint="0.39994506668294322"/>
        </bottom>
      </border>
    </dxf>
    <dxf>
      <border>
        <top style="medium">
          <color theme="6" tint="0.39994506668294322"/>
        </top>
      </border>
    </dxf>
    <dxf>
      <border diagonalUp="0" diagonalDown="0">
        <left style="medium">
          <color theme="6" tint="0.39994506668294322"/>
        </left>
        <right style="medium">
          <color theme="6" tint="0.39994506668294322"/>
        </right>
        <top/>
        <bottom/>
        <vertical style="medium">
          <color theme="6" tint="0.39994506668294322"/>
        </vertical>
        <horizontal style="medium">
          <color theme="6" tint="0.39994506668294322"/>
        </horizontal>
      </border>
    </dxf>
    <dxf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border>
        <bottom style="medium">
          <color theme="6" tint="0.39994506668294322"/>
        </bottom>
      </border>
    </dxf>
    <dxf>
      <border diagonalUp="0" diagonalDown="0">
        <left style="medium">
          <color theme="6" tint="0.39994506668294322"/>
        </left>
        <right style="medium">
          <color theme="6" tint="0.39994506668294322"/>
        </right>
        <top/>
        <bottom/>
        <vertical style="medium">
          <color theme="6" tint="0.39994506668294322"/>
        </vertical>
        <horizontal style="medium">
          <color theme="6" tint="0.39994506668294322"/>
        </horizontal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border diagonalUp="0" diagonalDown="0" outline="0">
        <left style="medium">
          <color theme="6" tint="0.39994506668294322"/>
        </left>
        <right/>
        <top style="medium">
          <color theme="6" tint="0.39994506668294322"/>
        </top>
        <bottom style="medium">
          <color theme="6" tint="0.39991454817346722"/>
        </bottom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39994506668294322"/>
        </left>
        <right/>
        <top style="medium">
          <color theme="6" tint="0.39994506668294322"/>
        </top>
        <bottom style="medium">
          <color theme="6" tint="0.39994506668294322"/>
        </bottom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1454817346722"/>
        </bottom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1454817346722"/>
        </bottom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1454817346722"/>
        </bottom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1454817346722"/>
        </bottom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1454817346722"/>
        </bottom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1454817346722"/>
        </bottom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1454817346722"/>
        </bottom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1454817346722"/>
        </bottom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1454817346722"/>
        </bottom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1454817346722"/>
        </bottom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1454817346722"/>
        </bottom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1454817346722"/>
        </bottom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icrosoft Sans Serif"/>
        <family val="2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/>
        <right style="medium">
          <color theme="6" tint="0.39994506668294322"/>
        </right>
        <top style="medium">
          <color theme="6" tint="0.39994506668294322"/>
        </top>
        <bottom style="medium">
          <color theme="6" tint="0.39991454817346722"/>
        </bottom>
      </border>
    </dxf>
    <dxf>
      <font>
        <b/>
        <strike val="0"/>
        <outline val="0"/>
        <shadow val="0"/>
        <u val="none"/>
        <vertAlign val="baseline"/>
        <sz val="10"/>
        <color theme="0"/>
        <name val="Microsoft Sans Serif"/>
        <family val="2"/>
        <scheme val="minor"/>
      </font>
      <fill>
        <patternFill patternType="solid">
          <fgColor indexed="64"/>
          <bgColor theme="3"/>
        </patternFill>
      </fill>
      <alignment horizontal="left" vertical="center" textRotation="0" wrapText="0" indent="1" justifyLastLine="0" shrinkToFit="0" readingOrder="0"/>
      <border diagonalUp="0" diagonalDown="0">
        <left style="medium">
          <color theme="6" tint="0.39988402966399123"/>
        </left>
        <right/>
        <top style="medium">
          <color theme="6" tint="0.39994506668294322"/>
        </top>
        <bottom style="medium">
          <color theme="6" tint="0.39994506668294322"/>
        </bottom>
        <vertical/>
        <horizontal/>
      </border>
    </dxf>
    <dxf>
      <border>
        <top style="medium">
          <color theme="6" tint="0.39994506668294322"/>
        </top>
      </border>
    </dxf>
    <dxf>
      <border diagonalUp="0" diagonalDown="0">
        <left style="medium">
          <color theme="6" tint="0.39994506668294322"/>
        </left>
        <right style="medium">
          <color theme="6" tint="0.39994506668294322"/>
        </right>
        <top/>
        <bottom/>
        <vertical style="medium">
          <color theme="6" tint="0.39994506668294322"/>
        </vertical>
        <horizontal/>
      </border>
    </dxf>
    <dxf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border>
        <bottom style="medium">
          <color theme="6" tint="0.39994506668294322"/>
        </bottom>
      </border>
    </dxf>
    <dxf>
      <border diagonalUp="0" diagonalDown="0">
        <left style="medium">
          <color theme="6" tint="0.39994506668294322"/>
        </left>
        <right style="medium">
          <color theme="6" tint="0.39994506668294322"/>
        </right>
        <top/>
        <bottom/>
        <vertical style="medium">
          <color theme="6" tint="0.39994506668294322"/>
        </vertical>
        <horizontal style="medium">
          <color theme="6" tint="0.3999450666829432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39997558519241921"/>
        </left>
        <right style="medium">
          <color theme="6" tint="0.39997558519241921"/>
        </right>
        <top style="medium">
          <color theme="6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39997558519241921"/>
        </left>
        <right style="medium">
          <color theme="6" tint="0.39997558519241921"/>
        </right>
        <top style="medium">
          <color theme="6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39997558519241921"/>
        </left>
        <right style="medium">
          <color theme="6" tint="0.39997558519241921"/>
        </right>
        <top style="medium">
          <color theme="6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39997558519241921"/>
        </left>
        <right style="medium">
          <color theme="6" tint="0.39997558519241921"/>
        </right>
        <top style="medium">
          <color theme="6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39997558519241921"/>
        </left>
        <right style="medium">
          <color theme="6" tint="0.39997558519241921"/>
        </right>
        <top style="medium">
          <color theme="6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39997558519241921"/>
        </left>
        <right style="medium">
          <color theme="6" tint="0.39997558519241921"/>
        </right>
        <top style="medium">
          <color theme="6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39997558519241921"/>
        </left>
        <right style="medium">
          <color theme="6" tint="0.39997558519241921"/>
        </right>
        <top style="medium">
          <color theme="6" tint="0.39997558519241921"/>
        </top>
        <bottom style="medium">
          <color theme="6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39997558519241921"/>
        </left>
        <right style="medium">
          <color theme="6" tint="0.39997558519241921"/>
        </right>
        <top style="medium">
          <color theme="6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39997558519241921"/>
        </left>
        <right style="medium">
          <color theme="6" tint="0.39997558519241921"/>
        </right>
        <top style="medium">
          <color theme="6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39997558519241921"/>
        </left>
        <right style="medium">
          <color theme="6" tint="0.39997558519241921"/>
        </right>
        <top style="medium">
          <color theme="6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39997558519241921"/>
        </left>
        <right style="medium">
          <color theme="6" tint="0.39997558519241921"/>
        </right>
        <top style="medium">
          <color theme="6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39997558519241921"/>
        </left>
        <right style="medium">
          <color theme="6" tint="0.39997558519241921"/>
        </right>
        <top style="medium">
          <color theme="6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theme="6" tint="0.39997558519241921"/>
        </right>
        <top style="medium">
          <color theme="6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Sans Serif"/>
        <family val="2"/>
        <scheme val="minor"/>
      </font>
      <numFmt numFmtId="0" formatCode="General"/>
      <fill>
        <patternFill patternType="solid">
          <fgColor indexed="64"/>
          <bgColor theme="3"/>
        </patternFill>
      </fill>
      <alignment horizontal="left" vertical="center" textRotation="0" wrapText="0" relativeIndent="1" justifyLastLine="0" shrinkToFit="0" readingOrder="0"/>
      <border diagonalUp="0" diagonalDown="0" outline="0">
        <left/>
        <right style="medium">
          <color theme="6" tint="0.39997558519241921"/>
        </right>
        <top style="medium">
          <color theme="6" tint="0.39997558519241921"/>
        </top>
        <bottom/>
      </border>
    </dxf>
    <dxf>
      <border outline="0">
        <top style="medium">
          <color theme="6" tint="0.39997558519241921"/>
        </top>
      </border>
    </dxf>
    <dxf>
      <border outline="0">
        <left style="medium">
          <color theme="6" tint="0.39997558519241921"/>
        </left>
        <bottom style="medium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Sans Serif"/>
        <family val="2"/>
        <scheme val="minor"/>
      </font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</dxf>
    <dxf>
      <border outline="0">
        <bottom style="medium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Franklin Gothic Book"/>
        <family val="2"/>
        <scheme val="major"/>
      </font>
      <numFmt numFmtId="0" formatCode="General"/>
      <fill>
        <patternFill patternType="solid">
          <fgColor indexed="64"/>
          <bgColor theme="3" tint="-0.49998474074526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/>
        <top style="medium">
          <color theme="6" tint="0.39994506668294322"/>
        </top>
        <bottom/>
      </border>
    </dxf>
    <dxf>
      <font>
        <strike val="0"/>
        <outline val="0"/>
        <shadow val="0"/>
        <u val="none"/>
        <vertAlign val="baseline"/>
        <sz val="9"/>
        <color theme="1"/>
        <name val="Microsoft Sans Serif"/>
        <family val="2"/>
        <scheme val="minor"/>
      </font>
      <numFmt numFmtId="164" formatCode="&quot;R$&quot;\ #,##0.00;[Red]\-&quot;R$&quot;\ #,##0.00"/>
      <border diagonalUp="0" diagonalDown="0">
        <left style="medium">
          <color theme="6" tint="0.39994506668294322"/>
        </left>
        <right/>
        <top style="medium">
          <color theme="6" tint="0.39994506668294322"/>
        </top>
        <bottom style="medium">
          <color theme="6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font>
        <strike val="0"/>
        <outline val="0"/>
        <shadow val="0"/>
        <u val="none"/>
        <vertAlign val="baseline"/>
        <sz val="9"/>
        <color theme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0"/>
        </patternFill>
      </fill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font>
        <strike val="0"/>
        <outline val="0"/>
        <shadow val="0"/>
        <u val="none"/>
        <vertAlign val="baseline"/>
        <sz val="9"/>
        <color theme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0"/>
        </patternFill>
      </fill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font>
        <strike val="0"/>
        <outline val="0"/>
        <shadow val="0"/>
        <u val="none"/>
        <vertAlign val="baseline"/>
        <sz val="9"/>
        <color theme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0"/>
        </patternFill>
      </fill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font>
        <strike val="0"/>
        <outline val="0"/>
        <shadow val="0"/>
        <u val="none"/>
        <vertAlign val="baseline"/>
        <sz val="9"/>
        <color theme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0"/>
        </patternFill>
      </fill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font>
        <strike val="0"/>
        <outline val="0"/>
        <shadow val="0"/>
        <u val="none"/>
        <vertAlign val="baseline"/>
        <sz val="9"/>
        <color theme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0"/>
        </patternFill>
      </fill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font>
        <strike val="0"/>
        <outline val="0"/>
        <shadow val="0"/>
        <u val="none"/>
        <vertAlign val="baseline"/>
        <sz val="9"/>
        <color theme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0"/>
        </patternFill>
      </fill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font>
        <strike val="0"/>
        <outline val="0"/>
        <shadow val="0"/>
        <u val="none"/>
        <vertAlign val="baseline"/>
        <sz val="9"/>
        <color theme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0"/>
        </patternFill>
      </fill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font>
        <strike val="0"/>
        <outline val="0"/>
        <shadow val="0"/>
        <u val="none"/>
        <vertAlign val="baseline"/>
        <sz val="9"/>
        <color theme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0"/>
        </patternFill>
      </fill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font>
        <strike val="0"/>
        <outline val="0"/>
        <shadow val="0"/>
        <u val="none"/>
        <vertAlign val="baseline"/>
        <sz val="9"/>
        <color theme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0"/>
        </patternFill>
      </fill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font>
        <strike val="0"/>
        <outline val="0"/>
        <shadow val="0"/>
        <u val="none"/>
        <vertAlign val="baseline"/>
        <sz val="9"/>
        <color theme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0"/>
        </patternFill>
      </fill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font>
        <strike val="0"/>
        <outline val="0"/>
        <shadow val="0"/>
        <u val="none"/>
        <vertAlign val="baseline"/>
        <sz val="9"/>
        <color theme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0"/>
        </patternFill>
      </fill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theme="6" tint="0.39994506668294322"/>
        </right>
        <top style="medium">
          <color theme="6" tint="0.39994506668294322"/>
        </top>
        <bottom/>
      </border>
    </dxf>
    <dxf>
      <font>
        <strike val="0"/>
        <outline val="0"/>
        <shadow val="0"/>
        <u val="none"/>
        <vertAlign val="baseline"/>
        <sz val="9"/>
        <color theme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0"/>
        </patternFill>
      </fill>
      <border diagonalUp="0" diagonalDown="0">
        <left/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Sans Serif"/>
        <family val="2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medium">
          <color theme="6" tint="0.39991454817346722"/>
        </right>
        <top style="medium">
          <color theme="6" tint="0.39994506668294322"/>
        </top>
        <bottom/>
      </border>
    </dxf>
    <dxf>
      <font>
        <b/>
        <strike val="0"/>
        <outline val="0"/>
        <shadow val="0"/>
        <u val="none"/>
        <vertAlign val="baseline"/>
        <sz val="10"/>
        <color theme="0"/>
        <name val="Microsoft Sans Serif"/>
        <family val="2"/>
        <scheme val="minor"/>
      </font>
      <fill>
        <patternFill patternType="solid">
          <fgColor indexed="64"/>
          <bgColor theme="3"/>
        </patternFill>
      </fill>
      <alignment horizontal="left" vertical="center" textRotation="0" wrapText="0" relativeIndent="1" justifyLastLine="0" shrinkToFit="0" readingOrder="0"/>
      <border diagonalUp="0" diagonalDown="0" outline="0">
        <left/>
        <right/>
        <top style="medium">
          <color theme="6" tint="0.39994506668294322"/>
        </top>
        <bottom style="medium">
          <color theme="6" tint="0.39994506668294322"/>
        </bottom>
      </border>
    </dxf>
    <dxf>
      <border>
        <top style="medium">
          <color theme="6" tint="0.39994506668294322"/>
        </top>
      </border>
    </dxf>
    <dxf>
      <border diagonalUp="0" diagonalDown="0">
        <left style="medium">
          <color theme="6" tint="0.39994506668294322"/>
        </left>
        <right style="medium">
          <color theme="6" tint="0.39994506668294322"/>
        </right>
        <top/>
        <bottom/>
        <vertical style="medium">
          <color theme="6" tint="0.39994506668294322"/>
        </vertical>
        <horizontal style="medium">
          <color theme="6" tint="0.39994506668294322"/>
        </horizontal>
      </border>
    </dxf>
    <dxf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border>
        <bottom style="medium">
          <color theme="6" tint="0.39994506668294322"/>
        </bottom>
      </border>
    </dxf>
    <dxf>
      <border diagonalUp="0" diagonalDown="0">
        <left style="medium">
          <color theme="6" tint="0.39994506668294322"/>
        </left>
        <right style="medium">
          <color theme="6" tint="0.39994506668294322"/>
        </right>
        <top/>
        <bottom/>
        <vertical style="medium">
          <color theme="6" tint="0.39994506668294322"/>
        </vertical>
        <horizontal style="medium">
          <color theme="6" tint="0.39994506668294322"/>
        </horizontal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/>
        <top style="medium">
          <color theme="6" tint="0.39994506668294322"/>
        </top>
        <bottom/>
      </border>
    </dxf>
    <dxf>
      <numFmt numFmtId="164" formatCode="&quot;R$&quot;\ #,##0.00;[Red]\-&quot;R$&quot;\ #,##0.00"/>
      <alignment horizontal="right" vertical="center" textRotation="0" wrapText="0" indent="0" justifyLastLine="0" shrinkToFit="0" readingOrder="0"/>
      <border diagonalUp="0" diagonalDown="0">
        <left style="medium">
          <color theme="6" tint="0.39994506668294322"/>
        </left>
        <right/>
        <top style="medium">
          <color theme="6" tint="0.39994506668294322"/>
        </top>
        <bottom style="medium">
          <color theme="6" tint="0.39994506668294322"/>
        </bottom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Sans Serif"/>
        <family val="2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2" justifyLastLine="0" shrinkToFit="0" readingOrder="0"/>
      <border diagonalUp="0" diagonalDown="0" outline="0">
        <left/>
        <right style="medium">
          <color theme="6" tint="0.39991454817346722"/>
        </right>
        <top style="medium">
          <color theme="6" tint="0.39994506668294322"/>
        </top>
        <bottom/>
      </border>
    </dxf>
    <dxf>
      <font>
        <b/>
        <strike val="0"/>
        <outline val="0"/>
        <shadow val="0"/>
        <u val="none"/>
        <vertAlign val="baseline"/>
        <sz val="10"/>
        <color theme="0"/>
        <name val="Microsoft Sans Serif"/>
        <family val="2"/>
        <scheme val="minor"/>
      </font>
      <fill>
        <patternFill patternType="solid">
          <fgColor indexed="64"/>
          <bgColor theme="3"/>
        </patternFill>
      </fill>
      <alignment horizontal="left" vertical="center" textRotation="0" wrapText="0" relativeIndent="-1" justifyLastLine="0" shrinkToFit="0" readingOrder="0"/>
      <border diagonalUp="0" diagonalDown="0" outline="0">
        <left/>
        <right/>
        <top style="medium">
          <color theme="6" tint="0.39994506668294322"/>
        </top>
        <bottom style="medium">
          <color theme="6" tint="0.39994506668294322"/>
        </bottom>
      </border>
    </dxf>
    <dxf>
      <border>
        <top style="medium">
          <color theme="6" tint="0.39994506668294322"/>
        </top>
      </border>
    </dxf>
    <dxf>
      <border diagonalUp="0" diagonalDown="0">
        <left style="medium">
          <color theme="6" tint="0.39994506668294322"/>
        </left>
        <right style="medium">
          <color theme="6" tint="0.39994506668294322"/>
        </right>
        <top/>
        <bottom/>
        <vertical style="medium">
          <color theme="6" tint="0.39994506668294322"/>
        </vertical>
        <horizontal style="medium">
          <color theme="6" tint="0.39994506668294322"/>
        </horizontal>
      </border>
    </dxf>
    <dxf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border>
        <bottom style="medium">
          <color theme="6" tint="0.39994506668294322"/>
        </bottom>
      </border>
    </dxf>
    <dxf>
      <border diagonalUp="0" diagonalDown="0">
        <left style="medium">
          <color theme="6" tint="0.39994506668294322"/>
        </left>
        <right style="medium">
          <color theme="6" tint="0.39994506668294322"/>
        </right>
        <top/>
        <bottom/>
        <vertical style="medium">
          <color theme="6" tint="0.39994506668294322"/>
        </vertical>
        <horizontal style="medium">
          <color theme="6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/>
        <top style="medium">
          <color theme="6" tint="0.39994506668294322"/>
        </top>
        <bottom/>
      </border>
    </dxf>
    <dxf>
      <font>
        <strike val="0"/>
        <outline val="0"/>
        <shadow val="0"/>
        <u val="none"/>
        <vertAlign val="baseline"/>
        <sz val="9"/>
        <color theme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39994506668294322"/>
        </left>
        <right/>
        <top style="medium">
          <color theme="6" tint="0.39994506668294322"/>
        </top>
        <bottom style="medium">
          <color theme="6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  <vertical style="medium">
          <color theme="6" tint="0.39994506668294322"/>
        </vertical>
        <horizontal style="medium">
          <color theme="6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  <vertical style="medium">
          <color theme="6" tint="0.39994506668294322"/>
        </vertical>
        <horizontal style="medium">
          <color theme="6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  <vertical style="medium">
          <color theme="6" tint="0.39994506668294322"/>
        </vertical>
        <horizontal style="medium">
          <color theme="6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  <vertical style="medium">
          <color theme="6" tint="0.39994506668294322"/>
        </vertical>
        <horizontal style="medium">
          <color theme="6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  <vertical style="medium">
          <color theme="6" tint="0.39994506668294322"/>
        </vertical>
        <horizontal style="medium">
          <color theme="6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  <vertical style="medium">
          <color theme="6" tint="0.39994506668294322"/>
        </vertical>
        <horizontal style="medium">
          <color theme="6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  <vertical style="medium">
          <color theme="6" tint="0.39994506668294322"/>
        </vertical>
        <horizontal style="medium">
          <color theme="6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  <vertical style="medium">
          <color theme="6" tint="0.39994506668294322"/>
        </vertical>
        <horizontal style="medium">
          <color theme="6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  <vertical style="medium">
          <color theme="6" tint="0.39994506668294322"/>
        </vertical>
        <horizontal style="medium">
          <color theme="6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  <vertical style="medium">
          <color theme="6" tint="0.39994506668294322"/>
        </vertical>
        <horizontal style="medium">
          <color theme="6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theme="6" tint="0.39994506668294322"/>
        </right>
        <top style="medium">
          <color theme="6" tint="0.39994506668294322"/>
        </top>
        <bottom/>
      </border>
    </dxf>
    <dxf>
      <numFmt numFmtId="164" formatCode="&quot;R$&quot;\ #,##0.00;[Red]\-&quot;R$&quot;\ #,##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Sans Serif"/>
        <family val="2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2" justifyLastLine="0" shrinkToFit="0" readingOrder="0"/>
      <border diagonalUp="0" diagonalDown="0" outline="0">
        <left/>
        <right style="medium">
          <color theme="6" tint="0.39991454817346722"/>
        </right>
        <top style="medium">
          <color theme="6" tint="0.39994506668294322"/>
        </top>
        <bottom/>
      </border>
    </dxf>
    <dxf>
      <font>
        <b/>
        <strike val="0"/>
        <outline val="0"/>
        <shadow val="0"/>
        <u val="none"/>
        <vertAlign val="baseline"/>
        <sz val="10"/>
        <color theme="0"/>
        <name val="Microsoft Sans Serif"/>
        <family val="2"/>
        <scheme val="minor"/>
      </font>
      <fill>
        <patternFill patternType="solid">
          <fgColor indexed="64"/>
          <bgColor theme="3"/>
        </patternFill>
      </fill>
      <alignment horizontal="left" vertical="center" textRotation="0" wrapText="0" relativeIndent="-1" justifyLastLine="0" shrinkToFit="0" readingOrder="0"/>
      <border diagonalUp="0" diagonalDown="0" outline="0">
        <left/>
        <right/>
        <top style="medium">
          <color theme="6" tint="0.39994506668294322"/>
        </top>
        <bottom style="medium">
          <color theme="6" tint="0.39994506668294322"/>
        </bottom>
      </border>
    </dxf>
    <dxf>
      <border>
        <top style="medium">
          <color theme="6" tint="0.39994506668294322"/>
        </top>
      </border>
    </dxf>
    <dxf>
      <border diagonalUp="0" diagonalDown="0">
        <left style="medium">
          <color theme="6" tint="0.39994506668294322"/>
        </left>
        <right style="medium">
          <color theme="6" tint="0.39994506668294322"/>
        </right>
        <top/>
        <bottom/>
        <vertical style="medium">
          <color theme="6" tint="0.39994506668294322"/>
        </vertical>
        <horizontal style="medium">
          <color theme="6" tint="0.39994506668294322"/>
        </horizontal>
      </border>
    </dxf>
    <dxf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border>
        <bottom style="medium">
          <color theme="6" tint="0.39994506668294322"/>
        </bottom>
      </border>
    </dxf>
    <dxf>
      <border diagonalUp="0" diagonalDown="0">
        <left style="medium">
          <color theme="6" tint="0.39994506668294322"/>
        </left>
        <right style="medium">
          <color theme="6" tint="0.39994506668294322"/>
        </right>
        <top/>
        <bottom/>
        <vertical style="medium">
          <color theme="6" tint="0.39994506668294322"/>
        </vertical>
        <horizontal style="medium">
          <color theme="6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/>
        <top style="medium">
          <color theme="6" tint="0.39994506668294322"/>
        </top>
        <bottom style="medium">
          <color theme="6" tint="0.39982299264503923"/>
        </bottom>
      </border>
    </dxf>
    <dxf>
      <font>
        <strike val="0"/>
        <outline val="0"/>
        <shadow val="0"/>
        <u val="none"/>
        <vertAlign val="baseline"/>
        <sz val="9"/>
        <color theme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39994506668294322"/>
        </left>
        <right/>
        <top style="medium">
          <color theme="6" tint="0.39994506668294322"/>
        </top>
        <bottom style="medium">
          <color theme="6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82299264503923"/>
        </bottom>
      </border>
    </dxf>
    <dxf>
      <font>
        <strike val="0"/>
        <outline val="0"/>
        <shadow val="0"/>
        <u val="none"/>
        <vertAlign val="baseline"/>
        <sz val="9"/>
        <color theme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82299264503923"/>
        </bottom>
      </border>
    </dxf>
    <dxf>
      <font>
        <strike val="0"/>
        <outline val="0"/>
        <shadow val="0"/>
        <u val="none"/>
        <vertAlign val="baseline"/>
        <sz val="9"/>
        <color theme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  <vertical style="medium">
          <color theme="6" tint="0.39994506668294322"/>
        </vertical>
        <horizontal style="medium">
          <color theme="6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82299264503923"/>
        </bottom>
      </border>
    </dxf>
    <dxf>
      <font>
        <strike val="0"/>
        <outline val="0"/>
        <shadow val="0"/>
        <u val="none"/>
        <vertAlign val="baseline"/>
        <sz val="9"/>
        <color theme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  <vertical style="medium">
          <color theme="6" tint="0.39994506668294322"/>
        </vertical>
        <horizontal style="medium">
          <color theme="6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82299264503923"/>
        </bottom>
      </border>
    </dxf>
    <dxf>
      <font>
        <strike val="0"/>
        <outline val="0"/>
        <shadow val="0"/>
        <u val="none"/>
        <vertAlign val="baseline"/>
        <sz val="9"/>
        <color theme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  <vertical style="medium">
          <color theme="6" tint="0.39994506668294322"/>
        </vertical>
        <horizontal style="medium">
          <color theme="6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82299264503923"/>
        </bottom>
      </border>
    </dxf>
    <dxf>
      <font>
        <strike val="0"/>
        <outline val="0"/>
        <shadow val="0"/>
        <u val="none"/>
        <vertAlign val="baseline"/>
        <sz val="9"/>
        <color theme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  <vertical style="medium">
          <color theme="6" tint="0.39994506668294322"/>
        </vertical>
        <horizontal style="medium">
          <color theme="6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82299264503923"/>
        </bottom>
      </border>
    </dxf>
    <dxf>
      <font>
        <strike val="0"/>
        <outline val="0"/>
        <shadow val="0"/>
        <u val="none"/>
        <vertAlign val="baseline"/>
        <sz val="9"/>
        <color theme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  <vertical style="medium">
          <color theme="6" tint="0.39994506668294322"/>
        </vertical>
        <horizontal style="medium">
          <color theme="6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82299264503923"/>
        </bottom>
      </border>
    </dxf>
    <dxf>
      <font>
        <strike val="0"/>
        <outline val="0"/>
        <shadow val="0"/>
        <u val="none"/>
        <vertAlign val="baseline"/>
        <sz val="9"/>
        <color theme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  <vertical style="medium">
          <color theme="6" tint="0.39994506668294322"/>
        </vertical>
        <horizontal style="medium">
          <color theme="6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82299264503923"/>
        </bottom>
      </border>
    </dxf>
    <dxf>
      <font>
        <strike val="0"/>
        <outline val="0"/>
        <shadow val="0"/>
        <u val="none"/>
        <vertAlign val="baseline"/>
        <sz val="9"/>
        <color theme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  <vertical style="medium">
          <color theme="6" tint="0.39994506668294322"/>
        </vertical>
        <horizontal style="medium">
          <color theme="6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82299264503923"/>
        </bottom>
      </border>
    </dxf>
    <dxf>
      <font>
        <strike val="0"/>
        <outline val="0"/>
        <shadow val="0"/>
        <u val="none"/>
        <vertAlign val="baseline"/>
        <sz val="9"/>
        <color theme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  <vertical style="medium">
          <color theme="6" tint="0.39994506668294322"/>
        </vertical>
        <horizontal style="medium">
          <color theme="6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82299264503923"/>
        </bottom>
      </border>
    </dxf>
    <dxf>
      <font>
        <strike val="0"/>
        <outline val="0"/>
        <shadow val="0"/>
        <u val="none"/>
        <vertAlign val="baseline"/>
        <sz val="9"/>
        <color theme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  <vertical style="medium">
          <color theme="6" tint="0.39994506668294322"/>
        </vertical>
        <horizontal style="medium">
          <color theme="6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82299264503923"/>
        </bottom>
      </border>
    </dxf>
    <dxf>
      <font>
        <strike val="0"/>
        <outline val="0"/>
        <shadow val="0"/>
        <u val="none"/>
        <vertAlign val="baseline"/>
        <sz val="9"/>
        <color theme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39994506668294322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  <vertical style="medium">
          <color theme="6" tint="0.39994506668294322"/>
        </vertical>
        <horizontal style="medium">
          <color theme="6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6" tint="0.39985351115451523"/>
        </left>
        <right style="medium">
          <color theme="6" tint="0.39994506668294322"/>
        </right>
        <top style="medium">
          <color theme="6" tint="0.39994506668294322"/>
        </top>
        <bottom style="medium">
          <color theme="6" tint="0.39982299264503923"/>
        </bottom>
      </border>
    </dxf>
    <dxf>
      <font>
        <strike val="0"/>
        <outline val="0"/>
        <shadow val="0"/>
        <u val="none"/>
        <vertAlign val="baseline"/>
        <sz val="9"/>
        <color theme="1"/>
        <name val="Microsoft Sans Serif"/>
        <family val="2"/>
        <scheme val="minor"/>
      </font>
      <numFmt numFmtId="164" formatCode="&quot;R$&quot;\ #,##0.00;[Red]\-&quot;R$&quot;\ #,##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theme="6" tint="0.39994506668294322"/>
        </right>
        <top style="medium">
          <color theme="6" tint="0.39994506668294322"/>
        </top>
        <bottom style="medium">
          <color theme="6" tint="0.399945066682943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Sans Serif"/>
        <family val="2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2" justifyLastLine="0" shrinkToFit="0" readingOrder="0"/>
      <border diagonalUp="0" diagonalDown="0" outline="0">
        <left style="medium">
          <color theme="6" tint="0.39988402966399123"/>
        </left>
        <right style="medium">
          <color theme="6" tint="0.39985351115451523"/>
        </right>
        <top style="medium">
          <color theme="6" tint="0.39994506668294322"/>
        </top>
        <bottom style="medium">
          <color theme="6" tint="0.39985351115451523"/>
        </bottom>
      </border>
    </dxf>
    <dxf>
      <font>
        <b/>
        <strike val="0"/>
        <outline val="0"/>
        <shadow val="0"/>
        <u val="none"/>
        <vertAlign val="baseline"/>
        <sz val="10"/>
        <color theme="0"/>
        <name val="Microsoft Sans Serif"/>
        <family val="2"/>
        <scheme val="minor"/>
      </font>
      <fill>
        <patternFill patternType="solid">
          <fgColor indexed="64"/>
          <bgColor theme="3"/>
        </patternFill>
      </fill>
      <alignment horizontal="left" vertical="center" textRotation="0" wrapText="0" relativeIndent="-1" justifyLastLine="0" shrinkToFit="0" readingOrder="0"/>
      <border diagonalUp="0" diagonalDown="0" outline="0">
        <left style="medium">
          <color theme="6" tint="0.39988402966399123"/>
        </left>
        <right/>
        <top style="medium">
          <color theme="6" tint="0.39994506668294322"/>
        </top>
        <bottom style="medium">
          <color theme="6" tint="0.39994506668294322"/>
        </bottom>
      </border>
    </dxf>
    <dxf>
      <border>
        <top style="medium">
          <color theme="6" tint="0.39994506668294322"/>
        </top>
      </border>
    </dxf>
    <dxf>
      <border diagonalUp="0" diagonalDown="0">
        <left style="medium">
          <color theme="6" tint="0.39994506668294322"/>
        </left>
        <right style="medium">
          <color theme="6" tint="0.39994506668294322"/>
        </right>
        <top/>
        <bottom/>
        <vertical style="medium">
          <color theme="6" tint="0.39994506668294322"/>
        </vertical>
        <horizontal style="medium">
          <color theme="6" tint="0.39994506668294322"/>
        </horizontal>
      </border>
    </dxf>
    <dxf>
      <border diagonalUp="0" diagonalDown="0">
        <left/>
        <right style="medium">
          <color theme="6" tint="0.39994506668294322"/>
        </right>
        <top/>
        <bottom/>
      </border>
    </dxf>
    <dxf>
      <border>
        <bottom style="medium">
          <color theme="6" tint="0.39994506668294322"/>
        </bottom>
      </border>
    </dxf>
    <dxf>
      <border diagonalUp="0" diagonalDown="0">
        <left style="medium">
          <color theme="6" tint="0.39994506668294322"/>
        </left>
        <right style="medium">
          <color theme="6" tint="0.39994506668294322"/>
        </right>
        <top/>
        <bottom/>
        <vertical style="medium">
          <color theme="6" tint="0.39994506668294322"/>
        </vertical>
        <horizontal style="medium">
          <color theme="6" tint="0.39994506668294322"/>
        </horizontal>
      </border>
    </dxf>
    <dxf>
      <font>
        <color auto="1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 style="medium">
          <color theme="6" tint="0.39994506668294322"/>
        </horizontal>
      </border>
    </dxf>
    <dxf>
      <font>
        <color theme="1"/>
      </font>
      <fill>
        <patternFill patternType="solid">
          <fgColor theme="0" tint="-0.14993743705557422"/>
          <bgColor theme="0"/>
        </patternFill>
      </fill>
      <border diagonalUp="0" diagonalDown="0">
        <left/>
        <right/>
        <top/>
        <bottom/>
        <vertical/>
        <horizontal style="medium">
          <color theme="6" tint="0.39994506668294322"/>
        </horizontal>
      </border>
    </dxf>
    <dxf>
      <font>
        <b val="0"/>
        <i val="0"/>
        <color theme="1"/>
      </font>
      <fill>
        <patternFill>
          <bgColor theme="6" tint="0.79998168889431442"/>
        </patternFill>
      </fill>
      <border diagonalUp="0" diagonalDown="0">
        <left/>
        <right/>
        <top/>
        <bottom/>
        <vertical/>
        <horizontal style="medium">
          <color theme="6" tint="0.39994506668294322"/>
        </horizontal>
      </border>
    </dxf>
    <dxf>
      <font>
        <color theme="0"/>
      </font>
      <fill>
        <patternFill>
          <fgColor theme="3"/>
          <bgColor theme="3"/>
        </patternFill>
      </fill>
      <border diagonalUp="0" diagonalDown="0">
        <left/>
        <right/>
        <top/>
        <bottom/>
        <vertical/>
        <horizontal style="medium">
          <color theme="6" tint="0.39994506668294322"/>
        </horizontal>
      </border>
    </dxf>
    <dxf>
      <font>
        <b/>
        <i val="0"/>
        <color theme="1"/>
      </font>
      <fill>
        <patternFill>
          <bgColor theme="6" tint="0.79998168889431442"/>
        </patternFill>
      </fill>
      <border diagonalUp="0" diagonalDown="0">
        <left/>
        <right/>
        <top style="medium">
          <color theme="6" tint="0.39994506668294322"/>
        </top>
        <bottom/>
        <vertical style="medium">
          <color theme="6" tint="0.39991454817346722"/>
        </vertical>
        <horizontal/>
      </border>
    </dxf>
    <dxf>
      <font>
        <color theme="6" tint="0.39994506668294322"/>
      </font>
      <fill>
        <patternFill>
          <bgColor theme="6" tint="0.39994506668294322"/>
        </patternFill>
      </fill>
      <border diagonalUp="0" diagonalDown="0">
        <left/>
        <right/>
        <top/>
        <bottom style="medium">
          <color theme="6" tint="0.39994506668294322"/>
        </bottom>
        <vertical/>
        <horizontal/>
      </border>
    </dxf>
    <dxf>
      <font>
        <b val="0"/>
        <i val="0"/>
        <color theme="1"/>
      </font>
      <fill>
        <patternFill>
          <bgColor theme="0"/>
        </patternFill>
      </fill>
      <border diagonalUp="0" diagonalDown="0">
        <left/>
        <right/>
        <top style="medium">
          <color theme="6" tint="0.39994506668294322"/>
        </top>
        <bottom style="medium">
          <color theme="6" tint="0.39994506668294322"/>
        </bottom>
        <vertical style="medium">
          <color theme="6" tint="0.39994506668294322"/>
        </vertical>
        <horizontal style="medium">
          <color theme="6" tint="0.39994506668294322"/>
        </horizontal>
      </border>
    </dxf>
  </dxfs>
  <tableStyles count="1" defaultPivotStyle="PivotStyleLight16">
    <tableStyle name="Tabela 2 de estimativas detalhadas de despesas" pivot="0" count="7" xr9:uid="{00000000-0011-0000-FFFF-FFFF00000000}">
      <tableStyleElement type="wholeTable" dxfId="467"/>
      <tableStyleElement type="headerRow" dxfId="466"/>
      <tableStyleElement type="totalRow" dxfId="465"/>
      <tableStyleElement type="firstColumn" dxfId="464"/>
      <tableStyleElement type="lastColumn" dxfId="463"/>
      <tableStyleElement type="firstRowStripe" size="9" dxfId="462"/>
      <tableStyleElement type="firstColumnStripe" dxfId="461"/>
    </tableStyle>
  </tableStyles>
  <colors>
    <mruColors>
      <color rgb="FF3B893D"/>
      <color rgb="FF99CCFF"/>
      <color rgb="FFFFCC99"/>
      <color rgb="FF800080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Despesas mensais</a:t>
            </a:r>
          </a:p>
        </c:rich>
      </c:tx>
      <c:layout>
        <c:manualLayout>
          <c:xMode val="edge"/>
          <c:yMode val="edge"/>
          <c:x val="1.0996591979294411E-2"/>
          <c:y val="8.903205679824600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Planejadas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'DESPESAS PLANEJADAS'!$C$36:$N$36</c:f>
              <c:numCache>
                <c:formatCode>"R$"\ #,##0.00;[Red]\-"R$"\ #,##0.00</c:formatCode>
                <c:ptCount val="5"/>
                <c:pt idx="0">
                  <c:v>24440</c:v>
                </c:pt>
                <c:pt idx="1">
                  <c:v>21040</c:v>
                </c:pt>
                <c:pt idx="2">
                  <c:v>19340</c:v>
                </c:pt>
                <c:pt idx="3">
                  <c:v>17340</c:v>
                </c:pt>
                <c:pt idx="4">
                  <c:v>17840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5D-4DB7-A511-401DE3785DC9}"/>
            </c:ext>
          </c:extLst>
        </c:ser>
        <c:ser>
          <c:idx val="2"/>
          <c:order val="2"/>
          <c:tx>
            <c:v>Reais</c:v>
          </c:tx>
          <c:spPr>
            <a:solidFill>
              <a:schemeClr val="accent4">
                <a:alpha val="25000"/>
              </a:schemeClr>
            </a:solidFill>
            <a:ln>
              <a:noFill/>
            </a:ln>
            <a:effectLst/>
          </c:spPr>
          <c:invertIfNegative val="0"/>
          <c:val>
            <c:numRef>
              <c:f>'DESPESAS REAIS'!$C$36:$N$36</c:f>
              <c:numCache>
                <c:formatCode>"R$"\ #,##0.00;[Red]\-"R$"\ #,##0.00</c:formatCode>
                <c:ptCount val="5"/>
                <c:pt idx="0">
                  <c:v>23573</c:v>
                </c:pt>
                <c:pt idx="1">
                  <c:v>18258</c:v>
                </c:pt>
                <c:pt idx="2">
                  <c:v>20560</c:v>
                </c:pt>
                <c:pt idx="3">
                  <c:v>21192</c:v>
                </c:pt>
                <c:pt idx="4">
                  <c:v>19959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5D-4DB7-A511-401DE3785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62146616"/>
        <c:axId val="362147008"/>
      </c:barChart>
      <c:lineChart>
        <c:grouping val="standard"/>
        <c:varyColors val="0"/>
        <c:ser>
          <c:idx val="0"/>
          <c:order val="0"/>
          <c:tx>
            <c:v>Variação</c:v>
          </c:tx>
          <c:spPr>
            <a:ln w="28575" cap="rnd">
              <a:solidFill>
                <a:schemeClr val="accent3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'VARIAÇÕES DE DESPESAS'!$C$36:$N$36</c:f>
              <c:numCache>
                <c:formatCode>"R$"\ #,##0.00;[Red]\-"R$"\ #,##0.00</c:formatCode>
                <c:ptCount val="5"/>
                <c:pt idx="0">
                  <c:v>867</c:v>
                </c:pt>
                <c:pt idx="1">
                  <c:v>2782</c:v>
                </c:pt>
                <c:pt idx="2">
                  <c:v>-1220</c:v>
                </c:pt>
                <c:pt idx="3">
                  <c:v>-3852</c:v>
                </c:pt>
                <c:pt idx="4">
                  <c:v>-2119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5D-4DB7-A511-401DE3785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146616"/>
        <c:axId val="362147008"/>
      </c:lineChart>
      <c:catAx>
        <c:axId val="362146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Mês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2147008"/>
        <c:crosses val="autoZero"/>
        <c:auto val="1"/>
        <c:lblAlgn val="ctr"/>
        <c:lblOffset val="100"/>
        <c:noMultiLvlLbl val="0"/>
      </c:catAx>
      <c:valAx>
        <c:axId val="36214700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75000"/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Despesas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&quot;R$&quot;#,##0_);[Red]\(&quot;R$&quot;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2146616"/>
        <c:crosses val="autoZero"/>
        <c:crossBetween val="between"/>
        <c:dispUnits>
          <c:builtInUnit val="tenThousands"/>
          <c:dispUnitsLbl>
            <c:layout>
              <c:manualLayout>
                <c:xMode val="edge"/>
                <c:yMode val="edge"/>
                <c:x val="4.1853475435826903E-2"/>
                <c:y val="0.11317096082764759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8591667626513452E-4"/>
          <c:y val="5.3074322488831559E-2"/>
          <c:w val="0.33878368215294763"/>
          <c:h val="3.57978972310679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84415242664605"/>
          <c:y val="0.17330539881195353"/>
          <c:w val="0.76931424520559855"/>
          <c:h val="0.71853463513379401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'ANÁLISE DE DESPESAS'!$C$5</c:f>
              <c:strCache>
                <c:ptCount val="1"/>
                <c:pt idx="0">
                  <c:v>Despesas Planejadas</c:v>
                </c:pt>
              </c:strCache>
            </c:strRef>
          </c:tx>
          <c:spPr>
            <a:solidFill>
              <a:schemeClr val="accent2"/>
            </a:solidFill>
            <a:ln w="19050">
              <a:noFill/>
            </a:ln>
            <a:effectLst/>
          </c:spPr>
          <c:invertIfNegative val="0"/>
          <c:cat>
            <c:strRef>
              <c:f>'ANÁLISE DE DESPESAS'!$B$6:$B$9</c:f>
              <c:strCache>
                <c:ptCount val="4"/>
                <c:pt idx="0">
                  <c:v>Custos com Funcionários</c:v>
                </c:pt>
                <c:pt idx="1">
                  <c:v>Custos do escritório</c:v>
                </c:pt>
                <c:pt idx="2">
                  <c:v>Custos de marketing</c:v>
                </c:pt>
                <c:pt idx="3">
                  <c:v>Viagem/Treinamento</c:v>
                </c:pt>
              </c:strCache>
            </c:strRef>
          </c:cat>
          <c:val>
            <c:numRef>
              <c:f>'ANÁLISE DE DESPESAS'!$C$6:$C$9</c:f>
              <c:numCache>
                <c:formatCode>"R$"\ #,##0.00;[Red]\-"R$"\ #,##0.00</c:formatCode>
                <c:ptCount val="4"/>
                <c:pt idx="0">
                  <c:v>63500</c:v>
                </c:pt>
                <c:pt idx="1">
                  <c:v>19900</c:v>
                </c:pt>
                <c:pt idx="2">
                  <c:v>8600</c:v>
                </c:pt>
                <c:pt idx="3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485-485F-B818-D5944CB69AAB}"/>
            </c:ext>
          </c:extLst>
        </c:ser>
        <c:ser>
          <c:idx val="0"/>
          <c:order val="1"/>
          <c:tx>
            <c:strRef>
              <c:f>'ANÁLISE DE DESPESAS'!$D$5</c:f>
              <c:strCache>
                <c:ptCount val="1"/>
                <c:pt idx="0">
                  <c:v>Despesas reais</c:v>
                </c:pt>
              </c:strCache>
            </c:strRef>
          </c:tx>
          <c:spPr>
            <a:solidFill>
              <a:schemeClr val="accent4"/>
            </a:solidFill>
            <a:ln w="19050"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F485-485F-B818-D5944CB69AAB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F485-485F-B818-D5944CB69AAB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F485-485F-B818-D5944CB69AAB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F485-485F-B818-D5944CB69AAB}"/>
              </c:ext>
            </c:extLst>
          </c:dPt>
          <c:cat>
            <c:strRef>
              <c:f>'ANÁLISE DE DESPESAS'!$B$6:$B$9</c:f>
              <c:strCache>
                <c:ptCount val="4"/>
                <c:pt idx="0">
                  <c:v>Custos com Funcionários</c:v>
                </c:pt>
                <c:pt idx="1">
                  <c:v>Custos do escritório</c:v>
                </c:pt>
                <c:pt idx="2">
                  <c:v>Custos de marketing</c:v>
                </c:pt>
                <c:pt idx="3">
                  <c:v>Viagem/Treinamento</c:v>
                </c:pt>
              </c:strCache>
            </c:strRef>
          </c:cat>
          <c:val>
            <c:numRef>
              <c:f>'ANÁLISE DE DESPESAS'!$D$6:$D$9</c:f>
              <c:numCache>
                <c:formatCode>"R$"\ #,##0.00;[Red]\-"R$"\ #,##0.00</c:formatCode>
                <c:ptCount val="4"/>
                <c:pt idx="0">
                  <c:v>69215</c:v>
                </c:pt>
                <c:pt idx="1">
                  <c:v>23277</c:v>
                </c:pt>
                <c:pt idx="2">
                  <c:v>6550</c:v>
                </c:pt>
                <c:pt idx="3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485-485F-B818-D5944CB69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16845712"/>
        <c:axId val="716855552"/>
      </c:barChart>
      <c:valAx>
        <c:axId val="7168555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_);[Red]\(&quot;R$&quot;#,##0\)" sourceLinked="0"/>
        <c:majorTickMark val="out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6845712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0.88923701186841542"/>
                <c:y val="0.94119752263847256"/>
              </c:manualLayout>
            </c:layout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x 1000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catAx>
        <c:axId val="71684571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6855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0972101080870553E-3"/>
          <c:y val="1.0416663818716148E-2"/>
          <c:w val="0.29634907228550156"/>
          <c:h val="5.58442541983119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27504</xdr:colOff>
      <xdr:row>3</xdr:row>
      <xdr:rowOff>0</xdr:rowOff>
    </xdr:from>
    <xdr:to>
      <xdr:col>19</xdr:col>
      <xdr:colOff>29537</xdr:colOff>
      <xdr:row>12</xdr:row>
      <xdr:rowOff>192640</xdr:rowOff>
    </xdr:to>
    <xdr:sp macro="" textlink="" fLocksText="0">
      <xdr:nvSpPr>
        <xdr:cNvPr id="3" name="Balão de Fala: Retângulo 2" descr="Tip: HOW TO USE THIS TEMPLATE&#10;Input data in the white cells on the PLANNED EXPENSES and ACTUAL EXPENSES worksheets, and the EXPENSE VARIANCES and EXPENSE ANALYSIS will be calculated for you.  If you add a row on one sheet, the other sheets need to match&#10;">
          <a:extLst>
            <a:ext uri="{FF2B5EF4-FFF2-40B4-BE49-F238E27FC236}">
              <a16:creationId xmlns:a16="http://schemas.microsoft.com/office/drawing/2014/main" id="{26EBCE28-31AF-4664-B39F-77F2857D060F}"/>
            </a:ext>
          </a:extLst>
        </xdr:cNvPr>
        <xdr:cNvSpPr/>
      </xdr:nvSpPr>
      <xdr:spPr>
        <a:xfrm>
          <a:off x="11066979" y="1257300"/>
          <a:ext cx="1935608" cy="3288265"/>
        </a:xfrm>
        <a:prstGeom prst="wedgeRectCallout">
          <a:avLst>
            <a:gd name="adj1" fmla="val -65157"/>
            <a:gd name="adj2" fmla="val -20833"/>
          </a:avLst>
        </a:prstGeom>
        <a:solidFill>
          <a:schemeClr val="accent3">
            <a:lumMod val="20000"/>
            <a:lumOff val="80000"/>
            <a:alpha val="66000"/>
          </a:schemeClr>
        </a:solidFill>
        <a:ln>
          <a:noFill/>
        </a:ln>
        <a:effectLst>
          <a:reflection stA="0" endPos="65000" dist="508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2880" tIns="182880" rIns="182880" bIns="182880" rtlCol="0" anchor="t"/>
        <a:lstStyle/>
        <a:p>
          <a:pPr rtl="0"/>
          <a:r>
            <a:rPr lang="pt-br" sz="1100" b="1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COMO USAR ESTE MODELO</a:t>
          </a:r>
        </a:p>
        <a:p>
          <a:pPr rtl="0"/>
          <a:endParaRPr lang="en-US">
            <a:solidFill>
              <a:schemeClr val="tx2"/>
            </a:solidFill>
            <a:effectLst/>
          </a:endParaRPr>
        </a:p>
        <a:p>
          <a:pPr rtl="0"/>
          <a:r>
            <a:rPr lang="pt-br" sz="1100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Insira os dados nascélulas em branco das planilhas DESPESAS PLANEJADAS e DESPESAS REAIS e as VARIAÇÕES DE DESPESAS e ANÁLISES DE DESPESAS serão calculadas para você.  Caso você adicione ua linha em uma planilha, </a:t>
          </a:r>
          <a:r>
            <a:rPr lang="pt-br" sz="1100" baseline="0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precisa haver correspondência com as outras planilhas.</a:t>
          </a:r>
          <a:endParaRPr lang="en-US" sz="1100">
            <a:solidFill>
              <a:schemeClr val="tx2"/>
            </a:solidFill>
          </a:endParaRPr>
        </a:p>
      </xdr:txBody>
    </xdr:sp>
    <xdr:clientData fLocksWithSheet="0" fPrintsWithSheet="0"/>
  </xdr:twoCellAnchor>
  <xdr:twoCellAnchor editAs="oneCell">
    <xdr:from>
      <xdr:col>14</xdr:col>
      <xdr:colOff>109776</xdr:colOff>
      <xdr:row>0</xdr:row>
      <xdr:rowOff>173567</xdr:rowOff>
    </xdr:from>
    <xdr:to>
      <xdr:col>14</xdr:col>
      <xdr:colOff>1024176</xdr:colOff>
      <xdr:row>2</xdr:row>
      <xdr:rowOff>211667</xdr:rowOff>
    </xdr:to>
    <xdr:pic>
      <xdr:nvPicPr>
        <xdr:cNvPr id="9" name="Imagem 18">
          <a:extLst>
            <a:ext uri="{FF2B5EF4-FFF2-40B4-BE49-F238E27FC236}">
              <a16:creationId xmlns:a16="http://schemas.microsoft.com/office/drawing/2014/main" id="{65A40888-9F83-43E7-A699-52663041FF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9158526" y="173567"/>
          <a:ext cx="91440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142875</xdr:colOff>
      <xdr:row>0</xdr:row>
      <xdr:rowOff>192617</xdr:rowOff>
    </xdr:from>
    <xdr:to>
      <xdr:col>14</xdr:col>
      <xdr:colOff>1057275</xdr:colOff>
      <xdr:row>2</xdr:row>
      <xdr:rowOff>224309</xdr:rowOff>
    </xdr:to>
    <xdr:pic>
      <xdr:nvPicPr>
        <xdr:cNvPr id="6" name="Imagem 18">
          <a:extLst>
            <a:ext uri="{FF2B5EF4-FFF2-40B4-BE49-F238E27FC236}">
              <a16:creationId xmlns:a16="http://schemas.microsoft.com/office/drawing/2014/main" id="{83DAF7B9-4C56-44AA-B3C3-38F1A49B55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9191625" y="192617"/>
          <a:ext cx="914400" cy="9079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145413</xdr:colOff>
      <xdr:row>0</xdr:row>
      <xdr:rowOff>171450</xdr:rowOff>
    </xdr:from>
    <xdr:to>
      <xdr:col>14</xdr:col>
      <xdr:colOff>1059813</xdr:colOff>
      <xdr:row>2</xdr:row>
      <xdr:rowOff>209550</xdr:rowOff>
    </xdr:to>
    <xdr:pic>
      <xdr:nvPicPr>
        <xdr:cNvPr id="6" name="Imagem 18">
          <a:extLst>
            <a:ext uri="{FF2B5EF4-FFF2-40B4-BE49-F238E27FC236}">
              <a16:creationId xmlns:a16="http://schemas.microsoft.com/office/drawing/2014/main" id="{A2E6D019-45AC-4D89-848F-C976B436C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9194163" y="171450"/>
          <a:ext cx="91440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28574</xdr:colOff>
      <xdr:row>12</xdr:row>
      <xdr:rowOff>200025</xdr:rowOff>
    </xdr:from>
    <xdr:to>
      <xdr:col>6</xdr:col>
      <xdr:colOff>9524</xdr:colOff>
      <xdr:row>38</xdr:row>
      <xdr:rowOff>21653</xdr:rowOff>
    </xdr:to>
    <xdr:graphicFrame macro="">
      <xdr:nvGraphicFramePr>
        <xdr:cNvPr id="8" name="GráficoDeDespesasMensais" descr="Gráfico mostrando o Planejado, o Real e a Variação nas Despesas Mensais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899214</xdr:colOff>
      <xdr:row>0</xdr:row>
      <xdr:rowOff>134985</xdr:rowOff>
    </xdr:from>
    <xdr:to>
      <xdr:col>6</xdr:col>
      <xdr:colOff>47679</xdr:colOff>
      <xdr:row>2</xdr:row>
      <xdr:rowOff>264525</xdr:rowOff>
    </xdr:to>
    <xdr:pic>
      <xdr:nvPicPr>
        <xdr:cNvPr id="9" name="Imagem 18">
          <a:extLst>
            <a:ext uri="{FF2B5EF4-FFF2-40B4-BE49-F238E27FC236}">
              <a16:creationId xmlns:a16="http://schemas.microsoft.com/office/drawing/2014/main" id="{7C6D1F32-6273-47BA-873D-2E5A8467E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7900089" y="134985"/>
          <a:ext cx="1005840" cy="1005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-1</xdr:colOff>
      <xdr:row>11</xdr:row>
      <xdr:rowOff>0</xdr:rowOff>
    </xdr:from>
    <xdr:to>
      <xdr:col>5</xdr:col>
      <xdr:colOff>1259540</xdr:colOff>
      <xdr:row>11</xdr:row>
      <xdr:rowOff>3657601</xdr:rowOff>
    </xdr:to>
    <xdr:graphicFrame macro="">
      <xdr:nvGraphicFramePr>
        <xdr:cNvPr id="7" name="GráficoDeDespesasReais" descr="Gráfico de pizza mostrando as despesas reais incorridas em várias categorias">
          <a:extLst>
            <a:ext uri="{FF2B5EF4-FFF2-40B4-BE49-F238E27FC236}">
              <a16:creationId xmlns:a16="http://schemas.microsoft.com/office/drawing/2014/main" id="{FE109E8A-EB22-46B1-850C-BFD738E259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lanoDoOffice" displayName="PlanejamentoDeEscritório" ref="B10:O19" totalsRowCount="1" headerRowDxfId="460" totalsRowDxfId="457" headerRowBorderDxfId="459" tableBorderDxfId="458" totalsRowBorderDxfId="456">
  <tableColumns count="14">
    <tableColumn id="1" xr3:uid="{00000000-0010-0000-0000-000001000000}" name="Custos do escritório" totalsRowLabel="Subtotal" dataDxfId="455" totalsRowDxfId="454"/>
    <tableColumn id="2" xr3:uid="{00000000-0010-0000-0000-000002000000}" name="Jan" totalsRowFunction="sum" dataDxfId="453" totalsRowDxfId="452"/>
    <tableColumn id="3" xr3:uid="{00000000-0010-0000-0000-000003000000}" name="Fev" totalsRowFunction="sum" dataDxfId="451" totalsRowDxfId="450"/>
    <tableColumn id="4" xr3:uid="{00000000-0010-0000-0000-000004000000}" name="Mar" totalsRowFunction="sum" dataDxfId="449" totalsRowDxfId="448"/>
    <tableColumn id="5" xr3:uid="{00000000-0010-0000-0000-000005000000}" name="Abr" totalsRowFunction="sum" dataDxfId="447" totalsRowDxfId="446"/>
    <tableColumn id="6" xr3:uid="{00000000-0010-0000-0000-000006000000}" name="Maio" totalsRowFunction="sum" dataDxfId="445" totalsRowDxfId="444"/>
    <tableColumn id="7" xr3:uid="{00000000-0010-0000-0000-000007000000}" name="Column1" dataDxfId="443" totalsRowDxfId="442"/>
    <tableColumn id="8" xr3:uid="{00000000-0010-0000-0000-000008000000}" name="Column2" dataDxfId="441" totalsRowDxfId="440"/>
    <tableColumn id="9" xr3:uid="{00000000-0010-0000-0000-000009000000}" name="Column3" dataDxfId="439" totalsRowDxfId="438"/>
    <tableColumn id="10" xr3:uid="{00000000-0010-0000-0000-00000A000000}" name="Column4" dataDxfId="437" totalsRowDxfId="436"/>
    <tableColumn id="11" xr3:uid="{00000000-0010-0000-0000-00000B000000}" name="Column5" dataDxfId="435" totalsRowDxfId="434"/>
    <tableColumn id="12" xr3:uid="{00000000-0010-0000-0000-00000C000000}" name="Column6" dataDxfId="433" totalsRowDxfId="432"/>
    <tableColumn id="13" xr3:uid="{00000000-0010-0000-0000-00000D000000}" name="Column7" dataDxfId="431" totalsRowDxfId="430"/>
    <tableColumn id="14" xr3:uid="{00000000-0010-0000-0000-00000E000000}" name="ANO" totalsRowFunction="sum" dataDxfId="429" totalsRowDxfId="428">
      <calculatedColumnFormula>SUM(C11:N11)</calculatedColumnFormula>
    </tableColumn>
  </tableColumns>
  <tableStyleInfo name="TableStyleLight8" showFirstColumn="1" showLastColumn="1" showRowStripes="0" showColumnStripes="0"/>
  <extLst>
    <ext xmlns:x14="http://schemas.microsoft.com/office/spreadsheetml/2009/9/main" uri="{504A1905-F514-4f6f-8877-14C23A59335A}">
      <x14:table altTextSummary="Insira nesta tabela os custos planejados mensais do escritório. O total é automaticamente calculado no final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B099C32-C8DE-492A-BEED-550CF2841A11}" name="TotalReal" displayName="TotalReal" ref="B35:O37" totalsRowShown="0" headerRowDxfId="177" dataDxfId="176" tableBorderDxfId="175">
  <autoFilter ref="B35:O37" xr:uid="{527B5B30-B216-4604-BE5A-D760DE033F9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359818E9-FD74-4273-8957-D80FFA77ADE8}" name="TOTAL Despesas planejadas" dataDxfId="174"/>
    <tableColumn id="2" xr3:uid="{ED08B701-BD0B-43EA-B6B5-8B23D583D505}" name="Jan" dataDxfId="173">
      <calculatedColumnFormula>SUM($C35:C$36)</calculatedColumnFormula>
    </tableColumn>
    <tableColumn id="3" xr3:uid="{953C450B-5235-4234-924F-53796609C439}" name="Fev" dataDxfId="172">
      <calculatedColumnFormula>SUM($C35:D$36)</calculatedColumnFormula>
    </tableColumn>
    <tableColumn id="4" xr3:uid="{A434CE91-3696-411F-8418-02228D13F12E}" name="Mar" dataDxfId="171">
      <calculatedColumnFormula>SUM($C35:E$36)</calculatedColumnFormula>
    </tableColumn>
    <tableColumn id="5" xr3:uid="{1E74C645-B91F-4CDB-9F55-6FEC8EAB0A64}" name="Abr" dataDxfId="170">
      <calculatedColumnFormula>SUM($C35:F$36)</calculatedColumnFormula>
    </tableColumn>
    <tableColumn id="6" xr3:uid="{A3B698F1-9EF3-489A-A70E-8E760D6B713B}" name="Mai" dataDxfId="169">
      <calculatedColumnFormula>SUM($C35:G$36)</calculatedColumnFormula>
    </tableColumn>
    <tableColumn id="7" xr3:uid="{6CEDC80B-5635-47E7-AA54-EBD827095F7C}" name="Column1" dataDxfId="168"/>
    <tableColumn id="8" xr3:uid="{A73C88FE-0ABF-4134-B6B0-043ECC9295D4}" name="Column2" dataDxfId="167"/>
    <tableColumn id="9" xr3:uid="{62119987-B16F-44A1-B80E-29460A9513CD}" name="Column3" dataDxfId="166"/>
    <tableColumn id="10" xr3:uid="{C84A40CE-DC4A-442E-883F-891CA5A9A166}" name="Column4" dataDxfId="165"/>
    <tableColumn id="11" xr3:uid="{4DB975F1-C294-416D-81FB-A8070CC2C3BC}" name="Column5" dataDxfId="164"/>
    <tableColumn id="12" xr3:uid="{BC57DA11-9B5C-452D-8026-EF863D07E32E}" name="Column6" dataDxfId="163"/>
    <tableColumn id="13" xr3:uid="{904E02FB-FEA8-49B0-ABA0-9B659A7720D8}" name="Column7" dataDxfId="162"/>
    <tableColumn id="14" xr3:uid="{8C10E0BB-4735-4718-9538-C4AFB616D92A}" name="Ano" dataDxfId="161">
      <calculatedColumnFormula>RealViagemETreinamento[[#Totals],[ANO]]+MarketingReal[[#Totals],[ANO]]+EscritórioReal[[#Totals],[ANO]]+FuncionárioReal[[#Totals],[ANO]]</calculatedColumnFormula>
    </tableColumn>
  </tableColumns>
  <tableStyleInfo name="TableStyleMedium1" showFirstColumn="1" showLastColumn="0" showRowStripes="0" showColumnStripes="0"/>
  <extLst>
    <ext xmlns:x14="http://schemas.microsoft.com/office/spreadsheetml/2009/9/main" uri="{504A1905-F514-4f6f-8877-14C23A59335A}">
      <x14:table altTextSummary="As despesas reais mensais e totais são calculadas automaticamente nesta tabela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VariaçõesDeFuncionários" displayName="VariaçõesDeFuncionários" ref="B5:O8" totalsRowCount="1" headerRowDxfId="155" totalsRowDxfId="152" headerRowBorderDxfId="154" tableBorderDxfId="153" totalsRowBorderDxfId="151">
  <autoFilter ref="B5:O7" xr:uid="{00000000-0009-0000-0100-000009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00000000-0010-0000-0800-000001000000}" name="Custos com funcionários" totalsRowLabel="Subtotal" dataDxfId="150" totalsRowDxfId="149"/>
    <tableColumn id="2" xr3:uid="{00000000-0010-0000-0800-000002000000}" name="Jan" totalsRowFunction="sum" dataDxfId="148" totalsRowDxfId="147">
      <calculatedColumnFormula>INDEX(PlanejamentoDeFuncionário[],MATCH(INDEX(VariaçõesDeFuncionários[],ROW()-ROW(VariaçõesDeFuncionários[[#Headers],[Jan]]),1),INDEX(PlanejamentoDeFuncionário[],,1),0),MATCH(VariaçõesDeFuncionários[[#Headers],[Jan]],PlanejamentoDeFuncionário[#Headers],0))-INDEX(FuncionárioReal[],MATCH(INDEX(VariaçõesDeFuncionários[],ROW()-ROW(VariaçõesDeFuncionários[[#Headers],[Jan]]),1),INDEX(PlanejamentoDeFuncionário[],,1),0),MATCH(VariaçõesDeFuncionários[[#Headers],[Jan]],FuncionárioReal[#Headers],0))</calculatedColumnFormula>
    </tableColumn>
    <tableColumn id="3" xr3:uid="{00000000-0010-0000-0800-000003000000}" name="Fev" totalsRowFunction="sum" dataDxfId="146" totalsRowDxfId="145">
      <calculatedColumnFormula>INDEX(PlanejamentoDeFuncionário[],MATCH(INDEX(VariaçõesDeFuncionários[],ROW()-ROW(VariaçõesDeFuncionários[[#Headers],[Fev]]),1),INDEX(PlanejamentoDeFuncionário[],,1),0),MATCH(VariaçõesDeFuncionários[[#Headers],[Fev]],PlanejamentoDeFuncionário[#Headers],0))-INDEX(FuncionárioReal[],MATCH(INDEX(VariaçõesDeFuncionários[],ROW()-ROW(VariaçõesDeFuncionários[[#Headers],[Fev]]),1),INDEX(PlanejamentoDeFuncionário[],,1),0),MATCH(VariaçõesDeFuncionários[[#Headers],[Fev]],FuncionárioReal[#Headers],0))</calculatedColumnFormula>
    </tableColumn>
    <tableColumn id="4" xr3:uid="{00000000-0010-0000-0800-000004000000}" name="Mar" totalsRowFunction="sum" dataDxfId="144" totalsRowDxfId="143">
      <calculatedColumnFormula>INDEX(PlanejamentoDeFuncionário[],MATCH(INDEX(VariaçõesDeFuncionários[],ROW()-ROW(VariaçõesDeFuncionários[[#Headers],[Mar]]),1),INDEX(PlanejamentoDeFuncionário[],,1),0),MATCH(VariaçõesDeFuncionários[[#Headers],[Mar]],PlanejamentoDeFuncionário[#Headers],0))-INDEX(FuncionárioReal[],MATCH(INDEX(VariaçõesDeFuncionários[],ROW()-ROW(VariaçõesDeFuncionários[[#Headers],[Mar]]),1),INDEX(PlanejamentoDeFuncionário[],,1),0),MATCH(VariaçõesDeFuncionários[[#Headers],[Mar]],FuncionárioReal[#Headers],0))</calculatedColumnFormula>
    </tableColumn>
    <tableColumn id="5" xr3:uid="{00000000-0010-0000-0800-000005000000}" name="Abr" totalsRowFunction="sum" dataDxfId="142" totalsRowDxfId="141">
      <calculatedColumnFormula>INDEX(PlanejamentoDeFuncionário[],MATCH(INDEX(VariaçõesDeFuncionários[],ROW()-ROW(VariaçõesDeFuncionários[[#Headers],[Abr]]),1),INDEX(PlanejamentoDeFuncionário[],,1),0),MATCH(VariaçõesDeFuncionários[[#Headers],[Abr]],PlanejamentoDeFuncionário[#Headers],0))-INDEX(FuncionárioReal[],MATCH(INDEX(VariaçõesDeFuncionários[],ROW()-ROW(VariaçõesDeFuncionários[[#Headers],[Abr]]),1),INDEX(PlanejamentoDeFuncionário[],,1),0),MATCH(VariaçõesDeFuncionários[[#Headers],[Abr]],FuncionárioReal[#Headers],0))</calculatedColumnFormula>
    </tableColumn>
    <tableColumn id="6" xr3:uid="{00000000-0010-0000-0800-000006000000}" name="Maio" totalsRowFunction="sum" dataDxfId="140" totalsRowDxfId="139">
      <calculatedColumnFormula>INDEX(PlanejamentoDeFuncionário[],MATCH(INDEX(VariaçõesDeFuncionários[],ROW()-ROW(VariaçõesDeFuncionários[[#Headers],[Maio]]),1),INDEX(PlanejamentoDeFuncionário[],,1),0),MATCH(VariaçõesDeFuncionários[[#Headers],[Maio]],PlanejamentoDeFuncionário[#Headers],0))-INDEX(FuncionárioReal[],MATCH(INDEX(VariaçõesDeFuncionários[],ROW()-ROW(VariaçõesDeFuncionários[[#Headers],[Maio]]),1),INDEX(PlanejamentoDeFuncionário[],,1),0),MATCH(VariaçõesDeFuncionários[[#Headers],[Maio]],FuncionárioReal[#Headers],0))</calculatedColumnFormula>
    </tableColumn>
    <tableColumn id="7" xr3:uid="{00000000-0010-0000-0800-000007000000}" name="Column1" dataDxfId="138" totalsRowDxfId="137"/>
    <tableColumn id="8" xr3:uid="{00000000-0010-0000-0800-000008000000}" name="Column2" dataDxfId="136" totalsRowDxfId="135"/>
    <tableColumn id="9" xr3:uid="{00000000-0010-0000-0800-000009000000}" name="Column3" dataDxfId="134" totalsRowDxfId="133"/>
    <tableColumn id="10" xr3:uid="{00000000-0010-0000-0800-00000A000000}" name="Column4" dataDxfId="132" totalsRowDxfId="131"/>
    <tableColumn id="11" xr3:uid="{00000000-0010-0000-0800-00000B000000}" name="Column5" dataDxfId="130" totalsRowDxfId="129"/>
    <tableColumn id="12" xr3:uid="{00000000-0010-0000-0800-00000C000000}" name="Column6" dataDxfId="128" totalsRowDxfId="127"/>
    <tableColumn id="13" xr3:uid="{00000000-0010-0000-0800-00000D000000}" name="Column7" dataDxfId="126" totalsRowDxfId="125"/>
    <tableColumn id="14" xr3:uid="{00000000-0010-0000-0800-00000E000000}" name="ANO" totalsRowFunction="sum" dataDxfId="124" totalsRowDxfId="123">
      <calculatedColumnFormula>SUM(VariaçõesDeFuncionários[[#This Row],[Jan]:[Column7]])</calculatedColumnFormula>
    </tableColumn>
  </tableColumns>
  <tableStyleInfo name="TableStyleLight8" showFirstColumn="1" showLastColumn="0" showRowStripes="0" showColumnStripes="0"/>
  <extLst>
    <ext xmlns:x14="http://schemas.microsoft.com/office/spreadsheetml/2009/9/main" uri="{504A1905-F514-4f6f-8877-14C23A59335A}">
      <x14:table altTextSummary="A variação nos custos mensais com funcionários é calculada automaticamente nesta tabela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VariaçõesDoEscritório" displayName="VariaçõesDoEscritório" ref="B10:O19" totalsRowCount="1" headerRowDxfId="122" totalsRowDxfId="119" headerRowBorderDxfId="121" tableBorderDxfId="120" totalsRowBorderDxfId="118">
  <autoFilter ref="B10:O18" xr:uid="{00000000-0009-0000-0100-00000A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00000000-0010-0000-0900-000001000000}" name="Custos do escritório" totalsRowLabel="Subtotal" dataDxfId="117" totalsRowDxfId="116"/>
    <tableColumn id="2" xr3:uid="{00000000-0010-0000-0900-000002000000}" name="Jan" totalsRowFunction="sum" dataDxfId="115" totalsRowDxfId="114"/>
    <tableColumn id="3" xr3:uid="{00000000-0010-0000-0900-000003000000}" name="Fev" totalsRowFunction="sum" dataDxfId="113" totalsRowDxfId="112"/>
    <tableColumn id="4" xr3:uid="{00000000-0010-0000-0900-000004000000}" name="Mar" totalsRowFunction="sum" dataDxfId="111" totalsRowDxfId="110"/>
    <tableColumn id="5" xr3:uid="{00000000-0010-0000-0900-000005000000}" name="Abr" totalsRowFunction="sum" dataDxfId="109" totalsRowDxfId="108"/>
    <tableColumn id="6" xr3:uid="{00000000-0010-0000-0900-000006000000}" name="Maio" totalsRowFunction="sum" dataDxfId="107" totalsRowDxfId="106"/>
    <tableColumn id="7" xr3:uid="{00000000-0010-0000-0900-000007000000}" name="Column1" dataDxfId="105" totalsRowDxfId="104"/>
    <tableColumn id="8" xr3:uid="{00000000-0010-0000-0900-000008000000}" name="Column2" dataDxfId="103" totalsRowDxfId="102"/>
    <tableColumn id="9" xr3:uid="{00000000-0010-0000-0900-000009000000}" name="Column3" dataDxfId="101" totalsRowDxfId="100"/>
    <tableColumn id="10" xr3:uid="{00000000-0010-0000-0900-00000A000000}" name="Column4" dataDxfId="99" totalsRowDxfId="98"/>
    <tableColumn id="11" xr3:uid="{00000000-0010-0000-0900-00000B000000}" name="Column5" dataDxfId="97" totalsRowDxfId="96"/>
    <tableColumn id="12" xr3:uid="{00000000-0010-0000-0900-00000C000000}" name="Column6" dataDxfId="95" totalsRowDxfId="94"/>
    <tableColumn id="13" xr3:uid="{00000000-0010-0000-0900-00000D000000}" name="Column7" dataDxfId="93" totalsRowDxfId="92"/>
    <tableColumn id="14" xr3:uid="{00000000-0010-0000-0900-00000E000000}" name="ANO" totalsRowFunction="sum" dataDxfId="91" totalsRowDxfId="90"/>
  </tableColumns>
  <tableStyleInfo name="TableStyleLight8" showFirstColumn="1" showLastColumn="1" showRowStripes="0" showColumnStripes="0"/>
  <extLst>
    <ext xmlns:x14="http://schemas.microsoft.com/office/spreadsheetml/2009/9/main" uri="{504A1905-F514-4f6f-8877-14C23A59335A}">
      <x14:table altTextSummary="A variação nos custos mensais com o escritório é calculada automaticamente nesta tabela"/>
    </ext>
  </extLst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VariaçõesDeMarketing" displayName="VariaçõesDeMarketing" ref="B21:O28" totalsRowCount="1" headerRowDxfId="89" totalsRowDxfId="86" headerRowBorderDxfId="88" tableBorderDxfId="87" totalsRowBorderDxfId="85">
  <autoFilter ref="B21:O27" xr:uid="{00000000-0009-0000-0100-00000B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00000000-0010-0000-0A00-000001000000}" name="Custos de marketing" totalsRowLabel="Subtotal" dataDxfId="84" totalsRowDxfId="83"/>
    <tableColumn id="2" xr3:uid="{00000000-0010-0000-0A00-000002000000}" name="Jan" totalsRowFunction="sum" dataDxfId="82" totalsRowDxfId="81">
      <calculatedColumnFormula>INDEX(PlanejamentoDeMarketing[],MATCH(INDEX(VariaçõesDeMarketing[],ROW()-ROW(VariaçõesDeMarketing[[#Headers],[Jan]]),1),INDEX(PlanejamentoDeMarketing[],,1),0),MATCH(VariaçõesDeMarketing[[#Headers],[Jan]],PlanejamentoDeMarketing[#Headers],0))-INDEX(MarketingReal[],MATCH(INDEX(VariaçõesDeMarketing[],ROW()-ROW(VariaçõesDeMarketing[[#Headers],[Jan]]),1),INDEX(PlanejamentoDeMarketing[],,1),0),MATCH(VariaçõesDeMarketing[[#Headers],[Jan]],MarketingReal[#Headers],0))</calculatedColumnFormula>
    </tableColumn>
    <tableColumn id="3" xr3:uid="{00000000-0010-0000-0A00-000003000000}" name="Fev" totalsRowFunction="sum" dataDxfId="80" totalsRowDxfId="79">
      <calculatedColumnFormula>INDEX(PlanejamentoDeMarketing[],MATCH(INDEX(VariaçõesDeMarketing[],ROW()-ROW(VariaçõesDeMarketing[[#Headers],[Fev]]),1),INDEX(PlanejamentoDeMarketing[],,1),0),MATCH(VariaçõesDeMarketing[[#Headers],[Fev]],PlanejamentoDeMarketing[#Headers],0))-INDEX(MarketingReal[],MATCH(INDEX(VariaçõesDeMarketing[],ROW()-ROW(VariaçõesDeMarketing[[#Headers],[Fev]]),1),INDEX(PlanejamentoDeMarketing[],,1),0),MATCH(VariaçõesDeMarketing[[#Headers],[Fev]],MarketingReal[#Headers],0))</calculatedColumnFormula>
    </tableColumn>
    <tableColumn id="4" xr3:uid="{00000000-0010-0000-0A00-000004000000}" name="Mar" totalsRowFunction="sum" dataDxfId="78" totalsRowDxfId="77">
      <calculatedColumnFormula>INDEX(PlanejamentoDeMarketing[],MATCH(INDEX(VariaçõesDeMarketing[],ROW()-ROW(VariaçõesDeMarketing[[#Headers],[Mar]]),1),INDEX(PlanejamentoDeMarketing[],,1),0),MATCH(VariaçõesDeMarketing[[#Headers],[Mar]],PlanejamentoDeMarketing[#Headers],0))-INDEX(MarketingReal[],MATCH(INDEX(VariaçõesDeMarketing[],ROW()-ROW(VariaçõesDeMarketing[[#Headers],[Mar]]),1),INDEX(PlanejamentoDeMarketing[],,1),0),MATCH(VariaçõesDeMarketing[[#Headers],[Mar]],MarketingReal[#Headers],0))</calculatedColumnFormula>
    </tableColumn>
    <tableColumn id="5" xr3:uid="{00000000-0010-0000-0A00-000005000000}" name="Abr" totalsRowFunction="sum" dataDxfId="76" totalsRowDxfId="75">
      <calculatedColumnFormula>INDEX(PlanejamentoDeMarketing[],MATCH(INDEX(VariaçõesDeMarketing[],ROW()-ROW(VariaçõesDeMarketing[[#Headers],[Abr]]),1),INDEX(PlanejamentoDeMarketing[],,1),0),MATCH(VariaçõesDeMarketing[[#Headers],[Abr]],PlanejamentoDeMarketing[#Headers],0))-INDEX(MarketingReal[],MATCH(INDEX(VariaçõesDeMarketing[],ROW()-ROW(VariaçõesDeMarketing[[#Headers],[Abr]]),1),INDEX(PlanejamentoDeMarketing[],,1),0),MATCH(VariaçõesDeMarketing[[#Headers],[Abr]],MarketingReal[#Headers],0))</calculatedColumnFormula>
    </tableColumn>
    <tableColumn id="6" xr3:uid="{00000000-0010-0000-0A00-000006000000}" name="Maio" totalsRowFunction="sum" dataDxfId="74" totalsRowDxfId="73">
      <calculatedColumnFormula>INDEX(PlanejamentoDeMarketing[],MATCH(INDEX(VariaçõesDeMarketing[],ROW()-ROW(VariaçõesDeMarketing[[#Headers],[Maio]]),1),INDEX(PlanejamentoDeMarketing[],,1),0),MATCH(VariaçõesDeMarketing[[#Headers],[Maio]],PlanejamentoDeMarketing[#Headers],0))-INDEX(MarketingReal[],MATCH(INDEX(VariaçõesDeMarketing[],ROW()-ROW(VariaçõesDeMarketing[[#Headers],[Maio]]),1),INDEX(PlanejamentoDeMarketing[],,1),0),MATCH(VariaçõesDeMarketing[[#Headers],[Maio]],MarketingReal[#Headers],0))</calculatedColumnFormula>
    </tableColumn>
    <tableColumn id="7" xr3:uid="{00000000-0010-0000-0A00-000007000000}" name="Column1" dataDxfId="72" totalsRowDxfId="71"/>
    <tableColumn id="8" xr3:uid="{00000000-0010-0000-0A00-000008000000}" name="Column2" dataDxfId="70" totalsRowDxfId="69"/>
    <tableColumn id="9" xr3:uid="{00000000-0010-0000-0A00-000009000000}" name="Column3" dataDxfId="68" totalsRowDxfId="67"/>
    <tableColumn id="10" xr3:uid="{00000000-0010-0000-0A00-00000A000000}" name="Column4" dataDxfId="66" totalsRowDxfId="65"/>
    <tableColumn id="11" xr3:uid="{00000000-0010-0000-0A00-00000B000000}" name="Column5" dataDxfId="64" totalsRowDxfId="63"/>
    <tableColumn id="12" xr3:uid="{00000000-0010-0000-0A00-00000C000000}" name="Column6" dataDxfId="62" totalsRowDxfId="61"/>
    <tableColumn id="13" xr3:uid="{00000000-0010-0000-0A00-00000D000000}" name="Column7" dataDxfId="60" totalsRowDxfId="59"/>
    <tableColumn id="14" xr3:uid="{00000000-0010-0000-0A00-00000E000000}" name="ANO" totalsRowFunction="sum" dataDxfId="58" totalsRowDxfId="57">
      <calculatedColumnFormula>SUM(VariaçõesDeMarketing[[#This Row],[Jan]:[Column7]])</calculatedColumnFormula>
    </tableColumn>
  </tableColumns>
  <tableStyleInfo name="TableStyleLight8" showFirstColumn="1" showLastColumn="1" showRowStripes="0" showColumnStripes="0"/>
  <extLst>
    <ext xmlns:x14="http://schemas.microsoft.com/office/spreadsheetml/2009/9/main" uri="{504A1905-F514-4f6f-8877-14C23A59335A}">
      <x14:table altTextSummary="A variação nos custos mensais com marketing é calculada automaticamente nesta tabela"/>
    </ext>
  </extLst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VariaçõesDeViagensETreinamentos" displayName="VariaçõesDeViagensETreinamentos" ref="B30:O33" totalsRowCount="1" headerRowDxfId="56" totalsRowDxfId="53" headerRowBorderDxfId="55" tableBorderDxfId="54" totalsRowBorderDxfId="52">
  <autoFilter ref="B30:O32" xr:uid="{00000000-0009-0000-0100-00000C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00000000-0010-0000-0B00-000001000000}" name="Viagem/Treinamento" totalsRowLabel="Subtotal" dataDxfId="51" totalsRowDxfId="50"/>
    <tableColumn id="2" xr3:uid="{00000000-0010-0000-0B00-000002000000}" name="Jan" totalsRowFunction="sum" dataDxfId="49" totalsRowDxfId="48">
      <calculatedColumnFormula>INDEX(PlanejamentoDeViagemETreinamento[],MATCH(INDEX(VariaçõesDeViagensETreinamentos[],ROW()-ROW(VariaçõesDeViagensETreinamentos[[#Headers],[Jan]]),1),INDEX(PlanejamentoDeViagemETreinamento[],,1),0),MATCH(VariaçõesDeViagensETreinamentos[[#Headers],[Jan]],PlanejamentoDeViagemETreinamento[#Headers],0))-INDEX(RealViagemETreinamento[],MATCH(INDEX(VariaçõesDeViagensETreinamentos[],ROW()-ROW(VariaçõesDeViagensETreinamentos[[#Headers],[Jan]]),1),INDEX(PlanejamentoDeViagemETreinamento[],,1),0),MATCH(VariaçõesDeViagensETreinamentos[[#Headers],[Jan]],RealViagemETreinamento[#Headers],0))</calculatedColumnFormula>
    </tableColumn>
    <tableColumn id="3" xr3:uid="{00000000-0010-0000-0B00-000003000000}" name="Fev" totalsRowFunction="sum" dataDxfId="47" totalsRowDxfId="46">
      <calculatedColumnFormula>INDEX(PlanejamentoDeViagemETreinamento[],MATCH(INDEX(VariaçõesDeViagensETreinamentos[],ROW()-ROW(VariaçõesDeViagensETreinamentos[[#Headers],[Fev]]),1),INDEX(PlanejamentoDeViagemETreinamento[],,1),0),MATCH(VariaçõesDeViagensETreinamentos[[#Headers],[Fev]],PlanejamentoDeViagemETreinamento[#Headers],0))-INDEX(RealViagemETreinamento[],MATCH(INDEX(VariaçõesDeViagensETreinamentos[],ROW()-ROW(VariaçõesDeViagensETreinamentos[[#Headers],[Fev]]),1),INDEX(PlanejamentoDeViagemETreinamento[],,1),0),MATCH(VariaçõesDeViagensETreinamentos[[#Headers],[Fev]],RealViagemETreinamento[#Headers],0))</calculatedColumnFormula>
    </tableColumn>
    <tableColumn id="4" xr3:uid="{00000000-0010-0000-0B00-000004000000}" name="Mar" totalsRowFunction="sum" dataDxfId="45" totalsRowDxfId="44">
      <calculatedColumnFormula>INDEX(PlanejamentoDeViagemETreinamento[],MATCH(INDEX(VariaçõesDeViagensETreinamentos[],ROW()-ROW(VariaçõesDeViagensETreinamentos[[#Headers],[Mar]]),1),INDEX(PlanejamentoDeViagemETreinamento[],,1),0),MATCH(VariaçõesDeViagensETreinamentos[[#Headers],[Mar]],PlanejamentoDeViagemETreinamento[#Headers],0))-INDEX(RealViagemETreinamento[],MATCH(INDEX(VariaçõesDeViagensETreinamentos[],ROW()-ROW(VariaçõesDeViagensETreinamentos[[#Headers],[Mar]]),1),INDEX(PlanejamentoDeViagemETreinamento[],,1),0),MATCH(VariaçõesDeViagensETreinamentos[[#Headers],[Mar]],RealViagemETreinamento[#Headers],0))</calculatedColumnFormula>
    </tableColumn>
    <tableColumn id="5" xr3:uid="{00000000-0010-0000-0B00-000005000000}" name="Abr" totalsRowFunction="sum" dataDxfId="43" totalsRowDxfId="42">
      <calculatedColumnFormula>INDEX(PlanejamentoDeViagemETreinamento[],MATCH(INDEX(VariaçõesDeViagensETreinamentos[],ROW()-ROW(VariaçõesDeViagensETreinamentos[[#Headers],[Abr]]),1),INDEX(PlanejamentoDeViagemETreinamento[],,1),0),MATCH(VariaçõesDeViagensETreinamentos[[#Headers],[Abr]],PlanejamentoDeViagemETreinamento[#Headers],0))-INDEX(RealViagemETreinamento[],MATCH(INDEX(VariaçõesDeViagensETreinamentos[],ROW()-ROW(VariaçõesDeViagensETreinamentos[[#Headers],[Abr]]),1),INDEX(PlanejamentoDeViagemETreinamento[],,1),0),MATCH(VariaçõesDeViagensETreinamentos[[#Headers],[Abr]],RealViagemETreinamento[#Headers],0))</calculatedColumnFormula>
    </tableColumn>
    <tableColumn id="6" xr3:uid="{00000000-0010-0000-0B00-000006000000}" name="Maio" totalsRowFunction="sum" dataDxfId="41" totalsRowDxfId="40">
      <calculatedColumnFormula>INDEX(PlanejamentoDeViagemETreinamento[],MATCH(INDEX(VariaçõesDeViagensETreinamentos[],ROW()-ROW(VariaçõesDeViagensETreinamentos[[#Headers],[Maio]]),1),INDEX(PlanejamentoDeViagemETreinamento[],,1),0),MATCH(VariaçõesDeViagensETreinamentos[[#Headers],[Maio]],PlanejamentoDeViagemETreinamento[#Headers],0))-INDEX(RealViagemETreinamento[],MATCH(INDEX(VariaçõesDeViagensETreinamentos[],ROW()-ROW(VariaçõesDeViagensETreinamentos[[#Headers],[Maio]]),1),INDEX(PlanejamentoDeViagemETreinamento[],,1),0),MATCH(VariaçõesDeViagensETreinamentos[[#Headers],[Maio]],RealViagemETreinamento[#Headers],0))</calculatedColumnFormula>
    </tableColumn>
    <tableColumn id="7" xr3:uid="{00000000-0010-0000-0B00-000007000000}" name="Column1" dataDxfId="39" totalsRowDxfId="38"/>
    <tableColumn id="8" xr3:uid="{00000000-0010-0000-0B00-000008000000}" name="Column2" dataDxfId="37" totalsRowDxfId="36"/>
    <tableColumn id="9" xr3:uid="{00000000-0010-0000-0B00-000009000000}" name="Column3" dataDxfId="35" totalsRowDxfId="34"/>
    <tableColumn id="10" xr3:uid="{00000000-0010-0000-0B00-00000A000000}" name="Column4" dataDxfId="33" totalsRowDxfId="32"/>
    <tableColumn id="11" xr3:uid="{00000000-0010-0000-0B00-00000B000000}" name="Column5" dataDxfId="31" totalsRowDxfId="30"/>
    <tableColumn id="12" xr3:uid="{00000000-0010-0000-0B00-00000C000000}" name="Column6" dataDxfId="29" totalsRowDxfId="28"/>
    <tableColumn id="13" xr3:uid="{00000000-0010-0000-0B00-00000D000000}" name="Column7" dataDxfId="27" totalsRowDxfId="26"/>
    <tableColumn id="14" xr3:uid="{00000000-0010-0000-0B00-00000E000000}" name="ANO" totalsRowFunction="sum" dataDxfId="25" totalsRowDxfId="24">
      <calculatedColumnFormula>SUM(VariaçõesDeViagensETreinamentos[[#This Row],[Jan]:[Column7]])</calculatedColumnFormula>
    </tableColumn>
  </tableColumns>
  <tableStyleInfo name="TableStyleLight8" showFirstColumn="1" showLastColumn="1" showRowStripes="0" showColumnStripes="0"/>
  <extLst>
    <ext xmlns:x14="http://schemas.microsoft.com/office/spreadsheetml/2009/9/main" uri="{504A1905-F514-4f6f-8877-14C23A59335A}">
      <x14:table altTextSummary="A variação nos custos mensais com viagens e treinamentos é calculada automaticamente nesta tabela"/>
    </ext>
  </extLst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FD450248-DB77-46F5-B207-E715DE10D029}" name="VariaçõesTotais" displayName="VariaçõesTotais" ref="B35:O37" totalsRowShown="0" headerRowDxfId="23" dataDxfId="22" tableBorderDxfId="21">
  <autoFilter ref="B35:O37" xr:uid="{B407F9FC-1AB0-4A37-B2B1-EDE36CD9972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4CA1B301-8171-4BDA-9269-D51F18A1CE72}" name="TOTAIS" dataDxfId="20"/>
    <tableColumn id="2" xr3:uid="{AE0C21A5-398B-42DE-950D-8AE4AD1A8551}" name="Jan" dataDxfId="19">
      <calculatedColumnFormula>SUM($C35:C$36)</calculatedColumnFormula>
    </tableColumn>
    <tableColumn id="3" xr3:uid="{A43B0B0E-F35F-4E04-8A0D-11BB7356D5F1}" name="Fev" dataDxfId="18">
      <calculatedColumnFormula>SUM($C35:D$36)</calculatedColumnFormula>
    </tableColumn>
    <tableColumn id="4" xr3:uid="{F14459A4-8E61-4E04-9A53-A7DA16CE366A}" name="Mar" dataDxfId="17">
      <calculatedColumnFormula>SUM($C35:E$36)</calculatedColumnFormula>
    </tableColumn>
    <tableColumn id="5" xr3:uid="{1C90C974-8801-4A11-B3AF-1DC144BB0C14}" name="Abr" dataDxfId="16">
      <calculatedColumnFormula>SUM($C35:F$36)</calculatedColumnFormula>
    </tableColumn>
    <tableColumn id="6" xr3:uid="{C8E3F4F6-5F27-4CC7-9916-6D86833782C1}" name="Mai" dataDxfId="15">
      <calculatedColumnFormula>SUM($C35:G$36)</calculatedColumnFormula>
    </tableColumn>
    <tableColumn id="7" xr3:uid="{AF75D92B-7578-4087-BB78-DD5AD8165117}" name="Column1" dataDxfId="14"/>
    <tableColumn id="8" xr3:uid="{35F61ABA-09FB-4695-B0F5-A2C6B6580A2E}" name="Column2" dataDxfId="13"/>
    <tableColumn id="9" xr3:uid="{59F62437-45DC-439F-945A-D0E79C444E8E}" name="Column3" dataDxfId="12"/>
    <tableColumn id="10" xr3:uid="{2BF9DCC5-B211-44A6-BD40-E91602CDA85C}" name="Column4" dataDxfId="11"/>
    <tableColumn id="11" xr3:uid="{4280684A-CD23-4103-8664-029757D0A2A2}" name="Column5" dataDxfId="10"/>
    <tableColumn id="12" xr3:uid="{07DED434-EC8F-4DAF-83E3-E350A33F2EAE}" name="Column6" dataDxfId="9"/>
    <tableColumn id="13" xr3:uid="{32BA0102-0F05-43CF-91BA-724F1FE01DAA}" name="Column7" dataDxfId="8"/>
    <tableColumn id="14" xr3:uid="{57A0D710-AEB8-4057-928D-010058E02081}" name="Ano" dataDxfId="7"/>
  </tableColumns>
  <tableStyleInfo showFirstColumn="1" showLastColumn="0" showRowStripes="0" showColumnStripes="0"/>
  <extLst>
    <ext xmlns:x14="http://schemas.microsoft.com/office/spreadsheetml/2009/9/main" uri="{504A1905-F514-4f6f-8877-14C23A59335A}">
      <x14:table altTextSummary="A variação de despesas mensais e totais é calculada automaticamente nesta tabela"/>
    </ext>
  </extLst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029F34C-CC7A-4C9E-8687-3CBA6E03BB7D}" name="Análise" displayName="Análise" ref="B5:F10" totalsRowShown="0" dataDxfId="6" tableBorderDxfId="5">
  <autoFilter ref="B5:F10" xr:uid="{FF30FBEE-D7F5-45FA-A994-455B735EFD11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85D5DD3A-2DA8-4CC6-8C75-2348A5B1DCE5}" name="Categoria de Despesas" dataDxfId="4"/>
    <tableColumn id="2" xr3:uid="{71038352-BC76-49DD-9F6C-B394E5F033ED}" name="Despesas Planejadas" dataDxfId="3"/>
    <tableColumn id="3" xr3:uid="{19ED3EBC-BC10-47F6-9800-62129A32BC8E}" name="Despesas reais" dataDxfId="2"/>
    <tableColumn id="4" xr3:uid="{E8D5E1DD-7CB1-4A1A-8F42-EFBF70790FE7}" name="Variações de Despesas" dataDxfId="1">
      <calculatedColumnFormula>C6-D6</calculatedColumnFormula>
    </tableColumn>
    <tableColumn id="5" xr3:uid="{47E1881E-12A2-4F0E-8364-B79F2DC5D0B1}" name="Porcentagem da Variação" dataDxfId="0">
      <calculatedColumnFormula>E6/C6</calculatedColumnFormula>
    </tableColumn>
  </tableColumns>
  <tableStyleInfo showFirstColumn="1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PlanejamentoDeMarketing" displayName="PlanejamentoDeMarketing" ref="B21:O28" totalsRowCount="1" headerRowDxfId="427" totalsRowDxfId="424" headerRowBorderDxfId="426" tableBorderDxfId="425" totalsRowBorderDxfId="423">
  <autoFilter ref="B21:O27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00000000-0010-0000-0100-000001000000}" name="Custos de marketing" totalsRowLabel="Subtotal" dataDxfId="422" totalsRowDxfId="421"/>
    <tableColumn id="2" xr3:uid="{00000000-0010-0000-0100-000002000000}" name="Jan" totalsRowFunction="sum" dataDxfId="420" totalsRowDxfId="419"/>
    <tableColumn id="3" xr3:uid="{00000000-0010-0000-0100-000003000000}" name="Fev" totalsRowFunction="sum" dataDxfId="418" totalsRowDxfId="417"/>
    <tableColumn id="4" xr3:uid="{00000000-0010-0000-0100-000004000000}" name="Mar" totalsRowFunction="sum" dataDxfId="416" totalsRowDxfId="415"/>
    <tableColumn id="5" xr3:uid="{00000000-0010-0000-0100-000005000000}" name="Abr" totalsRowFunction="sum" dataDxfId="414" totalsRowDxfId="413"/>
    <tableColumn id="6" xr3:uid="{00000000-0010-0000-0100-000006000000}" name="Maio" totalsRowFunction="sum" dataDxfId="412" totalsRowDxfId="411"/>
    <tableColumn id="7" xr3:uid="{00000000-0010-0000-0100-000007000000}" name="Column1" dataDxfId="410" totalsRowDxfId="409"/>
    <tableColumn id="8" xr3:uid="{00000000-0010-0000-0100-000008000000}" name="Column2" dataDxfId="408" totalsRowDxfId="407"/>
    <tableColumn id="9" xr3:uid="{00000000-0010-0000-0100-000009000000}" name="Column3" dataDxfId="406" totalsRowDxfId="405"/>
    <tableColumn id="10" xr3:uid="{00000000-0010-0000-0100-00000A000000}" name="Column4" dataDxfId="404" totalsRowDxfId="403"/>
    <tableColumn id="11" xr3:uid="{00000000-0010-0000-0100-00000B000000}" name="Column5" dataDxfId="402" totalsRowDxfId="401"/>
    <tableColumn id="12" xr3:uid="{00000000-0010-0000-0100-00000C000000}" name="Column6" dataDxfId="400" totalsRowDxfId="399"/>
    <tableColumn id="13" xr3:uid="{00000000-0010-0000-0100-00000D000000}" name="Column7" dataDxfId="398" totalsRowDxfId="397"/>
    <tableColumn id="14" xr3:uid="{00000000-0010-0000-0100-00000E000000}" name="ANO" totalsRowFunction="sum" dataDxfId="396" totalsRowDxfId="395">
      <calculatedColumnFormula>SUM(C22:N22)</calculatedColumnFormula>
    </tableColumn>
  </tableColumns>
  <tableStyleInfo name="TableStyleMedium1" showFirstColumn="1" showLastColumn="1" showRowStripes="0" showColumnStripes="0"/>
  <extLst>
    <ext xmlns:x14="http://schemas.microsoft.com/office/spreadsheetml/2009/9/main" uri="{504A1905-F514-4f6f-8877-14C23A59335A}">
      <x14:table altTextSummary="Insira nesta tabela os custos planejados mensais de marketing. O total é automaticamente calculado no final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PlanejamentoDeViagemETreinamento" displayName="PlanejamentoDeViagemETreinamento" ref="B30:O33" totalsRowCount="1" headerRowDxfId="394" totalsRowDxfId="391" headerRowBorderDxfId="393" tableBorderDxfId="392" totalsRowBorderDxfId="390">
  <autoFilter ref="B30:O32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00000000-0010-0000-0200-000001000000}" name="Viagem/Treinamento" totalsRowLabel="Subtotal" dataDxfId="389" totalsRowDxfId="388"/>
    <tableColumn id="2" xr3:uid="{00000000-0010-0000-0200-000002000000}" name="Jan" totalsRowFunction="sum" dataDxfId="387" totalsRowDxfId="386"/>
    <tableColumn id="3" xr3:uid="{00000000-0010-0000-0200-000003000000}" name="Fev" totalsRowFunction="sum" dataDxfId="385" totalsRowDxfId="384"/>
    <tableColumn id="4" xr3:uid="{00000000-0010-0000-0200-000004000000}" name="Mar" totalsRowFunction="sum" dataDxfId="383" totalsRowDxfId="382"/>
    <tableColumn id="5" xr3:uid="{00000000-0010-0000-0200-000005000000}" name="Abr" totalsRowFunction="sum" dataDxfId="381" totalsRowDxfId="380"/>
    <tableColumn id="6" xr3:uid="{00000000-0010-0000-0200-000006000000}" name="Maio" totalsRowFunction="sum" dataDxfId="379" totalsRowDxfId="378"/>
    <tableColumn id="7" xr3:uid="{00000000-0010-0000-0200-000007000000}" name="Column1" dataDxfId="377" totalsRowDxfId="376"/>
    <tableColumn id="8" xr3:uid="{00000000-0010-0000-0200-000008000000}" name="Column2" dataDxfId="375" totalsRowDxfId="374"/>
    <tableColumn id="9" xr3:uid="{00000000-0010-0000-0200-000009000000}" name="Column3" dataDxfId="373" totalsRowDxfId="372"/>
    <tableColumn id="10" xr3:uid="{00000000-0010-0000-0200-00000A000000}" name="Column4" dataDxfId="371" totalsRowDxfId="370"/>
    <tableColumn id="11" xr3:uid="{00000000-0010-0000-0200-00000B000000}" name="Column5" dataDxfId="369" totalsRowDxfId="368"/>
    <tableColumn id="12" xr3:uid="{00000000-0010-0000-0200-00000C000000}" name="Column6" dataDxfId="367" totalsRowDxfId="366"/>
    <tableColumn id="13" xr3:uid="{00000000-0010-0000-0200-00000D000000}" name="Column7" dataDxfId="365" totalsRowDxfId="364"/>
    <tableColumn id="14" xr3:uid="{00000000-0010-0000-0200-00000E000000}" name="ANO" totalsRowFunction="sum" dataDxfId="363" totalsRowDxfId="362">
      <calculatedColumnFormula>SUM(C31:N31)</calculatedColumnFormula>
    </tableColumn>
  </tableColumns>
  <tableStyleInfo name="TableStyleMedium1" showFirstColumn="1" showLastColumn="1" showRowStripes="0" showColumnStripes="0"/>
  <extLst>
    <ext xmlns:x14="http://schemas.microsoft.com/office/spreadsheetml/2009/9/main" uri="{504A1905-F514-4f6f-8877-14C23A59335A}">
      <x14:table altTextSummary="Insira nesta tabela os custos planejados mensais de treinamento e viagem. O total é automaticamente calculado no final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PlanejamentoDeFuncionário" displayName="PlanejamentoDeFuncionário" ref="B5:O8" totalsRowCount="1" headerRowDxfId="361" totalsRowDxfId="358" headerRowBorderDxfId="360" tableBorderDxfId="359" totalsRowBorderDxfId="357">
  <autoFilter ref="B5:O7" xr:uid="{00000000-0009-0000-0100-000007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00000000-0010-0000-0300-000001000000}" name="Custos com funcionários" totalsRowLabel="Subtotal" dataDxfId="356" totalsRowDxfId="355"/>
    <tableColumn id="2" xr3:uid="{00000000-0010-0000-0300-000002000000}" name="Jan" totalsRowFunction="sum" dataDxfId="354" totalsRowDxfId="353">
      <calculatedColumnFormula>C5*0.27</calculatedColumnFormula>
    </tableColumn>
    <tableColumn id="3" xr3:uid="{00000000-0010-0000-0300-000003000000}" name="Fev" totalsRowFunction="sum" dataDxfId="352" totalsRowDxfId="351">
      <calculatedColumnFormula>D5*0.27</calculatedColumnFormula>
    </tableColumn>
    <tableColumn id="4" xr3:uid="{00000000-0010-0000-0300-000004000000}" name="Mar" totalsRowFunction="sum" dataDxfId="350" totalsRowDxfId="349">
      <calculatedColumnFormula>E5*0.27</calculatedColumnFormula>
    </tableColumn>
    <tableColumn id="5" xr3:uid="{00000000-0010-0000-0300-000005000000}" name="Abr" totalsRowFunction="sum" dataDxfId="348" totalsRowDxfId="347">
      <calculatedColumnFormula>F5*0.27</calculatedColumnFormula>
    </tableColumn>
    <tableColumn id="6" xr3:uid="{00000000-0010-0000-0300-000006000000}" name="Maio" totalsRowFunction="sum" dataDxfId="346" totalsRowDxfId="345">
      <calculatedColumnFormula>G5*0.27</calculatedColumnFormula>
    </tableColumn>
    <tableColumn id="7" xr3:uid="{00000000-0010-0000-0300-000007000000}" name="Column1" dataDxfId="344" totalsRowDxfId="343"/>
    <tableColumn id="8" xr3:uid="{00000000-0010-0000-0300-000008000000}" name="Column2" dataDxfId="342" totalsRowDxfId="341"/>
    <tableColumn id="9" xr3:uid="{00000000-0010-0000-0300-000009000000}" name="Column3" dataDxfId="340" totalsRowDxfId="339"/>
    <tableColumn id="10" xr3:uid="{00000000-0010-0000-0300-00000A000000}" name="Column4" dataDxfId="338" totalsRowDxfId="337"/>
    <tableColumn id="11" xr3:uid="{00000000-0010-0000-0300-00000B000000}" name="Column5" dataDxfId="336" totalsRowDxfId="335"/>
    <tableColumn id="12" xr3:uid="{00000000-0010-0000-0300-00000C000000}" name="Column6" dataDxfId="334" totalsRowDxfId="333"/>
    <tableColumn id="13" xr3:uid="{00000000-0010-0000-0300-00000D000000}" name="Column7" dataDxfId="332" totalsRowDxfId="331"/>
    <tableColumn id="14" xr3:uid="{00000000-0010-0000-0300-00000E000000}" name="ANO" totalsRowFunction="sum" dataDxfId="330" totalsRowDxfId="329">
      <calculatedColumnFormula>SUM(C6:N6)</calculatedColumnFormula>
    </tableColumn>
  </tableColumns>
  <tableStyleInfo name="TableStyleMedium1" showFirstColumn="1" showLastColumn="1" showRowStripes="1" showColumnStripes="0"/>
  <extLst>
    <ext xmlns:x14="http://schemas.microsoft.com/office/spreadsheetml/2009/9/main" uri="{504A1905-F514-4f6f-8877-14C23A59335A}">
      <x14:table altTextSummary="Insira nesta tabela os custos planejados mensais de funcionário. O total é automaticamente calculado no final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1654C0-A6E2-4402-ADF4-C02B29E915BD}" name="PlanejamentoTotal" displayName="TotalPlanejado" ref="B35:O37" totalsRowShown="0" headerRowDxfId="328" dataDxfId="326" headerRowBorderDxfId="327" tableBorderDxfId="325" totalsRowBorderDxfId="324">
  <autoFilter ref="B35:O37" xr:uid="{630CA614-6744-438B-8D74-F7C59585F1E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7DAEAEE0-3B16-417F-B274-1F203D9CFCF2}" name="TOTAIS" dataDxfId="323"/>
    <tableColumn id="2" xr3:uid="{3CBCAAC6-5850-43CE-8A4B-7299FADFEA94}" name="Jan" dataDxfId="322">
      <calculatedColumnFormula>SUM($C35:C$36)</calculatedColumnFormula>
    </tableColumn>
    <tableColumn id="3" xr3:uid="{E78EAAAB-F732-4079-94F1-D17531764B41}" name="Fev" dataDxfId="321">
      <calculatedColumnFormula>SUM($C35:D$36)</calculatedColumnFormula>
    </tableColumn>
    <tableColumn id="4" xr3:uid="{7E178853-B334-4E02-A0B5-9E8AC39D6929}" name="Mar" dataDxfId="320">
      <calculatedColumnFormula>SUM($C35:E$36)</calculatedColumnFormula>
    </tableColumn>
    <tableColumn id="5" xr3:uid="{901BCAA1-7C45-46E6-9DAA-C055B5CC4D9E}" name="Abr" dataDxfId="319">
      <calculatedColumnFormula>SUM($C35:F$36)</calculatedColumnFormula>
    </tableColumn>
    <tableColumn id="6" xr3:uid="{FDC62F5A-FCA8-49DA-AFE4-FBDA22CB588C}" name="Mai" dataDxfId="318">
      <calculatedColumnFormula>SUM($C35:G$36)</calculatedColumnFormula>
    </tableColumn>
    <tableColumn id="7" xr3:uid="{6B7E4F62-6387-4545-9593-FCFE8EB0E87B}" name="Column1" dataDxfId="317"/>
    <tableColumn id="8" xr3:uid="{29C96D76-82C3-4C86-A866-135D2B5F6766}" name="Column2" dataDxfId="316"/>
    <tableColumn id="9" xr3:uid="{8EAF7A8A-BCFD-4A07-ADFE-7B3A8A367BB3}" name="Column3" dataDxfId="315"/>
    <tableColumn id="10" xr3:uid="{F40CD844-EFB4-4B82-8FEA-F130D1DDE9B6}" name="Column4" dataDxfId="314"/>
    <tableColumn id="11" xr3:uid="{42E3BDAF-1274-4A42-93E1-A70D8EFF4D76}" name="Column5" dataDxfId="313"/>
    <tableColumn id="12" xr3:uid="{4F7ADDB3-3705-4D5F-B56D-EBBC8E7DFAFB}" name="Column6" dataDxfId="312"/>
    <tableColumn id="13" xr3:uid="{56789314-1137-4ED4-BA2B-969187ADECB2}" name="Column7" dataDxfId="311"/>
    <tableColumn id="14" xr3:uid="{284F34B8-8D32-4E44-96FD-25CE69A931D2}" name="Ano" dataDxfId="310">
      <calculatedColumnFormula>PlanejamentoDeViagemETreinamento[[#Totals],[ANO]]+PlanejamentoDeMarketing[[#Totals],[ANO]]+PlanejamentoDeEscritório[[#Totals],[ANO]]+PlanejamentoDeFuncionário[[#Totals],[ANO]]</calculatedColumnFormula>
    </tableColumn>
  </tableColumns>
  <tableStyleInfo showFirstColumn="1" showLastColumn="0" showRowStripes="0" showColumnStripes="0"/>
  <extLst>
    <ext xmlns:x14="http://schemas.microsoft.com/office/spreadsheetml/2009/9/main" uri="{504A1905-F514-4f6f-8877-14C23A59335A}">
      <x14:table altTextSummary="As despesas planejadas mensais e totais são calculadas automaticamente nesta tabela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RealEscritório" displayName="EscritórioReal" ref="B10:O19" totalsRowCount="1" headerRowDxfId="309" totalsRowDxfId="306" headerRowBorderDxfId="308" tableBorderDxfId="307" totalsRowBorderDxfId="305">
  <tableColumns count="14">
    <tableColumn id="1" xr3:uid="{00000000-0010-0000-0400-000001000000}" name="Custos do escritório" totalsRowLabel="Subtotal" dataDxfId="304" totalsRowDxfId="303"/>
    <tableColumn id="2" xr3:uid="{00000000-0010-0000-0400-000002000000}" name="Jan" totalsRowFunction="sum" dataDxfId="302" totalsRowDxfId="301"/>
    <tableColumn id="3" xr3:uid="{00000000-0010-0000-0400-000003000000}" name="Fev" totalsRowFunction="sum" dataDxfId="300" totalsRowDxfId="299"/>
    <tableColumn id="4" xr3:uid="{00000000-0010-0000-0400-000004000000}" name="Mar" totalsRowFunction="sum" dataDxfId="298" totalsRowDxfId="297"/>
    <tableColumn id="5" xr3:uid="{00000000-0010-0000-0400-000005000000}" name="Abr" totalsRowFunction="sum" dataDxfId="296" totalsRowDxfId="295"/>
    <tableColumn id="6" xr3:uid="{00000000-0010-0000-0400-000006000000}" name="Maio" totalsRowFunction="sum" dataDxfId="294" totalsRowDxfId="293"/>
    <tableColumn id="7" xr3:uid="{00000000-0010-0000-0400-000007000000}" name="Column1" dataDxfId="292" totalsRowDxfId="291"/>
    <tableColumn id="8" xr3:uid="{00000000-0010-0000-0400-000008000000}" name="Column2" dataDxfId="290" totalsRowDxfId="289"/>
    <tableColumn id="9" xr3:uid="{00000000-0010-0000-0400-000009000000}" name="Column3" dataDxfId="288" totalsRowDxfId="287"/>
    <tableColumn id="10" xr3:uid="{00000000-0010-0000-0400-00000A000000}" name="Column4" dataDxfId="286" totalsRowDxfId="285"/>
    <tableColumn id="11" xr3:uid="{00000000-0010-0000-0400-00000B000000}" name="Column5" dataDxfId="284" totalsRowDxfId="283"/>
    <tableColumn id="12" xr3:uid="{00000000-0010-0000-0400-00000C000000}" name="Column6" dataDxfId="282" totalsRowDxfId="281"/>
    <tableColumn id="13" xr3:uid="{00000000-0010-0000-0400-00000D000000}" name="Column7" dataDxfId="280" totalsRowDxfId="279"/>
    <tableColumn id="14" xr3:uid="{00000000-0010-0000-0400-00000E000000}" name="ANO" totalsRowFunction="sum" dataDxfId="278" totalsRowDxfId="277">
      <calculatedColumnFormula>SUM(C11:N11)</calculatedColumnFormula>
    </tableColumn>
  </tableColumns>
  <tableStyleInfo name="TableStyleMedium1" showFirstColumn="1" showLastColumn="1" showRowStripes="0" showColumnStripes="0"/>
  <extLst>
    <ext xmlns:x14="http://schemas.microsoft.com/office/spreadsheetml/2009/9/main" uri="{504A1905-F514-4f6f-8877-14C23A59335A}">
      <x14:table altTextSummary="Insira nesta tabela os custos reais mensais do escritório. O total é automaticamente calculado no final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MarketingReal" displayName="MarketingReal" ref="B21:O28" totalsRowCount="1" headerRowDxfId="276" totalsRowDxfId="273" headerRowBorderDxfId="275" tableBorderDxfId="274" totalsRowBorderDxfId="272">
  <autoFilter ref="B21:O27" xr:uid="{00000000-0009-0000-0100-000005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00000000-0010-0000-0500-000001000000}" name="Custos de marketing" totalsRowLabel="Subtotal" dataDxfId="271" totalsRowDxfId="270"/>
    <tableColumn id="2" xr3:uid="{00000000-0010-0000-0500-000002000000}" name="Jan" totalsRowFunction="sum" dataDxfId="269" totalsRowDxfId="268"/>
    <tableColumn id="3" xr3:uid="{00000000-0010-0000-0500-000003000000}" name="Fev" totalsRowFunction="sum" dataDxfId="267" totalsRowDxfId="266"/>
    <tableColumn id="4" xr3:uid="{00000000-0010-0000-0500-000004000000}" name="Mar" totalsRowFunction="sum" dataDxfId="265" totalsRowDxfId="264"/>
    <tableColumn id="5" xr3:uid="{00000000-0010-0000-0500-000005000000}" name="Abr" totalsRowFunction="sum" dataDxfId="263" totalsRowDxfId="262"/>
    <tableColumn id="6" xr3:uid="{00000000-0010-0000-0500-000006000000}" name="Maio" totalsRowFunction="sum" dataDxfId="261" totalsRowDxfId="260"/>
    <tableColumn id="7" xr3:uid="{00000000-0010-0000-0500-000007000000}" name="Column1" dataDxfId="259" totalsRowDxfId="258"/>
    <tableColumn id="8" xr3:uid="{00000000-0010-0000-0500-000008000000}" name="Column2" dataDxfId="257" totalsRowDxfId="256"/>
    <tableColumn id="9" xr3:uid="{00000000-0010-0000-0500-000009000000}" name="Column3" dataDxfId="255" totalsRowDxfId="254"/>
    <tableColumn id="10" xr3:uid="{00000000-0010-0000-0500-00000A000000}" name="Column4" dataDxfId="253" totalsRowDxfId="252"/>
    <tableColumn id="11" xr3:uid="{00000000-0010-0000-0500-00000B000000}" name="Column5" dataDxfId="251" totalsRowDxfId="250"/>
    <tableColumn id="12" xr3:uid="{00000000-0010-0000-0500-00000C000000}" name="Column6" dataDxfId="249" totalsRowDxfId="248"/>
    <tableColumn id="13" xr3:uid="{00000000-0010-0000-0500-00000D000000}" name="Column7" dataDxfId="247" totalsRowDxfId="246"/>
    <tableColumn id="14" xr3:uid="{00000000-0010-0000-0500-00000E000000}" name="ANO" totalsRowFunction="sum" dataDxfId="245" totalsRowDxfId="244">
      <calculatedColumnFormula>SUM(C22:N22)</calculatedColumnFormula>
    </tableColumn>
  </tableColumns>
  <tableStyleInfo name="TableStyleMedium1" showFirstColumn="1" showLastColumn="1" showRowStripes="0" showColumnStripes="0"/>
  <extLst>
    <ext xmlns:x14="http://schemas.microsoft.com/office/spreadsheetml/2009/9/main" uri="{504A1905-F514-4f6f-8877-14C23A59335A}">
      <x14:table altTextSummary="Insira nesta tabela os custos reais mensais de marketing. O total é automaticamente calculado no final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RealViagemETreinamento" displayName="RealViagemETreinamento" ref="B30:O33" totalsRowCount="1" headerRowDxfId="243" totalsRowDxfId="240" headerRowBorderDxfId="242" tableBorderDxfId="241" totalsRowBorderDxfId="239">
  <autoFilter ref="B30:O32" xr:uid="{00000000-0009-0000-0100-000006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00000000-0010-0000-0600-000001000000}" name="Viagem/Treinamento" totalsRowLabel="Subtotal" dataDxfId="238" totalsRowDxfId="237"/>
    <tableColumn id="2" xr3:uid="{00000000-0010-0000-0600-000002000000}" name="Jan" totalsRowFunction="sum" dataDxfId="236" totalsRowDxfId="235"/>
    <tableColumn id="3" xr3:uid="{00000000-0010-0000-0600-000003000000}" name="Fev" totalsRowFunction="sum" dataDxfId="234" totalsRowDxfId="233"/>
    <tableColumn id="4" xr3:uid="{00000000-0010-0000-0600-000004000000}" name="Mar" totalsRowFunction="sum" dataDxfId="232" totalsRowDxfId="231"/>
    <tableColumn id="5" xr3:uid="{00000000-0010-0000-0600-000005000000}" name="Abr" totalsRowFunction="sum" dataDxfId="230" totalsRowDxfId="229"/>
    <tableColumn id="6" xr3:uid="{00000000-0010-0000-0600-000006000000}" name="Maio" totalsRowFunction="sum" dataDxfId="228" totalsRowDxfId="227"/>
    <tableColumn id="7" xr3:uid="{00000000-0010-0000-0600-000007000000}" name="Column1" dataDxfId="226" totalsRowDxfId="225"/>
    <tableColumn id="8" xr3:uid="{00000000-0010-0000-0600-000008000000}" name="Column2" dataDxfId="224" totalsRowDxfId="223"/>
    <tableColumn id="9" xr3:uid="{00000000-0010-0000-0600-000009000000}" name="Column3" dataDxfId="222" totalsRowDxfId="221"/>
    <tableColumn id="10" xr3:uid="{00000000-0010-0000-0600-00000A000000}" name="Column4" dataDxfId="220" totalsRowDxfId="219"/>
    <tableColumn id="11" xr3:uid="{00000000-0010-0000-0600-00000B000000}" name="Column5" dataDxfId="218" totalsRowDxfId="217"/>
    <tableColumn id="12" xr3:uid="{00000000-0010-0000-0600-00000C000000}" name="Column6" dataDxfId="216" totalsRowDxfId="215"/>
    <tableColumn id="13" xr3:uid="{00000000-0010-0000-0600-00000D000000}" name="Column7" dataDxfId="214" totalsRowDxfId="213"/>
    <tableColumn id="14" xr3:uid="{00000000-0010-0000-0600-00000E000000}" name="ANO" totalsRowFunction="sum" dataDxfId="212" totalsRowDxfId="211">
      <calculatedColumnFormula>SUM(C31:N31)</calculatedColumnFormula>
    </tableColumn>
  </tableColumns>
  <tableStyleInfo name="TableStyleMedium1" showFirstColumn="1" showLastColumn="1" showRowStripes="0" showColumnStripes="0"/>
  <extLst>
    <ext xmlns:x14="http://schemas.microsoft.com/office/spreadsheetml/2009/9/main" uri="{504A1905-F514-4f6f-8877-14C23A59335A}">
      <x14:table altTextSummary="Insira nesta tabela os custos reais mensais de treinamento e viagem. O total é automaticamente calculado no final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FuncionárioReal" displayName="FuncionárioReal" ref="B5:O8" totalsRowCount="1" headerRowDxfId="210" totalsRowDxfId="207" headerRowBorderDxfId="209" tableBorderDxfId="208" totalsRowBorderDxfId="206">
  <autoFilter ref="B5:O7" xr:uid="{00000000-0009-0000-0100-000008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00000000-0010-0000-0700-000001000000}" name="Custos com funcionários" totalsRowLabel="Subtotal" dataDxfId="205" totalsRowDxfId="204"/>
    <tableColumn id="2" xr3:uid="{00000000-0010-0000-0700-000002000000}" name="Jan" totalsRowFunction="sum" dataDxfId="203" totalsRowDxfId="202">
      <calculatedColumnFormula>C5*0.27</calculatedColumnFormula>
    </tableColumn>
    <tableColumn id="3" xr3:uid="{00000000-0010-0000-0700-000003000000}" name="Fev" totalsRowFunction="sum" dataDxfId="201" totalsRowDxfId="200">
      <calculatedColumnFormula>D5*0.27</calculatedColumnFormula>
    </tableColumn>
    <tableColumn id="4" xr3:uid="{00000000-0010-0000-0700-000004000000}" name="Mar" totalsRowFunction="sum" dataDxfId="199" totalsRowDxfId="198">
      <calculatedColumnFormula>E5*0.27</calculatedColumnFormula>
    </tableColumn>
    <tableColumn id="5" xr3:uid="{00000000-0010-0000-0700-000005000000}" name="Abr" totalsRowFunction="sum" dataDxfId="197" totalsRowDxfId="196">
      <calculatedColumnFormula>F5*0.27</calculatedColumnFormula>
    </tableColumn>
    <tableColumn id="6" xr3:uid="{00000000-0010-0000-0700-000006000000}" name="Maio" totalsRowFunction="sum" dataDxfId="195" totalsRowDxfId="194">
      <calculatedColumnFormula>G5*0.27</calculatedColumnFormula>
    </tableColumn>
    <tableColumn id="7" xr3:uid="{00000000-0010-0000-0700-000007000000}" name="Column1" dataDxfId="193" totalsRowDxfId="192"/>
    <tableColumn id="8" xr3:uid="{00000000-0010-0000-0700-000008000000}" name="Column2" dataDxfId="191" totalsRowDxfId="190"/>
    <tableColumn id="9" xr3:uid="{00000000-0010-0000-0700-000009000000}" name="Column3" dataDxfId="189" totalsRowDxfId="188"/>
    <tableColumn id="10" xr3:uid="{00000000-0010-0000-0700-00000A000000}" name="Column4" dataDxfId="187" totalsRowDxfId="186"/>
    <tableColumn id="11" xr3:uid="{00000000-0010-0000-0700-00000B000000}" name="Column5" dataDxfId="185" totalsRowDxfId="184"/>
    <tableColumn id="12" xr3:uid="{00000000-0010-0000-0700-00000C000000}" name="Column6" dataDxfId="183" totalsRowDxfId="182"/>
    <tableColumn id="13" xr3:uid="{00000000-0010-0000-0700-00000D000000}" name="Column7" dataDxfId="181" totalsRowDxfId="180"/>
    <tableColumn id="14" xr3:uid="{00000000-0010-0000-0700-00000E000000}" name="ANO" totalsRowFunction="sum" dataDxfId="179" totalsRowDxfId="178">
      <calculatedColumnFormula>SUM(C6:N6)</calculatedColumnFormula>
    </tableColumn>
  </tableColumns>
  <tableStyleInfo name="TableStyleMedium1" showFirstColumn="1" showLastColumn="1" showRowStripes="0" showColumnStripes="0"/>
  <extLst>
    <ext xmlns:x14="http://schemas.microsoft.com/office/spreadsheetml/2009/9/main" uri="{504A1905-F514-4f6f-8877-14C23A59335A}">
      <x14:table altTextSummary="Insira nesta tabela os custos reais mensais de funcionário. O total é automaticamente calculado no final"/>
    </ext>
  </extLst>
</table>
</file>

<file path=xl/theme/theme1.xml><?xml version="1.0" encoding="utf-8"?>
<a:theme xmlns:a="http://schemas.openxmlformats.org/drawingml/2006/main" name="Office Theme">
  <a:themeElements>
    <a:clrScheme name="Custom 25">
      <a:dk1>
        <a:sysClr val="windowText" lastClr="000000"/>
      </a:dk1>
      <a:lt1>
        <a:srgbClr val="FFFFFF"/>
      </a:lt1>
      <a:dk2>
        <a:srgbClr val="2F4B83"/>
      </a:dk2>
      <a:lt2>
        <a:srgbClr val="F2F2F2"/>
      </a:lt2>
      <a:accent1>
        <a:srgbClr val="CC1D10"/>
      </a:accent1>
      <a:accent2>
        <a:srgbClr val="357B37"/>
      </a:accent2>
      <a:accent3>
        <a:srgbClr val="34A0DC"/>
      </a:accent3>
      <a:accent4>
        <a:srgbClr val="B71F66"/>
      </a:accent4>
      <a:accent5>
        <a:srgbClr val="255D77"/>
      </a:accent5>
      <a:accent6>
        <a:srgbClr val="EF4538"/>
      </a:accent6>
      <a:hlink>
        <a:srgbClr val="7DC6F3"/>
      </a:hlink>
      <a:folHlink>
        <a:srgbClr val="7DC6F3"/>
      </a:folHlink>
    </a:clrScheme>
    <a:fontScheme name="Custom 18">
      <a:majorFont>
        <a:latin typeface="Franklin Gothic Book"/>
        <a:ea typeface=""/>
        <a:cs typeface=""/>
      </a:majorFont>
      <a:minorFont>
        <a:latin typeface="Microsoft Sans Serif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5652D-94A4-43B5-AFA7-1A6439101CE6}">
  <sheetPr codeName="Sheet1">
    <tabColor theme="3" tint="-0.249977111117893"/>
  </sheetPr>
  <dimension ref="B1:B8"/>
  <sheetViews>
    <sheetView workbookViewId="0">
      <selection activeCell="M11" sqref="M11"/>
    </sheetView>
  </sheetViews>
  <sheetFormatPr defaultRowHeight="12.75" x14ac:dyDescent="0.2"/>
  <cols>
    <col min="1" max="1" width="2.7109375" customWidth="1"/>
    <col min="2" max="2" width="81.42578125" customWidth="1"/>
    <col min="3" max="3" width="2.7109375" customWidth="1"/>
  </cols>
  <sheetData>
    <row r="1" spans="2:2" s="27" customFormat="1" ht="30" customHeight="1" x14ac:dyDescent="0.2">
      <c r="B1" s="28" t="s">
        <v>0</v>
      </c>
    </row>
    <row r="2" spans="2:2" ht="43.5" customHeight="1" x14ac:dyDescent="0.2">
      <c r="B2" s="39" t="s">
        <v>1</v>
      </c>
    </row>
    <row r="3" spans="2:2" ht="30" customHeight="1" x14ac:dyDescent="0.2">
      <c r="B3" s="39" t="s">
        <v>2</v>
      </c>
    </row>
    <row r="4" spans="2:2" ht="40.5" customHeight="1" x14ac:dyDescent="0.2">
      <c r="B4" s="39" t="s">
        <v>3</v>
      </c>
    </row>
    <row r="5" spans="2:2" ht="36" customHeight="1" x14ac:dyDescent="0.2">
      <c r="B5" s="39" t="s">
        <v>4</v>
      </c>
    </row>
    <row r="6" spans="2:2" ht="36" customHeight="1" x14ac:dyDescent="0.2">
      <c r="B6" s="41" t="s">
        <v>5</v>
      </c>
    </row>
    <row r="7" spans="2:2" ht="53.25" customHeight="1" x14ac:dyDescent="0.2">
      <c r="B7" s="39" t="s">
        <v>6</v>
      </c>
    </row>
    <row r="8" spans="2:2" ht="43.5" customHeight="1" x14ac:dyDescent="0.25">
      <c r="B8" s="40" t="s"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5"/>
    <pageSetUpPr autoPageBreaks="0"/>
  </sheetPr>
  <dimension ref="A1:U38"/>
  <sheetViews>
    <sheetView showGridLines="0" tabSelected="1" zoomScaleNormal="100" workbookViewId="0">
      <selection activeCell="E1" sqref="E1"/>
    </sheetView>
  </sheetViews>
  <sheetFormatPr defaultColWidth="9.140625" defaultRowHeight="21" customHeight="1" x14ac:dyDescent="0.3"/>
  <cols>
    <col min="1" max="1" width="4.7109375" style="1" customWidth="1"/>
    <col min="2" max="2" width="47.42578125" style="1" customWidth="1"/>
    <col min="3" max="7" width="16.7109375" style="1" customWidth="1"/>
    <col min="8" max="10" width="14.5703125" style="1" hidden="1" customWidth="1"/>
    <col min="11" max="14" width="16.7109375" style="1" hidden="1" customWidth="1"/>
    <col min="15" max="15" width="16.28515625" style="1" customWidth="1"/>
    <col min="16" max="16" width="4.7109375" style="1" customWidth="1"/>
    <col min="17" max="17" width="8.85546875" style="1" customWidth="1"/>
    <col min="18" max="18" width="15.85546875" style="1" customWidth="1"/>
    <col min="19" max="20" width="13.140625" style="1" customWidth="1"/>
    <col min="21" max="21" width="11.7109375" style="1" customWidth="1"/>
    <col min="22" max="16384" width="9.140625" style="1"/>
  </cols>
  <sheetData>
    <row r="1" spans="1:20" ht="24" customHeight="1" x14ac:dyDescent="0.3">
      <c r="A1" s="105"/>
      <c r="B1" s="8"/>
      <c r="C1" s="8"/>
      <c r="D1" s="8"/>
      <c r="E1" s="8"/>
      <c r="F1" s="5"/>
      <c r="G1" s="5"/>
      <c r="H1" s="5"/>
      <c r="I1" s="5"/>
      <c r="J1" s="5"/>
      <c r="K1" s="5"/>
      <c r="L1" s="5"/>
      <c r="M1" s="5"/>
      <c r="N1" s="5"/>
      <c r="O1" s="5"/>
      <c r="P1" s="52" t="s">
        <v>41</v>
      </c>
    </row>
    <row r="2" spans="1:20" ht="45" customHeight="1" x14ac:dyDescent="0.35">
      <c r="A2" s="29"/>
      <c r="B2" s="71" t="s">
        <v>66</v>
      </c>
      <c r="C2" s="71"/>
      <c r="D2" s="71"/>
      <c r="E2" s="74"/>
      <c r="F2" s="6"/>
      <c r="G2" s="6"/>
      <c r="H2" s="6"/>
      <c r="I2" s="6"/>
      <c r="J2" s="6"/>
      <c r="K2" s="131"/>
      <c r="L2" s="131"/>
      <c r="M2" s="131"/>
      <c r="N2" s="68"/>
      <c r="O2" s="68"/>
      <c r="P2" s="5"/>
    </row>
    <row r="3" spans="1:20" ht="30" customHeight="1" x14ac:dyDescent="0.3">
      <c r="A3" s="29"/>
      <c r="B3" s="71"/>
      <c r="C3" s="71"/>
      <c r="D3" s="71"/>
      <c r="E3" s="75"/>
      <c r="F3" s="7"/>
      <c r="G3" s="7"/>
      <c r="H3" s="7"/>
      <c r="I3" s="7"/>
      <c r="J3" s="7"/>
      <c r="K3" s="132"/>
      <c r="L3" s="132"/>
      <c r="M3" s="132"/>
      <c r="N3" s="68"/>
      <c r="O3" s="68"/>
      <c r="P3" s="5"/>
    </row>
    <row r="4" spans="1:20" s="9" customFormat="1" ht="49.5" customHeight="1" x14ac:dyDescent="0.3">
      <c r="A4" s="30"/>
      <c r="B4" s="20" t="s">
        <v>8</v>
      </c>
      <c r="C4" s="76" t="s">
        <v>54</v>
      </c>
      <c r="D4" s="76" t="s">
        <v>53</v>
      </c>
      <c r="E4" s="76" t="s">
        <v>52</v>
      </c>
      <c r="F4" s="76" t="s">
        <v>55</v>
      </c>
      <c r="G4" s="76" t="s">
        <v>56</v>
      </c>
      <c r="H4" s="76"/>
      <c r="I4" s="76"/>
      <c r="J4" s="76"/>
      <c r="K4" s="76"/>
      <c r="L4" s="76"/>
      <c r="M4" s="76"/>
      <c r="N4" s="76"/>
      <c r="O4" s="76" t="s">
        <v>39</v>
      </c>
      <c r="R4" s="129"/>
      <c r="S4" s="130"/>
      <c r="T4" s="130"/>
    </row>
    <row r="5" spans="1:20" ht="24.95" customHeight="1" thickBot="1" x14ac:dyDescent="0.35">
      <c r="A5" s="30"/>
      <c r="B5" s="42" t="s">
        <v>9</v>
      </c>
      <c r="C5" s="77" t="s">
        <v>33</v>
      </c>
      <c r="D5" s="78" t="s">
        <v>34</v>
      </c>
      <c r="E5" s="78" t="s">
        <v>35</v>
      </c>
      <c r="F5" s="78" t="s">
        <v>36</v>
      </c>
      <c r="G5" s="78" t="s">
        <v>37</v>
      </c>
      <c r="H5" s="78" t="s">
        <v>59</v>
      </c>
      <c r="I5" s="78" t="s">
        <v>60</v>
      </c>
      <c r="J5" s="78" t="s">
        <v>61</v>
      </c>
      <c r="K5" s="78" t="s">
        <v>62</v>
      </c>
      <c r="L5" s="78" t="s">
        <v>63</v>
      </c>
      <c r="M5" s="78" t="s">
        <v>64</v>
      </c>
      <c r="N5" s="78" t="s">
        <v>65</v>
      </c>
      <c r="O5" s="79" t="s">
        <v>39</v>
      </c>
      <c r="R5" s="130"/>
      <c r="S5" s="130"/>
      <c r="T5" s="130"/>
    </row>
    <row r="6" spans="1:20" ht="24.95" customHeight="1" thickBot="1" x14ac:dyDescent="0.35">
      <c r="A6" s="30"/>
      <c r="B6" s="43" t="s">
        <v>10</v>
      </c>
      <c r="C6" s="80">
        <v>10000</v>
      </c>
      <c r="D6" s="81">
        <v>10000</v>
      </c>
      <c r="E6" s="81">
        <v>10000</v>
      </c>
      <c r="F6" s="81">
        <v>10000</v>
      </c>
      <c r="G6" s="81">
        <v>10000</v>
      </c>
      <c r="H6" s="81"/>
      <c r="I6" s="81"/>
      <c r="J6" s="81"/>
      <c r="K6" s="81"/>
      <c r="L6" s="81"/>
      <c r="M6" s="81"/>
      <c r="N6" s="81"/>
      <c r="O6" s="82">
        <f>SUM(C6:N6)</f>
        <v>50000</v>
      </c>
      <c r="R6" s="130"/>
      <c r="S6" s="130"/>
      <c r="T6" s="130"/>
    </row>
    <row r="7" spans="1:20" ht="24.95" customHeight="1" thickBot="1" x14ac:dyDescent="0.35">
      <c r="A7" s="30"/>
      <c r="B7" s="43" t="s">
        <v>11</v>
      </c>
      <c r="C7" s="80">
        <f>C6*0.27</f>
        <v>2700</v>
      </c>
      <c r="D7" s="81">
        <f t="shared" ref="D7:G7" si="0">D6*0.27</f>
        <v>2700</v>
      </c>
      <c r="E7" s="81">
        <f t="shared" si="0"/>
        <v>2700</v>
      </c>
      <c r="F7" s="81">
        <f t="shared" si="0"/>
        <v>2700</v>
      </c>
      <c r="G7" s="81">
        <f t="shared" si="0"/>
        <v>2700</v>
      </c>
      <c r="H7" s="81"/>
      <c r="I7" s="81"/>
      <c r="J7" s="81"/>
      <c r="K7" s="81"/>
      <c r="L7" s="81"/>
      <c r="M7" s="81"/>
      <c r="N7" s="81"/>
      <c r="O7" s="82">
        <f>SUM(C7:N7)</f>
        <v>13500</v>
      </c>
      <c r="R7" s="130"/>
      <c r="S7" s="130"/>
      <c r="T7" s="130"/>
    </row>
    <row r="8" spans="1:20" ht="24.95" customHeight="1" x14ac:dyDescent="0.3">
      <c r="A8" s="30"/>
      <c r="B8" s="44" t="s">
        <v>12</v>
      </c>
      <c r="C8" s="83">
        <f>SUBTOTAL(109,PlanejamentoDeFuncionário[Jan])</f>
        <v>12700</v>
      </c>
      <c r="D8" s="84">
        <f>SUBTOTAL(109,PlanejamentoDeFuncionário[Fev])</f>
        <v>12700</v>
      </c>
      <c r="E8" s="84">
        <f>SUBTOTAL(109,PlanejamentoDeFuncionário[Mar])</f>
        <v>12700</v>
      </c>
      <c r="F8" s="84">
        <f>SUBTOTAL(109,PlanejamentoDeFuncionário[Abr])</f>
        <v>12700</v>
      </c>
      <c r="G8" s="84">
        <f>SUBTOTAL(109,PlanejamentoDeFuncionário[Maio])</f>
        <v>12700</v>
      </c>
      <c r="H8" s="84"/>
      <c r="I8" s="84"/>
      <c r="J8" s="84"/>
      <c r="K8" s="84"/>
      <c r="L8" s="84"/>
      <c r="M8" s="84"/>
      <c r="N8" s="84"/>
      <c r="O8" s="85">
        <f>SUBTOTAL(109,PlanejamentoDeFuncionário[ANO])</f>
        <v>63500</v>
      </c>
      <c r="R8" s="130"/>
      <c r="S8" s="130"/>
      <c r="T8" s="130"/>
    </row>
    <row r="9" spans="1:20" ht="21" customHeight="1" thickBot="1" x14ac:dyDescent="0.35">
      <c r="A9" s="30"/>
      <c r="B9" s="69"/>
      <c r="C9" s="69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7"/>
      <c r="R9" s="130"/>
      <c r="S9" s="130"/>
      <c r="T9" s="130"/>
    </row>
    <row r="10" spans="1:20" ht="24.95" customHeight="1" thickBot="1" x14ac:dyDescent="0.35">
      <c r="A10" s="30"/>
      <c r="B10" s="48" t="s">
        <v>13</v>
      </c>
      <c r="C10" s="88" t="s">
        <v>33</v>
      </c>
      <c r="D10" s="89" t="s">
        <v>34</v>
      </c>
      <c r="E10" s="89" t="s">
        <v>35</v>
      </c>
      <c r="F10" s="89" t="s">
        <v>36</v>
      </c>
      <c r="G10" s="89" t="s">
        <v>37</v>
      </c>
      <c r="H10" s="89" t="s">
        <v>59</v>
      </c>
      <c r="I10" s="89" t="s">
        <v>60</v>
      </c>
      <c r="J10" s="89" t="s">
        <v>61</v>
      </c>
      <c r="K10" s="89" t="s">
        <v>62</v>
      </c>
      <c r="L10" s="89" t="s">
        <v>63</v>
      </c>
      <c r="M10" s="89" t="s">
        <v>64</v>
      </c>
      <c r="N10" s="89" t="s">
        <v>65</v>
      </c>
      <c r="O10" s="90" t="s">
        <v>39</v>
      </c>
      <c r="R10" s="130"/>
      <c r="S10" s="130"/>
      <c r="T10" s="130"/>
    </row>
    <row r="11" spans="1:20" ht="24.95" customHeight="1" thickBot="1" x14ac:dyDescent="0.35">
      <c r="A11" s="30"/>
      <c r="B11" s="65" t="s">
        <v>14</v>
      </c>
      <c r="C11" s="80">
        <v>1500</v>
      </c>
      <c r="D11" s="81">
        <v>1500</v>
      </c>
      <c r="E11" s="81">
        <v>1500</v>
      </c>
      <c r="F11" s="81">
        <v>1500</v>
      </c>
      <c r="G11" s="81">
        <v>1500</v>
      </c>
      <c r="H11" s="81"/>
      <c r="I11" s="81"/>
      <c r="J11" s="81"/>
      <c r="K11" s="81"/>
      <c r="L11" s="81"/>
      <c r="M11" s="81"/>
      <c r="N11" s="81"/>
      <c r="O11" s="82">
        <f t="shared" ref="O11:O18" si="1">SUM(C11:N11)</f>
        <v>7500</v>
      </c>
      <c r="R11" s="130"/>
      <c r="S11" s="130"/>
      <c r="T11" s="130"/>
    </row>
    <row r="12" spans="1:20" ht="24.95" customHeight="1" thickBot="1" x14ac:dyDescent="0.35">
      <c r="A12" s="30"/>
      <c r="B12" s="65" t="s">
        <v>58</v>
      </c>
      <c r="C12" s="80">
        <v>3000</v>
      </c>
      <c r="D12" s="81">
        <v>500</v>
      </c>
      <c r="E12" s="81">
        <v>500</v>
      </c>
      <c r="F12" s="81">
        <v>0</v>
      </c>
      <c r="G12" s="81">
        <v>0</v>
      </c>
      <c r="H12" s="81"/>
      <c r="I12" s="81"/>
      <c r="J12" s="81"/>
      <c r="K12" s="81"/>
      <c r="L12" s="81"/>
      <c r="M12" s="81"/>
      <c r="N12" s="81"/>
      <c r="O12" s="82">
        <f t="shared" si="1"/>
        <v>4000</v>
      </c>
      <c r="R12" s="130"/>
      <c r="S12" s="130"/>
      <c r="T12" s="130"/>
    </row>
    <row r="13" spans="1:20" ht="24.95" customHeight="1" thickBot="1" x14ac:dyDescent="0.35">
      <c r="A13" s="30"/>
      <c r="B13" s="65" t="s">
        <v>15</v>
      </c>
      <c r="C13" s="80">
        <v>500</v>
      </c>
      <c r="D13" s="81">
        <v>500</v>
      </c>
      <c r="E13" s="81">
        <v>500</v>
      </c>
      <c r="F13" s="81">
        <v>500</v>
      </c>
      <c r="G13" s="81">
        <v>500</v>
      </c>
      <c r="H13" s="81"/>
      <c r="I13" s="81"/>
      <c r="J13" s="81"/>
      <c r="K13" s="81"/>
      <c r="L13" s="81"/>
      <c r="M13" s="81"/>
      <c r="N13" s="81"/>
      <c r="O13" s="82">
        <f t="shared" si="1"/>
        <v>2500</v>
      </c>
      <c r="R13" s="130"/>
      <c r="S13" s="130"/>
      <c r="T13" s="130"/>
    </row>
    <row r="14" spans="1:20" ht="24.95" customHeight="1" thickBot="1" x14ac:dyDescent="0.35">
      <c r="A14" s="30"/>
      <c r="B14" s="65" t="s">
        <v>16</v>
      </c>
      <c r="C14" s="80">
        <v>40</v>
      </c>
      <c r="D14" s="81">
        <v>40</v>
      </c>
      <c r="E14" s="81">
        <v>40</v>
      </c>
      <c r="F14" s="81">
        <v>40</v>
      </c>
      <c r="G14" s="81">
        <v>40</v>
      </c>
      <c r="H14" s="81"/>
      <c r="I14" s="81"/>
      <c r="J14" s="81"/>
      <c r="K14" s="81"/>
      <c r="L14" s="81"/>
      <c r="M14" s="81"/>
      <c r="N14" s="81"/>
      <c r="O14" s="82">
        <f t="shared" si="1"/>
        <v>200</v>
      </c>
    </row>
    <row r="15" spans="1:20" ht="24.95" customHeight="1" thickBot="1" x14ac:dyDescent="0.35">
      <c r="A15" s="30"/>
      <c r="B15" s="65" t="s">
        <v>17</v>
      </c>
      <c r="C15" s="80">
        <v>0</v>
      </c>
      <c r="D15" s="81">
        <v>0</v>
      </c>
      <c r="E15" s="81">
        <v>0</v>
      </c>
      <c r="F15" s="81">
        <v>0</v>
      </c>
      <c r="G15" s="81">
        <v>0</v>
      </c>
      <c r="H15" s="81"/>
      <c r="I15" s="81"/>
      <c r="J15" s="81"/>
      <c r="K15" s="81"/>
      <c r="L15" s="81"/>
      <c r="M15" s="81"/>
      <c r="N15" s="81"/>
      <c r="O15" s="82">
        <f t="shared" si="1"/>
        <v>0</v>
      </c>
    </row>
    <row r="16" spans="1:20" ht="24.95" customHeight="1" thickBot="1" x14ac:dyDescent="0.35">
      <c r="A16" s="30"/>
      <c r="B16" s="65" t="s">
        <v>18</v>
      </c>
      <c r="C16" s="80">
        <v>200</v>
      </c>
      <c r="D16" s="81">
        <v>200</v>
      </c>
      <c r="E16" s="81">
        <v>200</v>
      </c>
      <c r="F16" s="81">
        <v>200</v>
      </c>
      <c r="G16" s="81">
        <v>200</v>
      </c>
      <c r="H16" s="81"/>
      <c r="I16" s="81"/>
      <c r="J16" s="81"/>
      <c r="K16" s="81"/>
      <c r="L16" s="81"/>
      <c r="M16" s="81"/>
      <c r="N16" s="81"/>
      <c r="O16" s="82">
        <f t="shared" si="1"/>
        <v>1000</v>
      </c>
    </row>
    <row r="17" spans="1:15" ht="24.95" customHeight="1" thickBot="1" x14ac:dyDescent="0.35">
      <c r="A17" s="30"/>
      <c r="B17" s="65" t="s">
        <v>19</v>
      </c>
      <c r="C17" s="80">
        <v>500</v>
      </c>
      <c r="D17" s="81">
        <v>200</v>
      </c>
      <c r="E17" s="81">
        <v>0</v>
      </c>
      <c r="F17" s="81">
        <v>0</v>
      </c>
      <c r="G17" s="81">
        <v>0</v>
      </c>
      <c r="H17" s="81"/>
      <c r="I17" s="81"/>
      <c r="J17" s="81"/>
      <c r="K17" s="81"/>
      <c r="L17" s="81"/>
      <c r="M17" s="81"/>
      <c r="N17" s="81"/>
      <c r="O17" s="82">
        <f t="shared" si="1"/>
        <v>700</v>
      </c>
    </row>
    <row r="18" spans="1:15" ht="24.95" customHeight="1" thickBot="1" x14ac:dyDescent="0.35">
      <c r="A18" s="30"/>
      <c r="B18" s="65" t="s">
        <v>57</v>
      </c>
      <c r="C18" s="80">
        <v>800</v>
      </c>
      <c r="D18" s="81">
        <v>800</v>
      </c>
      <c r="E18" s="81">
        <v>800</v>
      </c>
      <c r="F18" s="81">
        <v>800</v>
      </c>
      <c r="G18" s="81">
        <v>800</v>
      </c>
      <c r="H18" s="81"/>
      <c r="I18" s="81"/>
      <c r="J18" s="81"/>
      <c r="K18" s="81"/>
      <c r="L18" s="81"/>
      <c r="M18" s="81"/>
      <c r="N18" s="81"/>
      <c r="O18" s="82">
        <f t="shared" si="1"/>
        <v>4000</v>
      </c>
    </row>
    <row r="19" spans="1:15" ht="24.95" customHeight="1" thickBot="1" x14ac:dyDescent="0.35">
      <c r="A19" s="30"/>
      <c r="B19" s="51" t="s">
        <v>12</v>
      </c>
      <c r="C19" s="92">
        <f>SUBTOTAL(109,PlanejamentoDeEscritório[Jan])</f>
        <v>6540</v>
      </c>
      <c r="D19" s="93">
        <f>SUBTOTAL(109,PlanejamentoDeEscritório[Fev])</f>
        <v>3740</v>
      </c>
      <c r="E19" s="93">
        <f>SUBTOTAL(109,PlanejamentoDeEscritório[Mar])</f>
        <v>3540</v>
      </c>
      <c r="F19" s="93">
        <f>SUBTOTAL(109,PlanejamentoDeEscritório[Abr])</f>
        <v>3040</v>
      </c>
      <c r="G19" s="93">
        <f>SUBTOTAL(109,PlanejamentoDeEscritório[Maio])</f>
        <v>3040</v>
      </c>
      <c r="H19" s="93"/>
      <c r="I19" s="93"/>
      <c r="J19" s="93"/>
      <c r="K19" s="93"/>
      <c r="L19" s="93"/>
      <c r="M19" s="93"/>
      <c r="N19" s="93"/>
      <c r="O19" s="94">
        <f>SUBTOTAL(109,PlanejamentoDeEscritório[ANO])</f>
        <v>19900</v>
      </c>
    </row>
    <row r="20" spans="1:15" ht="21" customHeight="1" x14ac:dyDescent="0.3">
      <c r="A20" s="30"/>
      <c r="B20" s="70"/>
      <c r="C20" s="70"/>
      <c r="D20" s="86"/>
      <c r="E20" s="86"/>
      <c r="F20" s="91"/>
      <c r="G20" s="91"/>
      <c r="H20" s="91"/>
      <c r="I20" s="95"/>
      <c r="J20" s="91"/>
      <c r="K20" s="91"/>
      <c r="L20" s="91"/>
      <c r="M20" s="91"/>
      <c r="N20" s="91"/>
      <c r="O20" s="87"/>
    </row>
    <row r="21" spans="1:15" ht="24.95" customHeight="1" thickBot="1" x14ac:dyDescent="0.35">
      <c r="A21" s="30"/>
      <c r="B21" s="49" t="s">
        <v>20</v>
      </c>
      <c r="C21" s="96" t="s">
        <v>33</v>
      </c>
      <c r="D21" s="96" t="s">
        <v>34</v>
      </c>
      <c r="E21" s="96" t="s">
        <v>35</v>
      </c>
      <c r="F21" s="96" t="s">
        <v>36</v>
      </c>
      <c r="G21" s="96" t="s">
        <v>37</v>
      </c>
      <c r="H21" s="96" t="s">
        <v>59</v>
      </c>
      <c r="I21" s="96" t="s">
        <v>60</v>
      </c>
      <c r="J21" s="96" t="s">
        <v>61</v>
      </c>
      <c r="K21" s="96" t="s">
        <v>62</v>
      </c>
      <c r="L21" s="96" t="s">
        <v>63</v>
      </c>
      <c r="M21" s="96" t="s">
        <v>64</v>
      </c>
      <c r="N21" s="96" t="s">
        <v>65</v>
      </c>
      <c r="O21" s="97" t="s">
        <v>39</v>
      </c>
    </row>
    <row r="22" spans="1:15" ht="24.95" customHeight="1" thickBot="1" x14ac:dyDescent="0.35">
      <c r="A22" s="30"/>
      <c r="B22" s="43" t="s">
        <v>21</v>
      </c>
      <c r="C22" s="98">
        <v>300</v>
      </c>
      <c r="D22" s="99">
        <v>300</v>
      </c>
      <c r="E22" s="99">
        <v>300</v>
      </c>
      <c r="F22" s="99">
        <v>300</v>
      </c>
      <c r="G22" s="99">
        <v>300</v>
      </c>
      <c r="H22" s="99"/>
      <c r="I22" s="99"/>
      <c r="J22" s="99"/>
      <c r="K22" s="99"/>
      <c r="L22" s="99"/>
      <c r="M22" s="99"/>
      <c r="N22" s="99"/>
      <c r="O22" s="82">
        <f t="shared" ref="O22:O27" si="2">SUM(C22:N22)</f>
        <v>1500</v>
      </c>
    </row>
    <row r="23" spans="1:15" ht="24.95" customHeight="1" thickBot="1" x14ac:dyDescent="0.35">
      <c r="A23" s="30"/>
      <c r="B23" s="43" t="s">
        <v>22</v>
      </c>
      <c r="C23" s="98">
        <v>100</v>
      </c>
      <c r="D23" s="99">
        <v>100</v>
      </c>
      <c r="E23" s="99">
        <v>100</v>
      </c>
      <c r="F23" s="99">
        <v>100</v>
      </c>
      <c r="G23" s="99">
        <v>100</v>
      </c>
      <c r="H23" s="99"/>
      <c r="I23" s="99"/>
      <c r="J23" s="99"/>
      <c r="K23" s="99"/>
      <c r="L23" s="99"/>
      <c r="M23" s="99"/>
      <c r="N23" s="99"/>
      <c r="O23" s="82">
        <f t="shared" si="2"/>
        <v>500</v>
      </c>
    </row>
    <row r="24" spans="1:15" ht="24.95" customHeight="1" thickBot="1" x14ac:dyDescent="0.35">
      <c r="A24" s="30"/>
      <c r="B24" s="43" t="s">
        <v>23</v>
      </c>
      <c r="C24" s="98">
        <v>200</v>
      </c>
      <c r="D24" s="99">
        <v>100</v>
      </c>
      <c r="E24" s="99">
        <v>100</v>
      </c>
      <c r="F24" s="99">
        <v>100</v>
      </c>
      <c r="G24" s="99">
        <v>100</v>
      </c>
      <c r="H24" s="99"/>
      <c r="I24" s="99"/>
      <c r="J24" s="99"/>
      <c r="K24" s="99"/>
      <c r="L24" s="99"/>
      <c r="M24" s="99"/>
      <c r="N24" s="99"/>
      <c r="O24" s="82">
        <f t="shared" si="2"/>
        <v>600</v>
      </c>
    </row>
    <row r="25" spans="1:15" ht="24.95" customHeight="1" thickBot="1" x14ac:dyDescent="0.35">
      <c r="A25" s="30"/>
      <c r="B25" s="43" t="s">
        <v>24</v>
      </c>
      <c r="C25" s="98">
        <v>100</v>
      </c>
      <c r="D25" s="99">
        <v>100</v>
      </c>
      <c r="E25" s="99">
        <v>100</v>
      </c>
      <c r="F25" s="99">
        <v>100</v>
      </c>
      <c r="G25" s="99">
        <v>100</v>
      </c>
      <c r="H25" s="99"/>
      <c r="I25" s="99"/>
      <c r="J25" s="99"/>
      <c r="K25" s="99"/>
      <c r="L25" s="99"/>
      <c r="M25" s="99"/>
      <c r="N25" s="99"/>
      <c r="O25" s="82">
        <f t="shared" si="2"/>
        <v>500</v>
      </c>
    </row>
    <row r="26" spans="1:15" ht="24.95" customHeight="1" thickBot="1" x14ac:dyDescent="0.35">
      <c r="A26" s="30"/>
      <c r="B26" s="43" t="s">
        <v>25</v>
      </c>
      <c r="C26" s="98">
        <v>500</v>
      </c>
      <c r="D26" s="99">
        <v>500</v>
      </c>
      <c r="E26" s="99">
        <v>500</v>
      </c>
      <c r="F26" s="99">
        <v>500</v>
      </c>
      <c r="G26" s="99">
        <v>500</v>
      </c>
      <c r="H26" s="99"/>
      <c r="I26" s="99"/>
      <c r="J26" s="99"/>
      <c r="K26" s="99"/>
      <c r="L26" s="99"/>
      <c r="M26" s="99"/>
      <c r="N26" s="99"/>
      <c r="O26" s="82">
        <f t="shared" si="2"/>
        <v>2500</v>
      </c>
    </row>
    <row r="27" spans="1:15" ht="24.95" customHeight="1" thickBot="1" x14ac:dyDescent="0.35">
      <c r="A27" s="30"/>
      <c r="B27" s="43" t="s">
        <v>26</v>
      </c>
      <c r="C27" s="98">
        <v>500</v>
      </c>
      <c r="D27" s="99">
        <v>500</v>
      </c>
      <c r="E27" s="99">
        <v>500</v>
      </c>
      <c r="F27" s="99">
        <v>500</v>
      </c>
      <c r="G27" s="99">
        <v>1000</v>
      </c>
      <c r="H27" s="99"/>
      <c r="I27" s="99"/>
      <c r="J27" s="99"/>
      <c r="K27" s="99"/>
      <c r="L27" s="99"/>
      <c r="M27" s="99"/>
      <c r="N27" s="99"/>
      <c r="O27" s="82">
        <f t="shared" si="2"/>
        <v>3000</v>
      </c>
    </row>
    <row r="28" spans="1:15" ht="24.95" customHeight="1" x14ac:dyDescent="0.3">
      <c r="A28" s="30"/>
      <c r="B28" s="45" t="s">
        <v>12</v>
      </c>
      <c r="C28" s="83">
        <f>SUBTOTAL(109,PlanejamentoDeMarketing[Jan])</f>
        <v>1700</v>
      </c>
      <c r="D28" s="84">
        <f>SUBTOTAL(109,PlanejamentoDeMarketing[Fev])</f>
        <v>1600</v>
      </c>
      <c r="E28" s="84">
        <f>SUBTOTAL(109,PlanejamentoDeMarketing[Mar])</f>
        <v>1600</v>
      </c>
      <c r="F28" s="84">
        <f>SUBTOTAL(109,PlanejamentoDeMarketing[Abr])</f>
        <v>1600</v>
      </c>
      <c r="G28" s="84">
        <f>SUBTOTAL(109,PlanejamentoDeMarketing[Maio])</f>
        <v>2100</v>
      </c>
      <c r="H28" s="84"/>
      <c r="I28" s="84"/>
      <c r="J28" s="84"/>
      <c r="K28" s="84"/>
      <c r="L28" s="84"/>
      <c r="M28" s="84"/>
      <c r="N28" s="84"/>
      <c r="O28" s="85">
        <f>SUBTOTAL(109,PlanejamentoDeMarketing[ANO])</f>
        <v>8600</v>
      </c>
    </row>
    <row r="29" spans="1:15" ht="21" customHeight="1" x14ac:dyDescent="0.3">
      <c r="A29" s="30"/>
      <c r="B29" s="69"/>
      <c r="C29" s="69"/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87"/>
    </row>
    <row r="30" spans="1:15" ht="21" customHeight="1" thickBot="1" x14ac:dyDescent="0.35">
      <c r="A30" s="30"/>
      <c r="B30" s="50" t="s">
        <v>27</v>
      </c>
      <c r="C30" s="96" t="s">
        <v>33</v>
      </c>
      <c r="D30" s="96" t="s">
        <v>34</v>
      </c>
      <c r="E30" s="96" t="s">
        <v>35</v>
      </c>
      <c r="F30" s="96" t="s">
        <v>36</v>
      </c>
      <c r="G30" s="96" t="s">
        <v>37</v>
      </c>
      <c r="H30" s="96" t="s">
        <v>59</v>
      </c>
      <c r="I30" s="96" t="s">
        <v>60</v>
      </c>
      <c r="J30" s="96" t="s">
        <v>61</v>
      </c>
      <c r="K30" s="96" t="s">
        <v>62</v>
      </c>
      <c r="L30" s="96" t="s">
        <v>63</v>
      </c>
      <c r="M30" s="96" t="s">
        <v>64</v>
      </c>
      <c r="N30" s="96" t="s">
        <v>65</v>
      </c>
      <c r="O30" s="97" t="s">
        <v>39</v>
      </c>
    </row>
    <row r="31" spans="1:15" ht="21" customHeight="1" thickBot="1" x14ac:dyDescent="0.35">
      <c r="A31" s="30"/>
      <c r="B31" s="43" t="s">
        <v>28</v>
      </c>
      <c r="C31" s="98">
        <v>1500</v>
      </c>
      <c r="D31" s="99">
        <v>1000</v>
      </c>
      <c r="E31" s="99">
        <v>500</v>
      </c>
      <c r="F31" s="99">
        <v>0</v>
      </c>
      <c r="G31" s="99">
        <v>0</v>
      </c>
      <c r="H31" s="99"/>
      <c r="I31" s="99"/>
      <c r="J31" s="99"/>
      <c r="K31" s="99"/>
      <c r="L31" s="99"/>
      <c r="M31" s="99"/>
      <c r="N31" s="99"/>
      <c r="O31" s="100">
        <f>SUM(C31:N31)</f>
        <v>3000</v>
      </c>
    </row>
    <row r="32" spans="1:15" ht="21" customHeight="1" thickBot="1" x14ac:dyDescent="0.35">
      <c r="A32" s="30"/>
      <c r="B32" s="43" t="s">
        <v>29</v>
      </c>
      <c r="C32" s="98">
        <v>2000</v>
      </c>
      <c r="D32" s="99">
        <v>2000</v>
      </c>
      <c r="E32" s="99">
        <v>1000</v>
      </c>
      <c r="F32" s="99">
        <v>0</v>
      </c>
      <c r="G32" s="99">
        <v>0</v>
      </c>
      <c r="H32" s="99"/>
      <c r="I32" s="99"/>
      <c r="J32" s="99"/>
      <c r="K32" s="99"/>
      <c r="L32" s="99"/>
      <c r="M32" s="99"/>
      <c r="N32" s="99"/>
      <c r="O32" s="100">
        <f>SUM(C32:N32)</f>
        <v>5000</v>
      </c>
    </row>
    <row r="33" spans="1:15" ht="21" customHeight="1" x14ac:dyDescent="0.3">
      <c r="A33" s="30"/>
      <c r="B33" s="45" t="s">
        <v>12</v>
      </c>
      <c r="C33" s="101">
        <f>SUBTOTAL(109,PlanejamentoDeViagemETreinamento[Jan])</f>
        <v>3500</v>
      </c>
      <c r="D33" s="102">
        <f>SUBTOTAL(109,PlanejamentoDeViagemETreinamento[Fev])</f>
        <v>3000</v>
      </c>
      <c r="E33" s="102">
        <f>SUBTOTAL(109,PlanejamentoDeViagemETreinamento[Mar])</f>
        <v>1500</v>
      </c>
      <c r="F33" s="102">
        <f>SUBTOTAL(109,PlanejamentoDeViagemETreinamento[Abr])</f>
        <v>0</v>
      </c>
      <c r="G33" s="102">
        <f>SUBTOTAL(109,PlanejamentoDeViagemETreinamento[Maio])</f>
        <v>0</v>
      </c>
      <c r="H33" s="102"/>
      <c r="I33" s="102"/>
      <c r="J33" s="102"/>
      <c r="K33" s="102"/>
      <c r="L33" s="102"/>
      <c r="M33" s="102"/>
      <c r="N33" s="102"/>
      <c r="O33" s="103">
        <f>SUBTOTAL(109,PlanejamentoDeViagemETreinamento[ANO])</f>
        <v>8000</v>
      </c>
    </row>
    <row r="34" spans="1:15" ht="21" customHeight="1" x14ac:dyDescent="0.3">
      <c r="A34" s="30"/>
      <c r="B34" s="69"/>
      <c r="C34" s="69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</row>
    <row r="35" spans="1:15" ht="24.95" customHeight="1" thickBot="1" x14ac:dyDescent="0.35">
      <c r="A35" s="30"/>
      <c r="B35" s="21" t="s">
        <v>30</v>
      </c>
      <c r="C35" s="23" t="s">
        <v>33</v>
      </c>
      <c r="D35" s="23" t="s">
        <v>34</v>
      </c>
      <c r="E35" s="23" t="s">
        <v>35</v>
      </c>
      <c r="F35" s="23" t="s">
        <v>36</v>
      </c>
      <c r="G35" s="23" t="s">
        <v>38</v>
      </c>
      <c r="H35" s="23" t="s">
        <v>59</v>
      </c>
      <c r="I35" s="23" t="s">
        <v>60</v>
      </c>
      <c r="J35" s="23" t="s">
        <v>61</v>
      </c>
      <c r="K35" s="23" t="s">
        <v>62</v>
      </c>
      <c r="L35" s="23" t="s">
        <v>63</v>
      </c>
      <c r="M35" s="23" t="s">
        <v>64</v>
      </c>
      <c r="N35" s="23" t="s">
        <v>65</v>
      </c>
      <c r="O35" s="23" t="s">
        <v>40</v>
      </c>
    </row>
    <row r="36" spans="1:15" ht="24.95" customHeight="1" thickBot="1" x14ac:dyDescent="0.35">
      <c r="A36" s="30"/>
      <c r="B36" s="22" t="s">
        <v>31</v>
      </c>
      <c r="C36" s="104">
        <f>PlanejamentoDeViagemETreinamento[[#Totals],[Jan]]+PlanejamentoDeMarketing[[#Totals],[Jan]]+PlanejamentoDeEscritório[[#Totals],[Jan]]+PlanejamentoDeFuncionário[[#Totals],[Jan]]</f>
        <v>24440</v>
      </c>
      <c r="D36" s="104">
        <f>PlanejamentoDeViagemETreinamento[[#Totals],[Fev]]+PlanejamentoDeMarketing[[#Totals],[Fev]]+PlanejamentoDeEscritório[[#Totals],[Fev]]+PlanejamentoDeFuncionário[[#Totals],[Fev]]</f>
        <v>21040</v>
      </c>
      <c r="E36" s="104">
        <f>PlanejamentoDeViagemETreinamento[[#Totals],[Mar]]+PlanejamentoDeMarketing[[#Totals],[Mar]]+PlanejamentoDeEscritório[[#Totals],[Mar]]+PlanejamentoDeFuncionário[[#Totals],[Mar]]</f>
        <v>19340</v>
      </c>
      <c r="F36" s="104">
        <f>PlanejamentoDeViagemETreinamento[[#Totals],[Abr]]+PlanejamentoDeMarketing[[#Totals],[Abr]]+PlanejamentoDeEscritório[[#Totals],[Abr]]+PlanejamentoDeFuncionário[[#Totals],[Abr]]</f>
        <v>17340</v>
      </c>
      <c r="G36" s="104">
        <f>PlanejamentoDeViagemETreinamento[[#Totals],[Maio]]+PlanejamentoDeMarketing[[#Totals],[Maio]]+PlanejamentoDeEscritório[[#Totals],[Maio]]+PlanejamentoDeFuncionário[[#Totals],[Maio]]</f>
        <v>17840</v>
      </c>
      <c r="H36" s="104"/>
      <c r="I36" s="104"/>
      <c r="J36" s="104"/>
      <c r="K36" s="104"/>
      <c r="L36" s="104"/>
      <c r="M36" s="104"/>
      <c r="N36" s="104"/>
      <c r="O36" s="104">
        <f>PlanejamentoDeViagemETreinamento[[#Totals],[ANO]]+PlanejamentoDeMarketing[[#Totals],[ANO]]+PlanejamentoDeEscritório[[#Totals],[ANO]]+PlanejamentoDeFuncionário[[#Totals],[ANO]]</f>
        <v>100000</v>
      </c>
    </row>
    <row r="37" spans="1:15" ht="24.95" customHeight="1" x14ac:dyDescent="0.3">
      <c r="A37" s="30"/>
      <c r="B37" s="22" t="s">
        <v>32</v>
      </c>
      <c r="C37" s="104">
        <f>SUM($C$36:C36)</f>
        <v>24440</v>
      </c>
      <c r="D37" s="104">
        <f>SUM($C$36:D36)</f>
        <v>45480</v>
      </c>
      <c r="E37" s="104">
        <f>SUM($C$36:E36)</f>
        <v>64820</v>
      </c>
      <c r="F37" s="104">
        <f>SUM($C$36:F36)</f>
        <v>82160</v>
      </c>
      <c r="G37" s="104">
        <f>SUM($C$36:G36)</f>
        <v>100000</v>
      </c>
      <c r="H37" s="104"/>
      <c r="I37" s="104"/>
      <c r="J37" s="104"/>
      <c r="K37" s="104"/>
      <c r="L37" s="104"/>
      <c r="M37" s="104"/>
      <c r="N37" s="104"/>
      <c r="O37" s="104"/>
    </row>
    <row r="38" spans="1:15" ht="21" customHeight="1" x14ac:dyDescent="0.3">
      <c r="A38" s="30"/>
    </row>
  </sheetData>
  <mergeCells count="3">
    <mergeCell ref="R4:T13"/>
    <mergeCell ref="K2:M2"/>
    <mergeCell ref="K3:M3"/>
  </mergeCells>
  <phoneticPr fontId="45" type="noConversion"/>
  <dataValidations count="9">
    <dataValidation allowBlank="1" showInputMessage="1" showErrorMessage="1" prompt="O espaço reservado para o logotipo está nesta célula." sqref="N2" xr:uid="{945E4055-1BEA-4F2B-AF1A-B15640887A38}"/>
    <dataValidation allowBlank="1" showInputMessage="1" showErrorMessage="1" prompt="O rótulo Despesas planejadas está na célula à direita, os meses nas células C4 a N4, o rótulo Ano na célula O4 e as instruções de Como usar este modelo na célula R4." sqref="A4" xr:uid="{FC1A50C5-6C61-4FA0-BFBA-2CC82DE4DC0B}"/>
    <dataValidation allowBlank="1" showInputMessage="1" showErrorMessage="1" prompt="Insira os Custos do Funcionário na tabela Plano do Funcionário, começando na célula à direita. A próxima instrução está na célula A10." sqref="A5" xr:uid="{EED19FC0-ADDC-4580-BE69-2FEDE2EE49A6}"/>
    <dataValidation allowBlank="1" showInputMessage="1" showErrorMessage="1" prompt="Insira os Custos do Office na tabela Plano do Office começando na célula à direita. A próxima instrução está na célula A21." sqref="A10" xr:uid="{8C5477C2-13FC-4F55-AAB3-60246BBB7A64}"/>
    <dataValidation allowBlank="1" showInputMessage="1" showErrorMessage="1" prompt="Insira os Custos de Marketing na tabela Plano de Marketing começando na célula à direita. A próxima instrução está na célula A30." sqref="A21" xr:uid="{66411362-0BD5-4E49-BFA8-E0A0A55D07AD}"/>
    <dataValidation allowBlank="1" showInputMessage="1" showErrorMessage="1" prompt="Os totais são calculados automaticamente na tabela Total planejado começando na célula à direita." sqref="A30" xr:uid="{6B0B8404-700F-48B3-AD96-0ED1CE7011E9}"/>
    <dataValidation allowBlank="1" showInputMessage="1" showErrorMessage="1" prompt="Insira os Custos Planejados do Funcionário, de Escritório, de Marketing e de Treinamento ou Viagem nas tabelas desta planilha. Os totais são calculados automaticamente. As instruções de uso estão nas células desta coluna. Seta para baixo para começar." sqref="A1" xr:uid="{C6D84CBA-4A3E-4161-9004-1D9F785E5541}"/>
    <dataValidation allowBlank="1" showInputMessage="1" showErrorMessage="1" prompt="Insira o Nome da Empresa na célula à direita e o Logotipo na célula N2. O título desta planilha está na célula K2." sqref="A2" xr:uid="{B4473BB7-021E-4A63-A5F5-4234C1B5B724}"/>
    <dataValidation allowBlank="1" showInputMessage="1" showErrorMessage="1" prompt="As dicas estão na célula K3." sqref="A3" xr:uid="{3ECF8058-2463-465E-ADF4-F540ECB4A91E}"/>
  </dataValidations>
  <pageMargins left="0.7" right="0.7" top="0.75" bottom="0.75" header="0.3" footer="0.3"/>
  <pageSetup paperSize="9" fitToHeight="0" orientation="portrait" r:id="rId1"/>
  <ignoredErrors>
    <ignoredError sqref="C37:G37 C36:G36 C6:G6" calculatedColumn="1"/>
    <ignoredError sqref="O12" emptyCellReference="1"/>
  </ignoredErrors>
  <drawing r:id="rId2"/>
  <tableParts count="5"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theme="7"/>
    <pageSetUpPr autoPageBreaks="0"/>
  </sheetPr>
  <dimension ref="A1:P38"/>
  <sheetViews>
    <sheetView showGridLines="0" zoomScaleNormal="100" workbookViewId="0">
      <selection activeCell="R4" sqref="R4"/>
    </sheetView>
  </sheetViews>
  <sheetFormatPr defaultColWidth="9.140625" defaultRowHeight="21" customHeight="1" x14ac:dyDescent="0.3"/>
  <cols>
    <col min="1" max="1" width="4.7109375" style="1" customWidth="1"/>
    <col min="2" max="2" width="47.42578125" style="2" customWidth="1"/>
    <col min="3" max="7" width="16.7109375" style="2" customWidth="1"/>
    <col min="8" max="14" width="16.7109375" style="2" hidden="1" customWidth="1"/>
    <col min="15" max="15" width="16.28515625" style="2" customWidth="1"/>
    <col min="16" max="16" width="4.7109375" style="1" customWidth="1"/>
    <col min="17" max="16384" width="9.140625" style="2"/>
  </cols>
  <sheetData>
    <row r="1" spans="1:16" s="1" customFormat="1" ht="24" customHeight="1" x14ac:dyDescent="0.3">
      <c r="A1" s="31"/>
      <c r="B1" s="8"/>
      <c r="C1" s="8"/>
      <c r="D1" s="8"/>
      <c r="E1" s="8"/>
      <c r="F1" s="5"/>
      <c r="G1" s="5"/>
      <c r="H1" s="5"/>
      <c r="I1" s="5"/>
      <c r="J1" s="5"/>
      <c r="K1" s="5"/>
      <c r="L1" s="5"/>
      <c r="M1" s="5"/>
      <c r="N1" s="5"/>
      <c r="O1" s="5"/>
      <c r="P1" s="52" t="s">
        <v>41</v>
      </c>
    </row>
    <row r="2" spans="1:16" s="1" customFormat="1" ht="45" customHeight="1" x14ac:dyDescent="0.35">
      <c r="A2" s="29"/>
      <c r="B2" s="71" t="str">
        <f>'DESPESAS PLANEJADAS'!B2:D3</f>
        <v>Projeto SCOA</v>
      </c>
      <c r="C2" s="71"/>
      <c r="D2" s="71"/>
      <c r="E2" s="74"/>
      <c r="F2" s="6"/>
      <c r="G2" s="6"/>
      <c r="H2" s="6"/>
      <c r="I2" s="6"/>
      <c r="J2" s="6"/>
      <c r="K2" s="131"/>
      <c r="L2" s="131"/>
      <c r="M2" s="131"/>
      <c r="N2" s="68"/>
      <c r="O2" s="68"/>
      <c r="P2" s="5"/>
    </row>
    <row r="3" spans="1:16" s="1" customFormat="1" ht="30" customHeight="1" x14ac:dyDescent="0.3">
      <c r="A3" s="29"/>
      <c r="B3" s="71"/>
      <c r="C3" s="71"/>
      <c r="D3" s="71"/>
      <c r="E3" s="75"/>
      <c r="F3" s="7"/>
      <c r="G3" s="7"/>
      <c r="H3" s="7"/>
      <c r="I3" s="7"/>
      <c r="J3" s="7"/>
      <c r="K3" s="133"/>
      <c r="L3" s="133"/>
      <c r="M3" s="133"/>
      <c r="N3" s="68"/>
      <c r="O3" s="68"/>
      <c r="P3" s="5"/>
    </row>
    <row r="4" spans="1:16" s="9" customFormat="1" ht="49.5" customHeight="1" x14ac:dyDescent="0.3">
      <c r="A4" s="30"/>
      <c r="B4" s="20" t="s">
        <v>42</v>
      </c>
      <c r="C4" s="76" t="s">
        <v>54</v>
      </c>
      <c r="D4" s="76" t="s">
        <v>53</v>
      </c>
      <c r="E4" s="76" t="s">
        <v>52</v>
      </c>
      <c r="F4" s="76" t="s">
        <v>55</v>
      </c>
      <c r="G4" s="76" t="s">
        <v>56</v>
      </c>
      <c r="H4" s="76"/>
      <c r="I4" s="76"/>
      <c r="J4" s="76"/>
      <c r="K4" s="76"/>
      <c r="L4" s="76"/>
      <c r="M4" s="76"/>
      <c r="N4" s="76"/>
      <c r="O4" s="76" t="s">
        <v>39</v>
      </c>
    </row>
    <row r="5" spans="1:16" ht="24.95" customHeight="1" thickBot="1" x14ac:dyDescent="0.35">
      <c r="A5" s="30"/>
      <c r="B5" s="42" t="s">
        <v>9</v>
      </c>
      <c r="C5" s="107" t="s">
        <v>33</v>
      </c>
      <c r="D5" s="96" t="s">
        <v>34</v>
      </c>
      <c r="E5" s="96" t="s">
        <v>35</v>
      </c>
      <c r="F5" s="96" t="s">
        <v>36</v>
      </c>
      <c r="G5" s="96" t="s">
        <v>37</v>
      </c>
      <c r="H5" s="96" t="s">
        <v>59</v>
      </c>
      <c r="I5" s="96" t="s">
        <v>60</v>
      </c>
      <c r="J5" s="96" t="s">
        <v>61</v>
      </c>
      <c r="K5" s="96" t="s">
        <v>62</v>
      </c>
      <c r="L5" s="96" t="s">
        <v>63</v>
      </c>
      <c r="M5" s="96" t="s">
        <v>64</v>
      </c>
      <c r="N5" s="96" t="s">
        <v>65</v>
      </c>
      <c r="O5" s="97" t="s">
        <v>39</v>
      </c>
    </row>
    <row r="6" spans="1:16" ht="24.95" customHeight="1" thickBot="1" x14ac:dyDescent="0.35">
      <c r="A6" s="30"/>
      <c r="B6" s="43" t="s">
        <v>10</v>
      </c>
      <c r="C6" s="80">
        <v>10000</v>
      </c>
      <c r="D6" s="81">
        <v>10000</v>
      </c>
      <c r="E6" s="81">
        <v>11500</v>
      </c>
      <c r="F6" s="81">
        <v>11500</v>
      </c>
      <c r="G6" s="81">
        <v>11500</v>
      </c>
      <c r="H6" s="99"/>
      <c r="I6" s="99"/>
      <c r="J6" s="99"/>
      <c r="K6" s="99"/>
      <c r="L6" s="99"/>
      <c r="M6" s="99"/>
      <c r="N6" s="99"/>
      <c r="O6" s="100">
        <f>SUM(C6:N6)</f>
        <v>54500</v>
      </c>
    </row>
    <row r="7" spans="1:16" ht="24.95" customHeight="1" thickBot="1" x14ac:dyDescent="0.35">
      <c r="A7" s="30"/>
      <c r="B7" s="43" t="s">
        <v>11</v>
      </c>
      <c r="C7" s="98">
        <f t="shared" ref="C7:G7" si="0">C6*0.27</f>
        <v>2700</v>
      </c>
      <c r="D7" s="99">
        <f t="shared" si="0"/>
        <v>2700</v>
      </c>
      <c r="E7" s="99">
        <f t="shared" si="0"/>
        <v>3105</v>
      </c>
      <c r="F7" s="99">
        <f t="shared" si="0"/>
        <v>3105</v>
      </c>
      <c r="G7" s="99">
        <f t="shared" si="0"/>
        <v>3105</v>
      </c>
      <c r="H7" s="99"/>
      <c r="I7" s="99"/>
      <c r="J7" s="99"/>
      <c r="K7" s="99"/>
      <c r="L7" s="99"/>
      <c r="M7" s="99"/>
      <c r="N7" s="99"/>
      <c r="O7" s="100">
        <f>SUM(C7:N7)</f>
        <v>14715</v>
      </c>
    </row>
    <row r="8" spans="1:16" ht="24.95" customHeight="1" x14ac:dyDescent="0.3">
      <c r="A8" s="30"/>
      <c r="B8" s="55" t="s">
        <v>12</v>
      </c>
      <c r="C8" s="108">
        <f>SUBTOTAL(109,FuncionárioReal[Jan])</f>
        <v>12700</v>
      </c>
      <c r="D8" s="109">
        <f>SUBTOTAL(109,FuncionárioReal[Fev])</f>
        <v>12700</v>
      </c>
      <c r="E8" s="109">
        <f>SUBTOTAL(109,FuncionárioReal[Mar])</f>
        <v>14605</v>
      </c>
      <c r="F8" s="109">
        <f>SUBTOTAL(109,FuncionárioReal[Abr])</f>
        <v>14605</v>
      </c>
      <c r="G8" s="109">
        <f>SUBTOTAL(109,FuncionárioReal[Maio])</f>
        <v>14605</v>
      </c>
      <c r="H8" s="109"/>
      <c r="I8" s="109"/>
      <c r="J8" s="109"/>
      <c r="K8" s="109"/>
      <c r="L8" s="109"/>
      <c r="M8" s="109"/>
      <c r="N8" s="109"/>
      <c r="O8" s="110">
        <f>SUBTOTAL(109,FuncionárioReal[ANO])</f>
        <v>69215</v>
      </c>
    </row>
    <row r="9" spans="1:16" s="1" customFormat="1" ht="21" customHeight="1" x14ac:dyDescent="0.3">
      <c r="A9" s="30"/>
      <c r="B9" s="69"/>
      <c r="C9" s="69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7"/>
    </row>
    <row r="10" spans="1:16" ht="24.95" customHeight="1" thickBot="1" x14ac:dyDescent="0.35">
      <c r="A10" s="30"/>
      <c r="B10" s="47" t="s">
        <v>13</v>
      </c>
      <c r="C10" s="107" t="s">
        <v>33</v>
      </c>
      <c r="D10" s="96" t="s">
        <v>34</v>
      </c>
      <c r="E10" s="96" t="s">
        <v>35</v>
      </c>
      <c r="F10" s="96" t="s">
        <v>36</v>
      </c>
      <c r="G10" s="96" t="s">
        <v>37</v>
      </c>
      <c r="H10" s="96" t="s">
        <v>59</v>
      </c>
      <c r="I10" s="96" t="s">
        <v>60</v>
      </c>
      <c r="J10" s="96" t="s">
        <v>61</v>
      </c>
      <c r="K10" s="96" t="s">
        <v>62</v>
      </c>
      <c r="L10" s="96" t="s">
        <v>63</v>
      </c>
      <c r="M10" s="96" t="s">
        <v>64</v>
      </c>
      <c r="N10" s="96" t="s">
        <v>65</v>
      </c>
      <c r="O10" s="97" t="s">
        <v>39</v>
      </c>
    </row>
    <row r="11" spans="1:16" ht="24.95" customHeight="1" thickBot="1" x14ac:dyDescent="0.35">
      <c r="A11" s="30"/>
      <c r="B11" s="65" t="s">
        <v>14</v>
      </c>
      <c r="C11" s="80">
        <v>1500</v>
      </c>
      <c r="D11" s="81">
        <v>1500</v>
      </c>
      <c r="E11" s="81">
        <v>1500</v>
      </c>
      <c r="F11" s="81">
        <v>1500</v>
      </c>
      <c r="G11" s="81">
        <v>1500</v>
      </c>
      <c r="H11" s="99"/>
      <c r="I11" s="99"/>
      <c r="J11" s="99"/>
      <c r="K11" s="99"/>
      <c r="L11" s="99"/>
      <c r="M11" s="99"/>
      <c r="N11" s="99"/>
      <c r="O11" s="100">
        <f t="shared" ref="O11:O18" si="1">SUM(C11:N11)</f>
        <v>7500</v>
      </c>
    </row>
    <row r="12" spans="1:16" ht="24.95" customHeight="1" thickBot="1" x14ac:dyDescent="0.35">
      <c r="A12" s="30"/>
      <c r="B12" s="65" t="s">
        <v>58</v>
      </c>
      <c r="C12" s="80">
        <v>3000</v>
      </c>
      <c r="D12" s="81">
        <v>500</v>
      </c>
      <c r="E12" s="81">
        <v>500</v>
      </c>
      <c r="F12" s="81">
        <v>2500</v>
      </c>
      <c r="G12" s="81">
        <v>0</v>
      </c>
      <c r="H12" s="99"/>
      <c r="I12" s="99"/>
      <c r="J12" s="99"/>
      <c r="K12" s="99"/>
      <c r="L12" s="99"/>
      <c r="M12" s="99"/>
      <c r="N12" s="99"/>
      <c r="O12" s="100">
        <f t="shared" si="1"/>
        <v>6500</v>
      </c>
    </row>
    <row r="13" spans="1:16" ht="24.95" customHeight="1" thickBot="1" x14ac:dyDescent="0.35">
      <c r="A13" s="30"/>
      <c r="B13" s="65" t="s">
        <v>15</v>
      </c>
      <c r="C13" s="98">
        <v>288</v>
      </c>
      <c r="D13" s="99">
        <v>325</v>
      </c>
      <c r="E13" s="99">
        <v>421</v>
      </c>
      <c r="F13" s="99">
        <v>501</v>
      </c>
      <c r="G13" s="99">
        <v>520</v>
      </c>
      <c r="H13" s="99"/>
      <c r="I13" s="99"/>
      <c r="J13" s="99"/>
      <c r="K13" s="99"/>
      <c r="L13" s="99"/>
      <c r="M13" s="99"/>
      <c r="N13" s="99"/>
      <c r="O13" s="100">
        <f t="shared" si="1"/>
        <v>2055</v>
      </c>
    </row>
    <row r="14" spans="1:16" ht="24.95" customHeight="1" thickBot="1" x14ac:dyDescent="0.35">
      <c r="A14" s="30"/>
      <c r="B14" s="65" t="s">
        <v>16</v>
      </c>
      <c r="C14" s="98">
        <v>35</v>
      </c>
      <c r="D14" s="99">
        <v>33</v>
      </c>
      <c r="E14" s="99">
        <v>34</v>
      </c>
      <c r="F14" s="99">
        <v>36</v>
      </c>
      <c r="G14" s="99">
        <v>34</v>
      </c>
      <c r="H14" s="99"/>
      <c r="I14" s="99"/>
      <c r="J14" s="99"/>
      <c r="K14" s="99"/>
      <c r="L14" s="99"/>
      <c r="M14" s="99"/>
      <c r="N14" s="99"/>
      <c r="O14" s="100">
        <f t="shared" si="1"/>
        <v>172</v>
      </c>
    </row>
    <row r="15" spans="1:16" ht="24.95" customHeight="1" thickBot="1" x14ac:dyDescent="0.35">
      <c r="A15" s="30"/>
      <c r="B15" s="65" t="s">
        <v>17</v>
      </c>
      <c r="C15" s="98">
        <v>0</v>
      </c>
      <c r="D15" s="99">
        <v>0</v>
      </c>
      <c r="E15" s="99">
        <v>0</v>
      </c>
      <c r="F15" s="99">
        <v>0</v>
      </c>
      <c r="G15" s="99">
        <v>0</v>
      </c>
      <c r="H15" s="99"/>
      <c r="I15" s="99"/>
      <c r="J15" s="99"/>
      <c r="K15" s="99"/>
      <c r="L15" s="99"/>
      <c r="M15" s="99"/>
      <c r="N15" s="99"/>
      <c r="O15" s="100">
        <f t="shared" si="1"/>
        <v>0</v>
      </c>
    </row>
    <row r="16" spans="1:16" ht="24.95" customHeight="1" thickBot="1" x14ac:dyDescent="0.35">
      <c r="A16" s="30"/>
      <c r="B16" s="65" t="s">
        <v>18</v>
      </c>
      <c r="C16" s="98">
        <v>200</v>
      </c>
      <c r="D16" s="99">
        <v>200</v>
      </c>
      <c r="E16" s="99">
        <v>200</v>
      </c>
      <c r="F16" s="99">
        <v>200</v>
      </c>
      <c r="G16" s="99">
        <v>200</v>
      </c>
      <c r="H16" s="99"/>
      <c r="I16" s="99"/>
      <c r="J16" s="99"/>
      <c r="K16" s="99"/>
      <c r="L16" s="99"/>
      <c r="M16" s="99"/>
      <c r="N16" s="99"/>
      <c r="O16" s="100">
        <f t="shared" si="1"/>
        <v>1000</v>
      </c>
    </row>
    <row r="17" spans="1:15" ht="24.95" customHeight="1" thickBot="1" x14ac:dyDescent="0.35">
      <c r="A17" s="30"/>
      <c r="B17" s="65" t="s">
        <v>19</v>
      </c>
      <c r="C17" s="98">
        <v>500</v>
      </c>
      <c r="D17" s="99">
        <v>200</v>
      </c>
      <c r="E17" s="99">
        <v>0</v>
      </c>
      <c r="F17" s="99">
        <v>150</v>
      </c>
      <c r="G17" s="99">
        <v>0</v>
      </c>
      <c r="H17" s="99"/>
      <c r="I17" s="99"/>
      <c r="J17" s="99"/>
      <c r="K17" s="99"/>
      <c r="L17" s="99"/>
      <c r="M17" s="99"/>
      <c r="N17" s="99"/>
      <c r="O17" s="100">
        <f t="shared" si="1"/>
        <v>850</v>
      </c>
    </row>
    <row r="18" spans="1:15" ht="24.95" customHeight="1" thickBot="1" x14ac:dyDescent="0.35">
      <c r="A18" s="30"/>
      <c r="B18" s="65" t="s">
        <v>57</v>
      </c>
      <c r="C18" s="98">
        <v>800</v>
      </c>
      <c r="D18" s="99">
        <v>800</v>
      </c>
      <c r="E18" s="99">
        <v>2000</v>
      </c>
      <c r="F18" s="99">
        <v>800</v>
      </c>
      <c r="G18" s="99">
        <v>800</v>
      </c>
      <c r="H18" s="99"/>
      <c r="I18" s="99"/>
      <c r="J18" s="99"/>
      <c r="K18" s="99"/>
      <c r="L18" s="99"/>
      <c r="M18" s="99"/>
      <c r="N18" s="99"/>
      <c r="O18" s="100">
        <f t="shared" si="1"/>
        <v>5200</v>
      </c>
    </row>
    <row r="19" spans="1:15" ht="24.95" customHeight="1" thickBot="1" x14ac:dyDescent="0.35">
      <c r="A19" s="30"/>
      <c r="B19" s="106" t="s">
        <v>12</v>
      </c>
      <c r="C19" s="111">
        <f>SUBTOTAL(109,EscritórioReal[Jan])</f>
        <v>6323</v>
      </c>
      <c r="D19" s="111">
        <f>SUBTOTAL(109,EscritórioReal[Fev])</f>
        <v>3558</v>
      </c>
      <c r="E19" s="111">
        <f>SUBTOTAL(109,EscritórioReal[Mar])</f>
        <v>4655</v>
      </c>
      <c r="F19" s="111">
        <f>SUBTOTAL(109,EscritórioReal[Abr])</f>
        <v>5687</v>
      </c>
      <c r="G19" s="111">
        <f>SUBTOTAL(109,EscritórioReal[Maio])</f>
        <v>3054</v>
      </c>
      <c r="H19" s="111"/>
      <c r="I19" s="111"/>
      <c r="J19" s="111"/>
      <c r="K19" s="111"/>
      <c r="L19" s="111"/>
      <c r="M19" s="111"/>
      <c r="N19" s="111"/>
      <c r="O19" s="112">
        <f>SUBTOTAL(109,EscritórioReal[ANO])</f>
        <v>23277</v>
      </c>
    </row>
    <row r="20" spans="1:15" ht="21" customHeight="1" x14ac:dyDescent="0.3">
      <c r="A20" s="30"/>
      <c r="B20" s="70"/>
      <c r="C20" s="70"/>
      <c r="D20" s="86"/>
      <c r="E20" s="86"/>
      <c r="F20" s="91"/>
      <c r="G20" s="91"/>
      <c r="H20" s="91"/>
      <c r="I20" s="91"/>
      <c r="J20" s="91"/>
      <c r="K20" s="91"/>
      <c r="L20" s="91"/>
      <c r="M20" s="91"/>
      <c r="N20" s="91"/>
      <c r="O20" s="87"/>
    </row>
    <row r="21" spans="1:15" ht="24.95" customHeight="1" thickBot="1" x14ac:dyDescent="0.35">
      <c r="A21" s="30"/>
      <c r="B21" s="57" t="s">
        <v>20</v>
      </c>
      <c r="C21" s="107" t="s">
        <v>33</v>
      </c>
      <c r="D21" s="96" t="s">
        <v>34</v>
      </c>
      <c r="E21" s="113" t="s">
        <v>35</v>
      </c>
      <c r="F21" s="96" t="s">
        <v>36</v>
      </c>
      <c r="G21" s="96" t="s">
        <v>37</v>
      </c>
      <c r="H21" s="96" t="s">
        <v>59</v>
      </c>
      <c r="I21" s="96" t="s">
        <v>60</v>
      </c>
      <c r="J21" s="96" t="s">
        <v>61</v>
      </c>
      <c r="K21" s="96" t="s">
        <v>62</v>
      </c>
      <c r="L21" s="96" t="s">
        <v>63</v>
      </c>
      <c r="M21" s="96" t="s">
        <v>64</v>
      </c>
      <c r="N21" s="96" t="s">
        <v>65</v>
      </c>
      <c r="O21" s="97" t="s">
        <v>39</v>
      </c>
    </row>
    <row r="22" spans="1:15" ht="24.95" customHeight="1" thickBot="1" x14ac:dyDescent="0.35">
      <c r="A22" s="30"/>
      <c r="B22" s="43" t="s">
        <v>21</v>
      </c>
      <c r="C22" s="98">
        <v>300</v>
      </c>
      <c r="D22" s="99">
        <v>300</v>
      </c>
      <c r="E22" s="99">
        <v>300</v>
      </c>
      <c r="F22" s="99">
        <v>300</v>
      </c>
      <c r="G22" s="99">
        <v>300</v>
      </c>
      <c r="H22" s="99"/>
      <c r="I22" s="99"/>
      <c r="J22" s="99"/>
      <c r="K22" s="99"/>
      <c r="L22" s="99"/>
      <c r="M22" s="99"/>
      <c r="N22" s="99"/>
      <c r="O22" s="100">
        <f t="shared" ref="O22:O27" si="2">SUM(C22:N22)</f>
        <v>1500</v>
      </c>
    </row>
    <row r="23" spans="1:15" ht="24.95" customHeight="1" thickBot="1" x14ac:dyDescent="0.35">
      <c r="A23" s="30"/>
      <c r="B23" s="43" t="s">
        <v>22</v>
      </c>
      <c r="C23" s="98">
        <v>100</v>
      </c>
      <c r="D23" s="99">
        <v>0</v>
      </c>
      <c r="E23" s="99">
        <v>0</v>
      </c>
      <c r="F23" s="99">
        <v>100</v>
      </c>
      <c r="G23" s="99">
        <v>100</v>
      </c>
      <c r="H23" s="99"/>
      <c r="I23" s="99"/>
      <c r="J23" s="99"/>
      <c r="K23" s="99"/>
      <c r="L23" s="99"/>
      <c r="M23" s="99"/>
      <c r="N23" s="99"/>
      <c r="O23" s="100">
        <f t="shared" si="2"/>
        <v>300</v>
      </c>
    </row>
    <row r="24" spans="1:15" ht="24.95" customHeight="1" thickBot="1" x14ac:dyDescent="0.35">
      <c r="A24" s="30"/>
      <c r="B24" s="43" t="s">
        <v>23</v>
      </c>
      <c r="C24" s="98">
        <v>200</v>
      </c>
      <c r="D24" s="99">
        <v>100</v>
      </c>
      <c r="E24" s="99">
        <v>0</v>
      </c>
      <c r="F24" s="99">
        <v>0</v>
      </c>
      <c r="G24" s="99">
        <v>200</v>
      </c>
      <c r="H24" s="99"/>
      <c r="I24" s="99"/>
      <c r="J24" s="99"/>
      <c r="K24" s="99"/>
      <c r="L24" s="99"/>
      <c r="M24" s="99"/>
      <c r="N24" s="99"/>
      <c r="O24" s="100">
        <f t="shared" si="2"/>
        <v>500</v>
      </c>
    </row>
    <row r="25" spans="1:15" ht="24.95" customHeight="1" thickBot="1" x14ac:dyDescent="0.35">
      <c r="A25" s="30"/>
      <c r="B25" s="43" t="s">
        <v>24</v>
      </c>
      <c r="C25" s="98">
        <v>100</v>
      </c>
      <c r="D25" s="99">
        <v>100</v>
      </c>
      <c r="E25" s="99">
        <v>0</v>
      </c>
      <c r="F25" s="99">
        <v>0</v>
      </c>
      <c r="G25" s="99">
        <v>200</v>
      </c>
      <c r="H25" s="99"/>
      <c r="I25" s="99"/>
      <c r="J25" s="99"/>
      <c r="K25" s="99"/>
      <c r="L25" s="99"/>
      <c r="M25" s="99"/>
      <c r="N25" s="99"/>
      <c r="O25" s="100">
        <f t="shared" si="2"/>
        <v>400</v>
      </c>
    </row>
    <row r="26" spans="1:15" ht="24.95" customHeight="1" thickBot="1" x14ac:dyDescent="0.35">
      <c r="A26" s="30"/>
      <c r="B26" s="43" t="s">
        <v>25</v>
      </c>
      <c r="C26" s="98">
        <v>350</v>
      </c>
      <c r="D26" s="99">
        <v>0</v>
      </c>
      <c r="E26" s="99">
        <v>0</v>
      </c>
      <c r="F26" s="99">
        <v>0</v>
      </c>
      <c r="G26" s="99">
        <v>500</v>
      </c>
      <c r="H26" s="99"/>
      <c r="I26" s="99"/>
      <c r="J26" s="99"/>
      <c r="K26" s="99"/>
      <c r="L26" s="99"/>
      <c r="M26" s="99"/>
      <c r="N26" s="99"/>
      <c r="O26" s="100">
        <f t="shared" si="2"/>
        <v>850</v>
      </c>
    </row>
    <row r="27" spans="1:15" ht="24.95" customHeight="1" thickBot="1" x14ac:dyDescent="0.35">
      <c r="A27" s="30"/>
      <c r="B27" s="43" t="s">
        <v>26</v>
      </c>
      <c r="C27" s="98">
        <v>500</v>
      </c>
      <c r="D27" s="99">
        <v>500</v>
      </c>
      <c r="E27" s="99">
        <v>500</v>
      </c>
      <c r="F27" s="99">
        <v>500</v>
      </c>
      <c r="G27" s="99">
        <v>1000</v>
      </c>
      <c r="H27" s="99"/>
      <c r="I27" s="99"/>
      <c r="J27" s="99"/>
      <c r="K27" s="99"/>
      <c r="L27" s="99"/>
      <c r="M27" s="99"/>
      <c r="N27" s="99"/>
      <c r="O27" s="100">
        <f t="shared" si="2"/>
        <v>3000</v>
      </c>
    </row>
    <row r="28" spans="1:15" ht="24.95" customHeight="1" x14ac:dyDescent="0.3">
      <c r="A28" s="30"/>
      <c r="B28" s="54" t="s">
        <v>12</v>
      </c>
      <c r="C28" s="114">
        <f>SUBTOTAL(109,MarketingReal[Jan])</f>
        <v>1550</v>
      </c>
      <c r="D28" s="102">
        <f>SUBTOTAL(109,MarketingReal[Fev])</f>
        <v>1000</v>
      </c>
      <c r="E28" s="102">
        <f>SUBTOTAL(109,MarketingReal[Mar])</f>
        <v>800</v>
      </c>
      <c r="F28" s="102">
        <f>SUBTOTAL(109,MarketingReal[Abr])</f>
        <v>900</v>
      </c>
      <c r="G28" s="102">
        <f>SUBTOTAL(109,MarketingReal[Maio])</f>
        <v>2300</v>
      </c>
      <c r="H28" s="102"/>
      <c r="I28" s="102"/>
      <c r="J28" s="102"/>
      <c r="K28" s="102"/>
      <c r="L28" s="102"/>
      <c r="M28" s="102"/>
      <c r="N28" s="102"/>
      <c r="O28" s="103">
        <f>SUBTOTAL(109,MarketingReal[ANO])</f>
        <v>6550</v>
      </c>
    </row>
    <row r="29" spans="1:15" ht="21" customHeight="1" x14ac:dyDescent="0.3">
      <c r="A29" s="30"/>
      <c r="B29" s="69"/>
      <c r="C29" s="69"/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87"/>
    </row>
    <row r="30" spans="1:15" ht="24.95" customHeight="1" thickBot="1" x14ac:dyDescent="0.35">
      <c r="A30" s="30"/>
      <c r="B30" s="50" t="s">
        <v>27</v>
      </c>
      <c r="C30" s="96" t="s">
        <v>33</v>
      </c>
      <c r="D30" s="96" t="s">
        <v>34</v>
      </c>
      <c r="E30" s="96" t="s">
        <v>35</v>
      </c>
      <c r="F30" s="96" t="s">
        <v>36</v>
      </c>
      <c r="G30" s="96" t="s">
        <v>37</v>
      </c>
      <c r="H30" s="96" t="s">
        <v>59</v>
      </c>
      <c r="I30" s="96" t="s">
        <v>60</v>
      </c>
      <c r="J30" s="96" t="s">
        <v>61</v>
      </c>
      <c r="K30" s="96" t="s">
        <v>62</v>
      </c>
      <c r="L30" s="96" t="s">
        <v>63</v>
      </c>
      <c r="M30" s="96" t="s">
        <v>64</v>
      </c>
      <c r="N30" s="96" t="s">
        <v>65</v>
      </c>
      <c r="O30" s="97" t="s">
        <v>39</v>
      </c>
    </row>
    <row r="31" spans="1:15" ht="24.95" customHeight="1" thickBot="1" x14ac:dyDescent="0.35">
      <c r="A31" s="30"/>
      <c r="B31" s="53" t="s">
        <v>28</v>
      </c>
      <c r="C31" s="99">
        <v>1500</v>
      </c>
      <c r="D31" s="99">
        <v>1000</v>
      </c>
      <c r="E31" s="99">
        <v>500</v>
      </c>
      <c r="F31" s="99">
        <v>0</v>
      </c>
      <c r="G31" s="99">
        <v>0</v>
      </c>
      <c r="H31" s="99"/>
      <c r="I31" s="99"/>
      <c r="J31" s="99"/>
      <c r="K31" s="99"/>
      <c r="L31" s="99"/>
      <c r="M31" s="99"/>
      <c r="N31" s="99"/>
      <c r="O31" s="100">
        <f>SUM(C31:N31)</f>
        <v>3000</v>
      </c>
    </row>
    <row r="32" spans="1:15" ht="24.95" customHeight="1" thickBot="1" x14ac:dyDescent="0.35">
      <c r="A32" s="30"/>
      <c r="B32" s="53" t="s">
        <v>29</v>
      </c>
      <c r="C32" s="99">
        <v>1500</v>
      </c>
      <c r="D32" s="99">
        <v>0</v>
      </c>
      <c r="E32" s="99">
        <v>0</v>
      </c>
      <c r="F32" s="99">
        <v>0</v>
      </c>
      <c r="G32" s="99">
        <v>0</v>
      </c>
      <c r="H32" s="99"/>
      <c r="I32" s="99"/>
      <c r="J32" s="99"/>
      <c r="K32" s="99"/>
      <c r="L32" s="99"/>
      <c r="M32" s="99"/>
      <c r="N32" s="99"/>
      <c r="O32" s="100">
        <f>SUM(C32:N32)</f>
        <v>1500</v>
      </c>
    </row>
    <row r="33" spans="1:16" ht="24.95" customHeight="1" x14ac:dyDescent="0.3">
      <c r="A33" s="30"/>
      <c r="B33" s="56" t="s">
        <v>12</v>
      </c>
      <c r="C33" s="102">
        <f>SUBTOTAL(109,RealViagemETreinamento[Jan])</f>
        <v>3000</v>
      </c>
      <c r="D33" s="102">
        <f>SUBTOTAL(109,RealViagemETreinamento[Fev])</f>
        <v>1000</v>
      </c>
      <c r="E33" s="102">
        <f>SUBTOTAL(109,RealViagemETreinamento[Mar])</f>
        <v>500</v>
      </c>
      <c r="F33" s="102">
        <f>SUBTOTAL(109,RealViagemETreinamento[Abr])</f>
        <v>0</v>
      </c>
      <c r="G33" s="102">
        <f>SUBTOTAL(109,RealViagemETreinamento[Maio])</f>
        <v>0</v>
      </c>
      <c r="H33" s="102"/>
      <c r="I33" s="102"/>
      <c r="J33" s="102"/>
      <c r="K33" s="102"/>
      <c r="L33" s="102"/>
      <c r="M33" s="102"/>
      <c r="N33" s="102"/>
      <c r="O33" s="103">
        <f>SUBTOTAL(109,RealViagemETreinamento[ANO])</f>
        <v>4500</v>
      </c>
    </row>
    <row r="34" spans="1:16" ht="21" customHeight="1" x14ac:dyDescent="0.3">
      <c r="A34" s="30"/>
      <c r="B34" s="69"/>
      <c r="C34" s="69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</row>
    <row r="35" spans="1:16" ht="24.95" customHeight="1" thickBot="1" x14ac:dyDescent="0.35">
      <c r="A35" s="30"/>
      <c r="B35" s="25" t="s">
        <v>32</v>
      </c>
      <c r="C35" s="26" t="s">
        <v>33</v>
      </c>
      <c r="D35" s="26" t="s">
        <v>34</v>
      </c>
      <c r="E35" s="26" t="s">
        <v>35</v>
      </c>
      <c r="F35" s="26" t="s">
        <v>36</v>
      </c>
      <c r="G35" s="26" t="s">
        <v>38</v>
      </c>
      <c r="H35" s="26" t="s">
        <v>59</v>
      </c>
      <c r="I35" s="26" t="s">
        <v>60</v>
      </c>
      <c r="J35" s="26" t="s">
        <v>61</v>
      </c>
      <c r="K35" s="26" t="s">
        <v>62</v>
      </c>
      <c r="L35" s="26" t="s">
        <v>63</v>
      </c>
      <c r="M35" s="26" t="s">
        <v>64</v>
      </c>
      <c r="N35" s="26" t="s">
        <v>65</v>
      </c>
      <c r="O35" s="59" t="s">
        <v>40</v>
      </c>
    </row>
    <row r="36" spans="1:16" ht="24.95" customHeight="1" thickBot="1" x14ac:dyDescent="0.35">
      <c r="A36" s="30"/>
      <c r="B36" s="58" t="s">
        <v>43</v>
      </c>
      <c r="C36" s="115">
        <f>RealViagemETreinamento[[#Totals],[Jan]]+MarketingReal[[#Totals],[Jan]]+EscritórioReal[[#Totals],[Jan]]+FuncionárioReal[[#Totals],[Jan]]</f>
        <v>23573</v>
      </c>
      <c r="D36" s="115">
        <f>RealViagemETreinamento[[#Totals],[Fev]]+MarketingReal[[#Totals],[Fev]]+EscritórioReal[[#Totals],[Fev]]+FuncionárioReal[[#Totals],[Fev]]</f>
        <v>18258</v>
      </c>
      <c r="E36" s="115">
        <f>RealViagemETreinamento[[#Totals],[Mar]]+MarketingReal[[#Totals],[Mar]]+EscritórioReal[[#Totals],[Mar]]+FuncionárioReal[[#Totals],[Mar]]</f>
        <v>20560</v>
      </c>
      <c r="F36" s="115">
        <f>RealViagemETreinamento[[#Totals],[Abr]]+MarketingReal[[#Totals],[Abr]]+EscritórioReal[[#Totals],[Abr]]+FuncionárioReal[[#Totals],[Abr]]</f>
        <v>21192</v>
      </c>
      <c r="G36" s="115">
        <f>RealViagemETreinamento[[#Totals],[Maio]]+MarketingReal[[#Totals],[Maio]]+EscritórioReal[[#Totals],[Maio]]+FuncionárioReal[[#Totals],[Maio]]</f>
        <v>19959</v>
      </c>
      <c r="H36" s="115"/>
      <c r="I36" s="115"/>
      <c r="J36" s="115"/>
      <c r="K36" s="115"/>
      <c r="L36" s="115"/>
      <c r="M36" s="115"/>
      <c r="N36" s="115"/>
      <c r="O36" s="116">
        <f>RealViagemETreinamento[[#Totals],[ANO]]+MarketingReal[[#Totals],[ANO]]+EscritórioReal[[#Totals],[ANO]]+FuncionárioReal[[#Totals],[ANO]]</f>
        <v>103542</v>
      </c>
      <c r="P36"/>
    </row>
    <row r="37" spans="1:16" ht="24.95" customHeight="1" thickBot="1" x14ac:dyDescent="0.35">
      <c r="A37" s="30"/>
      <c r="B37" s="58" t="s">
        <v>44</v>
      </c>
      <c r="C37" s="117">
        <f>SUM($C$36:C36)</f>
        <v>23573</v>
      </c>
      <c r="D37" s="118">
        <f>SUM($C$36:D36)</f>
        <v>41831</v>
      </c>
      <c r="E37" s="118">
        <f>SUM($C$36:E36)</f>
        <v>62391</v>
      </c>
      <c r="F37" s="118">
        <f>SUM($C$36:F36)</f>
        <v>83583</v>
      </c>
      <c r="G37" s="118">
        <f>SUM($C$36:G36)</f>
        <v>103542</v>
      </c>
      <c r="H37" s="119"/>
      <c r="I37" s="118"/>
      <c r="J37" s="118"/>
      <c r="K37" s="118"/>
      <c r="L37" s="118"/>
      <c r="M37" s="119"/>
      <c r="N37" s="118"/>
      <c r="O37" s="119"/>
      <c r="P37"/>
    </row>
    <row r="38" spans="1:16" ht="21" customHeight="1" x14ac:dyDescent="0.3">
      <c r="L38" s="12"/>
      <c r="M38" s="12"/>
      <c r="N38" s="12"/>
      <c r="O38" s="12"/>
    </row>
  </sheetData>
  <mergeCells count="2">
    <mergeCell ref="K2:M2"/>
    <mergeCell ref="K3:M3"/>
  </mergeCells>
  <phoneticPr fontId="45" type="noConversion"/>
  <dataValidations count="9">
    <dataValidation allowBlank="1" showInputMessage="1" showErrorMessage="1" prompt="O espaço reservado para o logotipo está nesta célula." sqref="N2" xr:uid="{C95257D8-3930-4F5C-8D70-88B292233801}"/>
    <dataValidation allowBlank="1" showInputMessage="1" showErrorMessage="1" prompt="As Despesas Reais Totais são calculadas automaticamente na tabela Custo Real Total que começa na célula à direita." sqref="A4" xr:uid="{177C6CBD-70F5-4EE0-A8BD-78C9CA33B2BD}"/>
    <dataValidation allowBlank="1" showInputMessage="1" showErrorMessage="1" prompt="Insira os Custos do Funcionário na tabela Custos Reais do Funcionário, começando na célula à direita. A próxima instrução está na célula A10." sqref="A5" xr:uid="{C3141D3D-0B91-4F53-BE3F-38687FD87D6B}"/>
    <dataValidation allowBlank="1" showInputMessage="1" showErrorMessage="1" prompt="Insira os Custos do Office na tabela Custos Reais do Office começando na célula à direita. A próxima instrução está na célula A21." sqref="A10" xr:uid="{6B251561-6C81-4CE6-8EBF-9D5790C7CB5E}"/>
    <dataValidation allowBlank="1" showInputMessage="1" showErrorMessage="1" prompt="Insira os Custos de Marketing na tabela Custos Reais de Marketing começando na célula à direita. A próxima instrução está na célula A30." sqref="A21" xr:uid="{D284BFB1-3C99-4A34-BA1D-2099E5838FB2}"/>
    <dataValidation allowBlank="1" showInputMessage="1" showErrorMessage="1" prompt="Insira os Custos de Treinamento ou Viagem na tabela Custos Reais de Treinamento e Viagem começando na célula à direita. A próxima instrução está na célula A35." sqref="A30" xr:uid="{255C7F8A-67BD-4F48-9D93-C907D407CF4C}"/>
    <dataValidation allowBlank="1" showInputMessage="1" showErrorMessage="1" prompt="Insira os Custos Planejados do Funcionário, de Escritório, de Marketing e de Treinamento ou Viagem nas tabelas desta planilha. Os totais são calculados automaticamente. As instruções de uso estão nas células desta coluna. Seta para baixo para começar." sqref="A1" xr:uid="{79AE6394-A51C-466A-B4A1-C38D88BF4EBB}"/>
    <dataValidation allowBlank="1" showInputMessage="1" showErrorMessage="1" prompt="O Nome da Empresa é atualizado automaticamente na célula à direita. O título desta planilha está na célula K2. Insira o logotipo na célula N2." sqref="A2" xr:uid="{26A4B1D9-8F73-440F-9A07-A3F7DBC9AEEF}"/>
    <dataValidation allowBlank="1" showInputMessage="1" showErrorMessage="1" prompt="As dicas estão na célula K3." sqref="A3" xr:uid="{7DD6B845-A534-4A07-B96C-7DC7C0D747FC}"/>
  </dataValidations>
  <pageMargins left="0.7" right="0.7" top="0.75" bottom="0.75" header="0.3" footer="0.3"/>
  <pageSetup paperSize="9" fitToHeight="0" orientation="portrait" r:id="rId1"/>
  <ignoredErrors>
    <ignoredError sqref="B2 O31:O33 O22:O28 O11:O18" emptyCellReference="1"/>
    <ignoredError sqref="C37:G37 C7:G7 O7 C36:G36" calculatedColumn="1"/>
    <ignoredError sqref="O6" emptyCellReference="1" calculatedColumn="1"/>
  </ignoredErrors>
  <drawing r:id="rId2"/>
  <tableParts count="5"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theme="7"/>
    <pageSetUpPr autoPageBreaks="0"/>
  </sheetPr>
  <dimension ref="A1:P38"/>
  <sheetViews>
    <sheetView showGridLines="0" zoomScaleNormal="100" workbookViewId="0">
      <selection activeCell="Q5" sqref="Q5"/>
    </sheetView>
  </sheetViews>
  <sheetFormatPr defaultColWidth="9.140625" defaultRowHeight="21" customHeight="1" x14ac:dyDescent="0.3"/>
  <cols>
    <col min="1" max="1" width="4.7109375" style="1" customWidth="1"/>
    <col min="2" max="2" width="47.42578125" style="2" customWidth="1"/>
    <col min="3" max="7" width="16.7109375" style="2" customWidth="1"/>
    <col min="8" max="14" width="16.7109375" style="2" hidden="1" customWidth="1"/>
    <col min="15" max="15" width="16.28515625" style="2" customWidth="1"/>
    <col min="16" max="16" width="4.7109375" style="1" customWidth="1"/>
    <col min="17" max="16384" width="9.140625" style="2"/>
  </cols>
  <sheetData>
    <row r="1" spans="1:16" s="1" customFormat="1" ht="24" customHeight="1" x14ac:dyDescent="0.3">
      <c r="A1" s="105"/>
      <c r="B1" s="8"/>
      <c r="C1" s="8"/>
      <c r="D1" s="8"/>
      <c r="E1" s="8"/>
      <c r="F1" s="5"/>
      <c r="G1" s="5"/>
      <c r="H1" s="5"/>
      <c r="I1" s="5"/>
      <c r="J1" s="5"/>
      <c r="K1" s="5"/>
      <c r="L1" s="5"/>
      <c r="M1" s="5"/>
      <c r="N1" s="5"/>
      <c r="O1" s="5"/>
      <c r="P1" s="52" t="s">
        <v>41</v>
      </c>
    </row>
    <row r="2" spans="1:16" s="1" customFormat="1" ht="45" customHeight="1" x14ac:dyDescent="0.35">
      <c r="A2" s="29"/>
      <c r="B2" s="71" t="str">
        <f>'DESPESAS PLANEJADAS'!B2:D3</f>
        <v>Projeto SCOA</v>
      </c>
      <c r="C2" s="71"/>
      <c r="D2" s="71"/>
      <c r="E2" s="74"/>
      <c r="F2" s="6"/>
      <c r="G2" s="6"/>
      <c r="H2" s="6"/>
      <c r="I2" s="6"/>
      <c r="J2" s="6"/>
      <c r="K2" s="131"/>
      <c r="L2" s="131"/>
      <c r="M2" s="131"/>
      <c r="N2" s="68"/>
      <c r="O2" s="68"/>
      <c r="P2" s="5"/>
    </row>
    <row r="3" spans="1:16" s="1" customFormat="1" ht="30" customHeight="1" x14ac:dyDescent="0.3">
      <c r="A3" s="29"/>
      <c r="B3" s="71"/>
      <c r="C3" s="71"/>
      <c r="D3" s="71"/>
      <c r="E3" s="75"/>
      <c r="F3" s="7"/>
      <c r="G3" s="7"/>
      <c r="H3" s="7"/>
      <c r="I3" s="7"/>
      <c r="J3" s="7"/>
      <c r="K3" s="133"/>
      <c r="L3" s="133"/>
      <c r="M3" s="133"/>
      <c r="N3" s="68"/>
      <c r="O3" s="68"/>
      <c r="P3" s="5"/>
    </row>
    <row r="4" spans="1:16" s="9" customFormat="1" ht="49.5" customHeight="1" x14ac:dyDescent="0.3">
      <c r="A4" s="30"/>
      <c r="B4" s="20" t="s">
        <v>45</v>
      </c>
      <c r="C4" s="76" t="s">
        <v>54</v>
      </c>
      <c r="D4" s="76" t="s">
        <v>53</v>
      </c>
      <c r="E4" s="76" t="s">
        <v>52</v>
      </c>
      <c r="F4" s="76" t="s">
        <v>55</v>
      </c>
      <c r="G4" s="76" t="s">
        <v>56</v>
      </c>
      <c r="H4" s="76"/>
      <c r="I4" s="76"/>
      <c r="J4" s="76"/>
      <c r="K4" s="76"/>
      <c r="L4" s="76"/>
      <c r="M4" s="76"/>
      <c r="N4" s="76"/>
      <c r="O4" s="76" t="s">
        <v>39</v>
      </c>
    </row>
    <row r="5" spans="1:16" ht="24.95" customHeight="1" thickBot="1" x14ac:dyDescent="0.35">
      <c r="A5" s="30"/>
      <c r="B5" s="50" t="s">
        <v>9</v>
      </c>
      <c r="C5" s="120" t="s">
        <v>33</v>
      </c>
      <c r="D5" s="120" t="s">
        <v>34</v>
      </c>
      <c r="E5" s="120" t="s">
        <v>35</v>
      </c>
      <c r="F5" s="120" t="s">
        <v>36</v>
      </c>
      <c r="G5" s="120" t="s">
        <v>37</v>
      </c>
      <c r="H5" s="120" t="s">
        <v>59</v>
      </c>
      <c r="I5" s="120" t="s">
        <v>60</v>
      </c>
      <c r="J5" s="120" t="s">
        <v>61</v>
      </c>
      <c r="K5" s="120" t="s">
        <v>62</v>
      </c>
      <c r="L5" s="120" t="s">
        <v>63</v>
      </c>
      <c r="M5" s="120" t="s">
        <v>64</v>
      </c>
      <c r="N5" s="120" t="s">
        <v>65</v>
      </c>
      <c r="O5" s="121" t="s">
        <v>39</v>
      </c>
    </row>
    <row r="6" spans="1:16" ht="24.95" customHeight="1" thickBot="1" x14ac:dyDescent="0.35">
      <c r="A6" s="30"/>
      <c r="B6" s="43" t="s">
        <v>10</v>
      </c>
      <c r="C6" s="98">
        <f>INDEX(PlanejamentoDeFuncionário[],MATCH(INDEX(VariaçõesDeFuncionários[],ROW()-ROW(VariaçõesDeFuncionários[[#Headers],[Jan]]),1),INDEX(PlanejamentoDeFuncionário[],,1),0),MATCH(VariaçõesDeFuncionários[[#Headers],[Jan]],PlanejamentoDeFuncionário[#Headers],0))-INDEX(FuncionárioReal[],MATCH(INDEX(VariaçõesDeFuncionários[],ROW()-ROW(VariaçõesDeFuncionários[[#Headers],[Jan]]),1),INDEX(PlanejamentoDeFuncionário[],,1),0),MATCH(VariaçõesDeFuncionários[[#Headers],[Jan]],FuncionárioReal[#Headers],0))</f>
        <v>0</v>
      </c>
      <c r="D6" s="99">
        <f>INDEX(PlanejamentoDeFuncionário[],MATCH(INDEX(VariaçõesDeFuncionários[],ROW()-ROW(VariaçõesDeFuncionários[[#Headers],[Fev]]),1),INDEX(PlanejamentoDeFuncionário[],,1),0),MATCH(VariaçõesDeFuncionários[[#Headers],[Fev]],PlanejamentoDeFuncionário[#Headers],0))-INDEX(FuncionárioReal[],MATCH(INDEX(VariaçõesDeFuncionários[],ROW()-ROW(VariaçõesDeFuncionários[[#Headers],[Fev]]),1),INDEX(PlanejamentoDeFuncionário[],,1),0),MATCH(VariaçõesDeFuncionários[[#Headers],[Fev]],FuncionárioReal[#Headers],0))</f>
        <v>0</v>
      </c>
      <c r="E6" s="99">
        <f>INDEX(PlanejamentoDeFuncionário[],MATCH(INDEX(VariaçõesDeFuncionários[],ROW()-ROW(VariaçõesDeFuncionários[[#Headers],[Mar]]),1),INDEX(PlanejamentoDeFuncionário[],,1),0),MATCH(VariaçõesDeFuncionários[[#Headers],[Mar]],PlanejamentoDeFuncionário[#Headers],0))-INDEX(FuncionárioReal[],MATCH(INDEX(VariaçõesDeFuncionários[],ROW()-ROW(VariaçõesDeFuncionários[[#Headers],[Mar]]),1),INDEX(PlanejamentoDeFuncionário[],,1),0),MATCH(VariaçõesDeFuncionários[[#Headers],[Mar]],FuncionárioReal[#Headers],0))</f>
        <v>-1500</v>
      </c>
      <c r="F6" s="99">
        <f>INDEX(PlanejamentoDeFuncionário[],MATCH(INDEX(VariaçõesDeFuncionários[],ROW()-ROW(VariaçõesDeFuncionários[[#Headers],[Abr]]),1),INDEX(PlanejamentoDeFuncionário[],,1),0),MATCH(VariaçõesDeFuncionários[[#Headers],[Abr]],PlanejamentoDeFuncionário[#Headers],0))-INDEX(FuncionárioReal[],MATCH(INDEX(VariaçõesDeFuncionários[],ROW()-ROW(VariaçõesDeFuncionários[[#Headers],[Abr]]),1),INDEX(PlanejamentoDeFuncionário[],,1),0),MATCH(VariaçõesDeFuncionários[[#Headers],[Abr]],FuncionárioReal[#Headers],0))</f>
        <v>-1500</v>
      </c>
      <c r="G6" s="99">
        <f>INDEX(PlanejamentoDeFuncionário[],MATCH(INDEX(VariaçõesDeFuncionários[],ROW()-ROW(VariaçõesDeFuncionários[[#Headers],[Maio]]),1),INDEX(PlanejamentoDeFuncionário[],,1),0),MATCH(VariaçõesDeFuncionários[[#Headers],[Maio]],PlanejamentoDeFuncionário[#Headers],0))-INDEX(FuncionárioReal[],MATCH(INDEX(VariaçõesDeFuncionários[],ROW()-ROW(VariaçõesDeFuncionários[[#Headers],[Maio]]),1),INDEX(PlanejamentoDeFuncionário[],,1),0),MATCH(VariaçõesDeFuncionários[[#Headers],[Maio]],FuncionárioReal[#Headers],0))</f>
        <v>-1500</v>
      </c>
      <c r="H6" s="99"/>
      <c r="I6" s="99"/>
      <c r="J6" s="99"/>
      <c r="K6" s="99"/>
      <c r="L6" s="99"/>
      <c r="M6" s="99"/>
      <c r="N6" s="99"/>
      <c r="O6" s="100">
        <f>SUM(VariaçõesDeFuncionários[[#This Row],[Jan]:[Column7]])</f>
        <v>-4500</v>
      </c>
    </row>
    <row r="7" spans="1:16" ht="24.95" customHeight="1" thickBot="1" x14ac:dyDescent="0.35">
      <c r="A7" s="30"/>
      <c r="B7" s="43" t="s">
        <v>11</v>
      </c>
      <c r="C7" s="98">
        <f>INDEX(PlanejamentoDeFuncionário[],MATCH(INDEX(VariaçõesDeFuncionários[],ROW()-ROW(VariaçõesDeFuncionários[[#Headers],[Jan]]),1),INDEX(PlanejamentoDeFuncionário[],,1),0),MATCH(VariaçõesDeFuncionários[[#Headers],[Jan]],PlanejamentoDeFuncionário[#Headers],0))-INDEX(FuncionárioReal[],MATCH(INDEX(VariaçõesDeFuncionários[],ROW()-ROW(VariaçõesDeFuncionários[[#Headers],[Jan]]),1),INDEX(PlanejamentoDeFuncionário[],,1),0),MATCH(VariaçõesDeFuncionários[[#Headers],[Jan]],FuncionárioReal[#Headers],0))</f>
        <v>0</v>
      </c>
      <c r="D7" s="99">
        <f>INDEX(PlanejamentoDeFuncionário[],MATCH(INDEX(VariaçõesDeFuncionários[],ROW()-ROW(VariaçõesDeFuncionários[[#Headers],[Fev]]),1),INDEX(PlanejamentoDeFuncionário[],,1),0),MATCH(VariaçõesDeFuncionários[[#Headers],[Fev]],PlanejamentoDeFuncionário[#Headers],0))-INDEX(FuncionárioReal[],MATCH(INDEX(VariaçõesDeFuncionários[],ROW()-ROW(VariaçõesDeFuncionários[[#Headers],[Fev]]),1),INDEX(PlanejamentoDeFuncionário[],,1),0),MATCH(VariaçõesDeFuncionários[[#Headers],[Fev]],FuncionárioReal[#Headers],0))</f>
        <v>0</v>
      </c>
      <c r="E7" s="99">
        <f>INDEX(PlanejamentoDeFuncionário[],MATCH(INDEX(VariaçõesDeFuncionários[],ROW()-ROW(VariaçõesDeFuncionários[[#Headers],[Mar]]),1),INDEX(PlanejamentoDeFuncionário[],,1),0),MATCH(VariaçõesDeFuncionários[[#Headers],[Mar]],PlanejamentoDeFuncionário[#Headers],0))-INDEX(FuncionárioReal[],MATCH(INDEX(VariaçõesDeFuncionários[],ROW()-ROW(VariaçõesDeFuncionários[[#Headers],[Mar]]),1),INDEX(PlanejamentoDeFuncionário[],,1),0),MATCH(VariaçõesDeFuncionários[[#Headers],[Mar]],FuncionárioReal[#Headers],0))</f>
        <v>-405</v>
      </c>
      <c r="F7" s="99">
        <f>INDEX(PlanejamentoDeFuncionário[],MATCH(INDEX(VariaçõesDeFuncionários[],ROW()-ROW(VariaçõesDeFuncionários[[#Headers],[Abr]]),1),INDEX(PlanejamentoDeFuncionário[],,1),0),MATCH(VariaçõesDeFuncionários[[#Headers],[Abr]],PlanejamentoDeFuncionário[#Headers],0))-INDEX(FuncionárioReal[],MATCH(INDEX(VariaçõesDeFuncionários[],ROW()-ROW(VariaçõesDeFuncionários[[#Headers],[Abr]]),1),INDEX(PlanejamentoDeFuncionário[],,1),0),MATCH(VariaçõesDeFuncionários[[#Headers],[Abr]],FuncionárioReal[#Headers],0))</f>
        <v>-405</v>
      </c>
      <c r="G7" s="99">
        <f>INDEX(PlanejamentoDeFuncionário[],MATCH(INDEX(VariaçõesDeFuncionários[],ROW()-ROW(VariaçõesDeFuncionários[[#Headers],[Maio]]),1),INDEX(PlanejamentoDeFuncionário[],,1),0),MATCH(VariaçõesDeFuncionários[[#Headers],[Maio]],PlanejamentoDeFuncionário[#Headers],0))-INDEX(FuncionárioReal[],MATCH(INDEX(VariaçõesDeFuncionários[],ROW()-ROW(VariaçõesDeFuncionários[[#Headers],[Maio]]),1),INDEX(PlanejamentoDeFuncionário[],,1),0),MATCH(VariaçõesDeFuncionários[[#Headers],[Maio]],FuncionárioReal[#Headers],0))</f>
        <v>-405</v>
      </c>
      <c r="H7" s="99"/>
      <c r="I7" s="99"/>
      <c r="J7" s="99"/>
      <c r="K7" s="99"/>
      <c r="L7" s="99"/>
      <c r="M7" s="99"/>
      <c r="N7" s="99"/>
      <c r="O7" s="100">
        <f>SUM(VariaçõesDeFuncionários[[#This Row],[Jan]:[Column7]])</f>
        <v>-1215</v>
      </c>
    </row>
    <row r="8" spans="1:16" ht="24.95" customHeight="1" x14ac:dyDescent="0.3">
      <c r="A8" s="30"/>
      <c r="B8" s="60" t="s">
        <v>12</v>
      </c>
      <c r="C8" s="109">
        <f>SUBTOTAL(109,VariaçõesDeFuncionários[Jan])</f>
        <v>0</v>
      </c>
      <c r="D8" s="109">
        <f>SUBTOTAL(109,VariaçõesDeFuncionários[Fev])</f>
        <v>0</v>
      </c>
      <c r="E8" s="109">
        <f>SUBTOTAL(109,VariaçõesDeFuncionários[Mar])</f>
        <v>-1905</v>
      </c>
      <c r="F8" s="109">
        <f>SUBTOTAL(109,VariaçõesDeFuncionários[Abr])</f>
        <v>-1905</v>
      </c>
      <c r="G8" s="109">
        <f>SUBTOTAL(109,VariaçõesDeFuncionários[Maio])</f>
        <v>-1905</v>
      </c>
      <c r="H8" s="109"/>
      <c r="I8" s="109"/>
      <c r="J8" s="109"/>
      <c r="K8" s="109"/>
      <c r="L8" s="109"/>
      <c r="M8" s="109"/>
      <c r="N8" s="109"/>
      <c r="O8" s="110">
        <f>SUBTOTAL(109,VariaçõesDeFuncionários[ANO])</f>
        <v>-5715</v>
      </c>
    </row>
    <row r="9" spans="1:16" ht="21" customHeight="1" x14ac:dyDescent="0.3">
      <c r="A9" s="30"/>
      <c r="B9" s="69"/>
      <c r="C9" s="69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7"/>
    </row>
    <row r="10" spans="1:16" ht="24.95" customHeight="1" thickBot="1" x14ac:dyDescent="0.35">
      <c r="A10" s="30"/>
      <c r="B10" s="46" t="s">
        <v>13</v>
      </c>
      <c r="C10" s="96" t="s">
        <v>33</v>
      </c>
      <c r="D10" s="96" t="s">
        <v>34</v>
      </c>
      <c r="E10" s="96" t="s">
        <v>35</v>
      </c>
      <c r="F10" s="96" t="s">
        <v>36</v>
      </c>
      <c r="G10" s="96" t="s">
        <v>37</v>
      </c>
      <c r="H10" s="96" t="s">
        <v>59</v>
      </c>
      <c r="I10" s="96" t="s">
        <v>60</v>
      </c>
      <c r="J10" s="96" t="s">
        <v>61</v>
      </c>
      <c r="K10" s="96" t="s">
        <v>62</v>
      </c>
      <c r="L10" s="96" t="s">
        <v>63</v>
      </c>
      <c r="M10" s="96" t="s">
        <v>64</v>
      </c>
      <c r="N10" s="96" t="s">
        <v>65</v>
      </c>
      <c r="O10" s="97" t="s">
        <v>39</v>
      </c>
    </row>
    <row r="11" spans="1:16" ht="24.95" customHeight="1" thickBot="1" x14ac:dyDescent="0.35">
      <c r="A11" s="30"/>
      <c r="B11" s="53" t="s">
        <v>14</v>
      </c>
      <c r="C11" s="99">
        <f>INDEX(PlanejamentoDeEscritório[],MATCH(INDEX(VariaçõesDoEscritório[],ROW()-ROW(VariaçõesDoEscritório[[#Headers],[Jan]]),1),INDEX(PlanejamentoDeEscritório[],,1),0),MATCH(VariaçõesDoEscritório[[#Headers],[Jan]],PlanejamentoDeEscritório[#Headers],0))-INDEX(EscritórioReal[],MATCH(INDEX(VariaçõesDoEscritório[],ROW()-ROW(VariaçõesDoEscritório[[#Headers],[Jan]]),1),INDEX(EscritórioReal[],,1),0),MATCH(VariaçõesDoEscritório[[#Headers],[Jan]],EscritórioReal[#Headers],0))</f>
        <v>0</v>
      </c>
      <c r="D11" s="99">
        <f>INDEX(PlanejamentoDeEscritório[],MATCH(INDEX(VariaçõesDoEscritório[],ROW()-ROW(VariaçõesDoEscritório[[#Headers],[Fev]]),1),INDEX(PlanejamentoDeEscritório[],,1),0),MATCH(VariaçõesDoEscritório[[#Headers],[Fev]],PlanejamentoDeEscritório[#Headers],0))-INDEX(EscritórioReal[],MATCH(INDEX(VariaçõesDoEscritório[],ROW()-ROW(VariaçõesDoEscritório[[#Headers],[Fev]]),1),INDEX(EscritórioReal[],,1),0),MATCH(VariaçõesDoEscritório[[#Headers],[Fev]],EscritórioReal[#Headers],0))</f>
        <v>0</v>
      </c>
      <c r="E11" s="99">
        <f>INDEX(PlanejamentoDeEscritório[],MATCH(INDEX(VariaçõesDoEscritório[],ROW()-ROW(VariaçõesDoEscritório[[#Headers],[Mar]]),1),INDEX(PlanejamentoDeEscritório[],,1),0),MATCH(VariaçõesDoEscritório[[#Headers],[Mar]],PlanejamentoDeEscritório[#Headers],0))-INDEX(EscritórioReal[],MATCH(INDEX(VariaçõesDoEscritório[],ROW()-ROW(VariaçõesDoEscritório[[#Headers],[Mar]]),1),INDEX(EscritórioReal[],,1),0),MATCH(VariaçõesDoEscritório[[#Headers],[Mar]],EscritórioReal[#Headers],0))</f>
        <v>0</v>
      </c>
      <c r="F11" s="99">
        <f>INDEX(PlanejamentoDeEscritório[],MATCH(INDEX(VariaçõesDoEscritório[],ROW()-ROW(VariaçõesDoEscritório[[#Headers],[Abr]]),1),INDEX(PlanejamentoDeEscritório[],,1),0),MATCH(VariaçõesDoEscritório[[#Headers],[Abr]],PlanejamentoDeEscritório[#Headers],0))-INDEX(EscritórioReal[],MATCH(INDEX(VariaçõesDoEscritório[],ROW()-ROW(VariaçõesDoEscritório[[#Headers],[Abr]]),1),INDEX(EscritórioReal[],,1),0),MATCH(VariaçõesDoEscritório[[#Headers],[Abr]],EscritórioReal[#Headers],0))</f>
        <v>0</v>
      </c>
      <c r="G11" s="99">
        <f>INDEX(PlanejamentoDeEscritório[],MATCH(INDEX(VariaçõesDoEscritório[],ROW()-ROW(VariaçõesDoEscritório[[#Headers],[Maio]]),1),INDEX(PlanejamentoDeEscritório[],,1),0),MATCH(VariaçõesDoEscritório[[#Headers],[Maio]],PlanejamentoDeEscritório[#Headers],0))-INDEX(EscritórioReal[],MATCH(INDEX(VariaçõesDoEscritório[],ROW()-ROW(VariaçõesDoEscritório[[#Headers],[Maio]]),1),INDEX(EscritórioReal[],,1),0),MATCH(VariaçõesDoEscritório[[#Headers],[Maio]],EscritórioReal[#Headers],0))</f>
        <v>0</v>
      </c>
      <c r="H11" s="99"/>
      <c r="I11" s="99"/>
      <c r="J11" s="99"/>
      <c r="K11" s="99"/>
      <c r="L11" s="99"/>
      <c r="M11" s="99"/>
      <c r="N11" s="99"/>
      <c r="O11" s="100">
        <f>SUM(VariaçõesDoEscritório[[#This Row],[Jan]:[Column7]])</f>
        <v>0</v>
      </c>
    </row>
    <row r="12" spans="1:16" ht="24.95" customHeight="1" thickBot="1" x14ac:dyDescent="0.35">
      <c r="A12" s="30"/>
      <c r="B12" s="53" t="s">
        <v>58</v>
      </c>
      <c r="C12" s="99">
        <f>INDEX(PlanejamentoDeEscritório[],MATCH(INDEX(VariaçõesDoEscritório[],ROW()-ROW(VariaçõesDoEscritório[[#Headers],[Jan]]),1),INDEX(PlanejamentoDeEscritório[],,1),0),MATCH(VariaçõesDoEscritório[[#Headers],[Jan]],PlanejamentoDeEscritório[#Headers],0))-INDEX(EscritórioReal[],MATCH(INDEX(VariaçõesDoEscritório[],ROW()-ROW(VariaçõesDoEscritório[[#Headers],[Jan]]),1),INDEX(EscritórioReal[],,1),0),MATCH(VariaçõesDoEscritório[[#Headers],[Jan]],EscritórioReal[#Headers],0))</f>
        <v>0</v>
      </c>
      <c r="D12" s="99">
        <f>INDEX(PlanejamentoDeEscritório[],MATCH(INDEX(VariaçõesDoEscritório[],ROW()-ROW(VariaçõesDoEscritório[[#Headers],[Fev]]),1),INDEX(PlanejamentoDeEscritório[],,1),0),MATCH(VariaçõesDoEscritório[[#Headers],[Fev]],PlanejamentoDeEscritório[#Headers],0))-INDEX(EscritórioReal[],MATCH(INDEX(VariaçõesDoEscritório[],ROW()-ROW(VariaçõesDoEscritório[[#Headers],[Fev]]),1),INDEX(EscritórioReal[],,1),0),MATCH(VariaçõesDoEscritório[[#Headers],[Fev]],EscritórioReal[#Headers],0))</f>
        <v>0</v>
      </c>
      <c r="E12" s="99">
        <f>INDEX(PlanejamentoDeEscritório[],MATCH(INDEX(VariaçõesDoEscritório[],ROW()-ROW(VariaçõesDoEscritório[[#Headers],[Mar]]),1),INDEX(PlanejamentoDeEscritório[],,1),0),MATCH(VariaçõesDoEscritório[[#Headers],[Mar]],PlanejamentoDeEscritório[#Headers],0))-INDEX(EscritórioReal[],MATCH(INDEX(VariaçõesDoEscritório[],ROW()-ROW(VariaçõesDoEscritório[[#Headers],[Mar]]),1),INDEX(EscritórioReal[],,1),0),MATCH(VariaçõesDoEscritório[[#Headers],[Mar]],EscritórioReal[#Headers],0))</f>
        <v>0</v>
      </c>
      <c r="F12" s="99">
        <f>INDEX(PlanejamentoDeEscritório[],MATCH(INDEX(VariaçõesDoEscritório[],ROW()-ROW(VariaçõesDoEscritório[[#Headers],[Abr]]),1),INDEX(PlanejamentoDeEscritório[],,1),0),MATCH(VariaçõesDoEscritório[[#Headers],[Abr]],PlanejamentoDeEscritório[#Headers],0))-INDEX(EscritórioReal[],MATCH(INDEX(VariaçõesDoEscritório[],ROW()-ROW(VariaçõesDoEscritório[[#Headers],[Abr]]),1),INDEX(EscritórioReal[],,1),0),MATCH(VariaçõesDoEscritório[[#Headers],[Abr]],EscritórioReal[#Headers],0))</f>
        <v>-2500</v>
      </c>
      <c r="G12" s="99">
        <f>INDEX(PlanejamentoDeEscritório[],MATCH(INDEX(VariaçõesDoEscritório[],ROW()-ROW(VariaçõesDoEscritório[[#Headers],[Maio]]),1),INDEX(PlanejamentoDeEscritório[],,1),0),MATCH(VariaçõesDoEscritório[[#Headers],[Maio]],PlanejamentoDeEscritório[#Headers],0))-INDEX(EscritórioReal[],MATCH(INDEX(VariaçõesDoEscritório[],ROW()-ROW(VariaçõesDoEscritório[[#Headers],[Maio]]),1),INDEX(EscritórioReal[],,1),0),MATCH(VariaçõesDoEscritório[[#Headers],[Maio]],EscritórioReal[#Headers],0))</f>
        <v>0</v>
      </c>
      <c r="H12" s="99"/>
      <c r="I12" s="99"/>
      <c r="J12" s="99"/>
      <c r="K12" s="99"/>
      <c r="L12" s="99"/>
      <c r="M12" s="99"/>
      <c r="N12" s="99"/>
      <c r="O12" s="100">
        <f>SUM(VariaçõesDoEscritório[[#This Row],[Jan]:[Column7]])</f>
        <v>-2500</v>
      </c>
    </row>
    <row r="13" spans="1:16" ht="24.95" customHeight="1" thickBot="1" x14ac:dyDescent="0.35">
      <c r="A13" s="30"/>
      <c r="B13" s="53" t="s">
        <v>15</v>
      </c>
      <c r="C13" s="99">
        <f>INDEX(PlanejamentoDeEscritório[],MATCH(INDEX(VariaçõesDoEscritório[],ROW()-ROW(VariaçõesDoEscritório[[#Headers],[Jan]]),1),INDEX(PlanejamentoDeEscritório[],,1),0),MATCH(VariaçõesDoEscritório[[#Headers],[Jan]],PlanejamentoDeEscritório[#Headers],0))-INDEX(EscritórioReal[],MATCH(INDEX(VariaçõesDoEscritório[],ROW()-ROW(VariaçõesDoEscritório[[#Headers],[Jan]]),1),INDEX(EscritórioReal[],,1),0),MATCH(VariaçõesDoEscritório[[#Headers],[Jan]],EscritórioReal[#Headers],0))</f>
        <v>212</v>
      </c>
      <c r="D13" s="99">
        <f>INDEX(PlanejamentoDeEscritório[],MATCH(INDEX(VariaçõesDoEscritório[],ROW()-ROW(VariaçõesDoEscritório[[#Headers],[Fev]]),1),INDEX(PlanejamentoDeEscritório[],,1),0),MATCH(VariaçõesDoEscritório[[#Headers],[Fev]],PlanejamentoDeEscritório[#Headers],0))-INDEX(EscritórioReal[],MATCH(INDEX(VariaçõesDoEscritório[],ROW()-ROW(VariaçõesDoEscritório[[#Headers],[Fev]]),1),INDEX(EscritórioReal[],,1),0),MATCH(VariaçõesDoEscritório[[#Headers],[Fev]],EscritórioReal[#Headers],0))</f>
        <v>175</v>
      </c>
      <c r="E13" s="99">
        <f>INDEX(PlanejamentoDeEscritório[],MATCH(INDEX(VariaçõesDoEscritório[],ROW()-ROW(VariaçõesDoEscritório[[#Headers],[Mar]]),1),INDEX(PlanejamentoDeEscritório[],,1),0),MATCH(VariaçõesDoEscritório[[#Headers],[Mar]],PlanejamentoDeEscritório[#Headers],0))-INDEX(EscritórioReal[],MATCH(INDEX(VariaçõesDoEscritório[],ROW()-ROW(VariaçõesDoEscritório[[#Headers],[Mar]]),1),INDEX(EscritórioReal[],,1),0),MATCH(VariaçõesDoEscritório[[#Headers],[Mar]],EscritórioReal[#Headers],0))</f>
        <v>79</v>
      </c>
      <c r="F13" s="99">
        <f>INDEX(PlanejamentoDeEscritório[],MATCH(INDEX(VariaçõesDoEscritório[],ROW()-ROW(VariaçõesDoEscritório[[#Headers],[Abr]]),1),INDEX(PlanejamentoDeEscritório[],,1),0),MATCH(VariaçõesDoEscritório[[#Headers],[Abr]],PlanejamentoDeEscritório[#Headers],0))-INDEX(EscritórioReal[],MATCH(INDEX(VariaçõesDoEscritório[],ROW()-ROW(VariaçõesDoEscritório[[#Headers],[Abr]]),1),INDEX(EscritórioReal[],,1),0),MATCH(VariaçõesDoEscritório[[#Headers],[Abr]],EscritórioReal[#Headers],0))</f>
        <v>-1</v>
      </c>
      <c r="G13" s="99">
        <f>INDEX(PlanejamentoDeEscritório[],MATCH(INDEX(VariaçõesDoEscritório[],ROW()-ROW(VariaçõesDoEscritório[[#Headers],[Maio]]),1),INDEX(PlanejamentoDeEscritório[],,1),0),MATCH(VariaçõesDoEscritório[[#Headers],[Maio]],PlanejamentoDeEscritório[#Headers],0))-INDEX(EscritórioReal[],MATCH(INDEX(VariaçõesDoEscritório[],ROW()-ROW(VariaçõesDoEscritório[[#Headers],[Maio]]),1),INDEX(EscritórioReal[],,1),0),MATCH(VariaçõesDoEscritório[[#Headers],[Maio]],EscritórioReal[#Headers],0))</f>
        <v>-20</v>
      </c>
      <c r="H13" s="99"/>
      <c r="I13" s="99"/>
      <c r="J13" s="99"/>
      <c r="K13" s="99"/>
      <c r="L13" s="99"/>
      <c r="M13" s="99"/>
      <c r="N13" s="99"/>
      <c r="O13" s="100">
        <f>SUM(VariaçõesDoEscritório[[#This Row],[Jan]:[Column7]])</f>
        <v>445</v>
      </c>
    </row>
    <row r="14" spans="1:16" ht="24.95" customHeight="1" thickBot="1" x14ac:dyDescent="0.35">
      <c r="A14" s="30"/>
      <c r="B14" s="53" t="s">
        <v>16</v>
      </c>
      <c r="C14" s="99">
        <f>INDEX(PlanejamentoDeEscritório[],MATCH(INDEX(VariaçõesDoEscritório[],ROW()-ROW(VariaçõesDoEscritório[[#Headers],[Jan]]),1),INDEX(PlanejamentoDeEscritório[],,1),0),MATCH(VariaçõesDoEscritório[[#Headers],[Jan]],PlanejamentoDeEscritório[#Headers],0))-INDEX(EscritórioReal[],MATCH(INDEX(VariaçõesDoEscritório[],ROW()-ROW(VariaçõesDoEscritório[[#Headers],[Jan]]),1),INDEX(EscritórioReal[],,1),0),MATCH(VariaçõesDoEscritório[[#Headers],[Jan]],EscritórioReal[#Headers],0))</f>
        <v>5</v>
      </c>
      <c r="D14" s="99">
        <f>INDEX(PlanejamentoDeEscritório[],MATCH(INDEX(VariaçõesDoEscritório[],ROW()-ROW(VariaçõesDoEscritório[[#Headers],[Fev]]),1),INDEX(PlanejamentoDeEscritório[],,1),0),MATCH(VariaçõesDoEscritório[[#Headers],[Fev]],PlanejamentoDeEscritório[#Headers],0))-INDEX(EscritórioReal[],MATCH(INDEX(VariaçõesDoEscritório[],ROW()-ROW(VariaçõesDoEscritório[[#Headers],[Fev]]),1),INDEX(EscritórioReal[],,1),0),MATCH(VariaçõesDoEscritório[[#Headers],[Fev]],EscritórioReal[#Headers],0))</f>
        <v>7</v>
      </c>
      <c r="E14" s="99">
        <f>INDEX(PlanejamentoDeEscritório[],MATCH(INDEX(VariaçõesDoEscritório[],ROW()-ROW(VariaçõesDoEscritório[[#Headers],[Mar]]),1),INDEX(PlanejamentoDeEscritório[],,1),0),MATCH(VariaçõesDoEscritório[[#Headers],[Mar]],PlanejamentoDeEscritório[#Headers],0))-INDEX(EscritórioReal[],MATCH(INDEX(VariaçõesDoEscritório[],ROW()-ROW(VariaçõesDoEscritório[[#Headers],[Mar]]),1),INDEX(EscritórioReal[],,1),0),MATCH(VariaçõesDoEscritório[[#Headers],[Mar]],EscritórioReal[#Headers],0))</f>
        <v>6</v>
      </c>
      <c r="F14" s="99">
        <f>INDEX(PlanejamentoDeEscritório[],MATCH(INDEX(VariaçõesDoEscritório[],ROW()-ROW(VariaçõesDoEscritório[[#Headers],[Abr]]),1),INDEX(PlanejamentoDeEscritório[],,1),0),MATCH(VariaçõesDoEscritório[[#Headers],[Abr]],PlanejamentoDeEscritório[#Headers],0))-INDEX(EscritórioReal[],MATCH(INDEX(VariaçõesDoEscritório[],ROW()-ROW(VariaçõesDoEscritório[[#Headers],[Abr]]),1),INDEX(EscritórioReal[],,1),0),MATCH(VariaçõesDoEscritório[[#Headers],[Abr]],EscritórioReal[#Headers],0))</f>
        <v>4</v>
      </c>
      <c r="G14" s="99">
        <f>INDEX(PlanejamentoDeEscritório[],MATCH(INDEX(VariaçõesDoEscritório[],ROW()-ROW(VariaçõesDoEscritório[[#Headers],[Maio]]),1),INDEX(PlanejamentoDeEscritório[],,1),0),MATCH(VariaçõesDoEscritório[[#Headers],[Maio]],PlanejamentoDeEscritório[#Headers],0))-INDEX(EscritórioReal[],MATCH(INDEX(VariaçõesDoEscritório[],ROW()-ROW(VariaçõesDoEscritório[[#Headers],[Maio]]),1),INDEX(EscritórioReal[],,1),0),MATCH(VariaçõesDoEscritório[[#Headers],[Maio]],EscritórioReal[#Headers],0))</f>
        <v>6</v>
      </c>
      <c r="H14" s="99"/>
      <c r="I14" s="99"/>
      <c r="J14" s="99"/>
      <c r="K14" s="99"/>
      <c r="L14" s="99"/>
      <c r="M14" s="99"/>
      <c r="N14" s="99"/>
      <c r="O14" s="100">
        <f>SUM(VariaçõesDoEscritório[[#This Row],[Jan]:[Column7]])</f>
        <v>28</v>
      </c>
    </row>
    <row r="15" spans="1:16" ht="24.95" customHeight="1" thickBot="1" x14ac:dyDescent="0.35">
      <c r="A15" s="30"/>
      <c r="B15" s="53" t="s">
        <v>17</v>
      </c>
      <c r="C15" s="99">
        <f>INDEX(PlanejamentoDeEscritório[],MATCH(INDEX(VariaçõesDoEscritório[],ROW()-ROW(VariaçõesDoEscritório[[#Headers],[Jan]]),1),INDEX(PlanejamentoDeEscritório[],,1),0),MATCH(VariaçõesDoEscritório[[#Headers],[Jan]],PlanejamentoDeEscritório[#Headers],0))-INDEX(EscritórioReal[],MATCH(INDEX(VariaçõesDoEscritório[],ROW()-ROW(VariaçõesDoEscritório[[#Headers],[Jan]]),1),INDEX(EscritórioReal[],,1),0),MATCH(VariaçõesDoEscritório[[#Headers],[Jan]],EscritórioReal[#Headers],0))</f>
        <v>0</v>
      </c>
      <c r="D15" s="99">
        <f>INDEX(PlanejamentoDeEscritório[],MATCH(INDEX(VariaçõesDoEscritório[],ROW()-ROW(VariaçõesDoEscritório[[#Headers],[Fev]]),1),INDEX(PlanejamentoDeEscritório[],,1),0),MATCH(VariaçõesDoEscritório[[#Headers],[Fev]],PlanejamentoDeEscritório[#Headers],0))-INDEX(EscritórioReal[],MATCH(INDEX(VariaçõesDoEscritório[],ROW()-ROW(VariaçõesDoEscritório[[#Headers],[Fev]]),1),INDEX(EscritórioReal[],,1),0),MATCH(VariaçõesDoEscritório[[#Headers],[Fev]],EscritórioReal[#Headers],0))</f>
        <v>0</v>
      </c>
      <c r="E15" s="99">
        <f>INDEX(PlanejamentoDeEscritório[],MATCH(INDEX(VariaçõesDoEscritório[],ROW()-ROW(VariaçõesDoEscritório[[#Headers],[Mar]]),1),INDEX(PlanejamentoDeEscritório[],,1),0),MATCH(VariaçõesDoEscritório[[#Headers],[Mar]],PlanejamentoDeEscritório[#Headers],0))-INDEX(EscritórioReal[],MATCH(INDEX(VariaçõesDoEscritório[],ROW()-ROW(VariaçõesDoEscritório[[#Headers],[Mar]]),1),INDEX(EscritórioReal[],,1),0),MATCH(VariaçõesDoEscritório[[#Headers],[Mar]],EscritórioReal[#Headers],0))</f>
        <v>0</v>
      </c>
      <c r="F15" s="99">
        <f>INDEX(PlanejamentoDeEscritório[],MATCH(INDEX(VariaçõesDoEscritório[],ROW()-ROW(VariaçõesDoEscritório[[#Headers],[Abr]]),1),INDEX(PlanejamentoDeEscritório[],,1),0),MATCH(VariaçõesDoEscritório[[#Headers],[Abr]],PlanejamentoDeEscritório[#Headers],0))-INDEX(EscritórioReal[],MATCH(INDEX(VariaçõesDoEscritório[],ROW()-ROW(VariaçõesDoEscritório[[#Headers],[Abr]]),1),INDEX(EscritórioReal[],,1),0),MATCH(VariaçõesDoEscritório[[#Headers],[Abr]],EscritórioReal[#Headers],0))</f>
        <v>0</v>
      </c>
      <c r="G15" s="99">
        <f>INDEX(PlanejamentoDeEscritório[],MATCH(INDEX(VariaçõesDoEscritório[],ROW()-ROW(VariaçõesDoEscritório[[#Headers],[Maio]]),1),INDEX(PlanejamentoDeEscritório[],,1),0),MATCH(VariaçõesDoEscritório[[#Headers],[Maio]],PlanejamentoDeEscritório[#Headers],0))-INDEX(EscritórioReal[],MATCH(INDEX(VariaçõesDoEscritório[],ROW()-ROW(VariaçõesDoEscritório[[#Headers],[Maio]]),1),INDEX(EscritórioReal[],,1),0),MATCH(VariaçõesDoEscritório[[#Headers],[Maio]],EscritórioReal[#Headers],0))</f>
        <v>0</v>
      </c>
      <c r="H15" s="99"/>
      <c r="I15" s="99"/>
      <c r="J15" s="99"/>
      <c r="K15" s="99"/>
      <c r="L15" s="99"/>
      <c r="M15" s="99"/>
      <c r="N15" s="99"/>
      <c r="O15" s="100">
        <f>SUM(VariaçõesDoEscritório[[#This Row],[Jan]:[Column7]])</f>
        <v>0</v>
      </c>
    </row>
    <row r="16" spans="1:16" ht="24.95" customHeight="1" thickBot="1" x14ac:dyDescent="0.35">
      <c r="A16" s="30"/>
      <c r="B16" s="53" t="s">
        <v>18</v>
      </c>
      <c r="C16" s="99">
        <f>INDEX(PlanejamentoDeEscritório[],MATCH(INDEX(VariaçõesDoEscritório[],ROW()-ROW(VariaçõesDoEscritório[[#Headers],[Jan]]),1),INDEX(PlanejamentoDeEscritório[],,1),0),MATCH(VariaçõesDoEscritório[[#Headers],[Jan]],PlanejamentoDeEscritório[#Headers],0))-INDEX(EscritórioReal[],MATCH(INDEX(VariaçõesDoEscritório[],ROW()-ROW(VariaçõesDoEscritório[[#Headers],[Jan]]),1),INDEX(EscritórioReal[],,1),0),MATCH(VariaçõesDoEscritório[[#Headers],[Jan]],EscritórioReal[#Headers],0))</f>
        <v>0</v>
      </c>
      <c r="D16" s="99">
        <f>INDEX(PlanejamentoDeEscritório[],MATCH(INDEX(VariaçõesDoEscritório[],ROW()-ROW(VariaçõesDoEscritório[[#Headers],[Fev]]),1),INDEX(PlanejamentoDeEscritório[],,1),0),MATCH(VariaçõesDoEscritório[[#Headers],[Fev]],PlanejamentoDeEscritório[#Headers],0))-INDEX(EscritórioReal[],MATCH(INDEX(VariaçõesDoEscritório[],ROW()-ROW(VariaçõesDoEscritório[[#Headers],[Fev]]),1),INDEX(EscritórioReal[],,1),0),MATCH(VariaçõesDoEscritório[[#Headers],[Fev]],EscritórioReal[#Headers],0))</f>
        <v>0</v>
      </c>
      <c r="E16" s="99">
        <f>INDEX(PlanejamentoDeEscritório[],MATCH(INDEX(VariaçõesDoEscritório[],ROW()-ROW(VariaçõesDoEscritório[[#Headers],[Mar]]),1),INDEX(PlanejamentoDeEscritório[],,1),0),MATCH(VariaçõesDoEscritório[[#Headers],[Mar]],PlanejamentoDeEscritório[#Headers],0))-INDEX(EscritórioReal[],MATCH(INDEX(VariaçõesDoEscritório[],ROW()-ROW(VariaçõesDoEscritório[[#Headers],[Mar]]),1),INDEX(EscritórioReal[],,1),0),MATCH(VariaçõesDoEscritório[[#Headers],[Mar]],EscritórioReal[#Headers],0))</f>
        <v>0</v>
      </c>
      <c r="F16" s="99">
        <f>INDEX(PlanejamentoDeEscritório[],MATCH(INDEX(VariaçõesDoEscritório[],ROW()-ROW(VariaçõesDoEscritório[[#Headers],[Abr]]),1),INDEX(PlanejamentoDeEscritório[],,1),0),MATCH(VariaçõesDoEscritório[[#Headers],[Abr]],PlanejamentoDeEscritório[#Headers],0))-INDEX(EscritórioReal[],MATCH(INDEX(VariaçõesDoEscritório[],ROW()-ROW(VariaçõesDoEscritório[[#Headers],[Abr]]),1),INDEX(EscritórioReal[],,1),0),MATCH(VariaçõesDoEscritório[[#Headers],[Abr]],EscritórioReal[#Headers],0))</f>
        <v>0</v>
      </c>
      <c r="G16" s="99">
        <f>INDEX(PlanejamentoDeEscritório[],MATCH(INDEX(VariaçõesDoEscritório[],ROW()-ROW(VariaçõesDoEscritório[[#Headers],[Maio]]),1),INDEX(PlanejamentoDeEscritório[],,1),0),MATCH(VariaçõesDoEscritório[[#Headers],[Maio]],PlanejamentoDeEscritório[#Headers],0))-INDEX(EscritórioReal[],MATCH(INDEX(VariaçõesDoEscritório[],ROW()-ROW(VariaçõesDoEscritório[[#Headers],[Maio]]),1),INDEX(EscritórioReal[],,1),0),MATCH(VariaçõesDoEscritório[[#Headers],[Maio]],EscritórioReal[#Headers],0))</f>
        <v>0</v>
      </c>
      <c r="H16" s="99"/>
      <c r="I16" s="99"/>
      <c r="J16" s="99"/>
      <c r="K16" s="99"/>
      <c r="L16" s="99"/>
      <c r="M16" s="99"/>
      <c r="N16" s="99"/>
      <c r="O16" s="100">
        <f>SUM(VariaçõesDoEscritório[[#This Row],[Jan]:[Column7]])</f>
        <v>0</v>
      </c>
    </row>
    <row r="17" spans="1:15" ht="24.95" customHeight="1" thickBot="1" x14ac:dyDescent="0.35">
      <c r="A17" s="30"/>
      <c r="B17" s="53" t="s">
        <v>19</v>
      </c>
      <c r="C17" s="99">
        <f>INDEX(PlanejamentoDeEscritório[],MATCH(INDEX(VariaçõesDoEscritório[],ROW()-ROW(VariaçõesDoEscritório[[#Headers],[Jan]]),1),INDEX(PlanejamentoDeEscritório[],,1),0),MATCH(VariaçõesDoEscritório[[#Headers],[Jan]],PlanejamentoDeEscritório[#Headers],0))-INDEX(EscritórioReal[],MATCH(INDEX(VariaçõesDoEscritório[],ROW()-ROW(VariaçõesDoEscritório[[#Headers],[Jan]]),1),INDEX(EscritórioReal[],,1),0),MATCH(VariaçõesDoEscritório[[#Headers],[Jan]],EscritórioReal[#Headers],0))</f>
        <v>0</v>
      </c>
      <c r="D17" s="99">
        <f>INDEX(PlanejamentoDeEscritório[],MATCH(INDEX(VariaçõesDoEscritório[],ROW()-ROW(VariaçõesDoEscritório[[#Headers],[Fev]]),1),INDEX(PlanejamentoDeEscritório[],,1),0),MATCH(VariaçõesDoEscritório[[#Headers],[Fev]],PlanejamentoDeEscritório[#Headers],0))-INDEX(EscritórioReal[],MATCH(INDEX(VariaçõesDoEscritório[],ROW()-ROW(VariaçõesDoEscritório[[#Headers],[Fev]]),1),INDEX(EscritórioReal[],,1),0),MATCH(VariaçõesDoEscritório[[#Headers],[Fev]],EscritórioReal[#Headers],0))</f>
        <v>0</v>
      </c>
      <c r="E17" s="99">
        <f>INDEX(PlanejamentoDeEscritório[],MATCH(INDEX(VariaçõesDoEscritório[],ROW()-ROW(VariaçõesDoEscritório[[#Headers],[Mar]]),1),INDEX(PlanejamentoDeEscritório[],,1),0),MATCH(VariaçõesDoEscritório[[#Headers],[Mar]],PlanejamentoDeEscritório[#Headers],0))-INDEX(EscritórioReal[],MATCH(INDEX(VariaçõesDoEscritório[],ROW()-ROW(VariaçõesDoEscritório[[#Headers],[Mar]]),1),INDEX(EscritórioReal[],,1),0),MATCH(VariaçõesDoEscritório[[#Headers],[Mar]],EscritórioReal[#Headers],0))</f>
        <v>0</v>
      </c>
      <c r="F17" s="99">
        <f>INDEX(PlanejamentoDeEscritório[],MATCH(INDEX(VariaçõesDoEscritório[],ROW()-ROW(VariaçõesDoEscritório[[#Headers],[Abr]]),1),INDEX(PlanejamentoDeEscritório[],,1),0),MATCH(VariaçõesDoEscritório[[#Headers],[Abr]],PlanejamentoDeEscritório[#Headers],0))-INDEX(EscritórioReal[],MATCH(INDEX(VariaçõesDoEscritório[],ROW()-ROW(VariaçõesDoEscritório[[#Headers],[Abr]]),1),INDEX(EscritórioReal[],,1),0),MATCH(VariaçõesDoEscritório[[#Headers],[Abr]],EscritórioReal[#Headers],0))</f>
        <v>-150</v>
      </c>
      <c r="G17" s="99">
        <f>INDEX(PlanejamentoDeEscritório[],MATCH(INDEX(VariaçõesDoEscritório[],ROW()-ROW(VariaçõesDoEscritório[[#Headers],[Maio]]),1),INDEX(PlanejamentoDeEscritório[],,1),0),MATCH(VariaçõesDoEscritório[[#Headers],[Maio]],PlanejamentoDeEscritório[#Headers],0))-INDEX(EscritórioReal[],MATCH(INDEX(VariaçõesDoEscritório[],ROW()-ROW(VariaçõesDoEscritório[[#Headers],[Maio]]),1),INDEX(EscritórioReal[],,1),0),MATCH(VariaçõesDoEscritório[[#Headers],[Maio]],EscritórioReal[#Headers],0))</f>
        <v>0</v>
      </c>
      <c r="H17" s="99"/>
      <c r="I17" s="99"/>
      <c r="J17" s="99"/>
      <c r="K17" s="99"/>
      <c r="L17" s="99"/>
      <c r="M17" s="99"/>
      <c r="N17" s="99"/>
      <c r="O17" s="100">
        <f>SUM(VariaçõesDoEscritório[[#This Row],[Jan]:[Column7]])</f>
        <v>-150</v>
      </c>
    </row>
    <row r="18" spans="1:15" ht="24.95" customHeight="1" thickBot="1" x14ac:dyDescent="0.35">
      <c r="A18" s="30"/>
      <c r="B18" s="53" t="s">
        <v>57</v>
      </c>
      <c r="C18" s="99">
        <f>INDEX(PlanejamentoDeEscritório[],MATCH(INDEX(VariaçõesDoEscritório[],ROW()-ROW(VariaçõesDoEscritório[[#Headers],[Jan]]),1),INDEX(PlanejamentoDeEscritório[],,1),0),MATCH(VariaçõesDoEscritório[[#Headers],[Jan]],PlanejamentoDeEscritório[#Headers],0))-INDEX(EscritórioReal[],MATCH(INDEX(VariaçõesDoEscritório[],ROW()-ROW(VariaçõesDoEscritório[[#Headers],[Jan]]),1),INDEX(EscritórioReal[],,1),0),MATCH(VariaçõesDoEscritório[[#Headers],[Jan]],EscritórioReal[#Headers],0))</f>
        <v>0</v>
      </c>
      <c r="D18" s="99">
        <f>INDEX(PlanejamentoDeEscritório[],MATCH(INDEX(VariaçõesDoEscritório[],ROW()-ROW(VariaçõesDoEscritório[[#Headers],[Fev]]),1),INDEX(PlanejamentoDeEscritório[],,1),0),MATCH(VariaçõesDoEscritório[[#Headers],[Fev]],PlanejamentoDeEscritório[#Headers],0))-INDEX(EscritórioReal[],MATCH(INDEX(VariaçõesDoEscritório[],ROW()-ROW(VariaçõesDoEscritório[[#Headers],[Fev]]),1),INDEX(EscritórioReal[],,1),0),MATCH(VariaçõesDoEscritório[[#Headers],[Fev]],EscritórioReal[#Headers],0))</f>
        <v>0</v>
      </c>
      <c r="E18" s="99">
        <f>INDEX(PlanejamentoDeEscritório[],MATCH(INDEX(VariaçõesDoEscritório[],ROW()-ROW(VariaçõesDoEscritório[[#Headers],[Mar]]),1),INDEX(PlanejamentoDeEscritório[],,1),0),MATCH(VariaçõesDoEscritório[[#Headers],[Mar]],PlanejamentoDeEscritório[#Headers],0))-INDEX(EscritórioReal[],MATCH(INDEX(VariaçõesDoEscritório[],ROW()-ROW(VariaçõesDoEscritório[[#Headers],[Mar]]),1),INDEX(EscritórioReal[],,1),0),MATCH(VariaçõesDoEscritório[[#Headers],[Mar]],EscritórioReal[#Headers],0))</f>
        <v>-1200</v>
      </c>
      <c r="F18" s="99">
        <f>INDEX(PlanejamentoDeEscritório[],MATCH(INDEX(VariaçõesDoEscritório[],ROW()-ROW(VariaçõesDoEscritório[[#Headers],[Abr]]),1),INDEX(PlanejamentoDeEscritório[],,1),0),MATCH(VariaçõesDoEscritório[[#Headers],[Abr]],PlanejamentoDeEscritório[#Headers],0))-INDEX(EscritórioReal[],MATCH(INDEX(VariaçõesDoEscritório[],ROW()-ROW(VariaçõesDoEscritório[[#Headers],[Abr]]),1),INDEX(EscritórioReal[],,1),0),MATCH(VariaçõesDoEscritório[[#Headers],[Abr]],EscritórioReal[#Headers],0))</f>
        <v>0</v>
      </c>
      <c r="G18" s="99">
        <f>INDEX(PlanejamentoDeEscritório[],MATCH(INDEX(VariaçõesDoEscritório[],ROW()-ROW(VariaçõesDoEscritório[[#Headers],[Maio]]),1),INDEX(PlanejamentoDeEscritório[],,1),0),MATCH(VariaçõesDoEscritório[[#Headers],[Maio]],PlanejamentoDeEscritório[#Headers],0))-INDEX(EscritórioReal[],MATCH(INDEX(VariaçõesDoEscritório[],ROW()-ROW(VariaçõesDoEscritório[[#Headers],[Maio]]),1),INDEX(EscritórioReal[],,1),0),MATCH(VariaçõesDoEscritório[[#Headers],[Maio]],EscritórioReal[#Headers],0))</f>
        <v>0</v>
      </c>
      <c r="H18" s="99"/>
      <c r="I18" s="99"/>
      <c r="J18" s="99"/>
      <c r="K18" s="99"/>
      <c r="L18" s="99"/>
      <c r="M18" s="99"/>
      <c r="N18" s="99"/>
      <c r="O18" s="100">
        <f>SUM(VariaçõesDoEscritório[[#This Row],[Jan]:[Column7]])</f>
        <v>-1200</v>
      </c>
    </row>
    <row r="19" spans="1:15" ht="24.95" customHeight="1" x14ac:dyDescent="0.3">
      <c r="A19" s="30"/>
      <c r="B19" s="62" t="s">
        <v>12</v>
      </c>
      <c r="C19" s="122">
        <f>SUBTOTAL(109,VariaçõesDoEscritório[Jan])</f>
        <v>217</v>
      </c>
      <c r="D19" s="109">
        <f>SUBTOTAL(109,VariaçõesDoEscritório[Fev])</f>
        <v>182</v>
      </c>
      <c r="E19" s="109">
        <f>SUBTOTAL(109,VariaçõesDoEscritório[Mar])</f>
        <v>-1115</v>
      </c>
      <c r="F19" s="109">
        <f>SUBTOTAL(109,VariaçõesDoEscritório[Abr])</f>
        <v>-2647</v>
      </c>
      <c r="G19" s="109">
        <f>SUBTOTAL(109,VariaçõesDoEscritório[Maio])</f>
        <v>-14</v>
      </c>
      <c r="H19" s="109"/>
      <c r="I19" s="109"/>
      <c r="J19" s="109"/>
      <c r="K19" s="109"/>
      <c r="L19" s="109"/>
      <c r="M19" s="109"/>
      <c r="N19" s="109"/>
      <c r="O19" s="110">
        <f>SUBTOTAL(109,VariaçõesDoEscritório[ANO])</f>
        <v>-3377</v>
      </c>
    </row>
    <row r="20" spans="1:15" ht="21" customHeight="1" x14ac:dyDescent="0.3">
      <c r="A20" s="30"/>
      <c r="B20" s="70"/>
      <c r="C20" s="70"/>
      <c r="D20" s="86"/>
      <c r="E20" s="86"/>
      <c r="F20" s="91"/>
      <c r="G20" s="91"/>
      <c r="H20" s="91"/>
      <c r="I20" s="91"/>
      <c r="J20" s="91"/>
      <c r="K20" s="91"/>
      <c r="L20" s="91"/>
      <c r="M20" s="91"/>
      <c r="N20" s="91"/>
      <c r="O20" s="87"/>
    </row>
    <row r="21" spans="1:15" ht="24.95" customHeight="1" thickBot="1" x14ac:dyDescent="0.35">
      <c r="A21" s="30"/>
      <c r="B21" s="49" t="s">
        <v>20</v>
      </c>
      <c r="C21" s="123" t="s">
        <v>33</v>
      </c>
      <c r="D21" s="123" t="s">
        <v>34</v>
      </c>
      <c r="E21" s="123" t="s">
        <v>35</v>
      </c>
      <c r="F21" s="123" t="s">
        <v>36</v>
      </c>
      <c r="G21" s="123" t="s">
        <v>37</v>
      </c>
      <c r="H21" s="123" t="s">
        <v>59</v>
      </c>
      <c r="I21" s="123" t="s">
        <v>60</v>
      </c>
      <c r="J21" s="123" t="s">
        <v>61</v>
      </c>
      <c r="K21" s="123" t="s">
        <v>62</v>
      </c>
      <c r="L21" s="123" t="s">
        <v>63</v>
      </c>
      <c r="M21" s="123" t="s">
        <v>64</v>
      </c>
      <c r="N21" s="123" t="s">
        <v>65</v>
      </c>
      <c r="O21" s="124" t="s">
        <v>39</v>
      </c>
    </row>
    <row r="22" spans="1:15" ht="24.95" customHeight="1" thickBot="1" x14ac:dyDescent="0.35">
      <c r="A22" s="30"/>
      <c r="B22" s="53" t="s">
        <v>21</v>
      </c>
      <c r="C22" s="99">
        <f>INDEX(PlanejamentoDeMarketing[],MATCH(INDEX(VariaçõesDeMarketing[],ROW()-ROW(VariaçõesDeMarketing[[#Headers],[Jan]]),1),INDEX(PlanejamentoDeMarketing[],,1),0),MATCH(VariaçõesDeMarketing[[#Headers],[Jan]],PlanejamentoDeMarketing[#Headers],0))-INDEX(MarketingReal[],MATCH(INDEX(VariaçõesDeMarketing[],ROW()-ROW(VariaçõesDeMarketing[[#Headers],[Jan]]),1),INDEX(PlanejamentoDeMarketing[],,1),0),MATCH(VariaçõesDeMarketing[[#Headers],[Jan]],MarketingReal[#Headers],0))</f>
        <v>0</v>
      </c>
      <c r="D22" s="99">
        <f>INDEX(PlanejamentoDeMarketing[],MATCH(INDEX(VariaçõesDeMarketing[],ROW()-ROW(VariaçõesDeMarketing[[#Headers],[Fev]]),1),INDEX(PlanejamentoDeMarketing[],,1),0),MATCH(VariaçõesDeMarketing[[#Headers],[Fev]],PlanejamentoDeMarketing[#Headers],0))-INDEX(MarketingReal[],MATCH(INDEX(VariaçõesDeMarketing[],ROW()-ROW(VariaçõesDeMarketing[[#Headers],[Fev]]),1),INDEX(PlanejamentoDeMarketing[],,1),0),MATCH(VariaçõesDeMarketing[[#Headers],[Fev]],MarketingReal[#Headers],0))</f>
        <v>0</v>
      </c>
      <c r="E22" s="99">
        <f>INDEX(PlanejamentoDeMarketing[],MATCH(INDEX(VariaçõesDeMarketing[],ROW()-ROW(VariaçõesDeMarketing[[#Headers],[Mar]]),1),INDEX(PlanejamentoDeMarketing[],,1),0),MATCH(VariaçõesDeMarketing[[#Headers],[Mar]],PlanejamentoDeMarketing[#Headers],0))-INDEX(MarketingReal[],MATCH(INDEX(VariaçõesDeMarketing[],ROW()-ROW(VariaçõesDeMarketing[[#Headers],[Mar]]),1),INDEX(PlanejamentoDeMarketing[],,1),0),MATCH(VariaçõesDeMarketing[[#Headers],[Mar]],MarketingReal[#Headers],0))</f>
        <v>0</v>
      </c>
      <c r="F22" s="99">
        <f>INDEX(PlanejamentoDeMarketing[],MATCH(INDEX(VariaçõesDeMarketing[],ROW()-ROW(VariaçõesDeMarketing[[#Headers],[Abr]]),1),INDEX(PlanejamentoDeMarketing[],,1),0),MATCH(VariaçõesDeMarketing[[#Headers],[Abr]],PlanejamentoDeMarketing[#Headers],0))-INDEX(MarketingReal[],MATCH(INDEX(VariaçõesDeMarketing[],ROW()-ROW(VariaçõesDeMarketing[[#Headers],[Abr]]),1),INDEX(PlanejamentoDeMarketing[],,1),0),MATCH(VariaçõesDeMarketing[[#Headers],[Abr]],MarketingReal[#Headers],0))</f>
        <v>0</v>
      </c>
      <c r="G22" s="99">
        <f>INDEX(PlanejamentoDeMarketing[],MATCH(INDEX(VariaçõesDeMarketing[],ROW()-ROW(VariaçõesDeMarketing[[#Headers],[Maio]]),1),INDEX(PlanejamentoDeMarketing[],,1),0),MATCH(VariaçõesDeMarketing[[#Headers],[Maio]],PlanejamentoDeMarketing[#Headers],0))-INDEX(MarketingReal[],MATCH(INDEX(VariaçõesDeMarketing[],ROW()-ROW(VariaçõesDeMarketing[[#Headers],[Maio]]),1),INDEX(PlanejamentoDeMarketing[],,1),0),MATCH(VariaçõesDeMarketing[[#Headers],[Maio]],MarketingReal[#Headers],0))</f>
        <v>0</v>
      </c>
      <c r="H22" s="99"/>
      <c r="I22" s="99"/>
      <c r="J22" s="99"/>
      <c r="K22" s="99"/>
      <c r="L22" s="99"/>
      <c r="M22" s="99"/>
      <c r="N22" s="99"/>
      <c r="O22" s="100">
        <f>SUM(VariaçõesDeMarketing[[#This Row],[Jan]:[Column7]])</f>
        <v>0</v>
      </c>
    </row>
    <row r="23" spans="1:15" ht="24.95" customHeight="1" thickBot="1" x14ac:dyDescent="0.35">
      <c r="A23" s="30"/>
      <c r="B23" s="53" t="s">
        <v>22</v>
      </c>
      <c r="C23" s="99">
        <f>INDEX(PlanejamentoDeMarketing[],MATCH(INDEX(VariaçõesDeMarketing[],ROW()-ROW(VariaçõesDeMarketing[[#Headers],[Jan]]),1),INDEX(PlanejamentoDeMarketing[],,1),0),MATCH(VariaçõesDeMarketing[[#Headers],[Jan]],PlanejamentoDeMarketing[#Headers],0))-INDEX(MarketingReal[],MATCH(INDEX(VariaçõesDeMarketing[],ROW()-ROW(VariaçõesDeMarketing[[#Headers],[Jan]]),1),INDEX(PlanejamentoDeMarketing[],,1),0),MATCH(VariaçõesDeMarketing[[#Headers],[Jan]],MarketingReal[#Headers],0))</f>
        <v>0</v>
      </c>
      <c r="D23" s="99">
        <f>INDEX(PlanejamentoDeMarketing[],MATCH(INDEX(VariaçõesDeMarketing[],ROW()-ROW(VariaçõesDeMarketing[[#Headers],[Fev]]),1),INDEX(PlanejamentoDeMarketing[],,1),0),MATCH(VariaçõesDeMarketing[[#Headers],[Fev]],PlanejamentoDeMarketing[#Headers],0))-INDEX(MarketingReal[],MATCH(INDEX(VariaçõesDeMarketing[],ROW()-ROW(VariaçõesDeMarketing[[#Headers],[Fev]]),1),INDEX(PlanejamentoDeMarketing[],,1),0),MATCH(VariaçõesDeMarketing[[#Headers],[Fev]],MarketingReal[#Headers],0))</f>
        <v>100</v>
      </c>
      <c r="E23" s="99">
        <f>INDEX(PlanejamentoDeMarketing[],MATCH(INDEX(VariaçõesDeMarketing[],ROW()-ROW(VariaçõesDeMarketing[[#Headers],[Mar]]),1),INDEX(PlanejamentoDeMarketing[],,1),0),MATCH(VariaçõesDeMarketing[[#Headers],[Mar]],PlanejamentoDeMarketing[#Headers],0))-INDEX(MarketingReal[],MATCH(INDEX(VariaçõesDeMarketing[],ROW()-ROW(VariaçõesDeMarketing[[#Headers],[Mar]]),1),INDEX(PlanejamentoDeMarketing[],,1),0),MATCH(VariaçõesDeMarketing[[#Headers],[Mar]],MarketingReal[#Headers],0))</f>
        <v>100</v>
      </c>
      <c r="F23" s="99">
        <f>INDEX(PlanejamentoDeMarketing[],MATCH(INDEX(VariaçõesDeMarketing[],ROW()-ROW(VariaçõesDeMarketing[[#Headers],[Abr]]),1),INDEX(PlanejamentoDeMarketing[],,1),0),MATCH(VariaçõesDeMarketing[[#Headers],[Abr]],PlanejamentoDeMarketing[#Headers],0))-INDEX(MarketingReal[],MATCH(INDEX(VariaçõesDeMarketing[],ROW()-ROW(VariaçõesDeMarketing[[#Headers],[Abr]]),1),INDEX(PlanejamentoDeMarketing[],,1),0),MATCH(VariaçõesDeMarketing[[#Headers],[Abr]],MarketingReal[#Headers],0))</f>
        <v>0</v>
      </c>
      <c r="G23" s="99">
        <f>INDEX(PlanejamentoDeMarketing[],MATCH(INDEX(VariaçõesDeMarketing[],ROW()-ROW(VariaçõesDeMarketing[[#Headers],[Maio]]),1),INDEX(PlanejamentoDeMarketing[],,1),0),MATCH(VariaçõesDeMarketing[[#Headers],[Maio]],PlanejamentoDeMarketing[#Headers],0))-INDEX(MarketingReal[],MATCH(INDEX(VariaçõesDeMarketing[],ROW()-ROW(VariaçõesDeMarketing[[#Headers],[Maio]]),1),INDEX(PlanejamentoDeMarketing[],,1),0),MATCH(VariaçõesDeMarketing[[#Headers],[Maio]],MarketingReal[#Headers],0))</f>
        <v>0</v>
      </c>
      <c r="H23" s="99"/>
      <c r="I23" s="99"/>
      <c r="J23" s="99"/>
      <c r="K23" s="99"/>
      <c r="L23" s="99"/>
      <c r="M23" s="99"/>
      <c r="N23" s="99"/>
      <c r="O23" s="100">
        <f>SUM(VariaçõesDeMarketing[[#This Row],[Jan]:[Column7]])</f>
        <v>200</v>
      </c>
    </row>
    <row r="24" spans="1:15" ht="24.95" customHeight="1" thickBot="1" x14ac:dyDescent="0.35">
      <c r="A24" s="30"/>
      <c r="B24" s="53" t="s">
        <v>23</v>
      </c>
      <c r="C24" s="99">
        <f>INDEX(PlanejamentoDeMarketing[],MATCH(INDEX(VariaçõesDeMarketing[],ROW()-ROW(VariaçõesDeMarketing[[#Headers],[Jan]]),1),INDEX(PlanejamentoDeMarketing[],,1),0),MATCH(VariaçõesDeMarketing[[#Headers],[Jan]],PlanejamentoDeMarketing[#Headers],0))-INDEX(MarketingReal[],MATCH(INDEX(VariaçõesDeMarketing[],ROW()-ROW(VariaçõesDeMarketing[[#Headers],[Jan]]),1),INDEX(PlanejamentoDeMarketing[],,1),0),MATCH(VariaçõesDeMarketing[[#Headers],[Jan]],MarketingReal[#Headers],0))</f>
        <v>0</v>
      </c>
      <c r="D24" s="99">
        <f>INDEX(PlanejamentoDeMarketing[],MATCH(INDEX(VariaçõesDeMarketing[],ROW()-ROW(VariaçõesDeMarketing[[#Headers],[Fev]]),1),INDEX(PlanejamentoDeMarketing[],,1),0),MATCH(VariaçõesDeMarketing[[#Headers],[Fev]],PlanejamentoDeMarketing[#Headers],0))-INDEX(MarketingReal[],MATCH(INDEX(VariaçõesDeMarketing[],ROW()-ROW(VariaçõesDeMarketing[[#Headers],[Fev]]),1),INDEX(PlanejamentoDeMarketing[],,1),0),MATCH(VariaçõesDeMarketing[[#Headers],[Fev]],MarketingReal[#Headers],0))</f>
        <v>0</v>
      </c>
      <c r="E24" s="99">
        <f>INDEX(PlanejamentoDeMarketing[],MATCH(INDEX(VariaçõesDeMarketing[],ROW()-ROW(VariaçõesDeMarketing[[#Headers],[Mar]]),1),INDEX(PlanejamentoDeMarketing[],,1),0),MATCH(VariaçõesDeMarketing[[#Headers],[Mar]],PlanejamentoDeMarketing[#Headers],0))-INDEX(MarketingReal[],MATCH(INDEX(VariaçõesDeMarketing[],ROW()-ROW(VariaçõesDeMarketing[[#Headers],[Mar]]),1),INDEX(PlanejamentoDeMarketing[],,1),0),MATCH(VariaçõesDeMarketing[[#Headers],[Mar]],MarketingReal[#Headers],0))</f>
        <v>100</v>
      </c>
      <c r="F24" s="99">
        <f>INDEX(PlanejamentoDeMarketing[],MATCH(INDEX(VariaçõesDeMarketing[],ROW()-ROW(VariaçõesDeMarketing[[#Headers],[Abr]]),1),INDEX(PlanejamentoDeMarketing[],,1),0),MATCH(VariaçõesDeMarketing[[#Headers],[Abr]],PlanejamentoDeMarketing[#Headers],0))-INDEX(MarketingReal[],MATCH(INDEX(VariaçõesDeMarketing[],ROW()-ROW(VariaçõesDeMarketing[[#Headers],[Abr]]),1),INDEX(PlanejamentoDeMarketing[],,1),0),MATCH(VariaçõesDeMarketing[[#Headers],[Abr]],MarketingReal[#Headers],0))</f>
        <v>100</v>
      </c>
      <c r="G24" s="99">
        <f>INDEX(PlanejamentoDeMarketing[],MATCH(INDEX(VariaçõesDeMarketing[],ROW()-ROW(VariaçõesDeMarketing[[#Headers],[Maio]]),1),INDEX(PlanejamentoDeMarketing[],,1),0),MATCH(VariaçõesDeMarketing[[#Headers],[Maio]],PlanejamentoDeMarketing[#Headers],0))-INDEX(MarketingReal[],MATCH(INDEX(VariaçõesDeMarketing[],ROW()-ROW(VariaçõesDeMarketing[[#Headers],[Maio]]),1),INDEX(PlanejamentoDeMarketing[],,1),0),MATCH(VariaçõesDeMarketing[[#Headers],[Maio]],MarketingReal[#Headers],0))</f>
        <v>-100</v>
      </c>
      <c r="H24" s="99"/>
      <c r="I24" s="99"/>
      <c r="J24" s="99"/>
      <c r="K24" s="99"/>
      <c r="L24" s="99"/>
      <c r="M24" s="99"/>
      <c r="N24" s="99"/>
      <c r="O24" s="100">
        <f>SUM(VariaçõesDeMarketing[[#This Row],[Jan]:[Column7]])</f>
        <v>100</v>
      </c>
    </row>
    <row r="25" spans="1:15" ht="24.95" customHeight="1" thickBot="1" x14ac:dyDescent="0.35">
      <c r="A25" s="30"/>
      <c r="B25" s="53" t="s">
        <v>24</v>
      </c>
      <c r="C25" s="99">
        <f>INDEX(PlanejamentoDeMarketing[],MATCH(INDEX(VariaçõesDeMarketing[],ROW()-ROW(VariaçõesDeMarketing[[#Headers],[Jan]]),1),INDEX(PlanejamentoDeMarketing[],,1),0),MATCH(VariaçõesDeMarketing[[#Headers],[Jan]],PlanejamentoDeMarketing[#Headers],0))-INDEX(MarketingReal[],MATCH(INDEX(VariaçõesDeMarketing[],ROW()-ROW(VariaçõesDeMarketing[[#Headers],[Jan]]),1),INDEX(PlanejamentoDeMarketing[],,1),0),MATCH(VariaçõesDeMarketing[[#Headers],[Jan]],MarketingReal[#Headers],0))</f>
        <v>0</v>
      </c>
      <c r="D25" s="99">
        <f>INDEX(PlanejamentoDeMarketing[],MATCH(INDEX(VariaçõesDeMarketing[],ROW()-ROW(VariaçõesDeMarketing[[#Headers],[Fev]]),1),INDEX(PlanejamentoDeMarketing[],,1),0),MATCH(VariaçõesDeMarketing[[#Headers],[Fev]],PlanejamentoDeMarketing[#Headers],0))-INDEX(MarketingReal[],MATCH(INDEX(VariaçõesDeMarketing[],ROW()-ROW(VariaçõesDeMarketing[[#Headers],[Fev]]),1),INDEX(PlanejamentoDeMarketing[],,1),0),MATCH(VariaçõesDeMarketing[[#Headers],[Fev]],MarketingReal[#Headers],0))</f>
        <v>0</v>
      </c>
      <c r="E25" s="99">
        <f>INDEX(PlanejamentoDeMarketing[],MATCH(INDEX(VariaçõesDeMarketing[],ROW()-ROW(VariaçõesDeMarketing[[#Headers],[Mar]]),1),INDEX(PlanejamentoDeMarketing[],,1),0),MATCH(VariaçõesDeMarketing[[#Headers],[Mar]],PlanejamentoDeMarketing[#Headers],0))-INDEX(MarketingReal[],MATCH(INDEX(VariaçõesDeMarketing[],ROW()-ROW(VariaçõesDeMarketing[[#Headers],[Mar]]),1),INDEX(PlanejamentoDeMarketing[],,1),0),MATCH(VariaçõesDeMarketing[[#Headers],[Mar]],MarketingReal[#Headers],0))</f>
        <v>100</v>
      </c>
      <c r="F25" s="99">
        <f>INDEX(PlanejamentoDeMarketing[],MATCH(INDEX(VariaçõesDeMarketing[],ROW()-ROW(VariaçõesDeMarketing[[#Headers],[Abr]]),1),INDEX(PlanejamentoDeMarketing[],,1),0),MATCH(VariaçõesDeMarketing[[#Headers],[Abr]],PlanejamentoDeMarketing[#Headers],0))-INDEX(MarketingReal[],MATCH(INDEX(VariaçõesDeMarketing[],ROW()-ROW(VariaçõesDeMarketing[[#Headers],[Abr]]),1),INDEX(PlanejamentoDeMarketing[],,1),0),MATCH(VariaçõesDeMarketing[[#Headers],[Abr]],MarketingReal[#Headers],0))</f>
        <v>100</v>
      </c>
      <c r="G25" s="99">
        <f>INDEX(PlanejamentoDeMarketing[],MATCH(INDEX(VariaçõesDeMarketing[],ROW()-ROW(VariaçõesDeMarketing[[#Headers],[Maio]]),1),INDEX(PlanejamentoDeMarketing[],,1),0),MATCH(VariaçõesDeMarketing[[#Headers],[Maio]],PlanejamentoDeMarketing[#Headers],0))-INDEX(MarketingReal[],MATCH(INDEX(VariaçõesDeMarketing[],ROW()-ROW(VariaçõesDeMarketing[[#Headers],[Maio]]),1),INDEX(PlanejamentoDeMarketing[],,1),0),MATCH(VariaçõesDeMarketing[[#Headers],[Maio]],MarketingReal[#Headers],0))</f>
        <v>-100</v>
      </c>
      <c r="H25" s="99"/>
      <c r="I25" s="99"/>
      <c r="J25" s="99"/>
      <c r="K25" s="99"/>
      <c r="L25" s="99"/>
      <c r="M25" s="99"/>
      <c r="N25" s="99"/>
      <c r="O25" s="100">
        <f>SUM(VariaçõesDeMarketing[[#This Row],[Jan]:[Column7]])</f>
        <v>100</v>
      </c>
    </row>
    <row r="26" spans="1:15" ht="24.95" customHeight="1" thickBot="1" x14ac:dyDescent="0.35">
      <c r="A26" s="30"/>
      <c r="B26" s="53" t="s">
        <v>25</v>
      </c>
      <c r="C26" s="99">
        <f>INDEX(PlanejamentoDeMarketing[],MATCH(INDEX(VariaçõesDeMarketing[],ROW()-ROW(VariaçõesDeMarketing[[#Headers],[Jan]]),1),INDEX(PlanejamentoDeMarketing[],,1),0),MATCH(VariaçõesDeMarketing[[#Headers],[Jan]],PlanejamentoDeMarketing[#Headers],0))-INDEX(MarketingReal[],MATCH(INDEX(VariaçõesDeMarketing[],ROW()-ROW(VariaçõesDeMarketing[[#Headers],[Jan]]),1),INDEX(PlanejamentoDeMarketing[],,1),0),MATCH(VariaçõesDeMarketing[[#Headers],[Jan]],MarketingReal[#Headers],0))</f>
        <v>150</v>
      </c>
      <c r="D26" s="99">
        <f>INDEX(PlanejamentoDeMarketing[],MATCH(INDEX(VariaçõesDeMarketing[],ROW()-ROW(VariaçõesDeMarketing[[#Headers],[Fev]]),1),INDEX(PlanejamentoDeMarketing[],,1),0),MATCH(VariaçõesDeMarketing[[#Headers],[Fev]],PlanejamentoDeMarketing[#Headers],0))-INDEX(MarketingReal[],MATCH(INDEX(VariaçõesDeMarketing[],ROW()-ROW(VariaçõesDeMarketing[[#Headers],[Fev]]),1),INDEX(PlanejamentoDeMarketing[],,1),0),MATCH(VariaçõesDeMarketing[[#Headers],[Fev]],MarketingReal[#Headers],0))</f>
        <v>500</v>
      </c>
      <c r="E26" s="99">
        <f>INDEX(PlanejamentoDeMarketing[],MATCH(INDEX(VariaçõesDeMarketing[],ROW()-ROW(VariaçõesDeMarketing[[#Headers],[Mar]]),1),INDEX(PlanejamentoDeMarketing[],,1),0),MATCH(VariaçõesDeMarketing[[#Headers],[Mar]],PlanejamentoDeMarketing[#Headers],0))-INDEX(MarketingReal[],MATCH(INDEX(VariaçõesDeMarketing[],ROW()-ROW(VariaçõesDeMarketing[[#Headers],[Mar]]),1),INDEX(PlanejamentoDeMarketing[],,1),0),MATCH(VariaçõesDeMarketing[[#Headers],[Mar]],MarketingReal[#Headers],0))</f>
        <v>500</v>
      </c>
      <c r="F26" s="99">
        <f>INDEX(PlanejamentoDeMarketing[],MATCH(INDEX(VariaçõesDeMarketing[],ROW()-ROW(VariaçõesDeMarketing[[#Headers],[Abr]]),1),INDEX(PlanejamentoDeMarketing[],,1),0),MATCH(VariaçõesDeMarketing[[#Headers],[Abr]],PlanejamentoDeMarketing[#Headers],0))-INDEX(MarketingReal[],MATCH(INDEX(VariaçõesDeMarketing[],ROW()-ROW(VariaçõesDeMarketing[[#Headers],[Abr]]),1),INDEX(PlanejamentoDeMarketing[],,1),0),MATCH(VariaçõesDeMarketing[[#Headers],[Abr]],MarketingReal[#Headers],0))</f>
        <v>500</v>
      </c>
      <c r="G26" s="99">
        <f>INDEX(PlanejamentoDeMarketing[],MATCH(INDEX(VariaçõesDeMarketing[],ROW()-ROW(VariaçõesDeMarketing[[#Headers],[Maio]]),1),INDEX(PlanejamentoDeMarketing[],,1),0),MATCH(VariaçõesDeMarketing[[#Headers],[Maio]],PlanejamentoDeMarketing[#Headers],0))-INDEX(MarketingReal[],MATCH(INDEX(VariaçõesDeMarketing[],ROW()-ROW(VariaçõesDeMarketing[[#Headers],[Maio]]),1),INDEX(PlanejamentoDeMarketing[],,1),0),MATCH(VariaçõesDeMarketing[[#Headers],[Maio]],MarketingReal[#Headers],0))</f>
        <v>0</v>
      </c>
      <c r="H26" s="99"/>
      <c r="I26" s="99"/>
      <c r="J26" s="99"/>
      <c r="K26" s="99"/>
      <c r="L26" s="99"/>
      <c r="M26" s="99"/>
      <c r="N26" s="99"/>
      <c r="O26" s="100">
        <f>SUM(VariaçõesDeMarketing[[#This Row],[Jan]:[Column7]])</f>
        <v>1650</v>
      </c>
    </row>
    <row r="27" spans="1:15" ht="24.95" customHeight="1" thickBot="1" x14ac:dyDescent="0.35">
      <c r="A27" s="30"/>
      <c r="B27" s="53" t="s">
        <v>26</v>
      </c>
      <c r="C27" s="99">
        <f>INDEX(PlanejamentoDeMarketing[],MATCH(INDEX(VariaçõesDeMarketing[],ROW()-ROW(VariaçõesDeMarketing[[#Headers],[Jan]]),1),INDEX(PlanejamentoDeMarketing[],,1),0),MATCH(VariaçõesDeMarketing[[#Headers],[Jan]],PlanejamentoDeMarketing[#Headers],0))-INDEX(MarketingReal[],MATCH(INDEX(VariaçõesDeMarketing[],ROW()-ROW(VariaçõesDeMarketing[[#Headers],[Jan]]),1),INDEX(PlanejamentoDeMarketing[],,1),0),MATCH(VariaçõesDeMarketing[[#Headers],[Jan]],MarketingReal[#Headers],0))</f>
        <v>0</v>
      </c>
      <c r="D27" s="99">
        <f>INDEX(PlanejamentoDeMarketing[],MATCH(INDEX(VariaçõesDeMarketing[],ROW()-ROW(VariaçõesDeMarketing[[#Headers],[Fev]]),1),INDEX(PlanejamentoDeMarketing[],,1),0),MATCH(VariaçõesDeMarketing[[#Headers],[Fev]],PlanejamentoDeMarketing[#Headers],0))-INDEX(MarketingReal[],MATCH(INDEX(VariaçõesDeMarketing[],ROW()-ROW(VariaçõesDeMarketing[[#Headers],[Fev]]),1),INDEX(PlanejamentoDeMarketing[],,1),0),MATCH(VariaçõesDeMarketing[[#Headers],[Fev]],MarketingReal[#Headers],0))</f>
        <v>0</v>
      </c>
      <c r="E27" s="99">
        <f>INDEX(PlanejamentoDeMarketing[],MATCH(INDEX(VariaçõesDeMarketing[],ROW()-ROW(VariaçõesDeMarketing[[#Headers],[Mar]]),1),INDEX(PlanejamentoDeMarketing[],,1),0),MATCH(VariaçõesDeMarketing[[#Headers],[Mar]],PlanejamentoDeMarketing[#Headers],0))-INDEX(MarketingReal[],MATCH(INDEX(VariaçõesDeMarketing[],ROW()-ROW(VariaçõesDeMarketing[[#Headers],[Mar]]),1),INDEX(PlanejamentoDeMarketing[],,1),0),MATCH(VariaçõesDeMarketing[[#Headers],[Mar]],MarketingReal[#Headers],0))</f>
        <v>0</v>
      </c>
      <c r="F27" s="99">
        <f>INDEX(PlanejamentoDeMarketing[],MATCH(INDEX(VariaçõesDeMarketing[],ROW()-ROW(VariaçõesDeMarketing[[#Headers],[Abr]]),1),INDEX(PlanejamentoDeMarketing[],,1),0),MATCH(VariaçõesDeMarketing[[#Headers],[Abr]],PlanejamentoDeMarketing[#Headers],0))-INDEX(MarketingReal[],MATCH(INDEX(VariaçõesDeMarketing[],ROW()-ROW(VariaçõesDeMarketing[[#Headers],[Abr]]),1),INDEX(PlanejamentoDeMarketing[],,1),0),MATCH(VariaçõesDeMarketing[[#Headers],[Abr]],MarketingReal[#Headers],0))</f>
        <v>0</v>
      </c>
      <c r="G27" s="99">
        <f>INDEX(PlanejamentoDeMarketing[],MATCH(INDEX(VariaçõesDeMarketing[],ROW()-ROW(VariaçõesDeMarketing[[#Headers],[Maio]]),1),INDEX(PlanejamentoDeMarketing[],,1),0),MATCH(VariaçõesDeMarketing[[#Headers],[Maio]],PlanejamentoDeMarketing[#Headers],0))-INDEX(MarketingReal[],MATCH(INDEX(VariaçõesDeMarketing[],ROW()-ROW(VariaçõesDeMarketing[[#Headers],[Maio]]),1),INDEX(PlanejamentoDeMarketing[],,1),0),MATCH(VariaçõesDeMarketing[[#Headers],[Maio]],MarketingReal[#Headers],0))</f>
        <v>0</v>
      </c>
      <c r="H27" s="99"/>
      <c r="I27" s="99"/>
      <c r="J27" s="99"/>
      <c r="K27" s="99"/>
      <c r="L27" s="99"/>
      <c r="M27" s="99"/>
      <c r="N27" s="99"/>
      <c r="O27" s="100">
        <f>SUM(VariaçõesDeMarketing[[#This Row],[Jan]:[Column7]])</f>
        <v>0</v>
      </c>
    </row>
    <row r="28" spans="1:15" ht="24.95" customHeight="1" x14ac:dyDescent="0.3">
      <c r="A28" s="30"/>
      <c r="B28" s="61" t="s">
        <v>12</v>
      </c>
      <c r="C28" s="109">
        <f>SUBTOTAL(109,VariaçõesDeMarketing[Jan])</f>
        <v>150</v>
      </c>
      <c r="D28" s="109">
        <f>SUBTOTAL(109,VariaçõesDeMarketing[Fev])</f>
        <v>600</v>
      </c>
      <c r="E28" s="109">
        <f>SUBTOTAL(109,VariaçõesDeMarketing[Mar])</f>
        <v>800</v>
      </c>
      <c r="F28" s="109">
        <f>SUBTOTAL(109,VariaçõesDeMarketing[Abr])</f>
        <v>700</v>
      </c>
      <c r="G28" s="109">
        <f>SUBTOTAL(109,VariaçõesDeMarketing[Maio])</f>
        <v>-200</v>
      </c>
      <c r="H28" s="109"/>
      <c r="I28" s="109"/>
      <c r="J28" s="109"/>
      <c r="K28" s="109"/>
      <c r="L28" s="109"/>
      <c r="M28" s="109"/>
      <c r="N28" s="109"/>
      <c r="O28" s="110">
        <f>SUBTOTAL(109,VariaçõesDeMarketing[ANO])</f>
        <v>2050</v>
      </c>
    </row>
    <row r="29" spans="1:15" ht="21" customHeight="1" x14ac:dyDescent="0.3">
      <c r="A29" s="30"/>
      <c r="B29" s="69"/>
      <c r="C29" s="69"/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87"/>
    </row>
    <row r="30" spans="1:15" ht="24.95" customHeight="1" thickBot="1" x14ac:dyDescent="0.35">
      <c r="A30" s="30"/>
      <c r="B30" s="50" t="s">
        <v>27</v>
      </c>
      <c r="C30" s="96" t="s">
        <v>33</v>
      </c>
      <c r="D30" s="96" t="s">
        <v>34</v>
      </c>
      <c r="E30" s="96" t="s">
        <v>35</v>
      </c>
      <c r="F30" s="96" t="s">
        <v>36</v>
      </c>
      <c r="G30" s="96" t="s">
        <v>37</v>
      </c>
      <c r="H30" s="96" t="s">
        <v>59</v>
      </c>
      <c r="I30" s="96" t="s">
        <v>60</v>
      </c>
      <c r="J30" s="96" t="s">
        <v>61</v>
      </c>
      <c r="K30" s="96" t="s">
        <v>62</v>
      </c>
      <c r="L30" s="96" t="s">
        <v>63</v>
      </c>
      <c r="M30" s="96" t="s">
        <v>64</v>
      </c>
      <c r="N30" s="96" t="s">
        <v>65</v>
      </c>
      <c r="O30" s="97" t="s">
        <v>39</v>
      </c>
    </row>
    <row r="31" spans="1:15" ht="24.95" customHeight="1" thickBot="1" x14ac:dyDescent="0.35">
      <c r="A31" s="30"/>
      <c r="B31" s="53" t="s">
        <v>28</v>
      </c>
      <c r="C31" s="99">
        <f>INDEX(PlanejamentoDeViagemETreinamento[],MATCH(INDEX(VariaçõesDeViagensETreinamentos[],ROW()-ROW(VariaçõesDeViagensETreinamentos[[#Headers],[Jan]]),1),INDEX(PlanejamentoDeViagemETreinamento[],,1),0),MATCH(VariaçõesDeViagensETreinamentos[[#Headers],[Jan]],PlanejamentoDeViagemETreinamento[#Headers],0))-INDEX(RealViagemETreinamento[],MATCH(INDEX(VariaçõesDeViagensETreinamentos[],ROW()-ROW(VariaçõesDeViagensETreinamentos[[#Headers],[Jan]]),1),INDEX(PlanejamentoDeViagemETreinamento[],,1),0),MATCH(VariaçõesDeViagensETreinamentos[[#Headers],[Jan]],RealViagemETreinamento[#Headers],0))</f>
        <v>0</v>
      </c>
      <c r="D31" s="99">
        <f>INDEX(PlanejamentoDeViagemETreinamento[],MATCH(INDEX(VariaçõesDeViagensETreinamentos[],ROW()-ROW(VariaçõesDeViagensETreinamentos[[#Headers],[Fev]]),1),INDEX(PlanejamentoDeViagemETreinamento[],,1),0),MATCH(VariaçõesDeViagensETreinamentos[[#Headers],[Fev]],PlanejamentoDeViagemETreinamento[#Headers],0))-INDEX(RealViagemETreinamento[],MATCH(INDEX(VariaçõesDeViagensETreinamentos[],ROW()-ROW(VariaçõesDeViagensETreinamentos[[#Headers],[Fev]]),1),INDEX(PlanejamentoDeViagemETreinamento[],,1),0),MATCH(VariaçõesDeViagensETreinamentos[[#Headers],[Fev]],RealViagemETreinamento[#Headers],0))</f>
        <v>0</v>
      </c>
      <c r="E31" s="99">
        <f>INDEX(PlanejamentoDeViagemETreinamento[],MATCH(INDEX(VariaçõesDeViagensETreinamentos[],ROW()-ROW(VariaçõesDeViagensETreinamentos[[#Headers],[Mar]]),1),INDEX(PlanejamentoDeViagemETreinamento[],,1),0),MATCH(VariaçõesDeViagensETreinamentos[[#Headers],[Mar]],PlanejamentoDeViagemETreinamento[#Headers],0))-INDEX(RealViagemETreinamento[],MATCH(INDEX(VariaçõesDeViagensETreinamentos[],ROW()-ROW(VariaçõesDeViagensETreinamentos[[#Headers],[Mar]]),1),INDEX(PlanejamentoDeViagemETreinamento[],,1),0),MATCH(VariaçõesDeViagensETreinamentos[[#Headers],[Mar]],RealViagemETreinamento[#Headers],0))</f>
        <v>0</v>
      </c>
      <c r="F31" s="99">
        <f>INDEX(PlanejamentoDeViagemETreinamento[],MATCH(INDEX(VariaçõesDeViagensETreinamentos[],ROW()-ROW(VariaçõesDeViagensETreinamentos[[#Headers],[Abr]]),1),INDEX(PlanejamentoDeViagemETreinamento[],,1),0),MATCH(VariaçõesDeViagensETreinamentos[[#Headers],[Abr]],PlanejamentoDeViagemETreinamento[#Headers],0))-INDEX(RealViagemETreinamento[],MATCH(INDEX(VariaçõesDeViagensETreinamentos[],ROW()-ROW(VariaçõesDeViagensETreinamentos[[#Headers],[Abr]]),1),INDEX(PlanejamentoDeViagemETreinamento[],,1),0),MATCH(VariaçõesDeViagensETreinamentos[[#Headers],[Abr]],RealViagemETreinamento[#Headers],0))</f>
        <v>0</v>
      </c>
      <c r="G31" s="99">
        <f>INDEX(PlanejamentoDeViagemETreinamento[],MATCH(INDEX(VariaçõesDeViagensETreinamentos[],ROW()-ROW(VariaçõesDeViagensETreinamentos[[#Headers],[Maio]]),1),INDEX(PlanejamentoDeViagemETreinamento[],,1),0),MATCH(VariaçõesDeViagensETreinamentos[[#Headers],[Maio]],PlanejamentoDeViagemETreinamento[#Headers],0))-INDEX(RealViagemETreinamento[],MATCH(INDEX(VariaçõesDeViagensETreinamentos[],ROW()-ROW(VariaçõesDeViagensETreinamentos[[#Headers],[Maio]]),1),INDEX(PlanejamentoDeViagemETreinamento[],,1),0),MATCH(VariaçõesDeViagensETreinamentos[[#Headers],[Maio]],RealViagemETreinamento[#Headers],0))</f>
        <v>0</v>
      </c>
      <c r="H31" s="99"/>
      <c r="I31" s="99"/>
      <c r="J31" s="99"/>
      <c r="K31" s="99"/>
      <c r="L31" s="99"/>
      <c r="M31" s="99"/>
      <c r="N31" s="99"/>
      <c r="O31" s="100">
        <f>SUM(VariaçõesDeViagensETreinamentos[[#This Row],[Jan]:[Column7]])</f>
        <v>0</v>
      </c>
    </row>
    <row r="32" spans="1:15" ht="24.95" customHeight="1" thickBot="1" x14ac:dyDescent="0.35">
      <c r="A32" s="30"/>
      <c r="B32" s="53" t="s">
        <v>29</v>
      </c>
      <c r="C32" s="99">
        <f>INDEX(PlanejamentoDeViagemETreinamento[],MATCH(INDEX(VariaçõesDeViagensETreinamentos[],ROW()-ROW(VariaçõesDeViagensETreinamentos[[#Headers],[Jan]]),1),INDEX(PlanejamentoDeViagemETreinamento[],,1),0),MATCH(VariaçõesDeViagensETreinamentos[[#Headers],[Jan]],PlanejamentoDeViagemETreinamento[#Headers],0))-INDEX(RealViagemETreinamento[],MATCH(INDEX(VariaçõesDeViagensETreinamentos[],ROW()-ROW(VariaçõesDeViagensETreinamentos[[#Headers],[Jan]]),1),INDEX(PlanejamentoDeViagemETreinamento[],,1),0),MATCH(VariaçõesDeViagensETreinamentos[[#Headers],[Jan]],RealViagemETreinamento[#Headers],0))</f>
        <v>500</v>
      </c>
      <c r="D32" s="99">
        <f>INDEX(PlanejamentoDeViagemETreinamento[],MATCH(INDEX(VariaçõesDeViagensETreinamentos[],ROW()-ROW(VariaçõesDeViagensETreinamentos[[#Headers],[Fev]]),1),INDEX(PlanejamentoDeViagemETreinamento[],,1),0),MATCH(VariaçõesDeViagensETreinamentos[[#Headers],[Fev]],PlanejamentoDeViagemETreinamento[#Headers],0))-INDEX(RealViagemETreinamento[],MATCH(INDEX(VariaçõesDeViagensETreinamentos[],ROW()-ROW(VariaçõesDeViagensETreinamentos[[#Headers],[Fev]]),1),INDEX(PlanejamentoDeViagemETreinamento[],,1),0),MATCH(VariaçõesDeViagensETreinamentos[[#Headers],[Fev]],RealViagemETreinamento[#Headers],0))</f>
        <v>2000</v>
      </c>
      <c r="E32" s="99">
        <f>INDEX(PlanejamentoDeViagemETreinamento[],MATCH(INDEX(VariaçõesDeViagensETreinamentos[],ROW()-ROW(VariaçõesDeViagensETreinamentos[[#Headers],[Mar]]),1),INDEX(PlanejamentoDeViagemETreinamento[],,1),0),MATCH(VariaçõesDeViagensETreinamentos[[#Headers],[Mar]],PlanejamentoDeViagemETreinamento[#Headers],0))-INDEX(RealViagemETreinamento[],MATCH(INDEX(VariaçõesDeViagensETreinamentos[],ROW()-ROW(VariaçõesDeViagensETreinamentos[[#Headers],[Mar]]),1),INDEX(PlanejamentoDeViagemETreinamento[],,1),0),MATCH(VariaçõesDeViagensETreinamentos[[#Headers],[Mar]],RealViagemETreinamento[#Headers],0))</f>
        <v>1000</v>
      </c>
      <c r="F32" s="99">
        <f>INDEX(PlanejamentoDeViagemETreinamento[],MATCH(INDEX(VariaçõesDeViagensETreinamentos[],ROW()-ROW(VariaçõesDeViagensETreinamentos[[#Headers],[Abr]]),1),INDEX(PlanejamentoDeViagemETreinamento[],,1),0),MATCH(VariaçõesDeViagensETreinamentos[[#Headers],[Abr]],PlanejamentoDeViagemETreinamento[#Headers],0))-INDEX(RealViagemETreinamento[],MATCH(INDEX(VariaçõesDeViagensETreinamentos[],ROW()-ROW(VariaçõesDeViagensETreinamentos[[#Headers],[Abr]]),1),INDEX(PlanejamentoDeViagemETreinamento[],,1),0),MATCH(VariaçõesDeViagensETreinamentos[[#Headers],[Abr]],RealViagemETreinamento[#Headers],0))</f>
        <v>0</v>
      </c>
      <c r="G32" s="99">
        <f>INDEX(PlanejamentoDeViagemETreinamento[],MATCH(INDEX(VariaçõesDeViagensETreinamentos[],ROW()-ROW(VariaçõesDeViagensETreinamentos[[#Headers],[Maio]]),1),INDEX(PlanejamentoDeViagemETreinamento[],,1),0),MATCH(VariaçõesDeViagensETreinamentos[[#Headers],[Maio]],PlanejamentoDeViagemETreinamento[#Headers],0))-INDEX(RealViagemETreinamento[],MATCH(INDEX(VariaçõesDeViagensETreinamentos[],ROW()-ROW(VariaçõesDeViagensETreinamentos[[#Headers],[Maio]]),1),INDEX(PlanejamentoDeViagemETreinamento[],,1),0),MATCH(VariaçõesDeViagensETreinamentos[[#Headers],[Maio]],RealViagemETreinamento[#Headers],0))</f>
        <v>0</v>
      </c>
      <c r="H32" s="99"/>
      <c r="I32" s="99"/>
      <c r="J32" s="99"/>
      <c r="K32" s="99"/>
      <c r="L32" s="99"/>
      <c r="M32" s="99"/>
      <c r="N32" s="99"/>
      <c r="O32" s="100">
        <f>SUM(VariaçõesDeViagensETreinamentos[[#This Row],[Jan]:[Column7]])</f>
        <v>3500</v>
      </c>
    </row>
    <row r="33" spans="1:15" ht="24.95" customHeight="1" x14ac:dyDescent="0.3">
      <c r="A33" s="30"/>
      <c r="B33" s="63" t="s">
        <v>12</v>
      </c>
      <c r="C33" s="109">
        <f>SUBTOTAL(109,VariaçõesDeViagensETreinamentos[Jan])</f>
        <v>500</v>
      </c>
      <c r="D33" s="109">
        <f>SUBTOTAL(109,VariaçõesDeViagensETreinamentos[Fev])</f>
        <v>2000</v>
      </c>
      <c r="E33" s="109">
        <f>SUBTOTAL(109,VariaçõesDeViagensETreinamentos[Mar])</f>
        <v>1000</v>
      </c>
      <c r="F33" s="109">
        <f>SUBTOTAL(109,VariaçõesDeViagensETreinamentos[Abr])</f>
        <v>0</v>
      </c>
      <c r="G33" s="109">
        <f>SUBTOTAL(109,VariaçõesDeViagensETreinamentos[Maio])</f>
        <v>0</v>
      </c>
      <c r="H33" s="109"/>
      <c r="I33" s="109"/>
      <c r="J33" s="109"/>
      <c r="K33" s="109"/>
      <c r="L33" s="109"/>
      <c r="M33" s="109"/>
      <c r="N33" s="109"/>
      <c r="O33" s="110">
        <f>SUBTOTAL(109,VariaçõesDeViagensETreinamentos[ANO])</f>
        <v>3500</v>
      </c>
    </row>
    <row r="34" spans="1:15" ht="21" customHeight="1" x14ac:dyDescent="0.3">
      <c r="A34" s="30"/>
      <c r="B34" s="69"/>
      <c r="C34" s="69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</row>
    <row r="35" spans="1:15" ht="24.95" customHeight="1" thickBot="1" x14ac:dyDescent="0.35">
      <c r="A35" s="38"/>
      <c r="B35" s="10" t="s">
        <v>30</v>
      </c>
      <c r="C35" s="26" t="s">
        <v>33</v>
      </c>
      <c r="D35" s="26" t="s">
        <v>34</v>
      </c>
      <c r="E35" s="26" t="s">
        <v>35</v>
      </c>
      <c r="F35" s="26" t="s">
        <v>36</v>
      </c>
      <c r="G35" s="26" t="s">
        <v>38</v>
      </c>
      <c r="H35" s="26" t="s">
        <v>59</v>
      </c>
      <c r="I35" s="26" t="s">
        <v>60</v>
      </c>
      <c r="J35" s="26" t="s">
        <v>61</v>
      </c>
      <c r="K35" s="26" t="s">
        <v>62</v>
      </c>
      <c r="L35" s="26" t="s">
        <v>63</v>
      </c>
      <c r="M35" s="26" t="s">
        <v>64</v>
      </c>
      <c r="N35" s="26" t="s">
        <v>65</v>
      </c>
      <c r="O35" s="26" t="s">
        <v>40</v>
      </c>
    </row>
    <row r="36" spans="1:15" ht="24.95" customHeight="1" thickBot="1" x14ac:dyDescent="0.35">
      <c r="A36" s="30"/>
      <c r="B36" s="11" t="s">
        <v>43</v>
      </c>
      <c r="C36" s="125">
        <f>VariaçõesDeViagensETreinamentos[[#Totals],[Jan]]+VariaçõesDeMarketing[[#Totals],[Jan]]+VariaçõesDoEscritório[[#Totals],[Jan]]+VariaçõesDeFuncionários[[#Totals],[Jan]]</f>
        <v>867</v>
      </c>
      <c r="D36" s="125">
        <f>VariaçõesDeViagensETreinamentos[[#Totals],[Fev]]+VariaçõesDeMarketing[[#Totals],[Fev]]+VariaçõesDoEscritório[[#Totals],[Fev]]+VariaçõesDeFuncionários[[#Totals],[Fev]]</f>
        <v>2782</v>
      </c>
      <c r="E36" s="125">
        <f>VariaçõesDeViagensETreinamentos[[#Totals],[Mar]]+VariaçõesDeMarketing[[#Totals],[Mar]]+VariaçõesDoEscritório[[#Totals],[Mar]]+VariaçõesDeFuncionários[[#Totals],[Mar]]</f>
        <v>-1220</v>
      </c>
      <c r="F36" s="125">
        <f>VariaçõesDeViagensETreinamentos[[#Totals],[Abr]]+VariaçõesDeMarketing[[#Totals],[Abr]]+VariaçõesDoEscritório[[#Totals],[Abr]]+VariaçõesDeFuncionários[[#Totals],[Abr]]</f>
        <v>-3852</v>
      </c>
      <c r="G36" s="125">
        <f>VariaçõesDeViagensETreinamentos[[#Totals],[Maio]]+VariaçõesDeMarketing[[#Totals],[Maio]]+VariaçõesDoEscritório[[#Totals],[Maio]]+VariaçõesDeFuncionários[[#Totals],[Maio]]</f>
        <v>-2119</v>
      </c>
      <c r="H36" s="125"/>
      <c r="I36" s="125"/>
      <c r="J36" s="125"/>
      <c r="K36" s="125"/>
      <c r="L36" s="125"/>
      <c r="M36" s="125"/>
      <c r="N36" s="125"/>
      <c r="O36" s="125">
        <f>VariaçõesDeViagensETreinamentos[[#Totals],[ANO]]+VariaçõesDeMarketing[[#Totals],[ANO]]+VariaçõesDoEscritório[[#Totals],[ANO]]+VariaçõesDeFuncionários[[#Totals],[ANO]]</f>
        <v>-3542</v>
      </c>
    </row>
    <row r="37" spans="1:15" ht="24.95" customHeight="1" thickBot="1" x14ac:dyDescent="0.35">
      <c r="A37" s="30"/>
      <c r="B37" s="11" t="s">
        <v>44</v>
      </c>
      <c r="C37" s="126">
        <f>SUM($C$36:C36)</f>
        <v>867</v>
      </c>
      <c r="D37" s="126">
        <f>SUM($C$36:D36)</f>
        <v>3649</v>
      </c>
      <c r="E37" s="126">
        <f>SUM($C$36:E36)</f>
        <v>2429</v>
      </c>
      <c r="F37" s="126">
        <f>SUM($C$36:F36)</f>
        <v>-1423</v>
      </c>
      <c r="G37" s="126">
        <f>SUM($C$36:G36)</f>
        <v>-3542</v>
      </c>
      <c r="H37" s="126"/>
      <c r="I37" s="126"/>
      <c r="J37" s="126"/>
      <c r="K37" s="126"/>
      <c r="L37" s="126"/>
      <c r="M37" s="126"/>
      <c r="N37" s="126"/>
      <c r="O37" s="126"/>
    </row>
    <row r="38" spans="1:15" ht="21" customHeight="1" x14ac:dyDescent="0.3">
      <c r="A38" s="30"/>
      <c r="D38" s="12"/>
    </row>
  </sheetData>
  <mergeCells count="2">
    <mergeCell ref="K2:M2"/>
    <mergeCell ref="K3:M3"/>
  </mergeCells>
  <phoneticPr fontId="45" type="noConversion"/>
  <conditionalFormatting sqref="C6:O8">
    <cfRule type="cellIs" dxfId="160" priority="5" operator="lessThan">
      <formula>0</formula>
    </cfRule>
  </conditionalFormatting>
  <conditionalFormatting sqref="C11:O19">
    <cfRule type="cellIs" dxfId="159" priority="4" operator="lessThan">
      <formula>0</formula>
    </cfRule>
  </conditionalFormatting>
  <conditionalFormatting sqref="C22:O28">
    <cfRule type="cellIs" dxfId="158" priority="3" operator="lessThan">
      <formula>0</formula>
    </cfRule>
  </conditionalFormatting>
  <conditionalFormatting sqref="C31:O33">
    <cfRule type="cellIs" dxfId="157" priority="2" operator="lessThan">
      <formula>0</formula>
    </cfRule>
  </conditionalFormatting>
  <conditionalFormatting sqref="C36:O37">
    <cfRule type="cellIs" dxfId="156" priority="1" operator="lessThan">
      <formula>0</formula>
    </cfRule>
  </conditionalFormatting>
  <dataValidations count="10">
    <dataValidation allowBlank="1" showInputMessage="1" showErrorMessage="1" prompt="O espaço reservado para o logotipo está nesta célula." sqref="N2" xr:uid="{37781601-5DCB-461E-AE37-039617AC3765}"/>
    <dataValidation allowBlank="1" showInputMessage="1" showErrorMessage="1" prompt="O rótulo Variações de despesas está na célula à direita, os meses nas células C4 a N4 e o rótulo Ano na célula O4." sqref="A4" xr:uid="{30EF6476-989C-4E19-8BDE-66AFC1B5F398}"/>
    <dataValidation allowBlank="1" showInputMessage="1" showErrorMessage="1" prompt="A variação nos Custos do Funcionário é calculada automaticamente na tabela Variações do Funcionário, começando na célula à direita. A próxima instrução está na célula A10." sqref="A5" xr:uid="{839F8F2D-41ED-4FCE-836B-A98A823A57CC}"/>
    <dataValidation allowBlank="1" showInputMessage="1" showErrorMessage="1" prompt="A variação nos Custos do Office é calculada automaticamente na tabela Variações do Office, começando na célula à direita. A próxima instrução está na célula A21." sqref="A10" xr:uid="{27073073-4E55-44AA-82CF-0E84E7DE56D1}"/>
    <dataValidation allowBlank="1" showInputMessage="1" showErrorMessage="1" prompt="A variação nos Custos de Marketing é calculada automaticamente na tabela Variações de Marketing, começando na célula à direita. A próxima instrução está na célula A30." sqref="A21" xr:uid="{DE322E29-78F0-4CAC-A794-538FBE82A952}"/>
    <dataValidation allowBlank="1" showInputMessage="1" showErrorMessage="1" prompt="A variação nos Custos de Treinamento ou Viagem é calculada automaticamente na tabela Variações de Treinamento e Viagem, começando na célula à direita. A próxima instrução está na célula A35." sqref="A30" xr:uid="{E7DC2698-49F1-46FA-BC02-81CE67BF794B}"/>
    <dataValidation allowBlank="1" showInputMessage="1" showErrorMessage="1" prompt="As Variações de Despesa são calculadas automaticamente na tabela Variação Total, começando na célula à direita." sqref="A35" xr:uid="{96167FAC-0878-4372-B9C2-FE529C7ABF6D}"/>
    <dataValidation allowBlank="1" showInputMessage="1" showErrorMessage="1" prompt="Insira os Custos Planejados do Funcionário, de Escritório, de Marketing e de Treinamento ou Viagem nas tabelas desta planilha. Os totais são calculados automaticamente. As instruções de uso estão nas células desta coluna. Seta para baixo para começar." sqref="A1" xr:uid="{C935014E-97FD-4DC5-8990-FFCC7A693081}"/>
    <dataValidation allowBlank="1" showInputMessage="1" showErrorMessage="1" prompt="O Nome da Empresa é atualizado automaticamente na célula à direita. O título desta planilha está na célula K2. Insira o logotipo na célula N2." sqref="A2" xr:uid="{ACC2090E-7A1F-4581-8E9B-5F88818E0C50}"/>
    <dataValidation allowBlank="1" showInputMessage="1" showErrorMessage="1" prompt="As dicas estão na célula K3." sqref="A3" xr:uid="{6033F748-E9D5-4DE6-B824-555D5C6CA4CF}"/>
  </dataValidations>
  <pageMargins left="0.7" right="0.7" top="0.75" bottom="0.75" header="0.3" footer="0.3"/>
  <pageSetup paperSize="9" fitToHeight="0" orientation="portrait" r:id="rId1"/>
  <ignoredErrors>
    <ignoredError sqref="B2" emptyCellReference="1"/>
    <ignoredError sqref="C36:G37 O36:O37" calculatedColumn="1"/>
  </ignoredErrors>
  <drawing r:id="rId2"/>
  <tableParts count="5"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theme="8"/>
    <pageSetUpPr autoPageBreaks="0"/>
  </sheetPr>
  <dimension ref="A1:P39"/>
  <sheetViews>
    <sheetView showGridLines="0" zoomScaleNormal="100" workbookViewId="0">
      <selection activeCell="I2" sqref="I2"/>
    </sheetView>
  </sheetViews>
  <sheetFormatPr defaultColWidth="9.140625" defaultRowHeight="18.75" x14ac:dyDescent="0.3"/>
  <cols>
    <col min="1" max="1" width="4.7109375" style="35" customWidth="1"/>
    <col min="2" max="2" width="26.28515625" style="2" customWidth="1"/>
    <col min="3" max="3" width="24.140625" style="2" customWidth="1"/>
    <col min="4" max="4" width="24.28515625" style="2" customWidth="1"/>
    <col min="5" max="5" width="25.5703125" style="2" bestFit="1" customWidth="1"/>
    <col min="6" max="6" width="27.85546875" style="2" bestFit="1" customWidth="1"/>
    <col min="7" max="7" width="4.7109375" style="1" customWidth="1"/>
    <col min="8" max="8" width="9" customWidth="1"/>
    <col min="9" max="16384" width="9.140625" style="2"/>
  </cols>
  <sheetData>
    <row r="1" spans="1:16" s="1" customFormat="1" ht="24" customHeight="1" x14ac:dyDescent="0.3">
      <c r="A1" s="32"/>
      <c r="B1" s="8"/>
      <c r="C1" s="8"/>
      <c r="D1" s="8"/>
      <c r="E1" s="5"/>
      <c r="F1" s="5"/>
      <c r="G1" s="52" t="s">
        <v>41</v>
      </c>
      <c r="I1"/>
      <c r="J1"/>
      <c r="K1"/>
      <c r="L1"/>
      <c r="M1"/>
      <c r="N1"/>
      <c r="O1"/>
      <c r="P1" t="s">
        <v>41</v>
      </c>
    </row>
    <row r="2" spans="1:16" s="1" customFormat="1" ht="45" customHeight="1" x14ac:dyDescent="0.35">
      <c r="A2" s="32"/>
      <c r="B2" s="71" t="str">
        <f>'DESPESAS PLANEJADAS'!B2:D3</f>
        <v>Projeto SCOA</v>
      </c>
      <c r="C2" s="71"/>
      <c r="D2" s="71"/>
      <c r="E2" s="13"/>
      <c r="F2" s="73"/>
      <c r="G2" s="73"/>
      <c r="I2"/>
      <c r="J2"/>
      <c r="K2"/>
      <c r="L2"/>
      <c r="M2"/>
      <c r="N2"/>
      <c r="O2"/>
      <c r="P2"/>
    </row>
    <row r="3" spans="1:16" s="1" customFormat="1" ht="30" customHeight="1" x14ac:dyDescent="0.3">
      <c r="A3" s="32"/>
      <c r="B3" s="71"/>
      <c r="C3" s="71"/>
      <c r="D3" s="71"/>
      <c r="E3" s="134">
        <f>título_da_planilha</f>
        <v>0</v>
      </c>
      <c r="F3" s="134"/>
      <c r="G3" s="134"/>
      <c r="I3"/>
      <c r="J3"/>
      <c r="K3"/>
      <c r="L3"/>
      <c r="M3"/>
      <c r="N3"/>
      <c r="O3"/>
      <c r="P3"/>
    </row>
    <row r="4" spans="1:16" customFormat="1" ht="18.75" customHeight="1" x14ac:dyDescent="0.2">
      <c r="A4" s="24"/>
    </row>
    <row r="5" spans="1:16" ht="24.95" customHeight="1" thickBot="1" x14ac:dyDescent="0.35">
      <c r="A5" s="33"/>
      <c r="B5" s="14" t="s">
        <v>46</v>
      </c>
      <c r="C5" s="15" t="s">
        <v>48</v>
      </c>
      <c r="D5" s="16" t="s">
        <v>49</v>
      </c>
      <c r="E5" s="14" t="s">
        <v>50</v>
      </c>
      <c r="F5" s="17" t="s">
        <v>51</v>
      </c>
      <c r="G5" s="9"/>
      <c r="I5"/>
      <c r="J5"/>
      <c r="K5"/>
      <c r="L5"/>
      <c r="M5"/>
      <c r="N5"/>
      <c r="O5"/>
      <c r="P5"/>
    </row>
    <row r="6" spans="1:16" ht="24.95" customHeight="1" thickBot="1" x14ac:dyDescent="0.35">
      <c r="A6" s="34"/>
      <c r="B6" s="64" t="s">
        <v>47</v>
      </c>
      <c r="C6" s="127">
        <f>PlanejamentoDeFuncionário[[#Totals],[ANO]]</f>
        <v>63500</v>
      </c>
      <c r="D6" s="127">
        <f>FuncionárioReal[[#Totals],[ANO]]</f>
        <v>69215</v>
      </c>
      <c r="E6" s="127">
        <f>C6-D6</f>
        <v>-5715</v>
      </c>
      <c r="F6" s="19">
        <f>E6/C6</f>
        <v>-0.09</v>
      </c>
    </row>
    <row r="7" spans="1:16" ht="24.95" customHeight="1" thickBot="1" x14ac:dyDescent="0.35">
      <c r="A7" s="33"/>
      <c r="B7" s="64" t="str">
        <f>'DESPESAS PLANEJADAS'!B10</f>
        <v>Custos do escritório</v>
      </c>
      <c r="C7" s="127">
        <f>PlanejamentoDeEscritório[[#Totals],[ANO]]</f>
        <v>19900</v>
      </c>
      <c r="D7" s="127">
        <f>EscritórioReal[[#Totals],[ANO]]</f>
        <v>23277</v>
      </c>
      <c r="E7" s="127">
        <f>C7-D7</f>
        <v>-3377</v>
      </c>
      <c r="F7" s="19">
        <f>E7/C7</f>
        <v>-0.16969849246231156</v>
      </c>
    </row>
    <row r="8" spans="1:16" ht="24.95" customHeight="1" thickBot="1" x14ac:dyDescent="0.35">
      <c r="A8" s="33"/>
      <c r="B8" s="18" t="str">
        <f>'DESPESAS PLANEJADAS'!B21</f>
        <v>Custos de marketing</v>
      </c>
      <c r="C8" s="127">
        <f>PlanejamentoDeMarketing[[#Totals],[ANO]]</f>
        <v>8600</v>
      </c>
      <c r="D8" s="127">
        <f>MarketingReal[[#Totals],[ANO]]</f>
        <v>6550</v>
      </c>
      <c r="E8" s="127">
        <f>C8-D8</f>
        <v>2050</v>
      </c>
      <c r="F8" s="19">
        <f>E8/C8</f>
        <v>0.23837209302325582</v>
      </c>
    </row>
    <row r="9" spans="1:16" ht="24.95" customHeight="1" thickBot="1" x14ac:dyDescent="0.35">
      <c r="A9" s="33"/>
      <c r="B9" s="18" t="str">
        <f>'DESPESAS PLANEJADAS'!B30</f>
        <v>Viagem/Treinamento</v>
      </c>
      <c r="C9" s="127">
        <f>PlanejamentoDeViagemETreinamento[[#Totals],[ANO]]</f>
        <v>8000</v>
      </c>
      <c r="D9" s="127">
        <f>RealViagemETreinamento[[#Totals],[ANO]]</f>
        <v>4500</v>
      </c>
      <c r="E9" s="127">
        <f>C9-D9</f>
        <v>3500</v>
      </c>
      <c r="F9" s="19">
        <f>E9/C9</f>
        <v>0.4375</v>
      </c>
    </row>
    <row r="10" spans="1:16" ht="24.95" customHeight="1" x14ac:dyDescent="0.3">
      <c r="A10" s="33"/>
      <c r="B10" s="36" t="str">
        <f>'DESPESAS PLANEJADAS'!B35</f>
        <v>TOTAIS</v>
      </c>
      <c r="C10" s="128">
        <f>'DESPESAS PLANEJADAS'!O36</f>
        <v>100000</v>
      </c>
      <c r="D10" s="128">
        <f>'DESPESAS REAIS'!O36</f>
        <v>103542</v>
      </c>
      <c r="E10" s="128">
        <f>C10-D10</f>
        <v>-3542</v>
      </c>
      <c r="F10" s="37">
        <f>E10/C10</f>
        <v>-3.542E-2</v>
      </c>
    </row>
    <row r="11" spans="1:16" x14ac:dyDescent="0.3">
      <c r="A11" s="33"/>
      <c r="B11" s="66"/>
      <c r="C11" s="3"/>
      <c r="D11" s="3"/>
      <c r="E11" s="3"/>
      <c r="F11" s="4"/>
    </row>
    <row r="12" spans="1:16" ht="300" customHeight="1" x14ac:dyDescent="0.3">
      <c r="A12" s="33"/>
      <c r="B12" s="135"/>
      <c r="C12" s="135"/>
      <c r="D12" s="135"/>
      <c r="E12" s="135"/>
      <c r="F12" s="135"/>
      <c r="G12"/>
    </row>
    <row r="13" spans="1:16" ht="18.75" customHeight="1" x14ac:dyDescent="0.3">
      <c r="A13" s="33"/>
      <c r="B13" s="67"/>
    </row>
    <row r="14" spans="1:16" x14ac:dyDescent="0.3">
      <c r="A14" s="33"/>
      <c r="B14" s="67"/>
      <c r="C14" s="70"/>
      <c r="D14" s="70"/>
      <c r="E14" s="70"/>
      <c r="F14" s="70"/>
    </row>
    <row r="15" spans="1:16" x14ac:dyDescent="0.3">
      <c r="A15" s="33"/>
      <c r="B15" s="67"/>
      <c r="C15" s="70"/>
      <c r="D15" s="70"/>
      <c r="E15" s="70"/>
      <c r="F15" s="70"/>
    </row>
    <row r="16" spans="1:16" x14ac:dyDescent="0.3">
      <c r="A16" s="33"/>
      <c r="B16" s="67"/>
      <c r="C16" s="70"/>
      <c r="D16" s="70"/>
      <c r="E16" s="70"/>
      <c r="F16" s="70"/>
    </row>
    <row r="17" spans="1:6" x14ac:dyDescent="0.3">
      <c r="A17" s="33"/>
      <c r="B17" s="67"/>
      <c r="C17" s="70"/>
      <c r="D17" s="70"/>
      <c r="E17" s="70"/>
      <c r="F17" s="70"/>
    </row>
    <row r="18" spans="1:6" x14ac:dyDescent="0.3">
      <c r="A18" s="33"/>
      <c r="B18" s="67"/>
      <c r="C18" s="70"/>
      <c r="D18" s="70"/>
      <c r="E18" s="70"/>
      <c r="F18" s="70"/>
    </row>
    <row r="19" spans="1:6" x14ac:dyDescent="0.3">
      <c r="A19" s="33"/>
      <c r="B19" s="70"/>
      <c r="C19" s="70"/>
      <c r="D19" s="70"/>
      <c r="E19" s="70"/>
      <c r="F19" s="70"/>
    </row>
    <row r="20" spans="1:6" x14ac:dyDescent="0.3">
      <c r="A20" s="33"/>
      <c r="B20" s="70"/>
      <c r="C20" s="70"/>
      <c r="D20" s="70"/>
      <c r="E20" s="70"/>
      <c r="F20" s="70"/>
    </row>
    <row r="21" spans="1:6" x14ac:dyDescent="0.3">
      <c r="A21" s="33"/>
      <c r="B21" s="70"/>
      <c r="C21" s="70"/>
      <c r="D21" s="70"/>
      <c r="E21" s="70"/>
      <c r="F21" s="70"/>
    </row>
    <row r="22" spans="1:6" x14ac:dyDescent="0.3">
      <c r="A22" s="33"/>
      <c r="B22" s="67"/>
      <c r="C22" s="70"/>
      <c r="D22" s="70"/>
      <c r="E22" s="70"/>
      <c r="F22" s="70"/>
    </row>
    <row r="23" spans="1:6" x14ac:dyDescent="0.3">
      <c r="A23" s="33"/>
      <c r="B23" s="67"/>
      <c r="C23" s="70"/>
      <c r="D23" s="70"/>
      <c r="E23" s="70"/>
      <c r="F23" s="70"/>
    </row>
    <row r="24" spans="1:6" x14ac:dyDescent="0.3">
      <c r="A24" s="33"/>
      <c r="B24" s="67"/>
      <c r="C24" s="70"/>
      <c r="D24" s="70"/>
      <c r="E24" s="70"/>
      <c r="F24" s="70"/>
    </row>
    <row r="25" spans="1:6" x14ac:dyDescent="0.3">
      <c r="A25" s="33"/>
      <c r="B25" s="67"/>
      <c r="C25" s="70"/>
      <c r="D25" s="70"/>
      <c r="E25" s="70"/>
      <c r="F25" s="70"/>
    </row>
    <row r="26" spans="1:6" x14ac:dyDescent="0.3">
      <c r="A26" s="33"/>
      <c r="B26" s="67"/>
      <c r="C26" s="70"/>
      <c r="D26" s="70"/>
      <c r="E26" s="70"/>
      <c r="F26" s="70"/>
    </row>
    <row r="27" spans="1:6" x14ac:dyDescent="0.3">
      <c r="A27" s="33"/>
      <c r="B27" s="67"/>
      <c r="C27" s="70"/>
      <c r="D27" s="70"/>
      <c r="E27" s="70"/>
      <c r="F27" s="70"/>
    </row>
    <row r="28" spans="1:6" x14ac:dyDescent="0.3">
      <c r="A28" s="33"/>
      <c r="B28" s="70"/>
      <c r="C28" s="70"/>
      <c r="D28" s="70"/>
      <c r="E28" s="70"/>
      <c r="F28" s="70"/>
    </row>
    <row r="29" spans="1:6" x14ac:dyDescent="0.3">
      <c r="A29" s="33"/>
      <c r="B29" s="70"/>
      <c r="C29" s="70"/>
      <c r="D29" s="70"/>
      <c r="E29" s="70"/>
      <c r="F29" s="70"/>
    </row>
    <row r="30" spans="1:6" x14ac:dyDescent="0.3">
      <c r="A30" s="33"/>
      <c r="B30" s="70"/>
      <c r="C30" s="70"/>
      <c r="D30" s="70"/>
      <c r="E30" s="70"/>
      <c r="F30" s="70"/>
    </row>
    <row r="31" spans="1:6" x14ac:dyDescent="0.3">
      <c r="A31" s="33"/>
      <c r="B31" s="67"/>
      <c r="C31" s="70"/>
      <c r="D31" s="70"/>
      <c r="E31" s="70"/>
      <c r="F31" s="70"/>
    </row>
    <row r="32" spans="1:6" x14ac:dyDescent="0.3">
      <c r="A32" s="33"/>
      <c r="B32" s="67"/>
      <c r="C32" s="70"/>
      <c r="D32" s="70"/>
      <c r="E32" s="70"/>
      <c r="F32" s="70"/>
    </row>
    <row r="33" spans="1:6" x14ac:dyDescent="0.3">
      <c r="A33" s="33"/>
      <c r="B33" s="70"/>
      <c r="C33" s="70"/>
      <c r="D33" s="70"/>
      <c r="E33" s="70"/>
      <c r="F33" s="70"/>
    </row>
    <row r="34" spans="1:6" x14ac:dyDescent="0.3">
      <c r="A34" s="33"/>
      <c r="B34" s="70"/>
      <c r="C34" s="70"/>
      <c r="D34" s="70"/>
      <c r="E34" s="70"/>
      <c r="F34" s="70"/>
    </row>
    <row r="35" spans="1:6" x14ac:dyDescent="0.3">
      <c r="A35" s="33"/>
      <c r="B35" s="70"/>
      <c r="C35" s="70"/>
      <c r="D35" s="70"/>
      <c r="E35" s="70"/>
      <c r="F35" s="70"/>
    </row>
    <row r="36" spans="1:6" x14ac:dyDescent="0.3">
      <c r="A36" s="33"/>
      <c r="B36" s="72"/>
      <c r="C36" s="70"/>
      <c r="D36" s="70"/>
      <c r="E36" s="70"/>
      <c r="F36" s="70"/>
    </row>
    <row r="37" spans="1:6" x14ac:dyDescent="0.3">
      <c r="A37" s="33"/>
      <c r="B37" s="72"/>
      <c r="C37" s="70"/>
      <c r="D37" s="70"/>
      <c r="E37" s="70"/>
      <c r="F37" s="70"/>
    </row>
    <row r="38" spans="1:6" x14ac:dyDescent="0.3">
      <c r="A38" s="33"/>
    </row>
    <row r="39" spans="1:6" x14ac:dyDescent="0.3">
      <c r="A39" s="33"/>
    </row>
  </sheetData>
  <mergeCells count="2">
    <mergeCell ref="E3:G3"/>
    <mergeCell ref="B12:F12"/>
  </mergeCells>
  <dataValidations count="8">
    <dataValidation allowBlank="1" showInputMessage="1" showErrorMessage="1" prompt="O gráfico de pizza mostrando as despesas planejadas nas várias categorias está nesta célula." sqref="B12:F12" xr:uid="{B2131E0D-FC0E-41E0-A823-1146E5092945}"/>
    <dataValidation allowBlank="1" showInputMessage="1" showErrorMessage="1" prompt="Despesas Anuais Planejadas e Peais, Variações de Despesas e a Porcentagem da Variação são atualizadas automaticamente em cada categoria nesta planilha. Instruções úteis de uso desta planilha estão nas células desta coluna. Seta para baixo para começar." sqref="A1" xr:uid="{2B6B986C-CF09-4535-B287-5D9961D543F9}"/>
    <dataValidation allowBlank="1" showInputMessage="1" showErrorMessage="1" prompt="O Nome da Empresa é atualizado automaticamente na célula à direita. Insira o logotipo na célula F2." sqref="A2" xr:uid="{54F690A8-E3B2-49FE-B037-4CB57E2B08A1}"/>
    <dataValidation allowBlank="1" showInputMessage="1" showErrorMessage="1" prompt="O título desta planilha está na célula E3. A próxima instrução está na célula A5." sqref="A3" xr:uid="{FED07153-5704-491F-BD0F-28D4A0F15619}"/>
    <dataValidation allowBlank="1" showInputMessage="1" showErrorMessage="1" prompt="As Despesas Planejadas, Despesas Reais, Variância de Despesas e a Porcentagem de Variação são calculadas automaticamente na tabela Análise começando na célula à direita. A próxima instrução está na célula A12." sqref="A5" xr:uid="{17A4F301-0551-4056-B357-1FCC3532C5BE}"/>
    <dataValidation allowBlank="1" showInputMessage="1" showErrorMessage="1" prompt="O gráfico de pizza de Despesas Planejadas está na célula à direita e o gráfico de pizza de Despesas Reais na célula D12. A próxima instrução está na célula A14." sqref="A12" xr:uid="{FE13E92D-A1BA-4BB9-9C16-0CDEB5285C6E}"/>
    <dataValidation allowBlank="1" showInputMessage="1" showErrorMessage="1" prompt="O gráfico mostrando as Despesas Mensais Planejadas, Reais e as Variações está na célula à direita." sqref="A14" xr:uid="{A5F374DB-643C-44A4-B534-F79A39786B80}"/>
    <dataValidation allowBlank="1" showInputMessage="1" showErrorMessage="1" prompt="O espaço reservado para o logotipo está nesta célula." sqref="F2:G2" xr:uid="{831A4984-168B-4337-BAEA-80B7246F2962}"/>
  </dataValidations>
  <pageMargins left="0.7" right="0.7" top="0.75" bottom="0.75" header="0.3" footer="0.3"/>
  <pageSetup paperSize="9" orientation="portrait" r:id="rId1"/>
  <ignoredErrors>
    <ignoredError sqref="B2" emptyCellReference="1"/>
  </ignoredErrors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9CB1A22-CE44-4532-A0DB-84194B783BC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53F0F1A-F818-48F9-BE67-B9DBEFF91A62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3.xml><?xml version="1.0" encoding="utf-8"?>
<ds:datastoreItem xmlns:ds="http://schemas.openxmlformats.org/officeDocument/2006/customXml" ds:itemID="{7C5DBCFF-B01D-443B-958D-5BBBD3E2EA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TM04035489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INÍCIO</vt:lpstr>
      <vt:lpstr>DESPESAS PLANEJADAS</vt:lpstr>
      <vt:lpstr>DESPESAS REAIS</vt:lpstr>
      <vt:lpstr>VARIAÇÕES DE DESPESAS</vt:lpstr>
      <vt:lpstr>ANÁLISE DE DESPESAS</vt:lpstr>
      <vt:lpstr>título_da_planilha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2022-02-14T06:36:37Z</dcterms:created>
  <dcterms:modified xsi:type="dcterms:W3CDTF">2023-09-20T13:00:00Z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  <property fmtid="{D5CDD505-2E9C-101B-9397-08002B2CF9AE}" pid="3" name="MSIP_Label_8caabacf-b917-4a45-9a5f-ed3a53d2eeb7_Enabled">
    <vt:lpwstr>true</vt:lpwstr>
  </property>
  <property fmtid="{D5CDD505-2E9C-101B-9397-08002B2CF9AE}" pid="4" name="MSIP_Label_8caabacf-b917-4a45-9a5f-ed3a53d2eeb7_SetDate">
    <vt:lpwstr>2023-09-20T11:02:46Z</vt:lpwstr>
  </property>
  <property fmtid="{D5CDD505-2E9C-101B-9397-08002B2CF9AE}" pid="5" name="MSIP_Label_8caabacf-b917-4a45-9a5f-ed3a53d2eeb7_Method">
    <vt:lpwstr>Standard</vt:lpwstr>
  </property>
  <property fmtid="{D5CDD505-2E9C-101B-9397-08002B2CF9AE}" pid="6" name="MSIP_Label_8caabacf-b917-4a45-9a5f-ed3a53d2eeb7_Name">
    <vt:lpwstr>Anyone - No Protection</vt:lpwstr>
  </property>
  <property fmtid="{D5CDD505-2E9C-101B-9397-08002B2CF9AE}" pid="7" name="MSIP_Label_8caabacf-b917-4a45-9a5f-ed3a53d2eeb7_SiteId">
    <vt:lpwstr>0804c951-93a0-405d-80e4-fa87c7551d6a</vt:lpwstr>
  </property>
  <property fmtid="{D5CDD505-2E9C-101B-9397-08002B2CF9AE}" pid="8" name="MSIP_Label_8caabacf-b917-4a45-9a5f-ed3a53d2eeb7_ActionId">
    <vt:lpwstr>d663b405-c231-4ab9-8fae-b72c1352f86e</vt:lpwstr>
  </property>
  <property fmtid="{D5CDD505-2E9C-101B-9397-08002B2CF9AE}" pid="9" name="MSIP_Label_8caabacf-b917-4a45-9a5f-ed3a53d2eeb7_ContentBits">
    <vt:lpwstr>0</vt:lpwstr>
  </property>
</Properties>
</file>